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always"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namqc\Downloads\"/>
    </mc:Choice>
  </mc:AlternateContent>
  <xr:revisionPtr revIDLastSave="0" documentId="13_ncr:1_{96E54A06-0931-452C-896D-426E0EAFD987}" xr6:coauthVersionLast="47" xr6:coauthVersionMax="47" xr10:uidLastSave="{00000000-0000-0000-0000-000000000000}"/>
  <bookViews>
    <workbookView xWindow="-23136" yWindow="588" windowWidth="23232" windowHeight="12432" tabRatio="778" firstSheet="7" activeTab="7" xr2:uid="{23147BA2-CD88-414E-8C49-552C691A4281}"/>
  </bookViews>
  <sheets>
    <sheet name="All WH Stock Status" sheetId="11" state="hidden" r:id="rId1"/>
    <sheet name="Raw Material Stock status" sheetId="12" state="hidden" r:id="rId2"/>
    <sheet name="Packiging Materila Stock Status" sheetId="13" state="hidden" r:id="rId3"/>
    <sheet name="Consumables Stock Status" sheetId="14" state="hidden" r:id="rId4"/>
    <sheet name="Dashboard - WH Situation" sheetId="15" state="hidden" r:id="rId5"/>
    <sheet name="Urgent Items - Procurment" sheetId="10" state="hidden" r:id="rId6"/>
    <sheet name="Master File June-26" sheetId="5" state="hidden" r:id="rId7"/>
    <sheet name="Master File July-26" sheetId="20" r:id="rId8"/>
    <sheet name="Current Stocks July-26" sheetId="1" r:id="rId9"/>
    <sheet name="July 2026-Recived" sheetId="2" r:id="rId10"/>
    <sheet name="July 2026- Dispatch" sheetId="3" r:id="rId11"/>
    <sheet name="Sheet1" sheetId="16" r:id="rId12"/>
    <sheet name="Sheet4" sheetId="19" r:id="rId13"/>
    <sheet name="Sheet2" sheetId="17" state="hidden" r:id="rId14"/>
    <sheet name="Sheet3" sheetId="18" state="hidden" r:id="rId15"/>
    <sheet name="Sheet6" sheetId="30" r:id="rId16"/>
    <sheet name="Sheet5" sheetId="29" r:id="rId17"/>
  </sheets>
  <externalReferences>
    <externalReference r:id="rId18"/>
    <externalReference r:id="rId19"/>
    <externalReference r:id="rId20"/>
  </externalReferences>
  <definedNames>
    <definedName name="_xlnm._FilterDatabase" localSheetId="0" hidden="1">'All WH Stock Status'!$A$2:$S$667</definedName>
    <definedName name="_xlnm._FilterDatabase" localSheetId="3" hidden="1">'Consumables Stock Status'!$A$2:$O$2</definedName>
    <definedName name="_xlnm._FilterDatabase" localSheetId="8" hidden="1">'Current Stocks July-26'!$A$1:$M$1280</definedName>
    <definedName name="_xlnm._FilterDatabase" localSheetId="10" hidden="1">'July 2026- Dispatch'!$A$1:$AM$1301</definedName>
    <definedName name="_xlnm._FilterDatabase" localSheetId="9" hidden="1">'July 2026-Recived'!$A$1:$AM$1301</definedName>
    <definedName name="_xlnm._FilterDatabase" localSheetId="7" hidden="1">'Master File July-26'!$A$1:$Z$507</definedName>
    <definedName name="_xlnm._FilterDatabase" localSheetId="6" hidden="1">'Master File June-26'!$A$2:$R$670</definedName>
    <definedName name="_xlnm._FilterDatabase" localSheetId="2" hidden="1">'Packiging Materila Stock Status'!$A$2:$O$187</definedName>
    <definedName name="_xlnm._FilterDatabase" localSheetId="1" hidden="1">'Raw Material Stock status'!$A$2:$N$266</definedName>
    <definedName name="_xlnm._FilterDatabase" localSheetId="11" hidden="1">Sheet1!$A$3:$D$107</definedName>
    <definedName name="_xlnm._FilterDatabase" localSheetId="13" hidden="1">Sheet2!$A$4:$H$1095</definedName>
    <definedName name="_xlnm._FilterDatabase" localSheetId="14" hidden="1">Sheet3!$A$1:$E$251</definedName>
    <definedName name="_xlnm._FilterDatabase" localSheetId="12" hidden="1">Sheet4!$O$3:$S$137</definedName>
    <definedName name="_xlnm._FilterDatabase" localSheetId="5" hidden="1">'Urgent Items - Procurment'!$A$2:$XEX$757</definedName>
    <definedName name="_xlnm.Print_Area" localSheetId="8">'Current Stocks July-26'!$B$1:$K$981</definedName>
    <definedName name="_xlnm.Print_Titles" localSheetId="8">'Current Stocks July-26'!$1:$1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34" i="3" l="1"/>
  <c r="T523" i="3"/>
  <c r="T1176" i="3"/>
  <c r="T1174" i="3"/>
  <c r="R40" i="19" s="1"/>
  <c r="T1162" i="3"/>
  <c r="T1161" i="3"/>
  <c r="T1157" i="3"/>
  <c r="T1005" i="3"/>
  <c r="T746" i="3"/>
  <c r="T349" i="3"/>
  <c r="T708" i="3"/>
  <c r="T679" i="3"/>
  <c r="T678" i="3"/>
  <c r="T677" i="3"/>
  <c r="T568" i="3"/>
  <c r="T567" i="3"/>
  <c r="T566" i="3"/>
  <c r="T565" i="3"/>
  <c r="T564" i="3"/>
  <c r="T557" i="3"/>
  <c r="T417" i="3"/>
  <c r="T436" i="3"/>
  <c r="T50" i="3"/>
  <c r="T58" i="3"/>
  <c r="T43" i="3"/>
  <c r="R5" i="19"/>
  <c r="R6" i="19"/>
  <c r="R7" i="19"/>
  <c r="R8" i="19"/>
  <c r="R9" i="19"/>
  <c r="R10" i="19"/>
  <c r="R11" i="19"/>
  <c r="R12" i="19"/>
  <c r="R13" i="19"/>
  <c r="R14" i="19"/>
  <c r="R15" i="19"/>
  <c r="R16" i="19"/>
  <c r="R17" i="19"/>
  <c r="R18" i="19"/>
  <c r="R19" i="19"/>
  <c r="R20" i="19"/>
  <c r="R21" i="19"/>
  <c r="R22" i="19"/>
  <c r="R23" i="19"/>
  <c r="R24" i="19"/>
  <c r="R25" i="19"/>
  <c r="R26" i="19"/>
  <c r="R27" i="19"/>
  <c r="R28" i="19"/>
  <c r="R29" i="19"/>
  <c r="R30" i="19"/>
  <c r="R31" i="19"/>
  <c r="R32" i="19"/>
  <c r="R33" i="19"/>
  <c r="R34" i="19"/>
  <c r="R35" i="19"/>
  <c r="R36" i="19"/>
  <c r="R37" i="19"/>
  <c r="R38" i="19"/>
  <c r="R39" i="19"/>
  <c r="R41" i="19"/>
  <c r="R42" i="19"/>
  <c r="R43" i="19"/>
  <c r="R44" i="19"/>
  <c r="R45" i="19"/>
  <c r="R46" i="19"/>
  <c r="R47" i="19"/>
  <c r="R48" i="19"/>
  <c r="R49" i="19"/>
  <c r="R50" i="19"/>
  <c r="R51" i="19"/>
  <c r="R52" i="19"/>
  <c r="R53" i="19"/>
  <c r="R54" i="19"/>
  <c r="R55" i="19"/>
  <c r="R56" i="19"/>
  <c r="R57" i="19"/>
  <c r="R58" i="19"/>
  <c r="R59" i="19"/>
  <c r="R60" i="19"/>
  <c r="R61" i="19"/>
  <c r="R62" i="19"/>
  <c r="R63" i="19"/>
  <c r="R64" i="19"/>
  <c r="R65" i="19"/>
  <c r="R66" i="19"/>
  <c r="R67" i="19"/>
  <c r="R68" i="19"/>
  <c r="R69" i="19"/>
  <c r="R70" i="19"/>
  <c r="R71" i="19"/>
  <c r="R72" i="19"/>
  <c r="R73" i="19"/>
  <c r="R74" i="19"/>
  <c r="R75" i="19"/>
  <c r="R76" i="19"/>
  <c r="R77" i="19"/>
  <c r="R78" i="19"/>
  <c r="R79" i="19"/>
  <c r="R80" i="19"/>
  <c r="R81" i="19"/>
  <c r="R82" i="19"/>
  <c r="R83" i="19"/>
  <c r="R84" i="19"/>
  <c r="R85" i="19"/>
  <c r="R86" i="19"/>
  <c r="R87" i="19"/>
  <c r="R88" i="19"/>
  <c r="R89" i="19"/>
  <c r="R90" i="19"/>
  <c r="R91" i="19"/>
  <c r="R92" i="19"/>
  <c r="R93" i="19"/>
  <c r="R94" i="19"/>
  <c r="R95" i="19"/>
  <c r="R96" i="19"/>
  <c r="R97" i="19"/>
  <c r="R98" i="19"/>
  <c r="R99" i="19"/>
  <c r="R100" i="19"/>
  <c r="R101" i="19"/>
  <c r="R102" i="19"/>
  <c r="R103" i="19"/>
  <c r="R104" i="19"/>
  <c r="R105" i="19"/>
  <c r="R106" i="19"/>
  <c r="R107" i="19"/>
  <c r="S107" i="19" s="1"/>
  <c r="R108" i="19"/>
  <c r="S108" i="19" s="1"/>
  <c r="R109" i="19"/>
  <c r="S109" i="19" s="1"/>
  <c r="R110" i="19"/>
  <c r="S110" i="19" s="1"/>
  <c r="R111" i="19"/>
  <c r="S111" i="19" s="1"/>
  <c r="R112" i="19"/>
  <c r="S112" i="19" s="1"/>
  <c r="R113" i="19"/>
  <c r="S113" i="19" s="1"/>
  <c r="R114" i="19"/>
  <c r="S114" i="19" s="1"/>
  <c r="R115" i="19"/>
  <c r="S115" i="19" s="1"/>
  <c r="R116" i="19"/>
  <c r="S116" i="19" s="1"/>
  <c r="R117" i="19"/>
  <c r="S117" i="19" s="1"/>
  <c r="R118" i="19"/>
  <c r="S118" i="19" s="1"/>
  <c r="R119" i="19"/>
  <c r="S119" i="19" s="1"/>
  <c r="R120" i="19"/>
  <c r="S120" i="19" s="1"/>
  <c r="R121" i="19"/>
  <c r="S121" i="19" s="1"/>
  <c r="R122" i="19"/>
  <c r="S122" i="19" s="1"/>
  <c r="R123" i="19"/>
  <c r="S123" i="19" s="1"/>
  <c r="R124" i="19"/>
  <c r="S124" i="19" s="1"/>
  <c r="R125" i="19"/>
  <c r="S125" i="19" s="1"/>
  <c r="R126" i="19"/>
  <c r="S126" i="19" s="1"/>
  <c r="R127" i="19"/>
  <c r="S127" i="19" s="1"/>
  <c r="R128" i="19"/>
  <c r="S128" i="19" s="1"/>
  <c r="R129" i="19"/>
  <c r="S129" i="19" s="1"/>
  <c r="R130" i="19"/>
  <c r="S130" i="19" s="1"/>
  <c r="R131" i="19"/>
  <c r="S131" i="19" s="1"/>
  <c r="R132" i="19"/>
  <c r="S132" i="19" s="1"/>
  <c r="R133" i="19"/>
  <c r="S133" i="19" s="1"/>
  <c r="R4" i="19"/>
  <c r="Q1162" i="3"/>
  <c r="S1162" i="3"/>
  <c r="Q1161" i="3"/>
  <c r="S1161" i="3"/>
  <c r="P1157" i="3"/>
  <c r="S1157" i="3"/>
  <c r="Q1157" i="3"/>
  <c r="S1177" i="3"/>
  <c r="S1176" i="3"/>
  <c r="Q1176" i="3"/>
  <c r="S1175" i="3"/>
  <c r="Q1175" i="3"/>
  <c r="S1174" i="3"/>
  <c r="Q1174" i="3"/>
  <c r="H1157" i="1"/>
  <c r="H1173" i="1"/>
  <c r="Q725" i="3"/>
  <c r="T981" i="2"/>
  <c r="T1178" i="2"/>
  <c r="S962" i="3"/>
  <c r="S746" i="3"/>
  <c r="S678" i="3"/>
  <c r="S679" i="3"/>
  <c r="S677" i="3"/>
  <c r="S606" i="3"/>
  <c r="S417" i="3"/>
  <c r="S557" i="3"/>
  <c r="Q425" i="3"/>
  <c r="P425" i="3"/>
  <c r="I425" i="3"/>
  <c r="H425" i="1"/>
  <c r="S315" i="3"/>
  <c r="S43" i="3"/>
  <c r="S58" i="3"/>
  <c r="S19" i="3"/>
  <c r="V481" i="20"/>
  <c r="Q417" i="3"/>
  <c r="Q557" i="3"/>
  <c r="Q606" i="3"/>
  <c r="Q746" i="3"/>
  <c r="Q739" i="3"/>
  <c r="Q678" i="3"/>
  <c r="Q677" i="3"/>
  <c r="Q595" i="3"/>
  <c r="Q315" i="3"/>
  <c r="Q94" i="3"/>
  <c r="Q65" i="3"/>
  <c r="Q58" i="3"/>
  <c r="S33" i="19" l="1"/>
  <c r="S36" i="19"/>
  <c r="S39" i="19"/>
  <c r="S42" i="19"/>
  <c r="S43" i="19"/>
  <c r="H861" i="1"/>
  <c r="P746" i="3"/>
  <c r="P708" i="3"/>
  <c r="P349" i="3"/>
  <c r="P678" i="3"/>
  <c r="P677" i="3"/>
  <c r="P609" i="3" l="1"/>
  <c r="P557" i="3"/>
  <c r="P417" i="3"/>
  <c r="P364" i="3"/>
  <c r="P358" i="3"/>
  <c r="P315" i="3"/>
  <c r="P44" i="3"/>
  <c r="P43" i="3"/>
  <c r="P15" i="3"/>
  <c r="S380" i="2"/>
  <c r="J819" i="3"/>
  <c r="J1045" i="3"/>
  <c r="J890" i="3"/>
  <c r="J1043" i="3"/>
  <c r="J1024" i="3"/>
  <c r="J957" i="3"/>
  <c r="J954" i="3"/>
  <c r="J822" i="3"/>
  <c r="J812" i="3"/>
  <c r="J786" i="3"/>
  <c r="J649" i="3"/>
  <c r="I792" i="3"/>
  <c r="J609" i="3"/>
  <c r="J511" i="3"/>
  <c r="J443" i="3"/>
  <c r="J54" i="3"/>
  <c r="J44" i="3"/>
  <c r="J205" i="3"/>
  <c r="J29" i="3"/>
  <c r="J1178" i="1"/>
  <c r="J1179" i="1"/>
  <c r="J1180" i="1"/>
  <c r="J1181" i="1"/>
  <c r="J1182" i="1"/>
  <c r="J1183" i="1"/>
  <c r="J1184" i="1"/>
  <c r="J1185" i="1"/>
  <c r="J1186" i="1"/>
  <c r="I1187" i="1"/>
  <c r="J1187" i="1"/>
  <c r="I1188" i="1"/>
  <c r="J1188" i="1"/>
  <c r="I1189" i="1"/>
  <c r="J1189" i="1"/>
  <c r="I1190" i="1"/>
  <c r="J1190" i="1"/>
  <c r="I1191" i="1"/>
  <c r="J1191" i="1"/>
  <c r="I1192" i="1"/>
  <c r="J1192" i="1"/>
  <c r="I1193" i="1"/>
  <c r="J1193" i="1"/>
  <c r="I1194" i="1"/>
  <c r="J1194" i="1"/>
  <c r="I1195" i="1"/>
  <c r="J1195" i="1"/>
  <c r="I1196" i="1"/>
  <c r="J1196" i="1"/>
  <c r="I1197" i="1"/>
  <c r="J1197" i="1"/>
  <c r="I1198" i="1"/>
  <c r="J1198" i="1"/>
  <c r="I1199" i="1"/>
  <c r="J1199" i="1"/>
  <c r="I1200" i="1"/>
  <c r="J1200" i="1"/>
  <c r="I1201" i="1"/>
  <c r="J1201" i="1"/>
  <c r="I1202" i="1"/>
  <c r="J1202" i="1"/>
  <c r="I1203" i="1"/>
  <c r="J1203" i="1"/>
  <c r="I1204" i="1"/>
  <c r="J1204" i="1"/>
  <c r="I1205" i="1"/>
  <c r="J1205" i="1"/>
  <c r="I1206" i="1"/>
  <c r="J1206" i="1"/>
  <c r="I1207" i="1"/>
  <c r="J1207" i="1"/>
  <c r="I1208" i="1"/>
  <c r="J1208" i="1"/>
  <c r="I1209" i="1"/>
  <c r="J1209" i="1"/>
  <c r="I1210" i="1"/>
  <c r="J1210" i="1"/>
  <c r="I1211" i="1"/>
  <c r="J1211" i="1"/>
  <c r="I1212" i="1"/>
  <c r="J1212" i="1"/>
  <c r="I1213" i="1"/>
  <c r="J1213" i="1"/>
  <c r="I1214" i="1"/>
  <c r="J1214" i="1"/>
  <c r="I1215" i="1"/>
  <c r="J1215" i="1"/>
  <c r="I1216" i="1"/>
  <c r="J1216" i="1"/>
  <c r="I1217" i="1"/>
  <c r="J1217" i="1"/>
  <c r="I1218" i="1"/>
  <c r="J1218" i="1"/>
  <c r="I1219" i="1"/>
  <c r="J1219" i="1"/>
  <c r="I1220" i="1"/>
  <c r="J1220" i="1"/>
  <c r="I1221" i="1"/>
  <c r="J1221" i="1"/>
  <c r="I1222" i="1"/>
  <c r="J1222" i="1"/>
  <c r="I1223" i="1"/>
  <c r="J1223" i="1"/>
  <c r="I1224" i="1"/>
  <c r="J1224" i="1"/>
  <c r="I1225" i="1"/>
  <c r="J1225" i="1"/>
  <c r="I1226" i="1"/>
  <c r="J1226" i="1"/>
  <c r="I1227" i="1"/>
  <c r="J1227" i="1"/>
  <c r="I1228" i="1"/>
  <c r="J1228" i="1"/>
  <c r="I1229" i="1"/>
  <c r="J1229" i="1"/>
  <c r="I1230" i="1"/>
  <c r="J1230" i="1"/>
  <c r="I1231" i="1"/>
  <c r="J1231" i="1"/>
  <c r="I1232" i="1"/>
  <c r="J1232" i="1"/>
  <c r="I1233" i="1"/>
  <c r="J1233" i="1"/>
  <c r="I1234" i="1"/>
  <c r="J1234" i="1"/>
  <c r="I1235" i="1"/>
  <c r="J1235" i="1"/>
  <c r="I1236" i="1"/>
  <c r="J1236" i="1"/>
  <c r="I1237" i="1"/>
  <c r="J1237" i="1"/>
  <c r="I1238" i="1"/>
  <c r="J1238" i="1"/>
  <c r="I1239" i="1"/>
  <c r="J1239" i="1"/>
  <c r="I1240" i="1"/>
  <c r="J1240" i="1"/>
  <c r="I1241" i="1"/>
  <c r="J1241" i="1"/>
  <c r="I1242" i="1"/>
  <c r="J1242" i="1"/>
  <c r="I1243" i="1"/>
  <c r="J1243" i="1"/>
  <c r="I1244" i="1"/>
  <c r="J1244" i="1"/>
  <c r="I1245" i="1"/>
  <c r="J1245" i="1"/>
  <c r="I1246" i="1"/>
  <c r="J1246" i="1"/>
  <c r="I1247" i="1"/>
  <c r="J1247" i="1"/>
  <c r="I1248" i="1"/>
  <c r="J1248" i="1"/>
  <c r="I1249" i="1"/>
  <c r="J1249" i="1"/>
  <c r="I1250" i="1"/>
  <c r="J1250" i="1"/>
  <c r="I1251" i="1"/>
  <c r="J1251" i="1"/>
  <c r="I1252" i="1"/>
  <c r="J1252" i="1"/>
  <c r="I1253" i="1"/>
  <c r="J1253" i="1"/>
  <c r="I1254" i="1"/>
  <c r="J1254" i="1"/>
  <c r="I1255" i="1"/>
  <c r="J1255" i="1"/>
  <c r="I1256" i="1"/>
  <c r="J1256" i="1"/>
  <c r="I1257" i="1"/>
  <c r="J1257" i="1"/>
  <c r="I1258" i="1"/>
  <c r="J1258" i="1"/>
  <c r="I1259" i="1"/>
  <c r="J1259" i="1"/>
  <c r="I1260" i="1"/>
  <c r="J1260" i="1"/>
  <c r="I1261" i="1"/>
  <c r="J1261" i="1"/>
  <c r="I1262" i="1"/>
  <c r="J1262" i="1"/>
  <c r="I1263" i="1"/>
  <c r="J1263" i="1"/>
  <c r="I1264" i="1"/>
  <c r="J1264" i="1"/>
  <c r="I1265" i="1"/>
  <c r="J1265" i="1"/>
  <c r="I1266" i="1"/>
  <c r="J1266" i="1"/>
  <c r="I1267" i="1"/>
  <c r="J1267" i="1"/>
  <c r="I1268" i="1"/>
  <c r="J1268" i="1"/>
  <c r="I1269" i="1"/>
  <c r="J1269" i="1"/>
  <c r="I1270" i="1"/>
  <c r="J1270" i="1"/>
  <c r="I1271" i="1"/>
  <c r="J1271" i="1"/>
  <c r="I1272" i="1"/>
  <c r="J1272" i="1"/>
  <c r="I1273" i="1"/>
  <c r="J1273" i="1"/>
  <c r="I1274" i="1"/>
  <c r="J1274" i="1"/>
  <c r="I1275" i="1"/>
  <c r="J1275" i="1"/>
  <c r="I1276" i="1"/>
  <c r="J1276" i="1"/>
  <c r="I1277" i="1"/>
  <c r="J1277" i="1"/>
  <c r="I1278" i="1"/>
  <c r="J1278" i="1"/>
  <c r="I1279" i="1"/>
  <c r="J1279" i="1"/>
  <c r="I1280" i="1"/>
  <c r="J1280" i="1"/>
  <c r="V25" i="19"/>
  <c r="V62" i="19"/>
  <c r="J385" i="3"/>
  <c r="J971" i="3"/>
  <c r="X5" i="19"/>
  <c r="Y5" i="19" s="1"/>
  <c r="X6" i="19"/>
  <c r="Y6" i="19" s="1"/>
  <c r="X7" i="19"/>
  <c r="Y7" i="19" s="1"/>
  <c r="X8" i="19"/>
  <c r="Y8" i="19" s="1"/>
  <c r="X9" i="19"/>
  <c r="Y9" i="19" s="1"/>
  <c r="X10" i="19"/>
  <c r="Y10" i="19" s="1"/>
  <c r="X11" i="19"/>
  <c r="Y11" i="19" s="1"/>
  <c r="X12" i="19"/>
  <c r="Y12" i="19" s="1"/>
  <c r="X13" i="19"/>
  <c r="Y13" i="19" s="1"/>
  <c r="X14" i="19"/>
  <c r="Y14" i="19" s="1"/>
  <c r="X15" i="19"/>
  <c r="Y15" i="19" s="1"/>
  <c r="X16" i="19"/>
  <c r="Y16" i="19" s="1"/>
  <c r="X17" i="19"/>
  <c r="Y17" i="19" s="1"/>
  <c r="X18" i="19"/>
  <c r="Y18" i="19" s="1"/>
  <c r="X19" i="19"/>
  <c r="Y19" i="19" s="1"/>
  <c r="X20" i="19"/>
  <c r="Y20" i="19" s="1"/>
  <c r="X21" i="19"/>
  <c r="Y21" i="19" s="1"/>
  <c r="X22" i="19"/>
  <c r="Y22" i="19" s="1"/>
  <c r="X23" i="19"/>
  <c r="Y23" i="19" s="1"/>
  <c r="X24" i="19"/>
  <c r="Y24" i="19" s="1"/>
  <c r="X25" i="19"/>
  <c r="Y25" i="19" s="1"/>
  <c r="X26" i="19"/>
  <c r="Y26" i="19" s="1"/>
  <c r="X27" i="19"/>
  <c r="Y27" i="19" s="1"/>
  <c r="X28" i="19"/>
  <c r="Y28" i="19" s="1"/>
  <c r="X29" i="19"/>
  <c r="Y29" i="19" s="1"/>
  <c r="X30" i="19"/>
  <c r="Y30" i="19" s="1"/>
  <c r="X31" i="19"/>
  <c r="Y31" i="19" s="1"/>
  <c r="X32" i="19"/>
  <c r="Y32" i="19" s="1"/>
  <c r="X33" i="19"/>
  <c r="Y33" i="19" s="1"/>
  <c r="X34" i="19"/>
  <c r="Y34" i="19" s="1"/>
  <c r="X35" i="19"/>
  <c r="Y35" i="19" s="1"/>
  <c r="X36" i="19"/>
  <c r="Y36" i="19" s="1"/>
  <c r="X37" i="19"/>
  <c r="Y37" i="19" s="1"/>
  <c r="X38" i="19"/>
  <c r="Y38" i="19" s="1"/>
  <c r="X39" i="19"/>
  <c r="Y39" i="19" s="1"/>
  <c r="X40" i="19"/>
  <c r="Y40" i="19" s="1"/>
  <c r="X41" i="19"/>
  <c r="Y41" i="19" s="1"/>
  <c r="X42" i="19"/>
  <c r="Y42" i="19" s="1"/>
  <c r="X43" i="19"/>
  <c r="Y43" i="19" s="1"/>
  <c r="X44" i="19"/>
  <c r="Y44" i="19" s="1"/>
  <c r="X45" i="19"/>
  <c r="Y45" i="19" s="1"/>
  <c r="X46" i="19"/>
  <c r="Y46" i="19" s="1"/>
  <c r="X47" i="19"/>
  <c r="Y47" i="19" s="1"/>
  <c r="X48" i="19"/>
  <c r="Y48" i="19" s="1"/>
  <c r="X49" i="19"/>
  <c r="Y49" i="19" s="1"/>
  <c r="X50" i="19"/>
  <c r="Y50" i="19" s="1"/>
  <c r="X51" i="19"/>
  <c r="Y51" i="19" s="1"/>
  <c r="X52" i="19"/>
  <c r="Y52" i="19" s="1"/>
  <c r="X53" i="19"/>
  <c r="Y53" i="19" s="1"/>
  <c r="X54" i="19"/>
  <c r="Y54" i="19" s="1"/>
  <c r="X55" i="19"/>
  <c r="Y55" i="19" s="1"/>
  <c r="X56" i="19"/>
  <c r="Y56" i="19" s="1"/>
  <c r="X57" i="19"/>
  <c r="Y57" i="19" s="1"/>
  <c r="X58" i="19"/>
  <c r="Y58" i="19" s="1"/>
  <c r="X59" i="19"/>
  <c r="Y59" i="19" s="1"/>
  <c r="X60" i="19"/>
  <c r="Y60" i="19" s="1"/>
  <c r="X61" i="19"/>
  <c r="Y61" i="19" s="1"/>
  <c r="X62" i="19"/>
  <c r="Y62" i="19" s="1"/>
  <c r="X63" i="19"/>
  <c r="Y63" i="19" s="1"/>
  <c r="X64" i="19"/>
  <c r="Y64" i="19" s="1"/>
  <c r="X65" i="19"/>
  <c r="Y65" i="19" s="1"/>
  <c r="X66" i="19"/>
  <c r="Y66" i="19" s="1"/>
  <c r="X67" i="19"/>
  <c r="Y67" i="19" s="1"/>
  <c r="X68" i="19"/>
  <c r="Y68" i="19" s="1"/>
  <c r="X69" i="19"/>
  <c r="Y69" i="19" s="1"/>
  <c r="X70" i="19"/>
  <c r="Y70" i="19" s="1"/>
  <c r="X71" i="19"/>
  <c r="Y71" i="19" s="1"/>
  <c r="X72" i="19"/>
  <c r="Y72" i="19" s="1"/>
  <c r="X73" i="19"/>
  <c r="Y73" i="19" s="1"/>
  <c r="X4" i="19"/>
  <c r="Y4" i="19" s="1"/>
  <c r="Q331" i="2"/>
  <c r="Q321" i="2"/>
  <c r="I228" i="3"/>
  <c r="I227" i="3"/>
  <c r="H228" i="1"/>
  <c r="H227" i="1"/>
  <c r="H1170" i="1"/>
  <c r="Q2" i="20"/>
  <c r="I355" i="3" l="1"/>
  <c r="I1085" i="3"/>
  <c r="I973" i="3"/>
  <c r="I1024" i="3"/>
  <c r="I963" i="3"/>
  <c r="I970" i="3"/>
  <c r="I966" i="3"/>
  <c r="I746" i="3"/>
  <c r="I739" i="3"/>
  <c r="I349" i="3"/>
  <c r="I708" i="3"/>
  <c r="I678" i="3"/>
  <c r="I677" i="3"/>
  <c r="I670" i="3"/>
  <c r="I605" i="3"/>
  <c r="I575" i="3"/>
  <c r="I584" i="3"/>
  <c r="I548" i="3"/>
  <c r="I433" i="3"/>
  <c r="I562" i="3"/>
  <c r="I421" i="3"/>
  <c r="I413" i="3"/>
  <c r="I381" i="3"/>
  <c r="I386" i="3"/>
  <c r="H411" i="1"/>
  <c r="I278" i="3"/>
  <c r="I116" i="3"/>
  <c r="I261" i="3"/>
  <c r="I117" i="3"/>
  <c r="I111" i="3"/>
  <c r="I1108" i="3"/>
  <c r="I65" i="3"/>
  <c r="I50" i="3"/>
  <c r="I58" i="3"/>
  <c r="I783" i="3"/>
  <c r="I55" i="3"/>
  <c r="I16" i="3"/>
  <c r="I315" i="3"/>
  <c r="I44" i="3"/>
  <c r="I43" i="3"/>
  <c r="I27" i="3"/>
  <c r="I25" i="3"/>
  <c r="P506" i="20" l="1"/>
  <c r="P507" i="20"/>
  <c r="O506" i="20"/>
  <c r="O507" i="20"/>
  <c r="Q285" i="20"/>
  <c r="R285" i="20" s="1"/>
  <c r="Q284" i="20"/>
  <c r="R284" i="20" s="1"/>
  <c r="Q323" i="20"/>
  <c r="R323" i="20" s="1"/>
  <c r="Q500" i="20"/>
  <c r="Q499" i="20"/>
  <c r="Q498" i="20"/>
  <c r="Q497" i="20"/>
  <c r="Q496" i="20"/>
  <c r="Q495" i="20"/>
  <c r="R495" i="20" s="1"/>
  <c r="Q494" i="20"/>
  <c r="R494" i="20" s="1"/>
  <c r="Q493" i="20"/>
  <c r="Q492" i="20"/>
  <c r="Q491" i="20"/>
  <c r="Q490" i="20"/>
  <c r="Q489" i="20"/>
  <c r="M489" i="20"/>
  <c r="N489" i="20" s="1"/>
  <c r="O489" i="20" s="1"/>
  <c r="Q488" i="20"/>
  <c r="R488" i="20" s="1"/>
  <c r="Q487" i="20"/>
  <c r="R487" i="20" s="1"/>
  <c r="Q486" i="20"/>
  <c r="R486" i="20" s="1"/>
  <c r="Q485" i="20"/>
  <c r="Q484" i="20"/>
  <c r="Q483" i="20"/>
  <c r="Q482" i="20"/>
  <c r="Y481" i="20"/>
  <c r="Q481" i="20"/>
  <c r="R481" i="20" s="1"/>
  <c r="M481" i="20"/>
  <c r="Q480" i="20"/>
  <c r="R480" i="20" s="1"/>
  <c r="Q479" i="20"/>
  <c r="Q478" i="20"/>
  <c r="Q477" i="20"/>
  <c r="Q476" i="20"/>
  <c r="Q475" i="20"/>
  <c r="Q474" i="20"/>
  <c r="R474" i="20" s="1"/>
  <c r="Q473" i="20"/>
  <c r="R473" i="20" s="1"/>
  <c r="Q472" i="20"/>
  <c r="Q471" i="20"/>
  <c r="Q470" i="20"/>
  <c r="Q469" i="20"/>
  <c r="Q468" i="20"/>
  <c r="R468" i="20" s="1"/>
  <c r="Q467" i="20"/>
  <c r="R467" i="20" s="1"/>
  <c r="M467" i="20"/>
  <c r="N467" i="20" s="1"/>
  <c r="O467" i="20" s="1"/>
  <c r="Q466" i="20"/>
  <c r="Q465" i="20"/>
  <c r="Q464" i="20"/>
  <c r="Q463" i="20"/>
  <c r="Q462" i="20"/>
  <c r="Q504" i="20"/>
  <c r="Q461" i="20"/>
  <c r="R461" i="20" s="1"/>
  <c r="Q460" i="20"/>
  <c r="Q459" i="20"/>
  <c r="R459" i="20" s="1"/>
  <c r="Q505" i="20"/>
  <c r="R505" i="20" s="1"/>
  <c r="Q458" i="20"/>
  <c r="Q457" i="20"/>
  <c r="Q456" i="20"/>
  <c r="Q455" i="20"/>
  <c r="Q454" i="20"/>
  <c r="Q453" i="20"/>
  <c r="R453" i="20" s="1"/>
  <c r="Q452" i="20"/>
  <c r="R452" i="20" s="1"/>
  <c r="Q451" i="20"/>
  <c r="Q77" i="20"/>
  <c r="Q72" i="20"/>
  <c r="Q94" i="20"/>
  <c r="R94" i="20" s="1"/>
  <c r="Q503" i="20"/>
  <c r="R503" i="20" s="1"/>
  <c r="Q402" i="20"/>
  <c r="Q194" i="20"/>
  <c r="Q347" i="20"/>
  <c r="Q332" i="20"/>
  <c r="Q337" i="20"/>
  <c r="R337" i="20" s="1"/>
  <c r="Q501" i="20"/>
  <c r="R501" i="20" s="1"/>
  <c r="Q395" i="20"/>
  <c r="Q352" i="20"/>
  <c r="Q334" i="20"/>
  <c r="Q435" i="20"/>
  <c r="Q419" i="20"/>
  <c r="R419" i="20" s="1"/>
  <c r="Q193" i="20"/>
  <c r="R193" i="20" s="1"/>
  <c r="Q192" i="20"/>
  <c r="Q191" i="20"/>
  <c r="R191" i="20" s="1"/>
  <c r="Q436" i="20"/>
  <c r="Q328" i="20"/>
  <c r="Q299" i="20"/>
  <c r="Q437" i="20"/>
  <c r="R437" i="20" s="1"/>
  <c r="Q438" i="20"/>
  <c r="R438" i="20" s="1"/>
  <c r="Q182" i="20"/>
  <c r="R182" i="20" s="1"/>
  <c r="Q447" i="20"/>
  <c r="R447" i="20" s="1"/>
  <c r="Q326" i="20"/>
  <c r="R326" i="20" s="1"/>
  <c r="Q439" i="20"/>
  <c r="Q434" i="20"/>
  <c r="R434" i="20" s="1"/>
  <c r="Q325" i="20"/>
  <c r="R325" i="20" s="1"/>
  <c r="Q351" i="20"/>
  <c r="R351" i="20" s="1"/>
  <c r="Q229" i="20"/>
  <c r="R229" i="20" s="1"/>
  <c r="Q100" i="20"/>
  <c r="R100" i="20" s="1"/>
  <c r="Q294" i="20"/>
  <c r="R294" i="20" s="1"/>
  <c r="Q188" i="20"/>
  <c r="Q73" i="20"/>
  <c r="R73" i="20" s="1"/>
  <c r="Q75" i="20"/>
  <c r="Q74" i="20"/>
  <c r="R74" i="20" s="1"/>
  <c r="Q418" i="20"/>
  <c r="Q92" i="20"/>
  <c r="R92" i="20" s="1"/>
  <c r="Q89" i="20"/>
  <c r="Q187" i="20"/>
  <c r="Q97" i="20"/>
  <c r="Q85" i="20"/>
  <c r="Q91" i="20"/>
  <c r="R91" i="20" s="1"/>
  <c r="Q390" i="20"/>
  <c r="R390" i="20" s="1"/>
  <c r="Q90" i="20"/>
  <c r="R90" i="20" s="1"/>
  <c r="Q88" i="20"/>
  <c r="Q93" i="20"/>
  <c r="R93" i="20" s="1"/>
  <c r="Q95" i="20"/>
  <c r="R95" i="20" s="1"/>
  <c r="Q215" i="20"/>
  <c r="Q83" i="20"/>
  <c r="Q86" i="20"/>
  <c r="R86" i="20" s="1"/>
  <c r="Q416" i="20"/>
  <c r="R416" i="20" s="1"/>
  <c r="Q365" i="20"/>
  <c r="Q446" i="20"/>
  <c r="R446" i="20" s="1"/>
  <c r="Q286" i="20"/>
  <c r="R286" i="20" s="1"/>
  <c r="Q96" i="20"/>
  <c r="R96" i="20" s="1"/>
  <c r="Q67" i="20"/>
  <c r="R67" i="20" s="1"/>
  <c r="Q288" i="20"/>
  <c r="R288" i="20" s="1"/>
  <c r="Q287" i="20"/>
  <c r="Q71" i="20"/>
  <c r="Q84" i="20"/>
  <c r="R84" i="20" s="1"/>
  <c r="Q398" i="20"/>
  <c r="Q87" i="20"/>
  <c r="Q183" i="20"/>
  <c r="Q66" i="20"/>
  <c r="R66" i="20" s="1"/>
  <c r="Q290" i="20"/>
  <c r="R290" i="20" s="1"/>
  <c r="Q189" i="20"/>
  <c r="Q64" i="20"/>
  <c r="R64" i="20" s="1"/>
  <c r="Q303" i="20"/>
  <c r="Q380" i="20"/>
  <c r="Q421" i="20"/>
  <c r="Q377" i="20"/>
  <c r="R377" i="20" s="1"/>
  <c r="Q65" i="20"/>
  <c r="Q321" i="20"/>
  <c r="R321" i="20" s="1"/>
  <c r="Q233" i="20"/>
  <c r="R233" i="20" s="1"/>
  <c r="Q368" i="20"/>
  <c r="R368" i="20" s="1"/>
  <c r="Q336" i="20"/>
  <c r="Q389" i="20"/>
  <c r="Q422" i="20"/>
  <c r="Q296" i="20"/>
  <c r="R296" i="20" s="1"/>
  <c r="Q372" i="20"/>
  <c r="Q99" i="20"/>
  <c r="R99" i="20" s="1"/>
  <c r="Q349" i="20"/>
  <c r="R349" i="20" s="1"/>
  <c r="Q440" i="20"/>
  <c r="R440" i="20" s="1"/>
  <c r="Q443" i="20"/>
  <c r="R443" i="20" s="1"/>
  <c r="Q364" i="20"/>
  <c r="R364" i="20" s="1"/>
  <c r="Q363" i="20"/>
  <c r="R363" i="20" s="1"/>
  <c r="Q362" i="20"/>
  <c r="R362" i="20" s="1"/>
  <c r="Q361" i="20"/>
  <c r="Q360" i="20"/>
  <c r="R360" i="20" s="1"/>
  <c r="Q359" i="20"/>
  <c r="R359" i="20" s="1"/>
  <c r="Q358" i="20"/>
  <c r="R358" i="20" s="1"/>
  <c r="Q357" i="20"/>
  <c r="Q356" i="20"/>
  <c r="R356" i="20" s="1"/>
  <c r="Q355" i="20"/>
  <c r="Q354" i="20"/>
  <c r="R354" i="20" s="1"/>
  <c r="Q353" i="20"/>
  <c r="Q428" i="20"/>
  <c r="Q307" i="20"/>
  <c r="R307" i="20" s="1"/>
  <c r="Q391" i="20"/>
  <c r="R391" i="20" s="1"/>
  <c r="Q330" i="20"/>
  <c r="R330" i="20" s="1"/>
  <c r="Q329" i="20"/>
  <c r="R329" i="20" s="1"/>
  <c r="Q81" i="20"/>
  <c r="R81" i="20" s="1"/>
  <c r="Q431" i="20"/>
  <c r="Q404" i="20"/>
  <c r="R404" i="20" s="1"/>
  <c r="Q417" i="20"/>
  <c r="R417" i="20" s="1"/>
  <c r="Q399" i="20"/>
  <c r="Q441" i="20"/>
  <c r="Q426" i="20"/>
  <c r="Q400" i="20"/>
  <c r="Q429" i="20"/>
  <c r="R429" i="20" s="1"/>
  <c r="Q423" i="20"/>
  <c r="R423" i="20" s="1"/>
  <c r="Q374" i="20"/>
  <c r="Q70" i="20"/>
  <c r="R70" i="20" s="1"/>
  <c r="Q293" i="20"/>
  <c r="Q300" i="20"/>
  <c r="R300" i="20" s="1"/>
  <c r="Q427" i="20"/>
  <c r="R427" i="20" s="1"/>
  <c r="Q396" i="20"/>
  <c r="R396" i="20" s="1"/>
  <c r="Q310" i="20"/>
  <c r="R310" i="20" s="1"/>
  <c r="Q340" i="20"/>
  <c r="Q331" i="20"/>
  <c r="R331" i="20" s="1"/>
  <c r="Q304" i="20"/>
  <c r="R304" i="20" s="1"/>
  <c r="Q335" i="20"/>
  <c r="R335" i="20" s="1"/>
  <c r="Q297" i="20"/>
  <c r="R297" i="20" s="1"/>
  <c r="Q348" i="20"/>
  <c r="R348" i="20" s="1"/>
  <c r="Q78" i="20"/>
  <c r="R78" i="20" s="1"/>
  <c r="Q339" i="20"/>
  <c r="R339" i="20" s="1"/>
  <c r="Q343" i="20"/>
  <c r="R343" i="20" s="1"/>
  <c r="Q338" i="20"/>
  <c r="Q342" i="20"/>
  <c r="R342" i="20" s="1"/>
  <c r="Q82" i="20"/>
  <c r="R82" i="20" s="1"/>
  <c r="Q324" i="20"/>
  <c r="R324" i="20" s="1"/>
  <c r="Q333" i="20"/>
  <c r="Q433" i="20"/>
  <c r="R433" i="20" s="1"/>
  <c r="Q309" i="20"/>
  <c r="R309" i="20" s="1"/>
  <c r="Q63" i="20"/>
  <c r="R63" i="20" s="1"/>
  <c r="Q409" i="20"/>
  <c r="Q403" i="20"/>
  <c r="R403" i="20" s="1"/>
  <c r="Q424" i="20"/>
  <c r="Q407" i="20"/>
  <c r="Q341" i="20"/>
  <c r="R341" i="20" s="1"/>
  <c r="Q401" i="20"/>
  <c r="Q376" i="20"/>
  <c r="R376" i="20" s="1"/>
  <c r="Q383" i="20"/>
  <c r="R383" i="20" s="1"/>
  <c r="Q444" i="20"/>
  <c r="Q320" i="20"/>
  <c r="R320" i="20" s="1"/>
  <c r="Q405" i="20"/>
  <c r="R405" i="20" s="1"/>
  <c r="Q318" i="20"/>
  <c r="Q317" i="20"/>
  <c r="R317" i="20" s="1"/>
  <c r="Q316" i="20"/>
  <c r="Q292" i="20"/>
  <c r="Q388" i="20"/>
  <c r="Q101" i="20"/>
  <c r="R101" i="20" s="1"/>
  <c r="Q308" i="20"/>
  <c r="Q306" i="20"/>
  <c r="Q305" i="20"/>
  <c r="Q315" i="20"/>
  <c r="M315" i="20"/>
  <c r="N315" i="20" s="1"/>
  <c r="O315" i="20" s="1"/>
  <c r="Q295" i="20"/>
  <c r="R295" i="20" s="1"/>
  <c r="Q302" i="20"/>
  <c r="Q502" i="20"/>
  <c r="Q319" i="20"/>
  <c r="Q301" i="20"/>
  <c r="R301" i="20" s="1"/>
  <c r="Q314" i="20"/>
  <c r="Q313" i="20"/>
  <c r="R313" i="20" s="1"/>
  <c r="Q312" i="20"/>
  <c r="Q397" i="20"/>
  <c r="Q387" i="20"/>
  <c r="Q420" i="20"/>
  <c r="R420" i="20" s="1"/>
  <c r="Q283" i="20"/>
  <c r="Q282" i="20"/>
  <c r="R282" i="20" s="1"/>
  <c r="Q281" i="20"/>
  <c r="R281" i="20" s="1"/>
  <c r="Q280" i="20"/>
  <c r="Q279" i="20"/>
  <c r="Q278" i="20"/>
  <c r="R278" i="20" s="1"/>
  <c r="Q277" i="20"/>
  <c r="R277" i="20" s="1"/>
  <c r="Q276" i="20"/>
  <c r="Q275" i="20"/>
  <c r="R275" i="20" s="1"/>
  <c r="Q274" i="20"/>
  <c r="M274" i="20"/>
  <c r="N274" i="20" s="1"/>
  <c r="O274" i="20" s="1"/>
  <c r="Q273" i="20"/>
  <c r="R273" i="20" s="1"/>
  <c r="Q272" i="20"/>
  <c r="Q271" i="20"/>
  <c r="Q270" i="20"/>
  <c r="R270" i="20" s="1"/>
  <c r="Q269" i="20"/>
  <c r="R269" i="20" s="1"/>
  <c r="Q268" i="20"/>
  <c r="R268" i="20" s="1"/>
  <c r="Q267" i="20"/>
  <c r="R267" i="20" s="1"/>
  <c r="Q266" i="20"/>
  <c r="Q265" i="20"/>
  <c r="R265" i="20" s="1"/>
  <c r="Q264" i="20"/>
  <c r="Q263" i="20"/>
  <c r="R263" i="20" s="1"/>
  <c r="Q262" i="20"/>
  <c r="M262" i="20"/>
  <c r="N262" i="20" s="1"/>
  <c r="Q261" i="20"/>
  <c r="Q260" i="20"/>
  <c r="R260" i="20" s="1"/>
  <c r="Q259" i="20"/>
  <c r="Q258" i="20"/>
  <c r="Q257" i="20"/>
  <c r="Q256" i="20"/>
  <c r="R256" i="20" s="1"/>
  <c r="Q255" i="20"/>
  <c r="R255" i="20" s="1"/>
  <c r="Q254" i="20"/>
  <c r="Q253" i="20"/>
  <c r="Q252" i="20"/>
  <c r="Q251" i="20"/>
  <c r="Q250" i="20"/>
  <c r="R250" i="20" s="1"/>
  <c r="Q249" i="20"/>
  <c r="R249" i="20" s="1"/>
  <c r="Q248" i="20"/>
  <c r="Q247" i="20"/>
  <c r="M247" i="20"/>
  <c r="N247" i="20" s="1"/>
  <c r="O247" i="20" s="1"/>
  <c r="Q246" i="20"/>
  <c r="R246" i="20" s="1"/>
  <c r="Q245" i="20"/>
  <c r="R245" i="20" s="1"/>
  <c r="Q244" i="20"/>
  <c r="R244" i="20" s="1"/>
  <c r="Q243" i="20"/>
  <c r="Q242" i="20"/>
  <c r="R242" i="20" s="1"/>
  <c r="Q241" i="20"/>
  <c r="R241" i="20" s="1"/>
  <c r="Q240" i="20"/>
  <c r="Q239" i="20"/>
  <c r="Q238" i="20"/>
  <c r="Q237" i="20"/>
  <c r="R237" i="20" s="1"/>
  <c r="Q236" i="20"/>
  <c r="M236" i="20"/>
  <c r="N236" i="20" s="1"/>
  <c r="O236" i="20" s="1"/>
  <c r="Q235" i="20"/>
  <c r="M235" i="20"/>
  <c r="N235" i="20" s="1"/>
  <c r="O235" i="20" s="1"/>
  <c r="Q234" i="20"/>
  <c r="Q350" i="20"/>
  <c r="Q232" i="20"/>
  <c r="Q231" i="20"/>
  <c r="R231" i="20" s="1"/>
  <c r="Q230" i="20"/>
  <c r="R230" i="20" s="1"/>
  <c r="Q322" i="20"/>
  <c r="Q228" i="20"/>
  <c r="R228" i="20" s="1"/>
  <c r="Q227" i="20"/>
  <c r="M227" i="20"/>
  <c r="N227" i="20" s="1"/>
  <c r="Q226" i="20"/>
  <c r="Q225" i="20"/>
  <c r="Q224" i="20"/>
  <c r="Q223" i="20"/>
  <c r="R223" i="20" s="1"/>
  <c r="M223" i="20"/>
  <c r="N223" i="20" s="1"/>
  <c r="O223" i="20" s="1"/>
  <c r="Q222" i="20"/>
  <c r="Q221" i="20"/>
  <c r="R221" i="20" s="1"/>
  <c r="M221" i="20"/>
  <c r="Q220" i="20"/>
  <c r="Q219" i="20"/>
  <c r="Q218" i="20"/>
  <c r="R218" i="20" s="1"/>
  <c r="Q217" i="20"/>
  <c r="Q216" i="20"/>
  <c r="Q449" i="20"/>
  <c r="R449" i="20" s="1"/>
  <c r="Q507" i="20"/>
  <c r="M507" i="20"/>
  <c r="Q506" i="20"/>
  <c r="Q214" i="20"/>
  <c r="R214" i="20" s="1"/>
  <c r="Q213" i="20"/>
  <c r="R213" i="20" s="1"/>
  <c r="Q212" i="20"/>
  <c r="Q211" i="20"/>
  <c r="R211" i="20" s="1"/>
  <c r="Q210" i="20"/>
  <c r="R210" i="20" s="1"/>
  <c r="Q209" i="20"/>
  <c r="R209" i="20" s="1"/>
  <c r="Q208" i="20"/>
  <c r="Q207" i="20"/>
  <c r="Q206" i="20"/>
  <c r="Q205" i="20"/>
  <c r="Q204" i="20"/>
  <c r="Q203" i="20"/>
  <c r="Q202" i="20"/>
  <c r="Q201" i="20"/>
  <c r="R201" i="20" s="1"/>
  <c r="Q200" i="20"/>
  <c r="R200" i="20" s="1"/>
  <c r="Q199" i="20"/>
  <c r="R199" i="20" s="1"/>
  <c r="Q198" i="20"/>
  <c r="R198" i="20" s="1"/>
  <c r="Q197" i="20"/>
  <c r="Q196" i="20"/>
  <c r="R196" i="20" s="1"/>
  <c r="Q195" i="20"/>
  <c r="R195" i="20" s="1"/>
  <c r="Q344" i="20"/>
  <c r="R344" i="20" s="1"/>
  <c r="Q345" i="20"/>
  <c r="R345" i="20" s="1"/>
  <c r="Q410" i="20"/>
  <c r="R410" i="20" s="1"/>
  <c r="Q413" i="20"/>
  <c r="R413" i="20" s="1"/>
  <c r="Q79" i="20"/>
  <c r="R79" i="20" s="1"/>
  <c r="Q450" i="20"/>
  <c r="R450" i="20" s="1"/>
  <c r="Q430" i="20"/>
  <c r="R430" i="20" s="1"/>
  <c r="Q311" i="20"/>
  <c r="R311" i="20" s="1"/>
  <c r="Q411" i="20"/>
  <c r="R411" i="20" s="1"/>
  <c r="Q448" i="20"/>
  <c r="R448" i="20" s="1"/>
  <c r="Q412" i="20"/>
  <c r="Q181" i="20"/>
  <c r="Q180" i="20"/>
  <c r="R180" i="20" s="1"/>
  <c r="Q179" i="20"/>
  <c r="Q178" i="20"/>
  <c r="Q177" i="20"/>
  <c r="R177" i="20" s="1"/>
  <c r="Q176" i="20"/>
  <c r="R176" i="20" s="1"/>
  <c r="Q175" i="20"/>
  <c r="Q174" i="20"/>
  <c r="Q173" i="20"/>
  <c r="R173" i="20" s="1"/>
  <c r="Q172" i="20"/>
  <c r="Q171" i="20"/>
  <c r="Q170" i="20"/>
  <c r="Q169" i="20"/>
  <c r="Q168" i="20"/>
  <c r="R168" i="20" s="1"/>
  <c r="Q167" i="20"/>
  <c r="Q166" i="20"/>
  <c r="Q165" i="20"/>
  <c r="Q164" i="20"/>
  <c r="R164" i="20" s="1"/>
  <c r="Q163" i="20"/>
  <c r="M163" i="20"/>
  <c r="N163" i="20" s="1"/>
  <c r="O163" i="20" s="1"/>
  <c r="Q162" i="20"/>
  <c r="Q161" i="20"/>
  <c r="R161" i="20" s="1"/>
  <c r="Q160" i="20"/>
  <c r="R160" i="20" s="1"/>
  <c r="Q159" i="20"/>
  <c r="Q158" i="20"/>
  <c r="Q157" i="20"/>
  <c r="R157" i="20" s="1"/>
  <c r="Q156" i="20"/>
  <c r="R156" i="20" s="1"/>
  <c r="Q155" i="20"/>
  <c r="Q154" i="20"/>
  <c r="R154" i="20" s="1"/>
  <c r="Q153" i="20"/>
  <c r="R153" i="20" s="1"/>
  <c r="Q152" i="20"/>
  <c r="Q151" i="20"/>
  <c r="Q150" i="20"/>
  <c r="Q149" i="20"/>
  <c r="Q148" i="20"/>
  <c r="R148" i="20" s="1"/>
  <c r="Q147" i="20"/>
  <c r="R147" i="20" s="1"/>
  <c r="Q146" i="20"/>
  <c r="R146" i="20" s="1"/>
  <c r="Q145" i="20"/>
  <c r="R145" i="20" s="1"/>
  <c r="Q144" i="20"/>
  <c r="Q143" i="20"/>
  <c r="R143" i="20" s="1"/>
  <c r="Q142" i="20"/>
  <c r="Q141" i="20"/>
  <c r="R141" i="20" s="1"/>
  <c r="Q140" i="20"/>
  <c r="Q139" i="20"/>
  <c r="R139" i="20" s="1"/>
  <c r="Q138" i="20"/>
  <c r="Q137" i="20"/>
  <c r="Q136" i="20"/>
  <c r="Q135" i="20"/>
  <c r="Q134" i="20"/>
  <c r="R134" i="20" s="1"/>
  <c r="Q133" i="20"/>
  <c r="Q132" i="20"/>
  <c r="R132" i="20" s="1"/>
  <c r="Q131" i="20"/>
  <c r="R131" i="20" s="1"/>
  <c r="Q130" i="20"/>
  <c r="Q129" i="20"/>
  <c r="R129" i="20" s="1"/>
  <c r="Q128" i="20"/>
  <c r="Q127" i="20"/>
  <c r="R127" i="20" s="1"/>
  <c r="Q126" i="20"/>
  <c r="Q125" i="20"/>
  <c r="R125" i="20" s="1"/>
  <c r="Q124" i="20"/>
  <c r="R124" i="20" s="1"/>
  <c r="Q123" i="20"/>
  <c r="Q122" i="20"/>
  <c r="R122" i="20" s="1"/>
  <c r="Q121" i="20"/>
  <c r="Q120" i="20"/>
  <c r="R120" i="20" s="1"/>
  <c r="Q119" i="20"/>
  <c r="R119" i="20" s="1"/>
  <c r="Q118" i="20"/>
  <c r="R118" i="20" s="1"/>
  <c r="Q117" i="20"/>
  <c r="R117" i="20" s="1"/>
  <c r="Q116" i="20"/>
  <c r="M116" i="20"/>
  <c r="N116" i="20" s="1"/>
  <c r="P116" i="20" s="1"/>
  <c r="Q115" i="20"/>
  <c r="R115" i="20" s="1"/>
  <c r="Q114" i="20"/>
  <c r="R114" i="20" s="1"/>
  <c r="Q113" i="20"/>
  <c r="R113" i="20" s="1"/>
  <c r="Q112" i="20"/>
  <c r="Q111" i="20"/>
  <c r="R111" i="20" s="1"/>
  <c r="Q110" i="20"/>
  <c r="R110" i="20" s="1"/>
  <c r="M110" i="20"/>
  <c r="N110" i="20" s="1"/>
  <c r="O110" i="20" s="1"/>
  <c r="Q109" i="20"/>
  <c r="Q108" i="20"/>
  <c r="R108" i="20" s="1"/>
  <c r="Q107" i="20"/>
  <c r="Q106" i="20"/>
  <c r="R106" i="20" s="1"/>
  <c r="M106" i="20"/>
  <c r="N106" i="20" s="1"/>
  <c r="O106" i="20" s="1"/>
  <c r="Y105" i="20"/>
  <c r="Q105" i="20"/>
  <c r="R105" i="20" s="1"/>
  <c r="M105" i="20"/>
  <c r="Q104" i="20"/>
  <c r="R104" i="20" s="1"/>
  <c r="M104" i="20"/>
  <c r="Q103" i="20"/>
  <c r="R103" i="20" s="1"/>
  <c r="Q102" i="20"/>
  <c r="Q393" i="20"/>
  <c r="Q445" i="20"/>
  <c r="R445" i="20" s="1"/>
  <c r="Q394" i="20"/>
  <c r="R394" i="20" s="1"/>
  <c r="Q186" i="20"/>
  <c r="R186" i="20" s="1"/>
  <c r="Q381" i="20"/>
  <c r="R381" i="20" s="1"/>
  <c r="Q370" i="20"/>
  <c r="Q442" i="20"/>
  <c r="Q415" i="20"/>
  <c r="R415" i="20" s="1"/>
  <c r="Q382" i="20"/>
  <c r="Q378" i="20"/>
  <c r="R378" i="20" s="1"/>
  <c r="Q425" i="20"/>
  <c r="R425" i="20" s="1"/>
  <c r="Q392" i="20"/>
  <c r="Q291" i="20"/>
  <c r="R291" i="20" s="1"/>
  <c r="Q289" i="20"/>
  <c r="Q384" i="20"/>
  <c r="Q346" i="20"/>
  <c r="R346" i="20" s="1"/>
  <c r="Q184" i="20"/>
  <c r="R184" i="20" s="1"/>
  <c r="Q185" i="20"/>
  <c r="R185" i="20" s="1"/>
  <c r="Q414" i="20"/>
  <c r="Q327" i="20"/>
  <c r="R327" i="20" s="1"/>
  <c r="Q408" i="20"/>
  <c r="Q371" i="20"/>
  <c r="Q76" i="20"/>
  <c r="Q373" i="20"/>
  <c r="R373" i="20" s="1"/>
  <c r="Q61" i="20"/>
  <c r="Q379" i="20"/>
  <c r="Q68" i="20"/>
  <c r="R68" i="20" s="1"/>
  <c r="Q385" i="20"/>
  <c r="Q62" i="20"/>
  <c r="R62" i="20" s="1"/>
  <c r="Q367" i="20"/>
  <c r="Q80" i="20"/>
  <c r="Q375" i="20"/>
  <c r="Q190" i="20"/>
  <c r="Q69" i="20"/>
  <c r="Q369" i="20"/>
  <c r="Q432" i="20"/>
  <c r="Q366" i="20"/>
  <c r="Q406" i="20"/>
  <c r="R406" i="20" s="1"/>
  <c r="Q98" i="20"/>
  <c r="Q386" i="20"/>
  <c r="R386" i="20" s="1"/>
  <c r="Q298" i="20"/>
  <c r="Q60" i="20"/>
  <c r="Q59" i="20"/>
  <c r="Q58" i="20"/>
  <c r="R58" i="20" s="1"/>
  <c r="Q57" i="20"/>
  <c r="R57" i="20" s="1"/>
  <c r="Q56" i="20"/>
  <c r="Q55" i="20"/>
  <c r="Q54" i="20"/>
  <c r="Q53" i="20"/>
  <c r="Q52" i="20"/>
  <c r="Q51" i="20"/>
  <c r="Q50" i="20"/>
  <c r="R50" i="20" s="1"/>
  <c r="Q49" i="20"/>
  <c r="R49" i="20" s="1"/>
  <c r="Q48" i="20"/>
  <c r="R48" i="20" s="1"/>
  <c r="M48" i="20"/>
  <c r="N48" i="20" s="1"/>
  <c r="P48" i="20" s="1"/>
  <c r="Q47" i="20"/>
  <c r="R47" i="20" s="1"/>
  <c r="Q46" i="20"/>
  <c r="Q45" i="20"/>
  <c r="Q44" i="20"/>
  <c r="Q43" i="20"/>
  <c r="R43" i="20" s="1"/>
  <c r="Q42" i="20"/>
  <c r="R42" i="20" s="1"/>
  <c r="Q41" i="20"/>
  <c r="R41" i="20" s="1"/>
  <c r="Q40" i="20"/>
  <c r="Q39" i="20"/>
  <c r="R39" i="20" s="1"/>
  <c r="Q38" i="20"/>
  <c r="Q37" i="20"/>
  <c r="R37" i="20" s="1"/>
  <c r="Q36" i="20"/>
  <c r="R36" i="20" s="1"/>
  <c r="Q35" i="20"/>
  <c r="R35" i="20" s="1"/>
  <c r="Q34" i="20"/>
  <c r="Q33" i="20"/>
  <c r="R33" i="20" s="1"/>
  <c r="Q32" i="20"/>
  <c r="R32" i="20" s="1"/>
  <c r="Q31" i="20"/>
  <c r="Q30" i="20"/>
  <c r="R30" i="20" s="1"/>
  <c r="Q29" i="20"/>
  <c r="R29" i="20" s="1"/>
  <c r="Q28" i="20"/>
  <c r="R28" i="20" s="1"/>
  <c r="Q27" i="20"/>
  <c r="Q26" i="20"/>
  <c r="Q25" i="20"/>
  <c r="Q24" i="20"/>
  <c r="Q23" i="20"/>
  <c r="Q22" i="20"/>
  <c r="R22" i="20" s="1"/>
  <c r="Q21" i="20"/>
  <c r="R21" i="20" s="1"/>
  <c r="Q20" i="20"/>
  <c r="Q19" i="20"/>
  <c r="R19" i="20" s="1"/>
  <c r="Q18" i="20"/>
  <c r="R18" i="20" s="1"/>
  <c r="Q17" i="20"/>
  <c r="Q16" i="20"/>
  <c r="R16" i="20" s="1"/>
  <c r="Q15" i="20"/>
  <c r="R15" i="20" s="1"/>
  <c r="Q14" i="20"/>
  <c r="R14" i="20" s="1"/>
  <c r="Q13" i="20"/>
  <c r="Q12" i="20"/>
  <c r="R12" i="20" s="1"/>
  <c r="Q11" i="20"/>
  <c r="Q10" i="20"/>
  <c r="R10" i="20" s="1"/>
  <c r="Q9" i="20"/>
  <c r="Q8" i="20"/>
  <c r="R8" i="20" s="1"/>
  <c r="Q7" i="20"/>
  <c r="R7" i="20" s="1"/>
  <c r="Q6" i="20"/>
  <c r="Q5" i="20"/>
  <c r="R5" i="20" s="1"/>
  <c r="Q4" i="20"/>
  <c r="R4" i="20" s="1"/>
  <c r="Q3" i="20"/>
  <c r="R2" i="20"/>
  <c r="S221" i="20" l="1"/>
  <c r="S104" i="20"/>
  <c r="R150" i="20"/>
  <c r="R170" i="20"/>
  <c r="P489" i="20"/>
  <c r="R454" i="20"/>
  <c r="S489" i="20"/>
  <c r="P467" i="20"/>
  <c r="P227" i="20"/>
  <c r="O227" i="20"/>
  <c r="O262" i="20"/>
  <c r="P262" i="20"/>
  <c r="P315" i="20"/>
  <c r="S227" i="20"/>
  <c r="S481" i="20"/>
  <c r="X481" i="20" s="1"/>
  <c r="O48" i="20"/>
  <c r="P223" i="20"/>
  <c r="O116" i="20"/>
  <c r="P236" i="20"/>
  <c r="R472" i="20"/>
  <c r="R475" i="20"/>
  <c r="P235" i="20"/>
  <c r="P110" i="20"/>
  <c r="R259" i="20"/>
  <c r="S262" i="20"/>
  <c r="P247" i="20"/>
  <c r="P274" i="20"/>
  <c r="P163" i="20"/>
  <c r="P106" i="20"/>
  <c r="R88" i="20"/>
  <c r="R234" i="20"/>
  <c r="R128" i="20"/>
  <c r="R489" i="20"/>
  <c r="S507" i="20"/>
  <c r="R197" i="20"/>
  <c r="R502" i="20"/>
  <c r="R225" i="20"/>
  <c r="S48" i="20"/>
  <c r="R121" i="20"/>
  <c r="R56" i="20"/>
  <c r="R432" i="20"/>
  <c r="R219" i="20"/>
  <c r="R166" i="20"/>
  <c r="R59" i="20"/>
  <c r="R226" i="20"/>
  <c r="R9" i="20"/>
  <c r="R26" i="20"/>
  <c r="R140" i="20"/>
  <c r="R243" i="20"/>
  <c r="N104" i="20"/>
  <c r="R23" i="20"/>
  <c r="R384" i="20"/>
  <c r="R136" i="20"/>
  <c r="R152" i="20"/>
  <c r="R138" i="20"/>
  <c r="R80" i="20"/>
  <c r="S223" i="20"/>
  <c r="R98" i="20"/>
  <c r="R61" i="20"/>
  <c r="R44" i="20"/>
  <c r="S467" i="20"/>
  <c r="R89" i="20"/>
  <c r="R424" i="20"/>
  <c r="R51" i="20"/>
  <c r="R181" i="20"/>
  <c r="N221" i="20"/>
  <c r="R189" i="20"/>
  <c r="R183" i="20"/>
  <c r="R192" i="20"/>
  <c r="R298" i="20"/>
  <c r="R367" i="20"/>
  <c r="R174" i="20"/>
  <c r="R388" i="20"/>
  <c r="R395" i="20"/>
  <c r="R206" i="20"/>
  <c r="R506" i="20"/>
  <c r="R220" i="20"/>
  <c r="R266" i="20"/>
  <c r="R466" i="20"/>
  <c r="R69" i="20"/>
  <c r="S105" i="20"/>
  <c r="X105" i="20" s="1"/>
  <c r="R112" i="20"/>
  <c r="R248" i="20"/>
  <c r="R252" i="20"/>
  <c r="R305" i="20"/>
  <c r="R336" i="20"/>
  <c r="R251" i="20"/>
  <c r="R479" i="20"/>
  <c r="R493" i="20"/>
  <c r="R496" i="20"/>
  <c r="R239" i="20"/>
  <c r="R258" i="20"/>
  <c r="R315" i="20"/>
  <c r="S315" i="20"/>
  <c r="R409" i="20"/>
  <c r="R431" i="20"/>
  <c r="R372" i="20"/>
  <c r="R194" i="20"/>
  <c r="R352" i="20"/>
  <c r="R465" i="20"/>
  <c r="R482" i="20"/>
  <c r="R319" i="20"/>
  <c r="R333" i="20"/>
  <c r="R401" i="20"/>
  <c r="R85" i="20"/>
  <c r="R499" i="20"/>
  <c r="R334" i="20"/>
  <c r="R46" i="20"/>
  <c r="R102" i="20"/>
  <c r="R151" i="20"/>
  <c r="R165" i="20"/>
  <c r="R208" i="20"/>
  <c r="R235" i="20"/>
  <c r="S235" i="20"/>
  <c r="S236" i="20"/>
  <c r="R236" i="20"/>
  <c r="R238" i="20"/>
  <c r="R6" i="20"/>
  <c r="R13" i="20"/>
  <c r="R20" i="20"/>
  <c r="R27" i="20"/>
  <c r="R34" i="20"/>
  <c r="R52" i="20"/>
  <c r="R414" i="20"/>
  <c r="R382" i="20"/>
  <c r="R109" i="20"/>
  <c r="R133" i="20"/>
  <c r="R167" i="20"/>
  <c r="R412" i="20"/>
  <c r="R212" i="20"/>
  <c r="R224" i="20"/>
  <c r="R289" i="20"/>
  <c r="S110" i="20"/>
  <c r="R142" i="20"/>
  <c r="R169" i="20"/>
  <c r="R216" i="20"/>
  <c r="R126" i="20"/>
  <c r="R135" i="20"/>
  <c r="R3" i="20"/>
  <c r="R17" i="20"/>
  <c r="R31" i="20"/>
  <c r="R38" i="20"/>
  <c r="R53" i="20"/>
  <c r="R54" i="20"/>
  <c r="R190" i="20"/>
  <c r="R76" i="20"/>
  <c r="N105" i="20"/>
  <c r="R155" i="20"/>
  <c r="R172" i="20"/>
  <c r="R507" i="20"/>
  <c r="R24" i="20"/>
  <c r="R385" i="20"/>
  <c r="R144" i="20"/>
  <c r="R171" i="20"/>
  <c r="R257" i="20"/>
  <c r="R369" i="20"/>
  <c r="R392" i="20"/>
  <c r="R11" i="20"/>
  <c r="R25" i="20"/>
  <c r="R366" i="20"/>
  <c r="R40" i="20"/>
  <c r="R55" i="20"/>
  <c r="R375" i="20"/>
  <c r="R371" i="20"/>
  <c r="R442" i="20"/>
  <c r="R370" i="20"/>
  <c r="S106" i="20"/>
  <c r="R107" i="20"/>
  <c r="R137" i="20"/>
  <c r="R158" i="20"/>
  <c r="R159" i="20"/>
  <c r="R175" i="20"/>
  <c r="R322" i="20"/>
  <c r="R202" i="20"/>
  <c r="R312" i="20"/>
  <c r="R60" i="20"/>
  <c r="R45" i="20"/>
  <c r="R379" i="20"/>
  <c r="R393" i="20"/>
  <c r="R130" i="20"/>
  <c r="R149" i="20"/>
  <c r="R203" i="20"/>
  <c r="R387" i="20"/>
  <c r="R397" i="20"/>
  <c r="S116" i="20"/>
  <c r="R116" i="20"/>
  <c r="R408" i="20"/>
  <c r="R162" i="20"/>
  <c r="R178" i="20"/>
  <c r="R204" i="20"/>
  <c r="R280" i="20"/>
  <c r="R123" i="20"/>
  <c r="S163" i="20"/>
  <c r="R163" i="20"/>
  <c r="R179" i="20"/>
  <c r="R205" i="20"/>
  <c r="R207" i="20"/>
  <c r="R272" i="20"/>
  <c r="R276" i="20"/>
  <c r="R306" i="20"/>
  <c r="R308" i="20"/>
  <c r="R240" i="20"/>
  <c r="R426" i="20"/>
  <c r="R262" i="20"/>
  <c r="R400" i="20"/>
  <c r="S247" i="20"/>
  <c r="R264" i="20"/>
  <c r="R217" i="20"/>
  <c r="R222" i="20"/>
  <c r="R227" i="20"/>
  <c r="R232" i="20"/>
  <c r="R253" i="20"/>
  <c r="R271" i="20"/>
  <c r="R279" i="20"/>
  <c r="R444" i="20"/>
  <c r="R422" i="20"/>
  <c r="R314" i="20"/>
  <c r="R292" i="20"/>
  <c r="R316" i="20"/>
  <c r="R350" i="20"/>
  <c r="R353" i="20"/>
  <c r="R302" i="20"/>
  <c r="R407" i="20"/>
  <c r="R428" i="20"/>
  <c r="R283" i="20"/>
  <c r="R274" i="20"/>
  <c r="S274" i="20"/>
  <c r="R318" i="20"/>
  <c r="R441" i="20"/>
  <c r="R389" i="20"/>
  <c r="R303" i="20"/>
  <c r="R338" i="20"/>
  <c r="R355" i="20"/>
  <c r="R421" i="20"/>
  <c r="R247" i="20"/>
  <c r="R254" i="20"/>
  <c r="R261" i="20"/>
  <c r="R293" i="20"/>
  <c r="R357" i="20"/>
  <c r="R399" i="20"/>
  <c r="R398" i="20"/>
  <c r="R340" i="20"/>
  <c r="R374" i="20"/>
  <c r="R361" i="20"/>
  <c r="R418" i="20"/>
  <c r="R439" i="20"/>
  <c r="R299" i="20"/>
  <c r="R328" i="20"/>
  <c r="R380" i="20"/>
  <c r="R71" i="20"/>
  <c r="R83" i="20"/>
  <c r="R97" i="20"/>
  <c r="R436" i="20"/>
  <c r="R187" i="20"/>
  <c r="R75" i="20"/>
  <c r="R347" i="20"/>
  <c r="R451" i="20"/>
  <c r="R287" i="20"/>
  <c r="R215" i="20"/>
  <c r="R65" i="20"/>
  <c r="R87" i="20"/>
  <c r="R365" i="20"/>
  <c r="R188" i="20"/>
  <c r="R435" i="20"/>
  <c r="R332" i="20"/>
  <c r="R72" i="20"/>
  <c r="R456" i="20"/>
  <c r="R463" i="20"/>
  <c r="R470" i="20"/>
  <c r="R477" i="20"/>
  <c r="N481" i="20"/>
  <c r="R484" i="20"/>
  <c r="R491" i="20"/>
  <c r="R498" i="20"/>
  <c r="R402" i="20"/>
  <c r="R77" i="20"/>
  <c r="R457" i="20"/>
  <c r="R464" i="20"/>
  <c r="R471" i="20"/>
  <c r="R478" i="20"/>
  <c r="R485" i="20"/>
  <c r="R492" i="20"/>
  <c r="R458" i="20"/>
  <c r="R500" i="20"/>
  <c r="R460" i="20"/>
  <c r="R455" i="20"/>
  <c r="R504" i="20"/>
  <c r="R462" i="20"/>
  <c r="R469" i="20"/>
  <c r="R476" i="20"/>
  <c r="R483" i="20"/>
  <c r="R490" i="20"/>
  <c r="R497" i="20"/>
  <c r="P105" i="20" l="1"/>
  <c r="O105" i="20"/>
  <c r="O481" i="20"/>
  <c r="P481" i="20"/>
  <c r="O221" i="20"/>
  <c r="P221" i="20"/>
  <c r="P104" i="20"/>
  <c r="O104" i="20"/>
  <c r="D935" i="19" l="1" a="1"/>
  <c r="D935" i="19" s="1"/>
  <c r="D921" i="19" a="1"/>
  <c r="D921" i="19" s="1"/>
  <c r="D920" i="19" a="1"/>
  <c r="D920" i="19" s="1"/>
  <c r="F1170" i="19"/>
  <c r="H424" i="2" l="1"/>
  <c r="I424" i="1" s="1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4" i="16"/>
  <c r="D108" i="16" l="1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88" i="16" l="1"/>
  <c r="D90" i="16"/>
  <c r="D91" i="16"/>
  <c r="D92" i="16"/>
  <c r="D93" i="16"/>
  <c r="D94" i="16"/>
  <c r="D95" i="16"/>
  <c r="D96" i="16"/>
  <c r="D97" i="16"/>
  <c r="D98" i="16"/>
  <c r="D99" i="16"/>
  <c r="D100" i="16"/>
  <c r="D102" i="16"/>
  <c r="D104" i="16"/>
  <c r="D105" i="16"/>
  <c r="D106" i="16"/>
  <c r="D107" i="16"/>
  <c r="H1195" i="3"/>
  <c r="D89" i="16"/>
  <c r="D101" i="16"/>
  <c r="D103" i="16"/>
  <c r="H713" i="2"/>
  <c r="I713" i="1" s="1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713" i="3"/>
  <c r="J713" i="1" s="1"/>
  <c r="H1182" i="2"/>
  <c r="I1182" i="1" s="1"/>
  <c r="H1183" i="2"/>
  <c r="I1183" i="1" s="1"/>
  <c r="H1184" i="2"/>
  <c r="I1184" i="1" s="1"/>
  <c r="H1185" i="2"/>
  <c r="I1185" i="1" s="1"/>
  <c r="H1186" i="2"/>
  <c r="I1186" i="1" s="1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L214" i="5"/>
  <c r="L215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64" i="5"/>
  <c r="L267" i="5"/>
  <c r="L269" i="5"/>
  <c r="L270" i="5"/>
  <c r="L271" i="5"/>
  <c r="L272" i="5"/>
  <c r="L273" i="5"/>
  <c r="L274" i="5"/>
  <c r="L308" i="5"/>
  <c r="L314" i="5"/>
  <c r="C193" i="18"/>
  <c r="K1240" i="1" l="1"/>
  <c r="K1226" i="1"/>
  <c r="K1212" i="1"/>
  <c r="K1267" i="1"/>
  <c r="K1253" i="1"/>
  <c r="K1239" i="1"/>
  <c r="K1225" i="1"/>
  <c r="K1211" i="1"/>
  <c r="K1280" i="1"/>
  <c r="K1252" i="1"/>
  <c r="K1238" i="1"/>
  <c r="K1210" i="1"/>
  <c r="K1266" i="1"/>
  <c r="K1224" i="1"/>
  <c r="K1269" i="1"/>
  <c r="K1255" i="1"/>
  <c r="K1241" i="1"/>
  <c r="K1227" i="1"/>
  <c r="K1213" i="1"/>
  <c r="K1268" i="1"/>
  <c r="K1254" i="1"/>
  <c r="K1236" i="1"/>
  <c r="K1208" i="1"/>
  <c r="K1270" i="1"/>
  <c r="K1256" i="1"/>
  <c r="K1242" i="1"/>
  <c r="K1228" i="1"/>
  <c r="K1214" i="1"/>
  <c r="K1271" i="1"/>
  <c r="K1257" i="1"/>
  <c r="K1243" i="1"/>
  <c r="K1229" i="1"/>
  <c r="K1215" i="1"/>
  <c r="K1265" i="1"/>
  <c r="K1251" i="1"/>
  <c r="K1223" i="1"/>
  <c r="K1209" i="1"/>
  <c r="K1278" i="1"/>
  <c r="K1250" i="1"/>
  <c r="K1274" i="1"/>
  <c r="K1260" i="1"/>
  <c r="K1246" i="1"/>
  <c r="K1232" i="1"/>
  <c r="K1218" i="1"/>
  <c r="K1273" i="1"/>
  <c r="K1259" i="1"/>
  <c r="K1245" i="1"/>
  <c r="K1231" i="1"/>
  <c r="K1217" i="1"/>
  <c r="K1279" i="1"/>
  <c r="K1237" i="1"/>
  <c r="K1262" i="1"/>
  <c r="K1234" i="1"/>
  <c r="K1220" i="1"/>
  <c r="K1272" i="1"/>
  <c r="K1258" i="1"/>
  <c r="K1244" i="1"/>
  <c r="K1230" i="1"/>
  <c r="K1216" i="1"/>
  <c r="K1222" i="1"/>
  <c r="K1249" i="1"/>
  <c r="K1221" i="1"/>
  <c r="K1275" i="1"/>
  <c r="K1247" i="1"/>
  <c r="K1219" i="1"/>
  <c r="K1264" i="1"/>
  <c r="K1277" i="1"/>
  <c r="K1235" i="1"/>
  <c r="K1261" i="1"/>
  <c r="K1276" i="1"/>
  <c r="K1248" i="1"/>
  <c r="K1233" i="1"/>
  <c r="K1263" i="1"/>
  <c r="K1207" i="1"/>
  <c r="K1187" i="1"/>
  <c r="K1201" i="1"/>
  <c r="K1194" i="1"/>
  <c r="K1193" i="1"/>
  <c r="K1191" i="1"/>
  <c r="K1204" i="1"/>
  <c r="K1190" i="1"/>
  <c r="K1203" i="1"/>
  <c r="K1188" i="1"/>
  <c r="K1206" i="1"/>
  <c r="K1205" i="1"/>
  <c r="K1202" i="1"/>
  <c r="K1200" i="1"/>
  <c r="K1198" i="1"/>
  <c r="K1184" i="1"/>
  <c r="K1197" i="1"/>
  <c r="K1183" i="1"/>
  <c r="K1182" i="1"/>
  <c r="K1195" i="1"/>
  <c r="K1189" i="1"/>
  <c r="K1186" i="1"/>
  <c r="K1199" i="1"/>
  <c r="K1185" i="1"/>
  <c r="K1196" i="1"/>
  <c r="K1192" i="1"/>
  <c r="H446" i="2"/>
  <c r="I446" i="1" s="1"/>
  <c r="L143" i="10" l="1"/>
  <c r="L144" i="10"/>
  <c r="H1155" i="2" l="1"/>
  <c r="I1155" i="1" s="1"/>
  <c r="H1156" i="2"/>
  <c r="I1156" i="1" s="1"/>
  <c r="H1157" i="2"/>
  <c r="I1157" i="1" s="1"/>
  <c r="H1158" i="2"/>
  <c r="I1158" i="1" s="1"/>
  <c r="H1159" i="2"/>
  <c r="I1159" i="1" s="1"/>
  <c r="H1160" i="2"/>
  <c r="I1160" i="1" s="1"/>
  <c r="H1161" i="2"/>
  <c r="I1161" i="1" s="1"/>
  <c r="H1162" i="2"/>
  <c r="I1162" i="1" s="1"/>
  <c r="H1163" i="2"/>
  <c r="I1163" i="1" s="1"/>
  <c r="H1164" i="2"/>
  <c r="I1164" i="1" s="1"/>
  <c r="H1165" i="2"/>
  <c r="I1165" i="1" s="1"/>
  <c r="H1166" i="2"/>
  <c r="I1166" i="1" s="1"/>
  <c r="H1167" i="2"/>
  <c r="I1167" i="1" s="1"/>
  <c r="H1168" i="2"/>
  <c r="I1168" i="1" s="1"/>
  <c r="H1169" i="2"/>
  <c r="I1169" i="1" s="1"/>
  <c r="H1170" i="2"/>
  <c r="I1170" i="1" s="1"/>
  <c r="H1171" i="2"/>
  <c r="H1172" i="2"/>
  <c r="H1173" i="2"/>
  <c r="I1173" i="1" s="1"/>
  <c r="H1174" i="2"/>
  <c r="I1174" i="1" s="1"/>
  <c r="H1175" i="2"/>
  <c r="I1175" i="1" s="1"/>
  <c r="H1176" i="2"/>
  <c r="I1176" i="1" s="1"/>
  <c r="H1177" i="2"/>
  <c r="I1177" i="1" s="1"/>
  <c r="H1178" i="2"/>
  <c r="I1178" i="1" s="1"/>
  <c r="H1179" i="2"/>
  <c r="I1179" i="1" s="1"/>
  <c r="H1180" i="2"/>
  <c r="I1180" i="1" s="1"/>
  <c r="H1181" i="2"/>
  <c r="I1181" i="1" s="1"/>
  <c r="H1141" i="3"/>
  <c r="J1141" i="1" s="1"/>
  <c r="H1142" i="3"/>
  <c r="J1142" i="1" s="1"/>
  <c r="H1143" i="3"/>
  <c r="J1143" i="1" s="1"/>
  <c r="H1144" i="3"/>
  <c r="J1144" i="1" s="1"/>
  <c r="H1145" i="3"/>
  <c r="J1145" i="1" s="1"/>
  <c r="H1146" i="3"/>
  <c r="J1146" i="1" s="1"/>
  <c r="H1147" i="3"/>
  <c r="J1147" i="1" s="1"/>
  <c r="H1148" i="3"/>
  <c r="J1148" i="1" s="1"/>
  <c r="H1149" i="3"/>
  <c r="J1149" i="1" s="1"/>
  <c r="H1150" i="3"/>
  <c r="J1150" i="1" s="1"/>
  <c r="H1151" i="3"/>
  <c r="J1151" i="1" s="1"/>
  <c r="H1152" i="3"/>
  <c r="J1152" i="1" s="1"/>
  <c r="H1153" i="3"/>
  <c r="J1153" i="1" s="1"/>
  <c r="H1154" i="3"/>
  <c r="J1154" i="1" s="1"/>
  <c r="H1155" i="3"/>
  <c r="J1155" i="1" s="1"/>
  <c r="H1156" i="3"/>
  <c r="J1156" i="1" s="1"/>
  <c r="H1157" i="3"/>
  <c r="J1157" i="1" s="1"/>
  <c r="H1158" i="3"/>
  <c r="J1158" i="1" s="1"/>
  <c r="H1159" i="3"/>
  <c r="J1159" i="1" s="1"/>
  <c r="H1160" i="3"/>
  <c r="J1160" i="1" s="1"/>
  <c r="H1161" i="3"/>
  <c r="J1161" i="1" s="1"/>
  <c r="H1162" i="3"/>
  <c r="J1162" i="1" s="1"/>
  <c r="H1163" i="3"/>
  <c r="J1163" i="1" s="1"/>
  <c r="H1164" i="3"/>
  <c r="J1164" i="1" s="1"/>
  <c r="H1165" i="3"/>
  <c r="J1165" i="1" s="1"/>
  <c r="H1166" i="3"/>
  <c r="J1166" i="1" s="1"/>
  <c r="H1167" i="3"/>
  <c r="J1167" i="1" s="1"/>
  <c r="H1168" i="3"/>
  <c r="J1168" i="1" s="1"/>
  <c r="H1169" i="3"/>
  <c r="J1169" i="1" s="1"/>
  <c r="H1170" i="3"/>
  <c r="J1170" i="1" s="1"/>
  <c r="H1171" i="3"/>
  <c r="H1172" i="3"/>
  <c r="J1172" i="1" s="1"/>
  <c r="H1173" i="3"/>
  <c r="H1174" i="3"/>
  <c r="J1174" i="1" s="1"/>
  <c r="H1175" i="3"/>
  <c r="J1175" i="1" s="1"/>
  <c r="H1176" i="3"/>
  <c r="J1176" i="1" s="1"/>
  <c r="H1177" i="3"/>
  <c r="J1177" i="1" s="1"/>
  <c r="H1178" i="3"/>
  <c r="H1179" i="3"/>
  <c r="H1180" i="3"/>
  <c r="I1171" i="1" l="1"/>
  <c r="I1172" i="1"/>
  <c r="K1172" i="1" s="1"/>
  <c r="J1171" i="1"/>
  <c r="J1173" i="1"/>
  <c r="K1173" i="1" s="1"/>
  <c r="L23" i="19"/>
  <c r="M23" i="19" s="1"/>
  <c r="K1169" i="1"/>
  <c r="K1175" i="1"/>
  <c r="K1174" i="1"/>
  <c r="K1165" i="1"/>
  <c r="K1178" i="1"/>
  <c r="K1170" i="1"/>
  <c r="K1163" i="1"/>
  <c r="D243" i="18" s="1"/>
  <c r="K1161" i="1"/>
  <c r="K1180" i="1"/>
  <c r="K1166" i="1"/>
  <c r="D230" i="18" s="1"/>
  <c r="E230" i="18" s="1"/>
  <c r="K1168" i="1"/>
  <c r="D241" i="18" s="1"/>
  <c r="E241" i="18" s="1"/>
  <c r="K1158" i="1"/>
  <c r="K1162" i="1"/>
  <c r="D244" i="18" s="1"/>
  <c r="K1167" i="1"/>
  <c r="K1160" i="1"/>
  <c r="K1176" i="1"/>
  <c r="K1157" i="1"/>
  <c r="K1156" i="1"/>
  <c r="K1159" i="1"/>
  <c r="D234" i="18" s="1"/>
  <c r="K1179" i="1"/>
  <c r="K1164" i="1"/>
  <c r="K1177" i="1"/>
  <c r="K1181" i="1"/>
  <c r="K1155" i="1"/>
  <c r="K1171" i="1" l="1"/>
  <c r="E234" i="18"/>
  <c r="F234" i="18"/>
  <c r="E244" i="18"/>
  <c r="F244" i="18"/>
  <c r="E243" i="18"/>
  <c r="F243" i="18"/>
  <c r="J1" i="2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G278" i="5"/>
  <c r="I278" i="5" s="1"/>
  <c r="J419" i="10" l="1"/>
  <c r="J18" i="10"/>
  <c r="J21" i="10"/>
  <c r="J296" i="10"/>
  <c r="J29" i="10"/>
  <c r="J436" i="10"/>
  <c r="J36" i="10"/>
  <c r="J250" i="10"/>
  <c r="J37" i="10"/>
  <c r="J185" i="10"/>
  <c r="J27" i="10"/>
  <c r="J38" i="10"/>
  <c r="J331" i="10"/>
  <c r="J39" i="10"/>
  <c r="J40" i="10"/>
  <c r="J35" i="10"/>
  <c r="J31" i="10"/>
  <c r="J41" i="10"/>
  <c r="J42" i="10"/>
  <c r="J43" i="10"/>
  <c r="J44" i="10"/>
  <c r="J45" i="10"/>
  <c r="J418" i="10"/>
  <c r="J22" i="10"/>
  <c r="J46" i="10"/>
  <c r="J47" i="10"/>
  <c r="J48" i="10"/>
  <c r="J49" i="10"/>
  <c r="J23" i="10"/>
  <c r="J50" i="10"/>
  <c r="J17" i="10"/>
  <c r="J51" i="10"/>
  <c r="J52" i="10"/>
  <c r="J53" i="10"/>
  <c r="J54" i="10"/>
  <c r="J55" i="10"/>
  <c r="J56" i="10"/>
  <c r="J57" i="10"/>
  <c r="J58" i="10"/>
  <c r="J420" i="10"/>
  <c r="J276" i="10"/>
  <c r="J59" i="10"/>
  <c r="J60" i="10"/>
  <c r="J61" i="10"/>
  <c r="J62" i="10"/>
  <c r="J63" i="10"/>
  <c r="J64" i="10"/>
  <c r="J65" i="10"/>
  <c r="J304" i="10"/>
  <c r="J66" i="10"/>
  <c r="J67" i="10"/>
  <c r="J68" i="10"/>
  <c r="J69" i="10"/>
  <c r="J70" i="10"/>
  <c r="J71" i="10"/>
  <c r="J72" i="10"/>
  <c r="J73" i="10"/>
  <c r="J74" i="10"/>
  <c r="J75" i="10"/>
  <c r="J22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385" i="10"/>
  <c r="J24" i="10"/>
  <c r="J285" i="10"/>
  <c r="J103" i="10"/>
  <c r="J104" i="10"/>
  <c r="J105" i="10"/>
  <c r="J311" i="10"/>
  <c r="J106" i="10"/>
  <c r="J107" i="10"/>
  <c r="J108" i="10"/>
  <c r="J109" i="10"/>
  <c r="J110" i="10"/>
  <c r="J111" i="10"/>
  <c r="J112" i="10"/>
  <c r="J113" i="10"/>
  <c r="J114" i="10"/>
  <c r="J182" i="10"/>
  <c r="J115" i="10"/>
  <c r="J116" i="10"/>
  <c r="J117" i="10"/>
  <c r="J118" i="10"/>
  <c r="J519" i="10"/>
  <c r="J119" i="10"/>
  <c r="J120" i="10"/>
  <c r="J121" i="10"/>
  <c r="J122" i="10"/>
  <c r="J465" i="10"/>
  <c r="J123" i="10"/>
  <c r="J124" i="10"/>
  <c r="J491" i="10"/>
  <c r="J475" i="10"/>
  <c r="J476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407" i="10"/>
  <c r="J146" i="10"/>
  <c r="J9" i="10"/>
  <c r="J349" i="10"/>
  <c r="J34" i="10"/>
  <c r="J147" i="10"/>
  <c r="J207" i="10"/>
  <c r="J186" i="10"/>
  <c r="J3" i="10"/>
  <c r="J148" i="10"/>
  <c r="J149" i="10"/>
  <c r="J294" i="10"/>
  <c r="J462" i="10"/>
  <c r="J15" i="10"/>
  <c r="J363" i="10"/>
  <c r="J437" i="10"/>
  <c r="J150" i="10"/>
  <c r="J151" i="10"/>
  <c r="J152" i="10"/>
  <c r="J275" i="10"/>
  <c r="J153" i="10"/>
  <c r="J32" i="10"/>
  <c r="J8" i="10"/>
  <c r="J19" i="10"/>
  <c r="J361" i="10"/>
  <c r="J181" i="10"/>
  <c r="J178" i="10"/>
  <c r="J154" i="10"/>
  <c r="J155" i="10"/>
  <c r="J429" i="10"/>
  <c r="J156" i="10"/>
  <c r="J157" i="10"/>
  <c r="J158" i="10"/>
  <c r="J159" i="10"/>
  <c r="J160" i="10"/>
  <c r="J337" i="10"/>
  <c r="J234" i="10"/>
  <c r="J161" i="10"/>
  <c r="J26" i="10"/>
  <c r="J256" i="10"/>
  <c r="J217" i="10"/>
  <c r="J329" i="10"/>
  <c r="J268" i="10"/>
  <c r="J392" i="10"/>
  <c r="J455" i="10"/>
  <c r="J339" i="10"/>
  <c r="J28" i="10"/>
  <c r="J162" i="10"/>
  <c r="J336" i="10"/>
  <c r="J11" i="10"/>
  <c r="J163" i="10"/>
  <c r="J410" i="10"/>
  <c r="J447" i="10"/>
  <c r="J262" i="10"/>
  <c r="J387" i="10"/>
  <c r="J198" i="10"/>
  <c r="J164" i="10"/>
  <c r="J165" i="10"/>
  <c r="J513" i="10"/>
  <c r="J378" i="10"/>
  <c r="J166" i="10"/>
  <c r="J206" i="10"/>
  <c r="J167" i="10"/>
  <c r="J176" i="10"/>
  <c r="J13" i="10"/>
  <c r="J245" i="10"/>
  <c r="J334" i="10"/>
  <c r="J490" i="10"/>
  <c r="J191" i="10"/>
  <c r="J33" i="10"/>
  <c r="J345" i="10"/>
  <c r="J30" i="10"/>
  <c r="J168" i="10"/>
  <c r="J390" i="10"/>
  <c r="J442" i="10"/>
  <c r="J229" i="10"/>
  <c r="J260" i="10"/>
  <c r="J425" i="10"/>
  <c r="J220" i="10"/>
  <c r="J252" i="10"/>
  <c r="J194" i="10"/>
  <c r="J179" i="10"/>
  <c r="J227" i="10"/>
  <c r="J216" i="10"/>
  <c r="J20" i="10"/>
  <c r="J424" i="10"/>
  <c r="J235" i="10"/>
  <c r="J255" i="10"/>
  <c r="J413" i="10"/>
  <c r="J215" i="10"/>
  <c r="J169" i="10"/>
  <c r="J212" i="10"/>
  <c r="J236" i="10"/>
  <c r="J298" i="10"/>
  <c r="J237" i="10"/>
  <c r="J242" i="10"/>
  <c r="J232" i="10"/>
  <c r="J443" i="10"/>
  <c r="J12" i="10"/>
  <c r="J257" i="10"/>
  <c r="J218" i="10"/>
  <c r="J180" i="10"/>
  <c r="J174" i="10"/>
  <c r="J248" i="10"/>
  <c r="J249" i="10"/>
  <c r="J25" i="10"/>
  <c r="J10" i="10"/>
  <c r="J173" i="10"/>
  <c r="J246" i="10"/>
  <c r="J247" i="10"/>
  <c r="J16" i="10"/>
  <c r="J239" i="10"/>
  <c r="J244" i="10"/>
  <c r="J292" i="10"/>
  <c r="J469" i="10"/>
  <c r="J267" i="10"/>
  <c r="J279" i="10"/>
  <c r="J253" i="10"/>
  <c r="J483" i="10"/>
  <c r="J211" i="10"/>
  <c r="J287" i="10"/>
  <c r="J326" i="10"/>
  <c r="J303" i="10"/>
  <c r="J402" i="10"/>
  <c r="J224" i="10"/>
  <c r="J308" i="10"/>
  <c r="J323" i="10"/>
  <c r="J265" i="10"/>
  <c r="J214" i="10"/>
  <c r="J263" i="10"/>
  <c r="J170" i="10"/>
  <c r="J254" i="10"/>
  <c r="J290" i="10"/>
  <c r="J273" i="10"/>
  <c r="J344" i="10"/>
  <c r="J274" i="10"/>
  <c r="J171" i="10"/>
  <c r="J219" i="10"/>
  <c r="J445" i="10"/>
  <c r="J446" i="10"/>
  <c r="J414" i="10"/>
  <c r="J280" i="10"/>
  <c r="J302" i="10"/>
  <c r="J251" i="10"/>
  <c r="J213" i="10"/>
  <c r="J278" i="10"/>
  <c r="J282" i="10"/>
  <c r="J332" i="10"/>
  <c r="J289" i="10"/>
  <c r="J223" i="10"/>
  <c r="J403" i="10"/>
  <c r="J231" i="10"/>
  <c r="J297" i="10"/>
  <c r="J177" i="10"/>
  <c r="J365" i="10"/>
  <c r="J193" i="10"/>
  <c r="J196" i="10"/>
  <c r="J183" i="10"/>
  <c r="J300" i="10"/>
  <c r="J241" i="10"/>
  <c r="J259" i="10"/>
  <c r="J293" i="10"/>
  <c r="J461" i="10"/>
  <c r="J352" i="10"/>
  <c r="J240" i="10"/>
  <c r="J184" i="10"/>
  <c r="J493" i="10"/>
  <c r="J312" i="10"/>
  <c r="J360" i="10"/>
  <c r="J404" i="10"/>
  <c r="J395" i="10"/>
  <c r="J4" i="10"/>
  <c r="J264" i="10"/>
  <c r="J286" i="10"/>
  <c r="J305" i="10"/>
  <c r="J243" i="10"/>
  <c r="J358" i="10"/>
  <c r="J261" i="10"/>
  <c r="J317" i="10"/>
  <c r="J272" i="10"/>
  <c r="J316" i="10"/>
  <c r="J269" i="10"/>
  <c r="J195" i="10"/>
  <c r="J379" i="10"/>
  <c r="J284" i="10"/>
  <c r="J321" i="10"/>
  <c r="J192" i="10"/>
  <c r="J309" i="10"/>
  <c r="J324" i="10"/>
  <c r="J266" i="10"/>
  <c r="J277" i="10"/>
  <c r="J7" i="10"/>
  <c r="J14" i="10"/>
  <c r="J319" i="10"/>
  <c r="J431" i="10"/>
  <c r="J281" i="10"/>
  <c r="J295" i="10"/>
  <c r="J318" i="10"/>
  <c r="J375" i="10"/>
  <c r="J330" i="10"/>
  <c r="J202" i="10"/>
  <c r="J203" i="10"/>
  <c r="J5" i="10"/>
  <c r="J221" i="10"/>
  <c r="J320" i="10"/>
  <c r="J258" i="10"/>
  <c r="J400" i="10"/>
  <c r="J343" i="10"/>
  <c r="J322" i="10"/>
  <c r="J315" i="10"/>
  <c r="J325" i="10"/>
  <c r="J288" i="10"/>
  <c r="J307" i="10"/>
  <c r="J342" i="10"/>
  <c r="J354" i="10"/>
  <c r="J228" i="10"/>
  <c r="J356" i="10"/>
  <c r="J299" i="10"/>
  <c r="J408" i="10"/>
  <c r="J411" i="10"/>
  <c r="J340" i="10"/>
  <c r="J226" i="10"/>
  <c r="J415" i="10"/>
  <c r="J270" i="10"/>
  <c r="J301" i="10"/>
  <c r="J341" i="10"/>
  <c r="J367" i="10"/>
  <c r="J314" i="10"/>
  <c r="J370" i="10"/>
  <c r="J359" i="10"/>
  <c r="J230" i="10"/>
  <c r="J199" i="10"/>
  <c r="J503" i="10"/>
  <c r="J364" i="10"/>
  <c r="J350" i="10"/>
  <c r="J335" i="10"/>
  <c r="J432" i="10"/>
  <c r="J310" i="10"/>
  <c r="J222" i="10"/>
  <c r="J357" i="10"/>
  <c r="J201" i="10"/>
  <c r="J377" i="10"/>
  <c r="J440" i="10"/>
  <c r="J306" i="10"/>
  <c r="J369" i="10"/>
  <c r="J328" i="10"/>
  <c r="J441" i="10"/>
  <c r="J271" i="10"/>
  <c r="J384" i="10"/>
  <c r="J347" i="10"/>
  <c r="J327" i="10"/>
  <c r="J471" i="10"/>
  <c r="J388" i="10"/>
  <c r="J355" i="10"/>
  <c r="J421" i="10"/>
  <c r="J389" i="10"/>
  <c r="J372" i="10"/>
  <c r="J175" i="10"/>
  <c r="J394" i="10"/>
  <c r="J391" i="10"/>
  <c r="J374" i="10"/>
  <c r="J362" i="10"/>
  <c r="J172" i="10"/>
  <c r="J397" i="10"/>
  <c r="J291" i="10"/>
  <c r="J401" i="10"/>
  <c r="J283" i="10"/>
  <c r="J371" i="10"/>
  <c r="J409" i="10"/>
  <c r="J381" i="10"/>
  <c r="J448" i="10"/>
  <c r="J412" i="10"/>
  <c r="J380" i="10"/>
  <c r="J417" i="10"/>
  <c r="J373" i="10"/>
  <c r="J422" i="10"/>
  <c r="J209" i="10"/>
  <c r="J197" i="10"/>
  <c r="J353" i="10"/>
  <c r="J423" i="10"/>
  <c r="J416" i="10"/>
  <c r="J426" i="10"/>
  <c r="J383" i="10"/>
  <c r="J208" i="10"/>
  <c r="J376" i="10"/>
  <c r="J333" i="10"/>
  <c r="J405" i="10"/>
  <c r="J430" i="10"/>
  <c r="J346" i="10"/>
  <c r="J393" i="10"/>
  <c r="J366" i="10"/>
  <c r="J435" i="10"/>
  <c r="J438" i="10"/>
  <c r="J399" i="10"/>
  <c r="J313" i="10"/>
  <c r="J348" i="10"/>
  <c r="J434" i="10"/>
  <c r="J439" i="10"/>
  <c r="J427" i="10"/>
  <c r="J396" i="10"/>
  <c r="J386" i="10"/>
  <c r="J187" i="10"/>
  <c r="J200" i="10"/>
  <c r="J454" i="10"/>
  <c r="J188" i="10"/>
  <c r="J428" i="10"/>
  <c r="J6" i="10"/>
  <c r="J451" i="10"/>
  <c r="J189" i="10"/>
  <c r="J453" i="10"/>
  <c r="J459" i="10"/>
  <c r="J433" i="10"/>
  <c r="J444" i="10"/>
  <c r="J450" i="10"/>
  <c r="J398" i="10"/>
  <c r="J449" i="10"/>
  <c r="J520" i="10"/>
  <c r="J464" i="10"/>
  <c r="J204" i="10"/>
  <c r="J466" i="10"/>
  <c r="J463" i="10"/>
  <c r="J467" i="10"/>
  <c r="J468" i="10"/>
  <c r="J368" i="10"/>
  <c r="J190" i="10"/>
  <c r="J460" i="10"/>
  <c r="J406" i="10"/>
  <c r="J233" i="10"/>
  <c r="J452" i="10"/>
  <c r="J472" i="10"/>
  <c r="J210" i="10"/>
  <c r="J457" i="10"/>
  <c r="J477" i="10"/>
  <c r="J458" i="10"/>
  <c r="J488" i="10"/>
  <c r="J456" i="10"/>
  <c r="J479" i="10"/>
  <c r="J480" i="10"/>
  <c r="J482" i="10"/>
  <c r="J238" i="10"/>
  <c r="J478" i="10"/>
  <c r="J474" i="10"/>
  <c r="J500" i="10"/>
  <c r="J484" i="10"/>
  <c r="J485" i="10"/>
  <c r="J338" i="10"/>
  <c r="J487" i="10"/>
  <c r="J486" i="10"/>
  <c r="J470" i="10"/>
  <c r="J473" i="10"/>
  <c r="J489" i="10"/>
  <c r="J494" i="10"/>
  <c r="J496" i="10"/>
  <c r="J497" i="10"/>
  <c r="J498" i="10"/>
  <c r="J499" i="10"/>
  <c r="J492" i="10"/>
  <c r="J501" i="10"/>
  <c r="J495" i="10"/>
  <c r="J502" i="10"/>
  <c r="J481" i="10"/>
  <c r="J504" i="10"/>
  <c r="J507" i="10"/>
  <c r="J505" i="10"/>
  <c r="J506" i="10"/>
  <c r="J508" i="10"/>
  <c r="J509" i="10"/>
  <c r="J510" i="10"/>
  <c r="J512" i="10"/>
  <c r="J511" i="10"/>
  <c r="J515" i="10"/>
  <c r="J205" i="10"/>
  <c r="J516" i="10"/>
  <c r="J514" i="10"/>
  <c r="J517" i="10"/>
  <c r="J518" i="10"/>
  <c r="J521" i="10"/>
  <c r="J382" i="10"/>
  <c r="J522" i="10"/>
  <c r="J523" i="10"/>
  <c r="J524" i="10"/>
  <c r="J525" i="10"/>
  <c r="J526" i="10"/>
  <c r="J351" i="10"/>
  <c r="D5" i="16"/>
  <c r="D6" i="16"/>
  <c r="D7" i="16"/>
  <c r="D11" i="16"/>
  <c r="D12" i="16"/>
  <c r="D16" i="16"/>
  <c r="D17" i="16"/>
  <c r="D18" i="16"/>
  <c r="D19" i="16"/>
  <c r="D20" i="16"/>
  <c r="D21" i="16"/>
  <c r="D25" i="16"/>
  <c r="D26" i="16"/>
  <c r="D29" i="16"/>
  <c r="D31" i="16"/>
  <c r="D32" i="16"/>
  <c r="D33" i="16"/>
  <c r="D34" i="16"/>
  <c r="D35" i="16"/>
  <c r="D39" i="16"/>
  <c r="D40" i="16"/>
  <c r="D41" i="16"/>
  <c r="D42" i="16"/>
  <c r="D43" i="16"/>
  <c r="D44" i="16"/>
  <c r="D45" i="16"/>
  <c r="D46" i="16"/>
  <c r="D47" i="16"/>
  <c r="D48" i="16"/>
  <c r="D52" i="16"/>
  <c r="D53" i="16"/>
  <c r="D57" i="16"/>
  <c r="D60" i="16"/>
  <c r="D61" i="16"/>
  <c r="D62" i="16"/>
  <c r="D66" i="16"/>
  <c r="D67" i="16"/>
  <c r="D68" i="16"/>
  <c r="D69" i="16"/>
  <c r="D70" i="16"/>
  <c r="D72" i="16"/>
  <c r="D73" i="16"/>
  <c r="D74" i="16"/>
  <c r="D75" i="16"/>
  <c r="D76" i="16"/>
  <c r="D83" i="16"/>
  <c r="D84" i="16"/>
  <c r="D85" i="16"/>
  <c r="D86" i="16"/>
  <c r="D87" i="16"/>
  <c r="D49" i="16"/>
  <c r="D50" i="16"/>
  <c r="D51" i="16"/>
  <c r="D54" i="16"/>
  <c r="D55" i="16"/>
  <c r="D56" i="16"/>
  <c r="D58" i="16"/>
  <c r="D59" i="16"/>
  <c r="D63" i="16"/>
  <c r="D64" i="16"/>
  <c r="D65" i="16"/>
  <c r="D71" i="16"/>
  <c r="D77" i="16"/>
  <c r="D78" i="16"/>
  <c r="D79" i="16"/>
  <c r="D80" i="16"/>
  <c r="D81" i="16"/>
  <c r="D82" i="16"/>
  <c r="D4" i="16"/>
  <c r="D8" i="16"/>
  <c r="D9" i="16"/>
  <c r="D10" i="16"/>
  <c r="D13" i="16"/>
  <c r="D14" i="16"/>
  <c r="D15" i="16"/>
  <c r="D22" i="16"/>
  <c r="D23" i="16"/>
  <c r="D24" i="16"/>
  <c r="D27" i="16"/>
  <c r="D28" i="16"/>
  <c r="D30" i="16"/>
  <c r="D36" i="16"/>
  <c r="D37" i="16"/>
  <c r="D38" i="16"/>
  <c r="H1120" i="3"/>
  <c r="J1120" i="1" s="1"/>
  <c r="H1121" i="3"/>
  <c r="J1121" i="1" s="1"/>
  <c r="H1122" i="3"/>
  <c r="J1122" i="1" s="1"/>
  <c r="H1123" i="3"/>
  <c r="J1123" i="1" s="1"/>
  <c r="H1124" i="3"/>
  <c r="J1124" i="1" s="1"/>
  <c r="H1125" i="3"/>
  <c r="J1125" i="1" s="1"/>
  <c r="H1126" i="3"/>
  <c r="J1126" i="1" s="1"/>
  <c r="H1127" i="3"/>
  <c r="J1127" i="1" s="1"/>
  <c r="H1128" i="3"/>
  <c r="J1128" i="1" s="1"/>
  <c r="H1129" i="3"/>
  <c r="J1129" i="1" s="1"/>
  <c r="H1130" i="3"/>
  <c r="J1130" i="1" s="1"/>
  <c r="H1131" i="3"/>
  <c r="J1131" i="1" s="1"/>
  <c r="H1132" i="3"/>
  <c r="J1132" i="1" s="1"/>
  <c r="H1133" i="3"/>
  <c r="J1133" i="1" s="1"/>
  <c r="H1134" i="3"/>
  <c r="J1134" i="1" s="1"/>
  <c r="H1135" i="3"/>
  <c r="J1135" i="1" s="1"/>
  <c r="H1136" i="3"/>
  <c r="J1136" i="1" s="1"/>
  <c r="H1137" i="3"/>
  <c r="J1137" i="1" s="1"/>
  <c r="H1138" i="3"/>
  <c r="J1138" i="1" s="1"/>
  <c r="H1139" i="3"/>
  <c r="J1139" i="1" s="1"/>
  <c r="H1140" i="3"/>
  <c r="J1140" i="1" s="1"/>
  <c r="H1122" i="2"/>
  <c r="I1122" i="1" s="1"/>
  <c r="H1123" i="2"/>
  <c r="I1123" i="1" s="1"/>
  <c r="H1124" i="2"/>
  <c r="I1124" i="1" s="1"/>
  <c r="H1125" i="2"/>
  <c r="I1125" i="1" s="1"/>
  <c r="H1126" i="2"/>
  <c r="I1126" i="1" s="1"/>
  <c r="H1127" i="2"/>
  <c r="I1127" i="1" s="1"/>
  <c r="H1128" i="2"/>
  <c r="I1128" i="1" s="1"/>
  <c r="H1129" i="2"/>
  <c r="I1129" i="1" s="1"/>
  <c r="H1130" i="2"/>
  <c r="I1130" i="1" s="1"/>
  <c r="H1131" i="2"/>
  <c r="I1131" i="1" s="1"/>
  <c r="H1132" i="2"/>
  <c r="I1132" i="1" s="1"/>
  <c r="H1133" i="2"/>
  <c r="I1133" i="1" s="1"/>
  <c r="H1134" i="2"/>
  <c r="I1134" i="1" s="1"/>
  <c r="H1135" i="2"/>
  <c r="I1135" i="1" s="1"/>
  <c r="H1136" i="2"/>
  <c r="I1136" i="1" s="1"/>
  <c r="H1137" i="2"/>
  <c r="I1137" i="1" s="1"/>
  <c r="H1138" i="2"/>
  <c r="I1138" i="1" s="1"/>
  <c r="H1139" i="2"/>
  <c r="I1139" i="1" s="1"/>
  <c r="H1140" i="2"/>
  <c r="I1140" i="1" s="1"/>
  <c r="H1141" i="2"/>
  <c r="I1141" i="1" s="1"/>
  <c r="H1142" i="2"/>
  <c r="I1142" i="1" s="1"/>
  <c r="H1143" i="2"/>
  <c r="I1143" i="1" s="1"/>
  <c r="H1144" i="2"/>
  <c r="I1144" i="1" s="1"/>
  <c r="H1145" i="2"/>
  <c r="I1145" i="1" s="1"/>
  <c r="H1146" i="2"/>
  <c r="I1146" i="1" s="1"/>
  <c r="H1147" i="2"/>
  <c r="I1147" i="1" s="1"/>
  <c r="H1148" i="2"/>
  <c r="I1148" i="1" s="1"/>
  <c r="H1149" i="2"/>
  <c r="I1149" i="1" s="1"/>
  <c r="H1150" i="2"/>
  <c r="I1150" i="1" s="1"/>
  <c r="H1151" i="2"/>
  <c r="I1151" i="1" s="1"/>
  <c r="H1152" i="2"/>
  <c r="I1152" i="1" s="1"/>
  <c r="H1153" i="2"/>
  <c r="I1153" i="1" s="1"/>
  <c r="H1154" i="2"/>
  <c r="I1154" i="1" s="1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5" i="17"/>
  <c r="G2" i="17"/>
  <c r="G145" i="5"/>
  <c r="G489" i="5"/>
  <c r="G494" i="5"/>
  <c r="G400" i="5"/>
  <c r="G670" i="5"/>
  <c r="G306" i="5"/>
  <c r="G579" i="5"/>
  <c r="G642" i="5"/>
  <c r="G649" i="5"/>
  <c r="K1154" i="1" l="1"/>
  <c r="K1153" i="1"/>
  <c r="K1152" i="1"/>
  <c r="K1151" i="1"/>
  <c r="K1134" i="1"/>
  <c r="K1139" i="1"/>
  <c r="K1138" i="1"/>
  <c r="K1137" i="1"/>
  <c r="K1136" i="1"/>
  <c r="K1135" i="1"/>
  <c r="K1148" i="1"/>
  <c r="L552" i="5" s="1"/>
  <c r="K1128" i="1"/>
  <c r="K1125" i="1"/>
  <c r="K1126" i="1"/>
  <c r="K1124" i="1"/>
  <c r="K1123" i="1"/>
  <c r="K1146" i="1"/>
  <c r="K1129" i="1"/>
  <c r="K1131" i="1"/>
  <c r="K1141" i="1"/>
  <c r="K1142" i="1"/>
  <c r="K1144" i="1"/>
  <c r="K1147" i="1"/>
  <c r="K1149" i="1"/>
  <c r="L542" i="5" s="1"/>
  <c r="K1127" i="1"/>
  <c r="K1130" i="1"/>
  <c r="K1132" i="1"/>
  <c r="K1133" i="1"/>
  <c r="K1140" i="1"/>
  <c r="K1143" i="1"/>
  <c r="K1145" i="1"/>
  <c r="K1150" i="1"/>
  <c r="M108" i="20" l="1"/>
  <c r="L495" i="5"/>
  <c r="D245" i="18"/>
  <c r="F245" i="18" s="1"/>
  <c r="G551" i="5"/>
  <c r="N108" i="20" l="1"/>
  <c r="S108" i="20"/>
  <c r="E245" i="18"/>
  <c r="H1098" i="3"/>
  <c r="J1098" i="1" s="1"/>
  <c r="H1121" i="2"/>
  <c r="I1121" i="1" s="1"/>
  <c r="O108" i="20" l="1"/>
  <c r="P108" i="20"/>
  <c r="K1121" i="1"/>
  <c r="H1111" i="3"/>
  <c r="J1111" i="1" s="1"/>
  <c r="H1112" i="3"/>
  <c r="J1112" i="1" s="1"/>
  <c r="H1113" i="3"/>
  <c r="J1113" i="1" s="1"/>
  <c r="H1114" i="3"/>
  <c r="J1114" i="1" s="1"/>
  <c r="H1115" i="3"/>
  <c r="J1115" i="1" s="1"/>
  <c r="H1116" i="3"/>
  <c r="J1116" i="1" s="1"/>
  <c r="H1117" i="3"/>
  <c r="J1117" i="1" s="1"/>
  <c r="H1118" i="3"/>
  <c r="J1118" i="1" s="1"/>
  <c r="H1119" i="3"/>
  <c r="J1119" i="1" s="1"/>
  <c r="H1111" i="2"/>
  <c r="I1111" i="1" s="1"/>
  <c r="H1112" i="2"/>
  <c r="I1112" i="1" s="1"/>
  <c r="H1113" i="2"/>
  <c r="I1113" i="1" s="1"/>
  <c r="H1114" i="2"/>
  <c r="I1114" i="1" s="1"/>
  <c r="H1115" i="2"/>
  <c r="I1115" i="1" s="1"/>
  <c r="H1116" i="2"/>
  <c r="I1116" i="1" s="1"/>
  <c r="H1117" i="2"/>
  <c r="I1117" i="1" s="1"/>
  <c r="H1118" i="2"/>
  <c r="I1118" i="1" s="1"/>
  <c r="H1119" i="2"/>
  <c r="I1119" i="1" s="1"/>
  <c r="H1120" i="2"/>
  <c r="I1120" i="1" s="1"/>
  <c r="H1106" i="2"/>
  <c r="I1106" i="1" s="1"/>
  <c r="H1107" i="2"/>
  <c r="I1107" i="1" s="1"/>
  <c r="H1108" i="2"/>
  <c r="I1108" i="1" s="1"/>
  <c r="H1109" i="2"/>
  <c r="I1109" i="1" s="1"/>
  <c r="H1110" i="2"/>
  <c r="I1110" i="1" s="1"/>
  <c r="K1120" i="1" l="1"/>
  <c r="K1115" i="1"/>
  <c r="K1114" i="1"/>
  <c r="K1113" i="1"/>
  <c r="K1112" i="1"/>
  <c r="K1111" i="1"/>
  <c r="K1119" i="1"/>
  <c r="K1117" i="1"/>
  <c r="K1116" i="1"/>
  <c r="K1118" i="1"/>
  <c r="Q172" i="10"/>
  <c r="Q430" i="10"/>
  <c r="Q420" i="10"/>
  <c r="Q58" i="10"/>
  <c r="Q57" i="10"/>
  <c r="H57" i="10"/>
  <c r="H58" i="10"/>
  <c r="H420" i="10"/>
  <c r="H430" i="10"/>
  <c r="H172" i="10"/>
  <c r="G575" i="5"/>
  <c r="I575" i="5" s="1"/>
  <c r="G276" i="5"/>
  <c r="G275" i="5"/>
  <c r="I275" i="5" s="1"/>
  <c r="I276" i="5"/>
  <c r="G283" i="5"/>
  <c r="I283" i="5" s="1"/>
  <c r="G277" i="5"/>
  <c r="I277" i="5" s="1"/>
  <c r="M103" i="20" l="1"/>
  <c r="K575" i="5"/>
  <c r="K275" i="5"/>
  <c r="K276" i="5"/>
  <c r="K283" i="5"/>
  <c r="K277" i="5"/>
  <c r="I57" i="10"/>
  <c r="K57" i="10" s="1"/>
  <c r="I420" i="10"/>
  <c r="K420" i="10" s="1"/>
  <c r="I58" i="10"/>
  <c r="K58" i="10" s="1"/>
  <c r="I172" i="10"/>
  <c r="K172" i="10" s="1"/>
  <c r="I430" i="10"/>
  <c r="K430" i="10" s="1"/>
  <c r="N103" i="20" l="1"/>
  <c r="S103" i="20"/>
  <c r="I770" i="10"/>
  <c r="I765" i="10"/>
  <c r="P103" i="20" l="1"/>
  <c r="O103" i="20"/>
  <c r="H950" i="3" l="1"/>
  <c r="J950" i="1" s="1"/>
  <c r="G504" i="10" l="1"/>
  <c r="G473" i="10"/>
  <c r="G147" i="5" l="1"/>
  <c r="G664" i="5"/>
  <c r="G285" i="5"/>
  <c r="N603" i="1" l="1"/>
  <c r="O603" i="1" s="1"/>
  <c r="S242" i="5"/>
  <c r="S243" i="5"/>
  <c r="S254" i="5"/>
  <c r="S256" i="5"/>
  <c r="S257" i="5"/>
  <c r="S258" i="5"/>
  <c r="S259" i="5"/>
  <c r="S260" i="5"/>
  <c r="S261" i="5"/>
  <c r="S263" i="5"/>
  <c r="S264" i="5"/>
  <c r="S265" i="5"/>
  <c r="S266" i="5"/>
  <c r="S268" i="5"/>
  <c r="S269" i="5"/>
  <c r="S270" i="5"/>
  <c r="S271" i="5"/>
  <c r="S272" i="5"/>
  <c r="S273" i="5"/>
  <c r="S294" i="5"/>
  <c r="Q473" i="10"/>
  <c r="Q516" i="10"/>
  <c r="Q237" i="10"/>
  <c r="Q509" i="10"/>
  <c r="Q159" i="10"/>
  <c r="Q525" i="10"/>
  <c r="Q487" i="10"/>
  <c r="Q526" i="10"/>
  <c r="Q489" i="10"/>
  <c r="Q498" i="10"/>
  <c r="Q497" i="10"/>
  <c r="Q496" i="10"/>
  <c r="Q486" i="10"/>
  <c r="Q512" i="10"/>
  <c r="Q444" i="10"/>
  <c r="Q511" i="10"/>
  <c r="Q470" i="10"/>
  <c r="Q521" i="10"/>
  <c r="Q472" i="10"/>
  <c r="Q452" i="10"/>
  <c r="Q506" i="10"/>
  <c r="Q158" i="10"/>
  <c r="Q226" i="10"/>
  <c r="Q449" i="10"/>
  <c r="Q485" i="10"/>
  <c r="Q406" i="10"/>
  <c r="Q492" i="10"/>
  <c r="Q510" i="10"/>
  <c r="Q204" i="10"/>
  <c r="Q300" i="10"/>
  <c r="Q200" i="10"/>
  <c r="Q505" i="10"/>
  <c r="Q209" i="10"/>
  <c r="Q235" i="10"/>
  <c r="Q520" i="10"/>
  <c r="Q398" i="10"/>
  <c r="Q450" i="10"/>
  <c r="Q451" i="10"/>
  <c r="Q468" i="10"/>
  <c r="Q453" i="10"/>
  <c r="Q513" i="10"/>
  <c r="Q500" i="10"/>
  <c r="Q433" i="10"/>
  <c r="Q195" i="10"/>
  <c r="Q206" i="10"/>
  <c r="Q439" i="10"/>
  <c r="Q495" i="10"/>
  <c r="Q412" i="10"/>
  <c r="Q524" i="10"/>
  <c r="Q280" i="10"/>
  <c r="Q383" i="10"/>
  <c r="Q313" i="10"/>
  <c r="Q188" i="10"/>
  <c r="Q490" i="10"/>
  <c r="Q482" i="10"/>
  <c r="Q327" i="10"/>
  <c r="Q373" i="10"/>
  <c r="Q478" i="10"/>
  <c r="Q405" i="10"/>
  <c r="Q376" i="10"/>
  <c r="Q151" i="10"/>
  <c r="Q386" i="10"/>
  <c r="Q165" i="10"/>
  <c r="Q366" i="10"/>
  <c r="Q250" i="10"/>
  <c r="Q426" i="10"/>
  <c r="Q422" i="10"/>
  <c r="Q369" i="10"/>
  <c r="Q196" i="10"/>
  <c r="Q523" i="10"/>
  <c r="Q157" i="10"/>
  <c r="Q187" i="10"/>
  <c r="Q156" i="10"/>
  <c r="Q199" i="10"/>
  <c r="Q429" i="10"/>
  <c r="Q326" i="10"/>
  <c r="Q5" i="10"/>
  <c r="Q394" i="10"/>
  <c r="Q307" i="10"/>
  <c r="Q417" i="10"/>
  <c r="Q508" i="10"/>
  <c r="Q222" i="10"/>
  <c r="Q348" i="10"/>
  <c r="Q295" i="10"/>
  <c r="Q409" i="10"/>
  <c r="Q315" i="10"/>
  <c r="Q411" i="10"/>
  <c r="Q208" i="10"/>
  <c r="Q175" i="10"/>
  <c r="Q310" i="10"/>
  <c r="Q197" i="10"/>
  <c r="Q447" i="10"/>
  <c r="Q314" i="10"/>
  <c r="Q503" i="10"/>
  <c r="Q474" i="10"/>
  <c r="Q384" i="10"/>
  <c r="Q431" i="10"/>
  <c r="Q270" i="10"/>
  <c r="Q9" i="10"/>
  <c r="Q324" i="10"/>
  <c r="Q372" i="10"/>
  <c r="Q150" i="10"/>
  <c r="Q3" i="10"/>
  <c r="Q350" i="10"/>
  <c r="Q180" i="10"/>
  <c r="Q392" i="10"/>
  <c r="Q389" i="10"/>
  <c r="Q277" i="10"/>
  <c r="Q155" i="10"/>
  <c r="Q401" i="10"/>
  <c r="Q266" i="10"/>
  <c r="Q465" i="10"/>
  <c r="Q437" i="10"/>
  <c r="Q15" i="10"/>
  <c r="Q179" i="10"/>
  <c r="Q377" i="10"/>
  <c r="Q410" i="10"/>
  <c r="Q469" i="10"/>
  <c r="Q154" i="10"/>
  <c r="Q403" i="10"/>
  <c r="Q191" i="10"/>
  <c r="Q210" i="10"/>
  <c r="Q356" i="10"/>
  <c r="Q382" i="10"/>
  <c r="Q388" i="10"/>
  <c r="Q458" i="10"/>
  <c r="Q501" i="10"/>
  <c r="Q10" i="10"/>
  <c r="Q413" i="10"/>
  <c r="Q6" i="10"/>
  <c r="Q404" i="10"/>
  <c r="Q367" i="10"/>
  <c r="Q494" i="10"/>
  <c r="Q319" i="10"/>
  <c r="Q379" i="10"/>
  <c r="Q281" i="10"/>
  <c r="Q287" i="10"/>
  <c r="Q297" i="10"/>
  <c r="Q236" i="10"/>
  <c r="Q246" i="10"/>
  <c r="Q37" i="10"/>
  <c r="Q336" i="10"/>
  <c r="Q240" i="10"/>
  <c r="Q231" i="10"/>
  <c r="Q306" i="10"/>
  <c r="Q419" i="10"/>
  <c r="Q440" i="10"/>
  <c r="Q522" i="10"/>
  <c r="Q442" i="10"/>
  <c r="Q344" i="10"/>
  <c r="Q391" i="10"/>
  <c r="Q346" i="10"/>
  <c r="Q335" i="10"/>
  <c r="Q290" i="10"/>
  <c r="Q272" i="10"/>
  <c r="Q239" i="10"/>
  <c r="Q454" i="10"/>
  <c r="Q305" i="10"/>
  <c r="Q396" i="10"/>
  <c r="Q20" i="10"/>
  <c r="Q264" i="10"/>
  <c r="Q214" i="10"/>
  <c r="Q341" i="10"/>
  <c r="Q312" i="10"/>
  <c r="Q271" i="10"/>
  <c r="Q325" i="10"/>
  <c r="Q55" i="10"/>
  <c r="Q164" i="10"/>
  <c r="Q491" i="10"/>
  <c r="Q184" i="10"/>
  <c r="Q408" i="10"/>
  <c r="Q438" i="10"/>
  <c r="Q338" i="10"/>
  <c r="Q309" i="10"/>
  <c r="Q182" i="10"/>
  <c r="Q479" i="10"/>
  <c r="Q397" i="10"/>
  <c r="Q493" i="10"/>
  <c r="Q462" i="10"/>
  <c r="Q318" i="10"/>
  <c r="Q251" i="10"/>
  <c r="Q267" i="10"/>
  <c r="Q11" i="10"/>
  <c r="Q176" i="10"/>
  <c r="Q292" i="10"/>
  <c r="Q286" i="10"/>
  <c r="Q329" i="10"/>
  <c r="Q293" i="10"/>
  <c r="Q283" i="10"/>
  <c r="Q198" i="10"/>
  <c r="Q339" i="10"/>
  <c r="Q435" i="10"/>
  <c r="Q333" i="10"/>
  <c r="Q170" i="10"/>
  <c r="Q212" i="10"/>
  <c r="Q436" i="10"/>
  <c r="Q163" i="10"/>
  <c r="Q432" i="10"/>
  <c r="Q455" i="10"/>
  <c r="Q178" i="10"/>
  <c r="Q124" i="10"/>
  <c r="Q34" i="10"/>
  <c r="Q278" i="10"/>
  <c r="Q395" i="10"/>
  <c r="Q294" i="10"/>
  <c r="Q274" i="10"/>
  <c r="Q393" i="10"/>
  <c r="Q448" i="10"/>
  <c r="Q415" i="10"/>
  <c r="Q25" i="10"/>
  <c r="Q441" i="10"/>
  <c r="Q421" i="10"/>
  <c r="Q258" i="10"/>
  <c r="Q253" i="10"/>
  <c r="Q262" i="10"/>
  <c r="Q233" i="10"/>
  <c r="Q461" i="10"/>
  <c r="Q425" i="10"/>
  <c r="Q361" i="10"/>
  <c r="Q17" i="10"/>
  <c r="Q414" i="10"/>
  <c r="Q263" i="10"/>
  <c r="Q166" i="10"/>
  <c r="Q424" i="10"/>
  <c r="Q18" i="10"/>
  <c r="Q174" i="10"/>
  <c r="Q213" i="10"/>
  <c r="Q219" i="10"/>
  <c r="Q354" i="10"/>
  <c r="Q224" i="10"/>
  <c r="Q332" i="10"/>
  <c r="G510" i="5" l="1"/>
  <c r="G453" i="5"/>
  <c r="G72" i="5"/>
  <c r="F151" i="12"/>
  <c r="H151" i="12"/>
  <c r="F237" i="12"/>
  <c r="S253" i="5"/>
  <c r="S252" i="5"/>
  <c r="S251" i="5"/>
  <c r="S250" i="5"/>
  <c r="S247" i="5"/>
  <c r="S246" i="5"/>
  <c r="S245" i="5"/>
  <c r="S231" i="5"/>
  <c r="S230" i="5"/>
  <c r="S229" i="5"/>
  <c r="S249" i="5" l="1"/>
  <c r="S248" i="5"/>
  <c r="S244" i="5"/>
  <c r="L232" i="11"/>
  <c r="L240" i="11"/>
  <c r="L250" i="11"/>
  <c r="L260" i="11"/>
  <c r="L266" i="11"/>
  <c r="L267" i="11"/>
  <c r="L282" i="11"/>
  <c r="M274" i="5"/>
  <c r="O274" i="5" s="1"/>
  <c r="G364" i="10"/>
  <c r="I364" i="10" s="1"/>
  <c r="K364" i="10" s="1"/>
  <c r="G500" i="5"/>
  <c r="I500" i="5" s="1"/>
  <c r="H3" i="3"/>
  <c r="J3" i="1" s="1"/>
  <c r="H4" i="3"/>
  <c r="J4" i="1" s="1"/>
  <c r="H5" i="3"/>
  <c r="J5" i="1" s="1"/>
  <c r="H6" i="3"/>
  <c r="J6" i="1" s="1"/>
  <c r="H7" i="3"/>
  <c r="J7" i="1" s="1"/>
  <c r="H8" i="3"/>
  <c r="J8" i="1" s="1"/>
  <c r="H9" i="3"/>
  <c r="J9" i="1" s="1"/>
  <c r="H10" i="3"/>
  <c r="J10" i="1" s="1"/>
  <c r="H11" i="3"/>
  <c r="J11" i="1" s="1"/>
  <c r="H12" i="3"/>
  <c r="J12" i="1" s="1"/>
  <c r="H13" i="3"/>
  <c r="J13" i="1" s="1"/>
  <c r="H14" i="3"/>
  <c r="J14" i="1" s="1"/>
  <c r="H15" i="3"/>
  <c r="J15" i="1" s="1"/>
  <c r="H16" i="3"/>
  <c r="J16" i="1" s="1"/>
  <c r="H17" i="3"/>
  <c r="J17" i="1" s="1"/>
  <c r="H18" i="3"/>
  <c r="J18" i="1" s="1"/>
  <c r="H19" i="3"/>
  <c r="H20" i="3"/>
  <c r="J20" i="1" s="1"/>
  <c r="H21" i="3"/>
  <c r="J21" i="1" s="1"/>
  <c r="H22" i="3"/>
  <c r="J22" i="1" s="1"/>
  <c r="H23" i="3"/>
  <c r="J23" i="1" s="1"/>
  <c r="H24" i="3"/>
  <c r="J24" i="1" s="1"/>
  <c r="H25" i="3"/>
  <c r="J25" i="1" s="1"/>
  <c r="H26" i="3"/>
  <c r="J26" i="1" s="1"/>
  <c r="H27" i="3"/>
  <c r="J27" i="1" s="1"/>
  <c r="H28" i="3"/>
  <c r="J28" i="1" s="1"/>
  <c r="H29" i="3"/>
  <c r="J29" i="1" s="1"/>
  <c r="H30" i="3"/>
  <c r="J30" i="1" s="1"/>
  <c r="H31" i="3"/>
  <c r="J31" i="1" s="1"/>
  <c r="H32" i="3"/>
  <c r="J32" i="1" s="1"/>
  <c r="H33" i="3"/>
  <c r="J33" i="1" s="1"/>
  <c r="H34" i="3"/>
  <c r="J34" i="1" s="1"/>
  <c r="H35" i="3"/>
  <c r="J35" i="1" s="1"/>
  <c r="H36" i="3"/>
  <c r="J36" i="1" s="1"/>
  <c r="H37" i="3"/>
  <c r="J37" i="1" s="1"/>
  <c r="H38" i="3"/>
  <c r="J38" i="1" s="1"/>
  <c r="H39" i="3"/>
  <c r="J39" i="1" s="1"/>
  <c r="H40" i="3"/>
  <c r="J40" i="1" s="1"/>
  <c r="H41" i="3"/>
  <c r="J41" i="1" s="1"/>
  <c r="H42" i="3"/>
  <c r="J42" i="1" s="1"/>
  <c r="H43" i="3"/>
  <c r="J43" i="1" s="1"/>
  <c r="H44" i="3"/>
  <c r="J44" i="1" s="1"/>
  <c r="H45" i="3"/>
  <c r="J45" i="1" s="1"/>
  <c r="H46" i="3"/>
  <c r="J46" i="1" s="1"/>
  <c r="H47" i="3"/>
  <c r="J47" i="1" s="1"/>
  <c r="H48" i="3"/>
  <c r="J48" i="1" s="1"/>
  <c r="H49" i="3"/>
  <c r="J49" i="1" s="1"/>
  <c r="H50" i="3"/>
  <c r="J50" i="1" s="1"/>
  <c r="H51" i="3"/>
  <c r="J51" i="1" s="1"/>
  <c r="H52" i="3"/>
  <c r="J52" i="1" s="1"/>
  <c r="H53" i="3"/>
  <c r="J53" i="1" s="1"/>
  <c r="H54" i="3"/>
  <c r="J54" i="1" s="1"/>
  <c r="H55" i="3"/>
  <c r="J55" i="1" s="1"/>
  <c r="H56" i="3"/>
  <c r="J56" i="1" s="1"/>
  <c r="H57" i="3"/>
  <c r="J57" i="1" s="1"/>
  <c r="H58" i="3"/>
  <c r="J58" i="1" s="1"/>
  <c r="H59" i="3"/>
  <c r="J59" i="1" s="1"/>
  <c r="H60" i="3"/>
  <c r="J60" i="1" s="1"/>
  <c r="H61" i="3"/>
  <c r="J61" i="1" s="1"/>
  <c r="H62" i="3"/>
  <c r="J62" i="1" s="1"/>
  <c r="H63" i="3"/>
  <c r="J63" i="1" s="1"/>
  <c r="H64" i="3"/>
  <c r="J64" i="1" s="1"/>
  <c r="H65" i="3"/>
  <c r="J65" i="1" s="1"/>
  <c r="H66" i="3"/>
  <c r="J66" i="1" s="1"/>
  <c r="H67" i="3"/>
  <c r="J67" i="1" s="1"/>
  <c r="H68" i="3"/>
  <c r="J68" i="1" s="1"/>
  <c r="H69" i="3"/>
  <c r="J69" i="1" s="1"/>
  <c r="H70" i="3"/>
  <c r="J70" i="1" s="1"/>
  <c r="H71" i="3"/>
  <c r="J71" i="1" s="1"/>
  <c r="H72" i="3"/>
  <c r="J72" i="1" s="1"/>
  <c r="H73" i="3"/>
  <c r="J73" i="1" s="1"/>
  <c r="H74" i="3"/>
  <c r="J74" i="1" s="1"/>
  <c r="H75" i="3"/>
  <c r="J75" i="1" s="1"/>
  <c r="H76" i="3"/>
  <c r="J76" i="1" s="1"/>
  <c r="H77" i="3"/>
  <c r="J77" i="1" s="1"/>
  <c r="H78" i="3"/>
  <c r="J78" i="1" s="1"/>
  <c r="H79" i="3"/>
  <c r="J79" i="1" s="1"/>
  <c r="H80" i="3"/>
  <c r="J80" i="1" s="1"/>
  <c r="H81" i="3"/>
  <c r="J81" i="1" s="1"/>
  <c r="H82" i="3"/>
  <c r="J82" i="1" s="1"/>
  <c r="H83" i="3"/>
  <c r="J83" i="1" s="1"/>
  <c r="H84" i="3"/>
  <c r="J84" i="1" s="1"/>
  <c r="H85" i="3"/>
  <c r="J85" i="1" s="1"/>
  <c r="H86" i="3"/>
  <c r="J86" i="1" s="1"/>
  <c r="H87" i="3"/>
  <c r="J87" i="1" s="1"/>
  <c r="H88" i="3"/>
  <c r="J88" i="1" s="1"/>
  <c r="H89" i="3"/>
  <c r="J89" i="1" s="1"/>
  <c r="H90" i="3"/>
  <c r="J90" i="1" s="1"/>
  <c r="H91" i="3"/>
  <c r="J91" i="1" s="1"/>
  <c r="H92" i="3"/>
  <c r="J92" i="1" s="1"/>
  <c r="H93" i="3"/>
  <c r="J93" i="1" s="1"/>
  <c r="H94" i="3"/>
  <c r="J94" i="1" s="1"/>
  <c r="H95" i="3"/>
  <c r="J95" i="1" s="1"/>
  <c r="H96" i="3"/>
  <c r="J96" i="1" s="1"/>
  <c r="H97" i="3"/>
  <c r="J97" i="1" s="1"/>
  <c r="H98" i="3"/>
  <c r="J98" i="1" s="1"/>
  <c r="H99" i="3"/>
  <c r="J99" i="1" s="1"/>
  <c r="H100" i="3"/>
  <c r="J100" i="1" s="1"/>
  <c r="H101" i="3"/>
  <c r="J101" i="1" s="1"/>
  <c r="H102" i="3"/>
  <c r="J102" i="1" s="1"/>
  <c r="H103" i="3"/>
  <c r="J103" i="1" s="1"/>
  <c r="H104" i="3"/>
  <c r="J104" i="1" s="1"/>
  <c r="H105" i="3"/>
  <c r="J105" i="1" s="1"/>
  <c r="H106" i="3"/>
  <c r="J106" i="1" s="1"/>
  <c r="H107" i="3"/>
  <c r="J107" i="1" s="1"/>
  <c r="H108" i="3"/>
  <c r="J108" i="1" s="1"/>
  <c r="H109" i="3"/>
  <c r="J109" i="1" s="1"/>
  <c r="H110" i="3"/>
  <c r="J110" i="1" s="1"/>
  <c r="H111" i="3"/>
  <c r="J111" i="1" s="1"/>
  <c r="H112" i="3"/>
  <c r="J112" i="1" s="1"/>
  <c r="H113" i="3"/>
  <c r="J113" i="1" s="1"/>
  <c r="H114" i="3"/>
  <c r="J114" i="1" s="1"/>
  <c r="H115" i="3"/>
  <c r="J115" i="1" s="1"/>
  <c r="H116" i="3"/>
  <c r="J116" i="1" s="1"/>
  <c r="H117" i="3"/>
  <c r="J117" i="1" s="1"/>
  <c r="H118" i="3"/>
  <c r="J118" i="1" s="1"/>
  <c r="H119" i="3"/>
  <c r="J119" i="1" s="1"/>
  <c r="H120" i="3"/>
  <c r="J120" i="1" s="1"/>
  <c r="H121" i="3"/>
  <c r="J121" i="1" s="1"/>
  <c r="H122" i="3"/>
  <c r="J122" i="1" s="1"/>
  <c r="H123" i="3"/>
  <c r="J123" i="1" s="1"/>
  <c r="H124" i="3"/>
  <c r="J124" i="1" s="1"/>
  <c r="H125" i="3"/>
  <c r="J125" i="1" s="1"/>
  <c r="H126" i="3"/>
  <c r="J126" i="1" s="1"/>
  <c r="H127" i="3"/>
  <c r="J127" i="1" s="1"/>
  <c r="H128" i="3"/>
  <c r="J128" i="1" s="1"/>
  <c r="H129" i="3"/>
  <c r="J129" i="1" s="1"/>
  <c r="H130" i="3"/>
  <c r="J130" i="1" s="1"/>
  <c r="H131" i="3"/>
  <c r="J131" i="1" s="1"/>
  <c r="H132" i="3"/>
  <c r="J132" i="1" s="1"/>
  <c r="H133" i="3"/>
  <c r="J133" i="1" s="1"/>
  <c r="H134" i="3"/>
  <c r="J134" i="1" s="1"/>
  <c r="H135" i="3"/>
  <c r="J135" i="1" s="1"/>
  <c r="H136" i="3"/>
  <c r="J136" i="1" s="1"/>
  <c r="H137" i="3"/>
  <c r="J137" i="1" s="1"/>
  <c r="H138" i="3"/>
  <c r="J138" i="1" s="1"/>
  <c r="H139" i="3"/>
  <c r="J139" i="1" s="1"/>
  <c r="H140" i="3"/>
  <c r="J140" i="1" s="1"/>
  <c r="H141" i="3"/>
  <c r="J141" i="1" s="1"/>
  <c r="H142" i="3"/>
  <c r="J142" i="1" s="1"/>
  <c r="H143" i="3"/>
  <c r="J143" i="1" s="1"/>
  <c r="H144" i="3"/>
  <c r="J144" i="1" s="1"/>
  <c r="H145" i="3"/>
  <c r="J145" i="1" s="1"/>
  <c r="H146" i="3"/>
  <c r="J146" i="1" s="1"/>
  <c r="H147" i="3"/>
  <c r="J147" i="1" s="1"/>
  <c r="H148" i="3"/>
  <c r="J148" i="1" s="1"/>
  <c r="H149" i="3"/>
  <c r="J149" i="1" s="1"/>
  <c r="H150" i="3"/>
  <c r="J150" i="1" s="1"/>
  <c r="H151" i="3"/>
  <c r="J151" i="1" s="1"/>
  <c r="H152" i="3"/>
  <c r="J152" i="1" s="1"/>
  <c r="H153" i="3"/>
  <c r="J153" i="1" s="1"/>
  <c r="H154" i="3"/>
  <c r="J154" i="1" s="1"/>
  <c r="H155" i="3"/>
  <c r="J155" i="1" s="1"/>
  <c r="H156" i="3"/>
  <c r="J156" i="1" s="1"/>
  <c r="H157" i="3"/>
  <c r="J157" i="1" s="1"/>
  <c r="H158" i="3"/>
  <c r="J158" i="1" s="1"/>
  <c r="H159" i="3"/>
  <c r="J159" i="1" s="1"/>
  <c r="H160" i="3"/>
  <c r="J160" i="1" s="1"/>
  <c r="H161" i="3"/>
  <c r="J161" i="1" s="1"/>
  <c r="H162" i="3"/>
  <c r="J162" i="1" s="1"/>
  <c r="H163" i="3"/>
  <c r="J163" i="1" s="1"/>
  <c r="H164" i="3"/>
  <c r="J164" i="1" s="1"/>
  <c r="H165" i="3"/>
  <c r="J165" i="1" s="1"/>
  <c r="H166" i="3"/>
  <c r="J166" i="1" s="1"/>
  <c r="H167" i="3"/>
  <c r="J167" i="1" s="1"/>
  <c r="H168" i="3"/>
  <c r="J168" i="1" s="1"/>
  <c r="H169" i="3"/>
  <c r="J169" i="1" s="1"/>
  <c r="H170" i="3"/>
  <c r="J170" i="1" s="1"/>
  <c r="H171" i="3"/>
  <c r="J171" i="1" s="1"/>
  <c r="H172" i="3"/>
  <c r="J172" i="1" s="1"/>
  <c r="H173" i="3"/>
  <c r="J173" i="1" s="1"/>
  <c r="H174" i="3"/>
  <c r="J174" i="1" s="1"/>
  <c r="H175" i="3"/>
  <c r="J175" i="1" s="1"/>
  <c r="H176" i="3"/>
  <c r="J176" i="1" s="1"/>
  <c r="H177" i="3"/>
  <c r="J177" i="1" s="1"/>
  <c r="H178" i="3"/>
  <c r="J178" i="1" s="1"/>
  <c r="H179" i="3"/>
  <c r="J179" i="1" s="1"/>
  <c r="H180" i="3"/>
  <c r="J180" i="1" s="1"/>
  <c r="H181" i="3"/>
  <c r="J181" i="1" s="1"/>
  <c r="H182" i="3"/>
  <c r="J182" i="1" s="1"/>
  <c r="H183" i="3"/>
  <c r="J183" i="1" s="1"/>
  <c r="H184" i="3"/>
  <c r="J184" i="1" s="1"/>
  <c r="H185" i="3"/>
  <c r="J185" i="1" s="1"/>
  <c r="H186" i="3"/>
  <c r="J186" i="1" s="1"/>
  <c r="H187" i="3"/>
  <c r="J187" i="1" s="1"/>
  <c r="H188" i="3"/>
  <c r="J188" i="1" s="1"/>
  <c r="H189" i="3"/>
  <c r="J189" i="1" s="1"/>
  <c r="H190" i="3"/>
  <c r="J190" i="1" s="1"/>
  <c r="H191" i="3"/>
  <c r="J191" i="1" s="1"/>
  <c r="H192" i="3"/>
  <c r="J192" i="1" s="1"/>
  <c r="H193" i="3"/>
  <c r="J193" i="1" s="1"/>
  <c r="H194" i="3"/>
  <c r="J194" i="1" s="1"/>
  <c r="H195" i="3"/>
  <c r="J195" i="1" s="1"/>
  <c r="H196" i="3"/>
  <c r="J196" i="1" s="1"/>
  <c r="H197" i="3"/>
  <c r="J197" i="1" s="1"/>
  <c r="H198" i="3"/>
  <c r="J198" i="1" s="1"/>
  <c r="H199" i="3"/>
  <c r="J199" i="1" s="1"/>
  <c r="H200" i="3"/>
  <c r="J200" i="1" s="1"/>
  <c r="H201" i="3"/>
  <c r="J201" i="1" s="1"/>
  <c r="H202" i="3"/>
  <c r="J202" i="1" s="1"/>
  <c r="H203" i="3"/>
  <c r="J203" i="1" s="1"/>
  <c r="H204" i="3"/>
  <c r="J204" i="1" s="1"/>
  <c r="H205" i="3"/>
  <c r="J205" i="1" s="1"/>
  <c r="H206" i="3"/>
  <c r="J206" i="1" s="1"/>
  <c r="H207" i="3"/>
  <c r="J207" i="1" s="1"/>
  <c r="H208" i="3"/>
  <c r="J208" i="1" s="1"/>
  <c r="H209" i="3"/>
  <c r="J209" i="1" s="1"/>
  <c r="H210" i="3"/>
  <c r="J210" i="1" s="1"/>
  <c r="H211" i="3"/>
  <c r="J211" i="1" s="1"/>
  <c r="H212" i="3"/>
  <c r="J212" i="1" s="1"/>
  <c r="H213" i="3"/>
  <c r="J213" i="1" s="1"/>
  <c r="H214" i="3"/>
  <c r="J214" i="1" s="1"/>
  <c r="H215" i="3"/>
  <c r="J215" i="1" s="1"/>
  <c r="H216" i="3"/>
  <c r="J216" i="1" s="1"/>
  <c r="H217" i="3"/>
  <c r="J217" i="1" s="1"/>
  <c r="H218" i="3"/>
  <c r="J218" i="1" s="1"/>
  <c r="H219" i="3"/>
  <c r="J219" i="1" s="1"/>
  <c r="H220" i="3"/>
  <c r="J220" i="1" s="1"/>
  <c r="H221" i="3"/>
  <c r="J221" i="1" s="1"/>
  <c r="H222" i="3"/>
  <c r="J222" i="1" s="1"/>
  <c r="H223" i="3"/>
  <c r="J223" i="1" s="1"/>
  <c r="H224" i="3"/>
  <c r="J224" i="1" s="1"/>
  <c r="H225" i="3"/>
  <c r="J225" i="1" s="1"/>
  <c r="H226" i="3"/>
  <c r="J226" i="1" s="1"/>
  <c r="H227" i="3"/>
  <c r="J227" i="1" s="1"/>
  <c r="H228" i="3"/>
  <c r="J228" i="1" s="1"/>
  <c r="H229" i="3"/>
  <c r="J229" i="1" s="1"/>
  <c r="H230" i="3"/>
  <c r="J230" i="1" s="1"/>
  <c r="H231" i="3"/>
  <c r="J231" i="1" s="1"/>
  <c r="H232" i="3"/>
  <c r="J232" i="1" s="1"/>
  <c r="H233" i="3"/>
  <c r="J233" i="1" s="1"/>
  <c r="H234" i="3"/>
  <c r="J234" i="1" s="1"/>
  <c r="H235" i="3"/>
  <c r="J235" i="1" s="1"/>
  <c r="H236" i="3"/>
  <c r="J236" i="1" s="1"/>
  <c r="H237" i="3"/>
  <c r="J237" i="1" s="1"/>
  <c r="H238" i="3"/>
  <c r="J238" i="1" s="1"/>
  <c r="H239" i="3"/>
  <c r="J239" i="1" s="1"/>
  <c r="H240" i="3"/>
  <c r="J240" i="1" s="1"/>
  <c r="H241" i="3"/>
  <c r="J241" i="1" s="1"/>
  <c r="H242" i="3"/>
  <c r="J242" i="1" s="1"/>
  <c r="H243" i="3"/>
  <c r="J243" i="1" s="1"/>
  <c r="H244" i="3"/>
  <c r="J244" i="1" s="1"/>
  <c r="H245" i="3"/>
  <c r="J245" i="1" s="1"/>
  <c r="H246" i="3"/>
  <c r="J246" i="1" s="1"/>
  <c r="H247" i="3"/>
  <c r="J247" i="1" s="1"/>
  <c r="H248" i="3"/>
  <c r="J248" i="1" s="1"/>
  <c r="H249" i="3"/>
  <c r="J249" i="1" s="1"/>
  <c r="H250" i="3"/>
  <c r="J250" i="1" s="1"/>
  <c r="H251" i="3"/>
  <c r="J251" i="1" s="1"/>
  <c r="H252" i="3"/>
  <c r="J252" i="1" s="1"/>
  <c r="H253" i="3"/>
  <c r="J253" i="1" s="1"/>
  <c r="H254" i="3"/>
  <c r="J254" i="1" s="1"/>
  <c r="H255" i="3"/>
  <c r="J255" i="1" s="1"/>
  <c r="H256" i="3"/>
  <c r="J256" i="1" s="1"/>
  <c r="H257" i="3"/>
  <c r="J257" i="1" s="1"/>
  <c r="H258" i="3"/>
  <c r="J258" i="1" s="1"/>
  <c r="H259" i="3"/>
  <c r="J259" i="1" s="1"/>
  <c r="H260" i="3"/>
  <c r="J260" i="1" s="1"/>
  <c r="H261" i="3"/>
  <c r="J261" i="1" s="1"/>
  <c r="H262" i="3"/>
  <c r="J262" i="1" s="1"/>
  <c r="H263" i="3"/>
  <c r="J263" i="1" s="1"/>
  <c r="H264" i="3"/>
  <c r="J264" i="1" s="1"/>
  <c r="H265" i="3"/>
  <c r="J265" i="1" s="1"/>
  <c r="H266" i="3"/>
  <c r="J266" i="1" s="1"/>
  <c r="H267" i="3"/>
  <c r="J267" i="1" s="1"/>
  <c r="H268" i="3"/>
  <c r="J268" i="1" s="1"/>
  <c r="H269" i="3"/>
  <c r="J269" i="1" s="1"/>
  <c r="H270" i="3"/>
  <c r="J270" i="1" s="1"/>
  <c r="H271" i="3"/>
  <c r="J271" i="1" s="1"/>
  <c r="H272" i="3"/>
  <c r="J272" i="1" s="1"/>
  <c r="H273" i="3"/>
  <c r="J273" i="1" s="1"/>
  <c r="H274" i="3"/>
  <c r="J274" i="1" s="1"/>
  <c r="H275" i="3"/>
  <c r="J275" i="1" s="1"/>
  <c r="H276" i="3"/>
  <c r="J276" i="1" s="1"/>
  <c r="H277" i="3"/>
  <c r="J277" i="1" s="1"/>
  <c r="H278" i="3"/>
  <c r="J278" i="1" s="1"/>
  <c r="H279" i="3"/>
  <c r="J279" i="1" s="1"/>
  <c r="H280" i="3"/>
  <c r="J280" i="1" s="1"/>
  <c r="H281" i="3"/>
  <c r="J281" i="1" s="1"/>
  <c r="H282" i="3"/>
  <c r="J282" i="1" s="1"/>
  <c r="H283" i="3"/>
  <c r="J283" i="1" s="1"/>
  <c r="H284" i="3"/>
  <c r="J284" i="1" s="1"/>
  <c r="H285" i="3"/>
  <c r="J285" i="1" s="1"/>
  <c r="H286" i="3"/>
  <c r="J286" i="1" s="1"/>
  <c r="H287" i="3"/>
  <c r="J287" i="1" s="1"/>
  <c r="H288" i="3"/>
  <c r="J288" i="1" s="1"/>
  <c r="H289" i="3"/>
  <c r="J289" i="1" s="1"/>
  <c r="H290" i="3"/>
  <c r="J290" i="1" s="1"/>
  <c r="H291" i="3"/>
  <c r="J291" i="1" s="1"/>
  <c r="H292" i="3"/>
  <c r="J292" i="1" s="1"/>
  <c r="H293" i="3"/>
  <c r="J293" i="1" s="1"/>
  <c r="H294" i="3"/>
  <c r="J294" i="1" s="1"/>
  <c r="H295" i="3"/>
  <c r="J295" i="1" s="1"/>
  <c r="H296" i="3"/>
  <c r="J296" i="1" s="1"/>
  <c r="H297" i="3"/>
  <c r="J297" i="1" s="1"/>
  <c r="H298" i="3"/>
  <c r="J298" i="1" s="1"/>
  <c r="H299" i="3"/>
  <c r="J299" i="1" s="1"/>
  <c r="H300" i="3"/>
  <c r="J300" i="1" s="1"/>
  <c r="H301" i="3"/>
  <c r="J301" i="1" s="1"/>
  <c r="H302" i="3"/>
  <c r="J302" i="1" s="1"/>
  <c r="H303" i="3"/>
  <c r="J303" i="1" s="1"/>
  <c r="H304" i="3"/>
  <c r="J304" i="1" s="1"/>
  <c r="H305" i="3"/>
  <c r="J305" i="1" s="1"/>
  <c r="H306" i="3"/>
  <c r="J306" i="1" s="1"/>
  <c r="H307" i="3"/>
  <c r="J307" i="1" s="1"/>
  <c r="H308" i="3"/>
  <c r="J308" i="1" s="1"/>
  <c r="H309" i="3"/>
  <c r="J309" i="1" s="1"/>
  <c r="H310" i="3"/>
  <c r="J310" i="1" s="1"/>
  <c r="H311" i="3"/>
  <c r="J311" i="1" s="1"/>
  <c r="H312" i="3"/>
  <c r="J312" i="1" s="1"/>
  <c r="H313" i="3"/>
  <c r="J313" i="1" s="1"/>
  <c r="H314" i="3"/>
  <c r="J314" i="1" s="1"/>
  <c r="H315" i="3"/>
  <c r="J315" i="1" s="1"/>
  <c r="H316" i="3"/>
  <c r="J316" i="1" s="1"/>
  <c r="H317" i="3"/>
  <c r="J317" i="1" s="1"/>
  <c r="H318" i="3"/>
  <c r="J318" i="1" s="1"/>
  <c r="H319" i="3"/>
  <c r="J319" i="1" s="1"/>
  <c r="H320" i="3"/>
  <c r="J320" i="1" s="1"/>
  <c r="H321" i="3"/>
  <c r="J321" i="1" s="1"/>
  <c r="H322" i="3"/>
  <c r="J322" i="1" s="1"/>
  <c r="H323" i="3"/>
  <c r="J323" i="1" s="1"/>
  <c r="H324" i="3"/>
  <c r="J324" i="1" s="1"/>
  <c r="H325" i="3"/>
  <c r="J325" i="1" s="1"/>
  <c r="H326" i="3"/>
  <c r="J326" i="1" s="1"/>
  <c r="H327" i="3"/>
  <c r="J327" i="1" s="1"/>
  <c r="H328" i="3"/>
  <c r="J328" i="1" s="1"/>
  <c r="H329" i="3"/>
  <c r="J329" i="1" s="1"/>
  <c r="H330" i="3"/>
  <c r="J330" i="1" s="1"/>
  <c r="H331" i="3"/>
  <c r="J331" i="1" s="1"/>
  <c r="H332" i="3"/>
  <c r="J332" i="1" s="1"/>
  <c r="H333" i="3"/>
  <c r="J333" i="1" s="1"/>
  <c r="H334" i="3"/>
  <c r="J334" i="1" s="1"/>
  <c r="H335" i="3"/>
  <c r="J335" i="1" s="1"/>
  <c r="H336" i="3"/>
  <c r="J336" i="1" s="1"/>
  <c r="H337" i="3"/>
  <c r="J337" i="1" s="1"/>
  <c r="H338" i="3"/>
  <c r="J338" i="1" s="1"/>
  <c r="H339" i="3"/>
  <c r="J339" i="1" s="1"/>
  <c r="H340" i="3"/>
  <c r="J340" i="1" s="1"/>
  <c r="H341" i="3"/>
  <c r="J341" i="1" s="1"/>
  <c r="H342" i="3"/>
  <c r="J342" i="1" s="1"/>
  <c r="H343" i="3"/>
  <c r="J343" i="1" s="1"/>
  <c r="H344" i="3"/>
  <c r="J344" i="1" s="1"/>
  <c r="H345" i="3"/>
  <c r="J345" i="1" s="1"/>
  <c r="H346" i="3"/>
  <c r="J346" i="1" s="1"/>
  <c r="H347" i="3"/>
  <c r="J347" i="1" s="1"/>
  <c r="H348" i="3"/>
  <c r="J348" i="1" s="1"/>
  <c r="H349" i="3"/>
  <c r="J349" i="1" s="1"/>
  <c r="H350" i="3"/>
  <c r="J350" i="1" s="1"/>
  <c r="H351" i="3"/>
  <c r="J351" i="1" s="1"/>
  <c r="H352" i="3"/>
  <c r="J352" i="1" s="1"/>
  <c r="H353" i="3"/>
  <c r="J353" i="1" s="1"/>
  <c r="H354" i="3"/>
  <c r="J354" i="1" s="1"/>
  <c r="H355" i="3"/>
  <c r="J355" i="1" s="1"/>
  <c r="H356" i="3"/>
  <c r="J356" i="1" s="1"/>
  <c r="H357" i="3"/>
  <c r="J357" i="1" s="1"/>
  <c r="H358" i="3"/>
  <c r="J358" i="1" s="1"/>
  <c r="H359" i="3"/>
  <c r="J359" i="1" s="1"/>
  <c r="H360" i="3"/>
  <c r="J360" i="1" s="1"/>
  <c r="H361" i="3"/>
  <c r="J361" i="1" s="1"/>
  <c r="H362" i="3"/>
  <c r="J362" i="1" s="1"/>
  <c r="H363" i="3"/>
  <c r="J363" i="1" s="1"/>
  <c r="H364" i="3"/>
  <c r="J364" i="1" s="1"/>
  <c r="H365" i="3"/>
  <c r="J365" i="1" s="1"/>
  <c r="H366" i="3"/>
  <c r="J366" i="1" s="1"/>
  <c r="H367" i="3"/>
  <c r="J367" i="1" s="1"/>
  <c r="H368" i="3"/>
  <c r="J368" i="1" s="1"/>
  <c r="H369" i="3"/>
  <c r="J369" i="1" s="1"/>
  <c r="H370" i="3"/>
  <c r="J370" i="1" s="1"/>
  <c r="H371" i="3"/>
  <c r="J371" i="1" s="1"/>
  <c r="H372" i="3"/>
  <c r="J372" i="1" s="1"/>
  <c r="H373" i="3"/>
  <c r="J373" i="1" s="1"/>
  <c r="H374" i="3"/>
  <c r="J374" i="1" s="1"/>
  <c r="H375" i="3"/>
  <c r="J375" i="1" s="1"/>
  <c r="H376" i="3"/>
  <c r="J376" i="1" s="1"/>
  <c r="H377" i="3"/>
  <c r="J377" i="1" s="1"/>
  <c r="H378" i="3"/>
  <c r="J378" i="1" s="1"/>
  <c r="H379" i="3"/>
  <c r="J379" i="1" s="1"/>
  <c r="H380" i="3"/>
  <c r="J380" i="1" s="1"/>
  <c r="H381" i="3"/>
  <c r="J381" i="1" s="1"/>
  <c r="H382" i="3"/>
  <c r="J382" i="1" s="1"/>
  <c r="H383" i="3"/>
  <c r="J383" i="1" s="1"/>
  <c r="H384" i="3"/>
  <c r="J384" i="1" s="1"/>
  <c r="H385" i="3"/>
  <c r="H386" i="3"/>
  <c r="H387" i="3"/>
  <c r="J387" i="1" s="1"/>
  <c r="H388" i="3"/>
  <c r="J388" i="1" s="1"/>
  <c r="H389" i="3"/>
  <c r="H390" i="3"/>
  <c r="J390" i="1" s="1"/>
  <c r="H391" i="3"/>
  <c r="J391" i="1" s="1"/>
  <c r="H392" i="3"/>
  <c r="J392" i="1" s="1"/>
  <c r="H393" i="3"/>
  <c r="J393" i="1" s="1"/>
  <c r="H394" i="3"/>
  <c r="J394" i="1" s="1"/>
  <c r="H395" i="3"/>
  <c r="J395" i="1" s="1"/>
  <c r="H396" i="3"/>
  <c r="J396" i="1" s="1"/>
  <c r="H397" i="3"/>
  <c r="J397" i="1" s="1"/>
  <c r="H398" i="3"/>
  <c r="J398" i="1" s="1"/>
  <c r="H399" i="3"/>
  <c r="J399" i="1" s="1"/>
  <c r="H400" i="3"/>
  <c r="H401" i="3"/>
  <c r="J401" i="1" s="1"/>
  <c r="H402" i="3"/>
  <c r="J402" i="1" s="1"/>
  <c r="H403" i="3"/>
  <c r="H404" i="3"/>
  <c r="H405" i="3"/>
  <c r="H406" i="3"/>
  <c r="H407" i="3"/>
  <c r="H408" i="3"/>
  <c r="H409" i="3"/>
  <c r="H410" i="3"/>
  <c r="H411" i="3"/>
  <c r="H412" i="3"/>
  <c r="J412" i="1" s="1"/>
  <c r="H413" i="3"/>
  <c r="J413" i="1" s="1"/>
  <c r="H414" i="3"/>
  <c r="J414" i="1" s="1"/>
  <c r="H415" i="3"/>
  <c r="J415" i="1" s="1"/>
  <c r="H416" i="3"/>
  <c r="J416" i="1" s="1"/>
  <c r="H417" i="3"/>
  <c r="J417" i="1" s="1"/>
  <c r="H418" i="3"/>
  <c r="J418" i="1" s="1"/>
  <c r="H419" i="3"/>
  <c r="J419" i="1" s="1"/>
  <c r="H420" i="3"/>
  <c r="J420" i="1" s="1"/>
  <c r="H421" i="3"/>
  <c r="J421" i="1" s="1"/>
  <c r="H422" i="3"/>
  <c r="J422" i="1" s="1"/>
  <c r="H423" i="3"/>
  <c r="J423" i="1" s="1"/>
  <c r="H424" i="3"/>
  <c r="J424" i="1" s="1"/>
  <c r="H425" i="3"/>
  <c r="J425" i="1" s="1"/>
  <c r="H426" i="3"/>
  <c r="J426" i="1" s="1"/>
  <c r="H427" i="3"/>
  <c r="J427" i="1" s="1"/>
  <c r="H428" i="3"/>
  <c r="J428" i="1" s="1"/>
  <c r="H429" i="3"/>
  <c r="J429" i="1" s="1"/>
  <c r="H430" i="3"/>
  <c r="J430" i="1" s="1"/>
  <c r="H431" i="3"/>
  <c r="J431" i="1" s="1"/>
  <c r="H432" i="3"/>
  <c r="J432" i="1" s="1"/>
  <c r="H433" i="3"/>
  <c r="J433" i="1" s="1"/>
  <c r="H434" i="3"/>
  <c r="J434" i="1" s="1"/>
  <c r="H435" i="3"/>
  <c r="J435" i="1" s="1"/>
  <c r="H436" i="3"/>
  <c r="J436" i="1" s="1"/>
  <c r="H437" i="3"/>
  <c r="J437" i="1" s="1"/>
  <c r="H438" i="3"/>
  <c r="J438" i="1" s="1"/>
  <c r="H439" i="3"/>
  <c r="J439" i="1" s="1"/>
  <c r="H440" i="3"/>
  <c r="J440" i="1" s="1"/>
  <c r="H441" i="3"/>
  <c r="J441" i="1" s="1"/>
  <c r="H442" i="3"/>
  <c r="J442" i="1" s="1"/>
  <c r="H443" i="3"/>
  <c r="J443" i="1" s="1"/>
  <c r="H444" i="3"/>
  <c r="J444" i="1" s="1"/>
  <c r="H445" i="3"/>
  <c r="J445" i="1" s="1"/>
  <c r="H446" i="3"/>
  <c r="J446" i="1" s="1"/>
  <c r="H447" i="3"/>
  <c r="J447" i="1" s="1"/>
  <c r="H448" i="3"/>
  <c r="J448" i="1" s="1"/>
  <c r="H449" i="3"/>
  <c r="J449" i="1" s="1"/>
  <c r="H450" i="3"/>
  <c r="J450" i="1" s="1"/>
  <c r="H451" i="3"/>
  <c r="J451" i="1" s="1"/>
  <c r="H452" i="3"/>
  <c r="J452" i="1" s="1"/>
  <c r="H453" i="3"/>
  <c r="J453" i="1" s="1"/>
  <c r="H454" i="3"/>
  <c r="J454" i="1" s="1"/>
  <c r="H455" i="3"/>
  <c r="J455" i="1" s="1"/>
  <c r="H456" i="3"/>
  <c r="J456" i="1" s="1"/>
  <c r="H457" i="3"/>
  <c r="J457" i="1" s="1"/>
  <c r="H458" i="3"/>
  <c r="J458" i="1" s="1"/>
  <c r="H459" i="3"/>
  <c r="J459" i="1" s="1"/>
  <c r="H460" i="3"/>
  <c r="J460" i="1" s="1"/>
  <c r="H461" i="3"/>
  <c r="J461" i="1" s="1"/>
  <c r="H462" i="3"/>
  <c r="J462" i="1" s="1"/>
  <c r="H463" i="3"/>
  <c r="J463" i="1" s="1"/>
  <c r="H464" i="3"/>
  <c r="J464" i="1" s="1"/>
  <c r="H465" i="3"/>
  <c r="J465" i="1" s="1"/>
  <c r="H466" i="3"/>
  <c r="J466" i="1" s="1"/>
  <c r="H467" i="3"/>
  <c r="J467" i="1" s="1"/>
  <c r="H468" i="3"/>
  <c r="J468" i="1" s="1"/>
  <c r="H469" i="3"/>
  <c r="J469" i="1" s="1"/>
  <c r="H470" i="3"/>
  <c r="J470" i="1" s="1"/>
  <c r="H471" i="3"/>
  <c r="J471" i="1" s="1"/>
  <c r="H472" i="3"/>
  <c r="J472" i="1" s="1"/>
  <c r="H473" i="3"/>
  <c r="J473" i="1" s="1"/>
  <c r="H474" i="3"/>
  <c r="J474" i="1" s="1"/>
  <c r="H475" i="3"/>
  <c r="J475" i="1" s="1"/>
  <c r="H476" i="3"/>
  <c r="J476" i="1" s="1"/>
  <c r="H477" i="3"/>
  <c r="J477" i="1" s="1"/>
  <c r="H478" i="3"/>
  <c r="J478" i="1" s="1"/>
  <c r="H479" i="3"/>
  <c r="J479" i="1" s="1"/>
  <c r="H480" i="3"/>
  <c r="J480" i="1" s="1"/>
  <c r="H481" i="3"/>
  <c r="J481" i="1" s="1"/>
  <c r="H482" i="3"/>
  <c r="J482" i="1" s="1"/>
  <c r="H483" i="3"/>
  <c r="J483" i="1" s="1"/>
  <c r="H484" i="3"/>
  <c r="J484" i="1" s="1"/>
  <c r="H485" i="3"/>
  <c r="J485" i="1" s="1"/>
  <c r="H486" i="3"/>
  <c r="J486" i="1" s="1"/>
  <c r="H487" i="3"/>
  <c r="J487" i="1" s="1"/>
  <c r="H488" i="3"/>
  <c r="J488" i="1" s="1"/>
  <c r="H489" i="3"/>
  <c r="J489" i="1" s="1"/>
  <c r="H490" i="3"/>
  <c r="J490" i="1" s="1"/>
  <c r="H491" i="3"/>
  <c r="J491" i="1" s="1"/>
  <c r="H492" i="3"/>
  <c r="J492" i="1" s="1"/>
  <c r="H493" i="3"/>
  <c r="J493" i="1" s="1"/>
  <c r="H494" i="3"/>
  <c r="J494" i="1" s="1"/>
  <c r="H495" i="3"/>
  <c r="J495" i="1" s="1"/>
  <c r="H496" i="3"/>
  <c r="J496" i="1" s="1"/>
  <c r="H497" i="3"/>
  <c r="J497" i="1" s="1"/>
  <c r="H498" i="3"/>
  <c r="J498" i="1" s="1"/>
  <c r="H499" i="3"/>
  <c r="J499" i="1" s="1"/>
  <c r="H500" i="3"/>
  <c r="J500" i="1" s="1"/>
  <c r="H501" i="3"/>
  <c r="J501" i="1" s="1"/>
  <c r="H502" i="3"/>
  <c r="J502" i="1" s="1"/>
  <c r="H503" i="3"/>
  <c r="J503" i="1" s="1"/>
  <c r="H504" i="3"/>
  <c r="J504" i="1" s="1"/>
  <c r="H505" i="3"/>
  <c r="J505" i="1" s="1"/>
  <c r="H506" i="3"/>
  <c r="J506" i="1" s="1"/>
  <c r="H507" i="3"/>
  <c r="J507" i="1" s="1"/>
  <c r="H508" i="3"/>
  <c r="J508" i="1" s="1"/>
  <c r="H509" i="3"/>
  <c r="J509" i="1" s="1"/>
  <c r="H510" i="3"/>
  <c r="J510" i="1" s="1"/>
  <c r="H511" i="3"/>
  <c r="J511" i="1" s="1"/>
  <c r="H512" i="3"/>
  <c r="J512" i="1" s="1"/>
  <c r="H513" i="3"/>
  <c r="J513" i="1" s="1"/>
  <c r="H514" i="3"/>
  <c r="J514" i="1" s="1"/>
  <c r="H515" i="3"/>
  <c r="J515" i="1" s="1"/>
  <c r="H516" i="3"/>
  <c r="J516" i="1" s="1"/>
  <c r="H517" i="3"/>
  <c r="J517" i="1" s="1"/>
  <c r="H518" i="3"/>
  <c r="J518" i="1" s="1"/>
  <c r="H519" i="3"/>
  <c r="J519" i="1" s="1"/>
  <c r="H520" i="3"/>
  <c r="J520" i="1" s="1"/>
  <c r="H521" i="3"/>
  <c r="J521" i="1" s="1"/>
  <c r="H522" i="3"/>
  <c r="J522" i="1" s="1"/>
  <c r="H523" i="3"/>
  <c r="J523" i="1" s="1"/>
  <c r="H524" i="3"/>
  <c r="J524" i="1" s="1"/>
  <c r="H525" i="3"/>
  <c r="J525" i="1" s="1"/>
  <c r="H526" i="3"/>
  <c r="J526" i="1" s="1"/>
  <c r="H527" i="3"/>
  <c r="J527" i="1" s="1"/>
  <c r="H528" i="3"/>
  <c r="J528" i="1" s="1"/>
  <c r="H529" i="3"/>
  <c r="J529" i="1" s="1"/>
  <c r="H530" i="3"/>
  <c r="J530" i="1" s="1"/>
  <c r="H531" i="3"/>
  <c r="J531" i="1" s="1"/>
  <c r="H532" i="3"/>
  <c r="J532" i="1" s="1"/>
  <c r="H533" i="3"/>
  <c r="J533" i="1" s="1"/>
  <c r="H534" i="3"/>
  <c r="J534" i="1" s="1"/>
  <c r="H535" i="3"/>
  <c r="J535" i="1" s="1"/>
  <c r="H536" i="3"/>
  <c r="J536" i="1" s="1"/>
  <c r="H537" i="3"/>
  <c r="J537" i="1" s="1"/>
  <c r="H538" i="3"/>
  <c r="J538" i="1" s="1"/>
  <c r="H539" i="3"/>
  <c r="J539" i="1" s="1"/>
  <c r="H540" i="3"/>
  <c r="J540" i="1" s="1"/>
  <c r="H541" i="3"/>
  <c r="J541" i="1" s="1"/>
  <c r="H542" i="3"/>
  <c r="J542" i="1" s="1"/>
  <c r="H543" i="3"/>
  <c r="J543" i="1" s="1"/>
  <c r="H544" i="3"/>
  <c r="J544" i="1" s="1"/>
  <c r="H545" i="3"/>
  <c r="J545" i="1" s="1"/>
  <c r="H546" i="3"/>
  <c r="J546" i="1" s="1"/>
  <c r="H547" i="3"/>
  <c r="J547" i="1" s="1"/>
  <c r="H548" i="3"/>
  <c r="J548" i="1" s="1"/>
  <c r="H549" i="3"/>
  <c r="J549" i="1" s="1"/>
  <c r="H550" i="3"/>
  <c r="J550" i="1" s="1"/>
  <c r="H551" i="3"/>
  <c r="J551" i="1" s="1"/>
  <c r="H552" i="3"/>
  <c r="J552" i="1" s="1"/>
  <c r="H553" i="3"/>
  <c r="J553" i="1" s="1"/>
  <c r="H554" i="3"/>
  <c r="J554" i="1" s="1"/>
  <c r="H555" i="3"/>
  <c r="J555" i="1" s="1"/>
  <c r="H556" i="3"/>
  <c r="J556" i="1" s="1"/>
  <c r="H557" i="3"/>
  <c r="J557" i="1" s="1"/>
  <c r="H558" i="3"/>
  <c r="J558" i="1" s="1"/>
  <c r="H559" i="3"/>
  <c r="J559" i="1" s="1"/>
  <c r="H560" i="3"/>
  <c r="J560" i="1" s="1"/>
  <c r="H561" i="3"/>
  <c r="J561" i="1" s="1"/>
  <c r="H562" i="3"/>
  <c r="J562" i="1" s="1"/>
  <c r="H563" i="3"/>
  <c r="J563" i="1" s="1"/>
  <c r="H564" i="3"/>
  <c r="J564" i="1" s="1"/>
  <c r="H565" i="3"/>
  <c r="J565" i="1" s="1"/>
  <c r="H566" i="3"/>
  <c r="J566" i="1" s="1"/>
  <c r="H567" i="3"/>
  <c r="J567" i="1" s="1"/>
  <c r="H568" i="3"/>
  <c r="J568" i="1" s="1"/>
  <c r="H569" i="3"/>
  <c r="J569" i="1" s="1"/>
  <c r="H570" i="3"/>
  <c r="J570" i="1" s="1"/>
  <c r="H571" i="3"/>
  <c r="J571" i="1" s="1"/>
  <c r="H572" i="3"/>
  <c r="J572" i="1" s="1"/>
  <c r="H573" i="3"/>
  <c r="J573" i="1" s="1"/>
  <c r="H574" i="3"/>
  <c r="J574" i="1" s="1"/>
  <c r="H575" i="3"/>
  <c r="J575" i="1" s="1"/>
  <c r="H576" i="3"/>
  <c r="J576" i="1" s="1"/>
  <c r="H577" i="3"/>
  <c r="J577" i="1" s="1"/>
  <c r="H578" i="3"/>
  <c r="J578" i="1" s="1"/>
  <c r="H579" i="3"/>
  <c r="J579" i="1" s="1"/>
  <c r="H580" i="3"/>
  <c r="J580" i="1" s="1"/>
  <c r="H581" i="3"/>
  <c r="J581" i="1" s="1"/>
  <c r="H582" i="3"/>
  <c r="J582" i="1" s="1"/>
  <c r="H583" i="3"/>
  <c r="J583" i="1" s="1"/>
  <c r="H584" i="3"/>
  <c r="J584" i="1" s="1"/>
  <c r="H585" i="3"/>
  <c r="J585" i="1" s="1"/>
  <c r="H586" i="3"/>
  <c r="J586" i="1" s="1"/>
  <c r="H587" i="3"/>
  <c r="J587" i="1" s="1"/>
  <c r="H588" i="3"/>
  <c r="J588" i="1" s="1"/>
  <c r="H589" i="3"/>
  <c r="J589" i="1" s="1"/>
  <c r="H590" i="3"/>
  <c r="J590" i="1" s="1"/>
  <c r="H591" i="3"/>
  <c r="J591" i="1" s="1"/>
  <c r="H592" i="3"/>
  <c r="J592" i="1" s="1"/>
  <c r="H593" i="3"/>
  <c r="J593" i="1" s="1"/>
  <c r="H594" i="3"/>
  <c r="J594" i="1" s="1"/>
  <c r="H595" i="3"/>
  <c r="J595" i="1" s="1"/>
  <c r="H596" i="3"/>
  <c r="J596" i="1" s="1"/>
  <c r="H597" i="3"/>
  <c r="J597" i="1" s="1"/>
  <c r="H598" i="3"/>
  <c r="J598" i="1" s="1"/>
  <c r="H599" i="3"/>
  <c r="J599" i="1" s="1"/>
  <c r="H600" i="3"/>
  <c r="J600" i="1" s="1"/>
  <c r="H601" i="3"/>
  <c r="J601" i="1" s="1"/>
  <c r="H602" i="3"/>
  <c r="J602" i="1" s="1"/>
  <c r="H603" i="3"/>
  <c r="J603" i="1" s="1"/>
  <c r="H604" i="3"/>
  <c r="J604" i="1" s="1"/>
  <c r="H605" i="3"/>
  <c r="J605" i="1" s="1"/>
  <c r="H606" i="3"/>
  <c r="J606" i="1" s="1"/>
  <c r="H607" i="3"/>
  <c r="J607" i="1" s="1"/>
  <c r="H608" i="3"/>
  <c r="J608" i="1" s="1"/>
  <c r="H609" i="3"/>
  <c r="J609" i="1" s="1"/>
  <c r="H610" i="3"/>
  <c r="J610" i="1" s="1"/>
  <c r="H611" i="3"/>
  <c r="J611" i="1" s="1"/>
  <c r="H612" i="3"/>
  <c r="J612" i="1" s="1"/>
  <c r="H613" i="3"/>
  <c r="J613" i="1" s="1"/>
  <c r="H614" i="3"/>
  <c r="J614" i="1" s="1"/>
  <c r="H615" i="3"/>
  <c r="J615" i="1" s="1"/>
  <c r="H616" i="3"/>
  <c r="J616" i="1" s="1"/>
  <c r="H617" i="3"/>
  <c r="J617" i="1" s="1"/>
  <c r="H618" i="3"/>
  <c r="J618" i="1" s="1"/>
  <c r="H619" i="3"/>
  <c r="J619" i="1" s="1"/>
  <c r="H620" i="3"/>
  <c r="J620" i="1" s="1"/>
  <c r="H621" i="3"/>
  <c r="J621" i="1" s="1"/>
  <c r="H622" i="3"/>
  <c r="J622" i="1" s="1"/>
  <c r="H623" i="3"/>
  <c r="J623" i="1" s="1"/>
  <c r="H624" i="3"/>
  <c r="J624" i="1" s="1"/>
  <c r="H625" i="3"/>
  <c r="J625" i="1" s="1"/>
  <c r="H626" i="3"/>
  <c r="J626" i="1" s="1"/>
  <c r="H627" i="3"/>
  <c r="J627" i="1" s="1"/>
  <c r="H628" i="3"/>
  <c r="J628" i="1" s="1"/>
  <c r="H629" i="3"/>
  <c r="J629" i="1" s="1"/>
  <c r="H630" i="3"/>
  <c r="J630" i="1" s="1"/>
  <c r="H631" i="3"/>
  <c r="J631" i="1" s="1"/>
  <c r="H632" i="3"/>
  <c r="J632" i="1" s="1"/>
  <c r="H633" i="3"/>
  <c r="J633" i="1" s="1"/>
  <c r="H634" i="3"/>
  <c r="J634" i="1" s="1"/>
  <c r="H635" i="3"/>
  <c r="J635" i="1" s="1"/>
  <c r="H636" i="3"/>
  <c r="J636" i="1" s="1"/>
  <c r="H637" i="3"/>
  <c r="J637" i="1" s="1"/>
  <c r="H638" i="3"/>
  <c r="J638" i="1" s="1"/>
  <c r="H639" i="3"/>
  <c r="J639" i="1" s="1"/>
  <c r="H640" i="3"/>
  <c r="J640" i="1" s="1"/>
  <c r="H641" i="3"/>
  <c r="J641" i="1" s="1"/>
  <c r="H642" i="3"/>
  <c r="J642" i="1" s="1"/>
  <c r="H643" i="3"/>
  <c r="J643" i="1" s="1"/>
  <c r="H644" i="3"/>
  <c r="J644" i="1" s="1"/>
  <c r="H645" i="3"/>
  <c r="J645" i="1" s="1"/>
  <c r="H646" i="3"/>
  <c r="J646" i="1" s="1"/>
  <c r="H647" i="3"/>
  <c r="J647" i="1" s="1"/>
  <c r="H648" i="3"/>
  <c r="J648" i="1" s="1"/>
  <c r="H649" i="3"/>
  <c r="J649" i="1" s="1"/>
  <c r="H650" i="3"/>
  <c r="J650" i="1" s="1"/>
  <c r="H651" i="3"/>
  <c r="J651" i="1" s="1"/>
  <c r="H652" i="3"/>
  <c r="J652" i="1" s="1"/>
  <c r="H653" i="3"/>
  <c r="J653" i="1" s="1"/>
  <c r="H654" i="3"/>
  <c r="J654" i="1" s="1"/>
  <c r="H655" i="3"/>
  <c r="J655" i="1" s="1"/>
  <c r="H656" i="3"/>
  <c r="J656" i="1" s="1"/>
  <c r="H657" i="3"/>
  <c r="J657" i="1" s="1"/>
  <c r="H658" i="3"/>
  <c r="J658" i="1" s="1"/>
  <c r="H659" i="3"/>
  <c r="J659" i="1" s="1"/>
  <c r="H660" i="3"/>
  <c r="J660" i="1" s="1"/>
  <c r="H661" i="3"/>
  <c r="J661" i="1" s="1"/>
  <c r="H662" i="3"/>
  <c r="J662" i="1" s="1"/>
  <c r="H663" i="3"/>
  <c r="J663" i="1" s="1"/>
  <c r="H664" i="3"/>
  <c r="J664" i="1" s="1"/>
  <c r="H665" i="3"/>
  <c r="J665" i="1" s="1"/>
  <c r="H666" i="3"/>
  <c r="J666" i="1" s="1"/>
  <c r="H667" i="3"/>
  <c r="J667" i="1" s="1"/>
  <c r="H668" i="3"/>
  <c r="J668" i="1" s="1"/>
  <c r="H669" i="3"/>
  <c r="J669" i="1" s="1"/>
  <c r="H670" i="3"/>
  <c r="J670" i="1" s="1"/>
  <c r="H671" i="3"/>
  <c r="J671" i="1" s="1"/>
  <c r="H672" i="3"/>
  <c r="J672" i="1" s="1"/>
  <c r="H673" i="3"/>
  <c r="J673" i="1" s="1"/>
  <c r="H674" i="3"/>
  <c r="J674" i="1" s="1"/>
  <c r="H675" i="3"/>
  <c r="J675" i="1" s="1"/>
  <c r="H676" i="3"/>
  <c r="J676" i="1" s="1"/>
  <c r="H677" i="3"/>
  <c r="J677" i="1" s="1"/>
  <c r="H678" i="3"/>
  <c r="J678" i="1" s="1"/>
  <c r="H679" i="3"/>
  <c r="J679" i="1" s="1"/>
  <c r="H680" i="3"/>
  <c r="J680" i="1" s="1"/>
  <c r="H681" i="3"/>
  <c r="J681" i="1" s="1"/>
  <c r="H682" i="3"/>
  <c r="J682" i="1" s="1"/>
  <c r="H683" i="3"/>
  <c r="J683" i="1" s="1"/>
  <c r="H684" i="3"/>
  <c r="J684" i="1" s="1"/>
  <c r="H685" i="3"/>
  <c r="J685" i="1" s="1"/>
  <c r="H686" i="3"/>
  <c r="J686" i="1" s="1"/>
  <c r="H687" i="3"/>
  <c r="J687" i="1" s="1"/>
  <c r="H688" i="3"/>
  <c r="J688" i="1" s="1"/>
  <c r="H689" i="3"/>
  <c r="J689" i="1" s="1"/>
  <c r="H690" i="3"/>
  <c r="J690" i="1" s="1"/>
  <c r="H691" i="3"/>
  <c r="J691" i="1" s="1"/>
  <c r="H692" i="3"/>
  <c r="J692" i="1" s="1"/>
  <c r="H693" i="3"/>
  <c r="J693" i="1" s="1"/>
  <c r="H694" i="3"/>
  <c r="J694" i="1" s="1"/>
  <c r="H695" i="3"/>
  <c r="J695" i="1" s="1"/>
  <c r="H696" i="3"/>
  <c r="J696" i="1" s="1"/>
  <c r="H697" i="3"/>
  <c r="J697" i="1" s="1"/>
  <c r="H698" i="3"/>
  <c r="J698" i="1" s="1"/>
  <c r="H699" i="3"/>
  <c r="J699" i="1" s="1"/>
  <c r="H700" i="3"/>
  <c r="J700" i="1" s="1"/>
  <c r="H701" i="3"/>
  <c r="J701" i="1" s="1"/>
  <c r="H702" i="3"/>
  <c r="J702" i="1" s="1"/>
  <c r="H703" i="3"/>
  <c r="J703" i="1" s="1"/>
  <c r="H704" i="3"/>
  <c r="J704" i="1" s="1"/>
  <c r="H705" i="3"/>
  <c r="J705" i="1" s="1"/>
  <c r="H706" i="3"/>
  <c r="J706" i="1" s="1"/>
  <c r="H707" i="3"/>
  <c r="J707" i="1" s="1"/>
  <c r="H708" i="3"/>
  <c r="J708" i="1" s="1"/>
  <c r="H709" i="3"/>
  <c r="J709" i="1" s="1"/>
  <c r="H710" i="3"/>
  <c r="J710" i="1" s="1"/>
  <c r="H711" i="3"/>
  <c r="J711" i="1" s="1"/>
  <c r="H712" i="3"/>
  <c r="J712" i="1" s="1"/>
  <c r="H714" i="3"/>
  <c r="J714" i="1" s="1"/>
  <c r="H715" i="3"/>
  <c r="J715" i="1" s="1"/>
  <c r="H716" i="3"/>
  <c r="J716" i="1" s="1"/>
  <c r="H717" i="3"/>
  <c r="J717" i="1" s="1"/>
  <c r="H718" i="3"/>
  <c r="J718" i="1" s="1"/>
  <c r="H719" i="3"/>
  <c r="J719" i="1" s="1"/>
  <c r="H720" i="3"/>
  <c r="J720" i="1" s="1"/>
  <c r="H721" i="3"/>
  <c r="J721" i="1" s="1"/>
  <c r="H722" i="3"/>
  <c r="J722" i="1" s="1"/>
  <c r="H723" i="3"/>
  <c r="J723" i="1" s="1"/>
  <c r="H724" i="3"/>
  <c r="J724" i="1" s="1"/>
  <c r="H725" i="3"/>
  <c r="J725" i="1" s="1"/>
  <c r="H726" i="3"/>
  <c r="J726" i="1" s="1"/>
  <c r="H727" i="3"/>
  <c r="J727" i="1" s="1"/>
  <c r="H728" i="3"/>
  <c r="J728" i="1" s="1"/>
  <c r="H729" i="3"/>
  <c r="J729" i="1" s="1"/>
  <c r="H730" i="3"/>
  <c r="J730" i="1" s="1"/>
  <c r="H731" i="3"/>
  <c r="J731" i="1" s="1"/>
  <c r="H732" i="3"/>
  <c r="J732" i="1" s="1"/>
  <c r="H733" i="3"/>
  <c r="J733" i="1" s="1"/>
  <c r="H734" i="3"/>
  <c r="J734" i="1" s="1"/>
  <c r="H735" i="3"/>
  <c r="J735" i="1" s="1"/>
  <c r="H736" i="3"/>
  <c r="J736" i="1" s="1"/>
  <c r="H737" i="3"/>
  <c r="J737" i="1" s="1"/>
  <c r="H738" i="3"/>
  <c r="J738" i="1" s="1"/>
  <c r="H739" i="3"/>
  <c r="J739" i="1" s="1"/>
  <c r="H740" i="3"/>
  <c r="J740" i="1" s="1"/>
  <c r="H741" i="3"/>
  <c r="J741" i="1" s="1"/>
  <c r="H742" i="3"/>
  <c r="J742" i="1" s="1"/>
  <c r="H743" i="3"/>
  <c r="J743" i="1" s="1"/>
  <c r="H744" i="3"/>
  <c r="J744" i="1" s="1"/>
  <c r="H745" i="3"/>
  <c r="J745" i="1" s="1"/>
  <c r="H746" i="3"/>
  <c r="J746" i="1" s="1"/>
  <c r="H747" i="3"/>
  <c r="J747" i="1" s="1"/>
  <c r="H748" i="3"/>
  <c r="J748" i="1" s="1"/>
  <c r="H749" i="3"/>
  <c r="J749" i="1" s="1"/>
  <c r="H750" i="3"/>
  <c r="J750" i="1" s="1"/>
  <c r="H751" i="3"/>
  <c r="J751" i="1" s="1"/>
  <c r="H752" i="3"/>
  <c r="J752" i="1" s="1"/>
  <c r="H753" i="3"/>
  <c r="J753" i="1" s="1"/>
  <c r="H754" i="3"/>
  <c r="J754" i="1" s="1"/>
  <c r="H755" i="3"/>
  <c r="J755" i="1" s="1"/>
  <c r="H756" i="3"/>
  <c r="J756" i="1" s="1"/>
  <c r="H757" i="3"/>
  <c r="J757" i="1" s="1"/>
  <c r="H758" i="3"/>
  <c r="J758" i="1" s="1"/>
  <c r="H759" i="3"/>
  <c r="J759" i="1" s="1"/>
  <c r="H760" i="3"/>
  <c r="J760" i="1" s="1"/>
  <c r="H761" i="3"/>
  <c r="J761" i="1" s="1"/>
  <c r="H762" i="3"/>
  <c r="J762" i="1" s="1"/>
  <c r="H763" i="3"/>
  <c r="J763" i="1" s="1"/>
  <c r="H764" i="3"/>
  <c r="J764" i="1" s="1"/>
  <c r="H765" i="3"/>
  <c r="J765" i="1" s="1"/>
  <c r="H766" i="3"/>
  <c r="J766" i="1" s="1"/>
  <c r="H767" i="3"/>
  <c r="J767" i="1" s="1"/>
  <c r="H768" i="3"/>
  <c r="J768" i="1" s="1"/>
  <c r="H769" i="3"/>
  <c r="J769" i="1" s="1"/>
  <c r="H770" i="3"/>
  <c r="J770" i="1" s="1"/>
  <c r="H771" i="3"/>
  <c r="J771" i="1" s="1"/>
  <c r="H772" i="3"/>
  <c r="J772" i="1" s="1"/>
  <c r="H773" i="3"/>
  <c r="J773" i="1" s="1"/>
  <c r="H774" i="3"/>
  <c r="J774" i="1" s="1"/>
  <c r="H775" i="3"/>
  <c r="J775" i="1" s="1"/>
  <c r="H776" i="3"/>
  <c r="J776" i="1" s="1"/>
  <c r="H777" i="3"/>
  <c r="J777" i="1" s="1"/>
  <c r="H778" i="3"/>
  <c r="J778" i="1" s="1"/>
  <c r="H779" i="3"/>
  <c r="J779" i="1" s="1"/>
  <c r="H780" i="3"/>
  <c r="J780" i="1" s="1"/>
  <c r="H781" i="3"/>
  <c r="J781" i="1" s="1"/>
  <c r="H782" i="3"/>
  <c r="J782" i="1" s="1"/>
  <c r="H783" i="3"/>
  <c r="J783" i="1" s="1"/>
  <c r="H784" i="3"/>
  <c r="J784" i="1" s="1"/>
  <c r="H785" i="3"/>
  <c r="J785" i="1" s="1"/>
  <c r="H786" i="3"/>
  <c r="J786" i="1" s="1"/>
  <c r="H787" i="3"/>
  <c r="J787" i="1" s="1"/>
  <c r="H788" i="3"/>
  <c r="J788" i="1" s="1"/>
  <c r="H789" i="3"/>
  <c r="J789" i="1" s="1"/>
  <c r="H790" i="3"/>
  <c r="J790" i="1" s="1"/>
  <c r="H791" i="3"/>
  <c r="J791" i="1" s="1"/>
  <c r="H792" i="3"/>
  <c r="J792" i="1" s="1"/>
  <c r="H793" i="3"/>
  <c r="J793" i="1" s="1"/>
  <c r="H794" i="3"/>
  <c r="J794" i="1" s="1"/>
  <c r="H795" i="3"/>
  <c r="J795" i="1" s="1"/>
  <c r="H796" i="3"/>
  <c r="J796" i="1" s="1"/>
  <c r="H797" i="3"/>
  <c r="J797" i="1" s="1"/>
  <c r="H798" i="3"/>
  <c r="J798" i="1" s="1"/>
  <c r="H799" i="3"/>
  <c r="J799" i="1" s="1"/>
  <c r="H800" i="3"/>
  <c r="J800" i="1" s="1"/>
  <c r="H801" i="3"/>
  <c r="J801" i="1" s="1"/>
  <c r="H802" i="3"/>
  <c r="J802" i="1" s="1"/>
  <c r="H803" i="3"/>
  <c r="J803" i="1" s="1"/>
  <c r="H804" i="3"/>
  <c r="J804" i="1" s="1"/>
  <c r="H805" i="3"/>
  <c r="J805" i="1" s="1"/>
  <c r="H806" i="3"/>
  <c r="J806" i="1" s="1"/>
  <c r="H807" i="3"/>
  <c r="J807" i="1" s="1"/>
  <c r="H808" i="3"/>
  <c r="J808" i="1" s="1"/>
  <c r="H809" i="3"/>
  <c r="J809" i="1" s="1"/>
  <c r="H810" i="3"/>
  <c r="J810" i="1" s="1"/>
  <c r="H811" i="3"/>
  <c r="J811" i="1" s="1"/>
  <c r="H812" i="3"/>
  <c r="J812" i="1" s="1"/>
  <c r="H813" i="3"/>
  <c r="J813" i="1" s="1"/>
  <c r="H814" i="3"/>
  <c r="J814" i="1" s="1"/>
  <c r="H815" i="3"/>
  <c r="J815" i="1" s="1"/>
  <c r="H816" i="3"/>
  <c r="J816" i="1" s="1"/>
  <c r="H817" i="3"/>
  <c r="J817" i="1" s="1"/>
  <c r="H818" i="3"/>
  <c r="J818" i="1" s="1"/>
  <c r="H819" i="3"/>
  <c r="J819" i="1" s="1"/>
  <c r="H820" i="3"/>
  <c r="J820" i="1" s="1"/>
  <c r="H821" i="3"/>
  <c r="J821" i="1" s="1"/>
  <c r="H822" i="3"/>
  <c r="J822" i="1" s="1"/>
  <c r="H823" i="3"/>
  <c r="J823" i="1" s="1"/>
  <c r="H824" i="3"/>
  <c r="J824" i="1" s="1"/>
  <c r="H825" i="3"/>
  <c r="J825" i="1" s="1"/>
  <c r="H826" i="3"/>
  <c r="J826" i="1" s="1"/>
  <c r="H827" i="3"/>
  <c r="J827" i="1" s="1"/>
  <c r="H828" i="3"/>
  <c r="J828" i="1" s="1"/>
  <c r="H829" i="3"/>
  <c r="J829" i="1" s="1"/>
  <c r="H830" i="3"/>
  <c r="J830" i="1" s="1"/>
  <c r="H831" i="3"/>
  <c r="J831" i="1" s="1"/>
  <c r="H832" i="3"/>
  <c r="J832" i="1" s="1"/>
  <c r="H833" i="3"/>
  <c r="J833" i="1" s="1"/>
  <c r="H834" i="3"/>
  <c r="J834" i="1" s="1"/>
  <c r="H835" i="3"/>
  <c r="J835" i="1" s="1"/>
  <c r="H836" i="3"/>
  <c r="J836" i="1" s="1"/>
  <c r="H837" i="3"/>
  <c r="J837" i="1" s="1"/>
  <c r="H838" i="3"/>
  <c r="J838" i="1" s="1"/>
  <c r="H839" i="3"/>
  <c r="J839" i="1" s="1"/>
  <c r="H840" i="3"/>
  <c r="J840" i="1" s="1"/>
  <c r="H841" i="3"/>
  <c r="J841" i="1" s="1"/>
  <c r="H842" i="3"/>
  <c r="J842" i="1" s="1"/>
  <c r="H843" i="3"/>
  <c r="J843" i="1" s="1"/>
  <c r="H844" i="3"/>
  <c r="J844" i="1" s="1"/>
  <c r="H845" i="3"/>
  <c r="J845" i="1" s="1"/>
  <c r="H846" i="3"/>
  <c r="J846" i="1" s="1"/>
  <c r="H847" i="3"/>
  <c r="J847" i="1" s="1"/>
  <c r="H848" i="3"/>
  <c r="J848" i="1" s="1"/>
  <c r="H849" i="3"/>
  <c r="J849" i="1" s="1"/>
  <c r="H850" i="3"/>
  <c r="J850" i="1" s="1"/>
  <c r="H851" i="3"/>
  <c r="J851" i="1" s="1"/>
  <c r="H852" i="3"/>
  <c r="J852" i="1" s="1"/>
  <c r="H853" i="3"/>
  <c r="J853" i="1" s="1"/>
  <c r="H854" i="3"/>
  <c r="J854" i="1" s="1"/>
  <c r="H855" i="3"/>
  <c r="J855" i="1" s="1"/>
  <c r="H856" i="3"/>
  <c r="J856" i="1" s="1"/>
  <c r="H857" i="3"/>
  <c r="J857" i="1" s="1"/>
  <c r="H858" i="3"/>
  <c r="J858" i="1" s="1"/>
  <c r="H859" i="3"/>
  <c r="J859" i="1" s="1"/>
  <c r="H860" i="3"/>
  <c r="J860" i="1" s="1"/>
  <c r="H861" i="3"/>
  <c r="J861" i="1" s="1"/>
  <c r="H862" i="3"/>
  <c r="J862" i="1" s="1"/>
  <c r="H863" i="3"/>
  <c r="J863" i="1" s="1"/>
  <c r="H864" i="3"/>
  <c r="J864" i="1" s="1"/>
  <c r="H865" i="3"/>
  <c r="J865" i="1" s="1"/>
  <c r="H866" i="3"/>
  <c r="J866" i="1" s="1"/>
  <c r="H867" i="3"/>
  <c r="J867" i="1" s="1"/>
  <c r="H868" i="3"/>
  <c r="J868" i="1" s="1"/>
  <c r="H869" i="3"/>
  <c r="J869" i="1" s="1"/>
  <c r="H870" i="3"/>
  <c r="J870" i="1" s="1"/>
  <c r="H871" i="3"/>
  <c r="J871" i="1" s="1"/>
  <c r="H872" i="3"/>
  <c r="J872" i="1" s="1"/>
  <c r="H873" i="3"/>
  <c r="J873" i="1" s="1"/>
  <c r="H874" i="3"/>
  <c r="J874" i="1" s="1"/>
  <c r="H875" i="3"/>
  <c r="J875" i="1" s="1"/>
  <c r="H876" i="3"/>
  <c r="J876" i="1" s="1"/>
  <c r="H877" i="3"/>
  <c r="J877" i="1" s="1"/>
  <c r="H878" i="3"/>
  <c r="J878" i="1" s="1"/>
  <c r="H879" i="3"/>
  <c r="J879" i="1" s="1"/>
  <c r="H880" i="3"/>
  <c r="J880" i="1" s="1"/>
  <c r="H881" i="3"/>
  <c r="J881" i="1" s="1"/>
  <c r="H882" i="3"/>
  <c r="J882" i="1" s="1"/>
  <c r="H883" i="3"/>
  <c r="J883" i="1" s="1"/>
  <c r="H884" i="3"/>
  <c r="J884" i="1" s="1"/>
  <c r="H885" i="3"/>
  <c r="J885" i="1" s="1"/>
  <c r="H886" i="3"/>
  <c r="J886" i="1" s="1"/>
  <c r="H887" i="3"/>
  <c r="J887" i="1" s="1"/>
  <c r="H888" i="3"/>
  <c r="J888" i="1" s="1"/>
  <c r="H889" i="3"/>
  <c r="J889" i="1" s="1"/>
  <c r="H890" i="3"/>
  <c r="J890" i="1" s="1"/>
  <c r="H891" i="3"/>
  <c r="J891" i="1" s="1"/>
  <c r="H892" i="3"/>
  <c r="J892" i="1" s="1"/>
  <c r="H893" i="3"/>
  <c r="J893" i="1" s="1"/>
  <c r="H894" i="3"/>
  <c r="J894" i="1" s="1"/>
  <c r="H895" i="3"/>
  <c r="J895" i="1" s="1"/>
  <c r="H896" i="3"/>
  <c r="J896" i="1" s="1"/>
  <c r="H897" i="3"/>
  <c r="J897" i="1" s="1"/>
  <c r="H898" i="3"/>
  <c r="J898" i="1" s="1"/>
  <c r="H899" i="3"/>
  <c r="J899" i="1" s="1"/>
  <c r="H900" i="3"/>
  <c r="J900" i="1" s="1"/>
  <c r="H901" i="3"/>
  <c r="J901" i="1" s="1"/>
  <c r="H902" i="3"/>
  <c r="J902" i="1" s="1"/>
  <c r="H903" i="3"/>
  <c r="J903" i="1" s="1"/>
  <c r="H904" i="3"/>
  <c r="J904" i="1" s="1"/>
  <c r="H905" i="3"/>
  <c r="J905" i="1" s="1"/>
  <c r="H906" i="3"/>
  <c r="J906" i="1" s="1"/>
  <c r="H907" i="3"/>
  <c r="J907" i="1" s="1"/>
  <c r="H908" i="3"/>
  <c r="J908" i="1" s="1"/>
  <c r="H909" i="3"/>
  <c r="J909" i="1" s="1"/>
  <c r="H910" i="3"/>
  <c r="J910" i="1" s="1"/>
  <c r="H911" i="3"/>
  <c r="J911" i="1" s="1"/>
  <c r="H912" i="3"/>
  <c r="J912" i="1" s="1"/>
  <c r="H913" i="3"/>
  <c r="J913" i="1" s="1"/>
  <c r="H914" i="3"/>
  <c r="J914" i="1" s="1"/>
  <c r="H915" i="3"/>
  <c r="J915" i="1" s="1"/>
  <c r="H916" i="3"/>
  <c r="J916" i="1" s="1"/>
  <c r="H917" i="3"/>
  <c r="J917" i="1" s="1"/>
  <c r="H918" i="3"/>
  <c r="J918" i="1" s="1"/>
  <c r="H919" i="3"/>
  <c r="J919" i="1" s="1"/>
  <c r="H920" i="3"/>
  <c r="J920" i="1" s="1"/>
  <c r="H921" i="3"/>
  <c r="J921" i="1" s="1"/>
  <c r="H922" i="3"/>
  <c r="J922" i="1" s="1"/>
  <c r="H923" i="3"/>
  <c r="J923" i="1" s="1"/>
  <c r="H924" i="3"/>
  <c r="J924" i="1" s="1"/>
  <c r="H925" i="3"/>
  <c r="J925" i="1" s="1"/>
  <c r="H926" i="3"/>
  <c r="J926" i="1" s="1"/>
  <c r="H927" i="3"/>
  <c r="J927" i="1" s="1"/>
  <c r="H928" i="3"/>
  <c r="J928" i="1" s="1"/>
  <c r="H929" i="3"/>
  <c r="J929" i="1" s="1"/>
  <c r="H930" i="3"/>
  <c r="J930" i="1" s="1"/>
  <c r="H931" i="3"/>
  <c r="J931" i="1" s="1"/>
  <c r="H932" i="3"/>
  <c r="J932" i="1" s="1"/>
  <c r="H933" i="3"/>
  <c r="J933" i="1" s="1"/>
  <c r="H934" i="3"/>
  <c r="J934" i="1" s="1"/>
  <c r="H935" i="3"/>
  <c r="J935" i="1" s="1"/>
  <c r="H936" i="3"/>
  <c r="J936" i="1" s="1"/>
  <c r="H937" i="3"/>
  <c r="J937" i="1" s="1"/>
  <c r="H938" i="3"/>
  <c r="J938" i="1" s="1"/>
  <c r="H939" i="3"/>
  <c r="J939" i="1" s="1"/>
  <c r="H940" i="3"/>
  <c r="J940" i="1" s="1"/>
  <c r="H941" i="3"/>
  <c r="J941" i="1" s="1"/>
  <c r="H942" i="3"/>
  <c r="J942" i="1" s="1"/>
  <c r="H943" i="3"/>
  <c r="J943" i="1" s="1"/>
  <c r="H944" i="3"/>
  <c r="J944" i="1" s="1"/>
  <c r="H945" i="3"/>
  <c r="J945" i="1" s="1"/>
  <c r="H946" i="3"/>
  <c r="J946" i="1" s="1"/>
  <c r="H947" i="3"/>
  <c r="J947" i="1" s="1"/>
  <c r="H948" i="3"/>
  <c r="J948" i="1" s="1"/>
  <c r="H949" i="3"/>
  <c r="J949" i="1" s="1"/>
  <c r="H951" i="3"/>
  <c r="J951" i="1" s="1"/>
  <c r="H952" i="3"/>
  <c r="J952" i="1" s="1"/>
  <c r="H953" i="3"/>
  <c r="J953" i="1" s="1"/>
  <c r="H954" i="3"/>
  <c r="J954" i="1" s="1"/>
  <c r="H955" i="3"/>
  <c r="J955" i="1" s="1"/>
  <c r="H956" i="3"/>
  <c r="J956" i="1" s="1"/>
  <c r="H957" i="3"/>
  <c r="J957" i="1" s="1"/>
  <c r="H958" i="3"/>
  <c r="J958" i="1" s="1"/>
  <c r="H959" i="3"/>
  <c r="J959" i="1" s="1"/>
  <c r="H960" i="3"/>
  <c r="J960" i="1" s="1"/>
  <c r="H961" i="3"/>
  <c r="J961" i="1" s="1"/>
  <c r="H962" i="3"/>
  <c r="J962" i="1" s="1"/>
  <c r="H963" i="3"/>
  <c r="J963" i="1" s="1"/>
  <c r="H964" i="3"/>
  <c r="J964" i="1" s="1"/>
  <c r="H965" i="3"/>
  <c r="J965" i="1" s="1"/>
  <c r="H966" i="3"/>
  <c r="J966" i="1" s="1"/>
  <c r="H967" i="3"/>
  <c r="J967" i="1" s="1"/>
  <c r="H968" i="3"/>
  <c r="J968" i="1" s="1"/>
  <c r="H969" i="3"/>
  <c r="J969" i="1" s="1"/>
  <c r="H970" i="3"/>
  <c r="J970" i="1" s="1"/>
  <c r="H971" i="3"/>
  <c r="J971" i="1" s="1"/>
  <c r="H972" i="3"/>
  <c r="J972" i="1" s="1"/>
  <c r="H973" i="3"/>
  <c r="J973" i="1" s="1"/>
  <c r="H974" i="3"/>
  <c r="J974" i="1" s="1"/>
  <c r="H975" i="3"/>
  <c r="J975" i="1" s="1"/>
  <c r="H976" i="3"/>
  <c r="J976" i="1" s="1"/>
  <c r="H977" i="3"/>
  <c r="J977" i="1" s="1"/>
  <c r="H978" i="3"/>
  <c r="J978" i="1" s="1"/>
  <c r="H979" i="3"/>
  <c r="J979" i="1" s="1"/>
  <c r="H980" i="3"/>
  <c r="J980" i="1" s="1"/>
  <c r="H981" i="3"/>
  <c r="J981" i="1" s="1"/>
  <c r="H982" i="3"/>
  <c r="J982" i="1" s="1"/>
  <c r="H983" i="3"/>
  <c r="J983" i="1" s="1"/>
  <c r="H984" i="3"/>
  <c r="J984" i="1" s="1"/>
  <c r="H985" i="3"/>
  <c r="J985" i="1" s="1"/>
  <c r="H986" i="3"/>
  <c r="J986" i="1" s="1"/>
  <c r="H987" i="3"/>
  <c r="J987" i="1" s="1"/>
  <c r="H988" i="3"/>
  <c r="J988" i="1" s="1"/>
  <c r="H989" i="3"/>
  <c r="J989" i="1" s="1"/>
  <c r="H990" i="3"/>
  <c r="J990" i="1" s="1"/>
  <c r="H991" i="3"/>
  <c r="J991" i="1" s="1"/>
  <c r="H992" i="3"/>
  <c r="J992" i="1" s="1"/>
  <c r="H993" i="3"/>
  <c r="J993" i="1" s="1"/>
  <c r="H994" i="3"/>
  <c r="J994" i="1" s="1"/>
  <c r="H995" i="3"/>
  <c r="J995" i="1" s="1"/>
  <c r="H996" i="3"/>
  <c r="J996" i="1" s="1"/>
  <c r="H997" i="3"/>
  <c r="J997" i="1" s="1"/>
  <c r="H998" i="3"/>
  <c r="J998" i="1" s="1"/>
  <c r="H999" i="3"/>
  <c r="J999" i="1" s="1"/>
  <c r="H1000" i="3"/>
  <c r="J1000" i="1" s="1"/>
  <c r="H1001" i="3"/>
  <c r="J1001" i="1" s="1"/>
  <c r="H1002" i="3"/>
  <c r="J1002" i="1" s="1"/>
  <c r="H1003" i="3"/>
  <c r="J1003" i="1" s="1"/>
  <c r="H1004" i="3"/>
  <c r="J1004" i="1" s="1"/>
  <c r="H1005" i="3"/>
  <c r="J1005" i="1" s="1"/>
  <c r="H1006" i="3"/>
  <c r="J1006" i="1" s="1"/>
  <c r="H1007" i="3"/>
  <c r="J1007" i="1" s="1"/>
  <c r="H1008" i="3"/>
  <c r="J1008" i="1" s="1"/>
  <c r="H1009" i="3"/>
  <c r="J1009" i="1" s="1"/>
  <c r="H1010" i="3"/>
  <c r="J1010" i="1" s="1"/>
  <c r="H1011" i="3"/>
  <c r="J1011" i="1" s="1"/>
  <c r="H1012" i="3"/>
  <c r="J1012" i="1" s="1"/>
  <c r="H1013" i="3"/>
  <c r="J1013" i="1" s="1"/>
  <c r="H1014" i="3"/>
  <c r="J1014" i="1" s="1"/>
  <c r="H1015" i="3"/>
  <c r="J1015" i="1" s="1"/>
  <c r="H1016" i="3"/>
  <c r="J1016" i="1" s="1"/>
  <c r="H1017" i="3"/>
  <c r="J1017" i="1" s="1"/>
  <c r="H1018" i="3"/>
  <c r="J1018" i="1" s="1"/>
  <c r="H1019" i="3"/>
  <c r="J1019" i="1" s="1"/>
  <c r="H1020" i="3"/>
  <c r="J1020" i="1" s="1"/>
  <c r="H1021" i="3"/>
  <c r="J1021" i="1" s="1"/>
  <c r="H1022" i="3"/>
  <c r="J1022" i="1" s="1"/>
  <c r="H1023" i="3"/>
  <c r="J1023" i="1" s="1"/>
  <c r="H1024" i="3"/>
  <c r="J1024" i="1" s="1"/>
  <c r="H1025" i="3"/>
  <c r="J1025" i="1" s="1"/>
  <c r="H1026" i="3"/>
  <c r="J1026" i="1" s="1"/>
  <c r="H1027" i="3"/>
  <c r="J1027" i="1" s="1"/>
  <c r="H1028" i="3"/>
  <c r="J1028" i="1" s="1"/>
  <c r="H1029" i="3"/>
  <c r="J1029" i="1" s="1"/>
  <c r="H1030" i="3"/>
  <c r="J1030" i="1" s="1"/>
  <c r="H1031" i="3"/>
  <c r="J1031" i="1" s="1"/>
  <c r="H1032" i="3"/>
  <c r="J1032" i="1" s="1"/>
  <c r="H1033" i="3"/>
  <c r="J1033" i="1" s="1"/>
  <c r="H1034" i="3"/>
  <c r="J1034" i="1" s="1"/>
  <c r="H1035" i="3"/>
  <c r="J1035" i="1" s="1"/>
  <c r="H1036" i="3"/>
  <c r="J1036" i="1" s="1"/>
  <c r="H1037" i="3"/>
  <c r="J1037" i="1" s="1"/>
  <c r="H1038" i="3"/>
  <c r="J1038" i="1" s="1"/>
  <c r="H1039" i="3"/>
  <c r="J1039" i="1" s="1"/>
  <c r="H1040" i="3"/>
  <c r="J1040" i="1" s="1"/>
  <c r="H1041" i="3"/>
  <c r="J1041" i="1" s="1"/>
  <c r="H1042" i="3"/>
  <c r="J1042" i="1" s="1"/>
  <c r="H1043" i="3"/>
  <c r="J1043" i="1" s="1"/>
  <c r="H1044" i="3"/>
  <c r="J1044" i="1" s="1"/>
  <c r="H1045" i="3"/>
  <c r="J1045" i="1" s="1"/>
  <c r="H1046" i="3"/>
  <c r="J1046" i="1" s="1"/>
  <c r="H1047" i="3"/>
  <c r="J1047" i="1" s="1"/>
  <c r="H1048" i="3"/>
  <c r="J1048" i="1" s="1"/>
  <c r="H1049" i="3"/>
  <c r="J1049" i="1" s="1"/>
  <c r="H1050" i="3"/>
  <c r="J1050" i="1" s="1"/>
  <c r="H1051" i="3"/>
  <c r="J1051" i="1" s="1"/>
  <c r="H1052" i="3"/>
  <c r="J1052" i="1" s="1"/>
  <c r="H1053" i="3"/>
  <c r="J1053" i="1" s="1"/>
  <c r="H1054" i="3"/>
  <c r="J1054" i="1" s="1"/>
  <c r="H1055" i="3"/>
  <c r="J1055" i="1" s="1"/>
  <c r="H1056" i="3"/>
  <c r="J1056" i="1" s="1"/>
  <c r="H1057" i="3"/>
  <c r="J1057" i="1" s="1"/>
  <c r="H1058" i="3"/>
  <c r="J1058" i="1" s="1"/>
  <c r="H1059" i="3"/>
  <c r="J1059" i="1" s="1"/>
  <c r="H1060" i="3"/>
  <c r="J1060" i="1" s="1"/>
  <c r="H1061" i="3"/>
  <c r="J1061" i="1" s="1"/>
  <c r="H1062" i="3"/>
  <c r="J1062" i="1" s="1"/>
  <c r="H1063" i="3"/>
  <c r="J1063" i="1" s="1"/>
  <c r="H1064" i="3"/>
  <c r="J1064" i="1" s="1"/>
  <c r="H1065" i="3"/>
  <c r="J1065" i="1" s="1"/>
  <c r="H1066" i="3"/>
  <c r="J1066" i="1" s="1"/>
  <c r="H1067" i="3"/>
  <c r="J1067" i="1" s="1"/>
  <c r="H1068" i="3"/>
  <c r="J1068" i="1" s="1"/>
  <c r="H1069" i="3"/>
  <c r="J1069" i="1" s="1"/>
  <c r="H1070" i="3"/>
  <c r="J1070" i="1" s="1"/>
  <c r="H1071" i="3"/>
  <c r="J1071" i="1" s="1"/>
  <c r="H1072" i="3"/>
  <c r="J1072" i="1" s="1"/>
  <c r="H1073" i="3"/>
  <c r="J1073" i="1" s="1"/>
  <c r="H1074" i="3"/>
  <c r="J1074" i="1" s="1"/>
  <c r="H1075" i="3"/>
  <c r="J1075" i="1" s="1"/>
  <c r="H1076" i="3"/>
  <c r="J1076" i="1" s="1"/>
  <c r="H1077" i="3"/>
  <c r="J1077" i="1" s="1"/>
  <c r="H1078" i="3"/>
  <c r="J1078" i="1" s="1"/>
  <c r="H1079" i="3"/>
  <c r="J1079" i="1" s="1"/>
  <c r="H1080" i="3"/>
  <c r="J1080" i="1" s="1"/>
  <c r="H1081" i="3"/>
  <c r="J1081" i="1" s="1"/>
  <c r="H1082" i="3"/>
  <c r="J1082" i="1" s="1"/>
  <c r="H1083" i="3"/>
  <c r="J1083" i="1" s="1"/>
  <c r="H1084" i="3"/>
  <c r="J1084" i="1" s="1"/>
  <c r="H1085" i="3"/>
  <c r="J1085" i="1" s="1"/>
  <c r="H1086" i="3"/>
  <c r="J1086" i="1" s="1"/>
  <c r="H1087" i="3"/>
  <c r="J1087" i="1" s="1"/>
  <c r="H1088" i="3"/>
  <c r="H1089" i="3"/>
  <c r="J1089" i="1" s="1"/>
  <c r="H1090" i="3"/>
  <c r="J1090" i="1" s="1"/>
  <c r="H1091" i="3"/>
  <c r="J1091" i="1" s="1"/>
  <c r="H1092" i="3"/>
  <c r="J1092" i="1" s="1"/>
  <c r="H1093" i="3"/>
  <c r="J1093" i="1" s="1"/>
  <c r="H1094" i="3"/>
  <c r="J1094" i="1" s="1"/>
  <c r="H1095" i="3"/>
  <c r="J1095" i="1" s="1"/>
  <c r="H1096" i="3"/>
  <c r="J1096" i="1" s="1"/>
  <c r="H1097" i="3"/>
  <c r="J1097" i="1" s="1"/>
  <c r="H1099" i="3"/>
  <c r="J1099" i="1" s="1"/>
  <c r="H1100" i="3"/>
  <c r="J1100" i="1" s="1"/>
  <c r="H1101" i="3"/>
  <c r="J1101" i="1" s="1"/>
  <c r="H1102" i="3"/>
  <c r="J1102" i="1" s="1"/>
  <c r="H1103" i="3"/>
  <c r="J1103" i="1" s="1"/>
  <c r="H1104" i="3"/>
  <c r="J1104" i="1" s="1"/>
  <c r="H1105" i="3"/>
  <c r="J1105" i="1" s="1"/>
  <c r="H1106" i="3"/>
  <c r="J1106" i="1" s="1"/>
  <c r="H1107" i="3"/>
  <c r="J1107" i="1" s="1"/>
  <c r="H1108" i="3"/>
  <c r="J1108" i="1" s="1"/>
  <c r="H1109" i="3"/>
  <c r="J1109" i="1" s="1"/>
  <c r="H1110" i="3"/>
  <c r="J1110" i="1" s="1"/>
  <c r="H2" i="3"/>
  <c r="J2" i="1" s="1"/>
  <c r="H3" i="2"/>
  <c r="I3" i="1" s="1"/>
  <c r="H4" i="2"/>
  <c r="I4" i="1" s="1"/>
  <c r="H5" i="2"/>
  <c r="I5" i="1" s="1"/>
  <c r="H6" i="2"/>
  <c r="I6" i="1" s="1"/>
  <c r="H7" i="2"/>
  <c r="I7" i="1" s="1"/>
  <c r="H8" i="2"/>
  <c r="I8" i="1" s="1"/>
  <c r="H9" i="2"/>
  <c r="I9" i="1" s="1"/>
  <c r="H10" i="2"/>
  <c r="I10" i="1" s="1"/>
  <c r="H11" i="2"/>
  <c r="I11" i="1" s="1"/>
  <c r="H12" i="2"/>
  <c r="I12" i="1" s="1"/>
  <c r="H13" i="2"/>
  <c r="I13" i="1" s="1"/>
  <c r="H14" i="2"/>
  <c r="I14" i="1" s="1"/>
  <c r="H15" i="2"/>
  <c r="I15" i="1" s="1"/>
  <c r="H16" i="2"/>
  <c r="I16" i="1" s="1"/>
  <c r="H17" i="2"/>
  <c r="I17" i="1" s="1"/>
  <c r="H18" i="2"/>
  <c r="I18" i="1" s="1"/>
  <c r="H19" i="2"/>
  <c r="I19" i="1" s="1"/>
  <c r="H20" i="2"/>
  <c r="I20" i="1" s="1"/>
  <c r="H21" i="2"/>
  <c r="I21" i="1" s="1"/>
  <c r="H22" i="2"/>
  <c r="I22" i="1" s="1"/>
  <c r="H23" i="2"/>
  <c r="I23" i="1" s="1"/>
  <c r="H24" i="2"/>
  <c r="I24" i="1" s="1"/>
  <c r="H25" i="2"/>
  <c r="I25" i="1" s="1"/>
  <c r="H26" i="2"/>
  <c r="I26" i="1" s="1"/>
  <c r="H27" i="2"/>
  <c r="I27" i="1" s="1"/>
  <c r="H28" i="2"/>
  <c r="I28" i="1" s="1"/>
  <c r="H29" i="2"/>
  <c r="I29" i="1" s="1"/>
  <c r="H30" i="2"/>
  <c r="I30" i="1" s="1"/>
  <c r="H31" i="2"/>
  <c r="I31" i="1" s="1"/>
  <c r="H32" i="2"/>
  <c r="I32" i="1" s="1"/>
  <c r="H33" i="2"/>
  <c r="I33" i="1" s="1"/>
  <c r="H34" i="2"/>
  <c r="I34" i="1" s="1"/>
  <c r="H35" i="2"/>
  <c r="I35" i="1" s="1"/>
  <c r="H36" i="2"/>
  <c r="I36" i="1" s="1"/>
  <c r="H37" i="2"/>
  <c r="I37" i="1" s="1"/>
  <c r="H38" i="2"/>
  <c r="I38" i="1" s="1"/>
  <c r="H39" i="2"/>
  <c r="I39" i="1" s="1"/>
  <c r="H40" i="2"/>
  <c r="I40" i="1" s="1"/>
  <c r="H41" i="2"/>
  <c r="I41" i="1" s="1"/>
  <c r="H42" i="2"/>
  <c r="I42" i="1" s="1"/>
  <c r="H43" i="2"/>
  <c r="I43" i="1" s="1"/>
  <c r="H44" i="2"/>
  <c r="I44" i="1" s="1"/>
  <c r="H45" i="2"/>
  <c r="I45" i="1" s="1"/>
  <c r="H46" i="2"/>
  <c r="I46" i="1" s="1"/>
  <c r="H47" i="2"/>
  <c r="I47" i="1" s="1"/>
  <c r="H48" i="2"/>
  <c r="I48" i="1" s="1"/>
  <c r="H49" i="2"/>
  <c r="I49" i="1" s="1"/>
  <c r="H50" i="2"/>
  <c r="I50" i="1" s="1"/>
  <c r="H51" i="2"/>
  <c r="I51" i="1" s="1"/>
  <c r="H52" i="2"/>
  <c r="I52" i="1" s="1"/>
  <c r="H53" i="2"/>
  <c r="I53" i="1" s="1"/>
  <c r="H54" i="2"/>
  <c r="I54" i="1" s="1"/>
  <c r="H55" i="2"/>
  <c r="I55" i="1" s="1"/>
  <c r="H56" i="2"/>
  <c r="I56" i="1" s="1"/>
  <c r="H57" i="2"/>
  <c r="I57" i="1" s="1"/>
  <c r="H58" i="2"/>
  <c r="I58" i="1" s="1"/>
  <c r="H59" i="2"/>
  <c r="I59" i="1" s="1"/>
  <c r="H60" i="2"/>
  <c r="I60" i="1" s="1"/>
  <c r="H61" i="2"/>
  <c r="I61" i="1" s="1"/>
  <c r="H62" i="2"/>
  <c r="I62" i="1" s="1"/>
  <c r="H63" i="2"/>
  <c r="I63" i="1" s="1"/>
  <c r="H64" i="2"/>
  <c r="I64" i="1" s="1"/>
  <c r="H65" i="2"/>
  <c r="I65" i="1" s="1"/>
  <c r="H66" i="2"/>
  <c r="I66" i="1" s="1"/>
  <c r="H67" i="2"/>
  <c r="I67" i="1" s="1"/>
  <c r="H68" i="2"/>
  <c r="I68" i="1" s="1"/>
  <c r="H69" i="2"/>
  <c r="I69" i="1" s="1"/>
  <c r="H70" i="2"/>
  <c r="I70" i="1" s="1"/>
  <c r="H71" i="2"/>
  <c r="I71" i="1" s="1"/>
  <c r="H72" i="2"/>
  <c r="I72" i="1" s="1"/>
  <c r="H73" i="2"/>
  <c r="I73" i="1" s="1"/>
  <c r="H74" i="2"/>
  <c r="I74" i="1" s="1"/>
  <c r="H75" i="2"/>
  <c r="I75" i="1" s="1"/>
  <c r="H76" i="2"/>
  <c r="I76" i="1" s="1"/>
  <c r="H77" i="2"/>
  <c r="I77" i="1" s="1"/>
  <c r="H78" i="2"/>
  <c r="I78" i="1" s="1"/>
  <c r="H79" i="2"/>
  <c r="I79" i="1" s="1"/>
  <c r="H80" i="2"/>
  <c r="I80" i="1" s="1"/>
  <c r="H81" i="2"/>
  <c r="I81" i="1" s="1"/>
  <c r="H82" i="2"/>
  <c r="I82" i="1" s="1"/>
  <c r="H83" i="2"/>
  <c r="I83" i="1" s="1"/>
  <c r="H84" i="2"/>
  <c r="I84" i="1" s="1"/>
  <c r="H85" i="2"/>
  <c r="I85" i="1" s="1"/>
  <c r="H86" i="2"/>
  <c r="I86" i="1" s="1"/>
  <c r="H87" i="2"/>
  <c r="I87" i="1" s="1"/>
  <c r="H88" i="2"/>
  <c r="I88" i="1" s="1"/>
  <c r="H89" i="2"/>
  <c r="I89" i="1" s="1"/>
  <c r="H90" i="2"/>
  <c r="I90" i="1" s="1"/>
  <c r="H91" i="2"/>
  <c r="I91" i="1" s="1"/>
  <c r="H92" i="2"/>
  <c r="I92" i="1" s="1"/>
  <c r="H93" i="2"/>
  <c r="I93" i="1" s="1"/>
  <c r="H94" i="2"/>
  <c r="I94" i="1" s="1"/>
  <c r="H95" i="2"/>
  <c r="I95" i="1" s="1"/>
  <c r="H96" i="2"/>
  <c r="I96" i="1" s="1"/>
  <c r="H97" i="2"/>
  <c r="I97" i="1" s="1"/>
  <c r="H98" i="2"/>
  <c r="I98" i="1" s="1"/>
  <c r="H99" i="2"/>
  <c r="I99" i="1" s="1"/>
  <c r="H100" i="2"/>
  <c r="I100" i="1" s="1"/>
  <c r="H101" i="2"/>
  <c r="I101" i="1" s="1"/>
  <c r="H102" i="2"/>
  <c r="I102" i="1" s="1"/>
  <c r="H103" i="2"/>
  <c r="I103" i="1" s="1"/>
  <c r="H104" i="2"/>
  <c r="I104" i="1" s="1"/>
  <c r="H105" i="2"/>
  <c r="I105" i="1" s="1"/>
  <c r="H106" i="2"/>
  <c r="I106" i="1" s="1"/>
  <c r="H107" i="2"/>
  <c r="I107" i="1" s="1"/>
  <c r="H108" i="2"/>
  <c r="I108" i="1" s="1"/>
  <c r="H109" i="2"/>
  <c r="I109" i="1" s="1"/>
  <c r="H110" i="2"/>
  <c r="I110" i="1" s="1"/>
  <c r="H111" i="2"/>
  <c r="I111" i="1" s="1"/>
  <c r="H112" i="2"/>
  <c r="I112" i="1" s="1"/>
  <c r="H113" i="2"/>
  <c r="I113" i="1" s="1"/>
  <c r="H114" i="2"/>
  <c r="I114" i="1" s="1"/>
  <c r="H115" i="2"/>
  <c r="I115" i="1" s="1"/>
  <c r="H116" i="2"/>
  <c r="I116" i="1" s="1"/>
  <c r="H117" i="2"/>
  <c r="I117" i="1" s="1"/>
  <c r="H118" i="2"/>
  <c r="I118" i="1" s="1"/>
  <c r="H119" i="2"/>
  <c r="I119" i="1" s="1"/>
  <c r="H120" i="2"/>
  <c r="I120" i="1" s="1"/>
  <c r="H121" i="2"/>
  <c r="I121" i="1" s="1"/>
  <c r="H122" i="2"/>
  <c r="I122" i="1" s="1"/>
  <c r="H123" i="2"/>
  <c r="I123" i="1" s="1"/>
  <c r="H124" i="2"/>
  <c r="I124" i="1" s="1"/>
  <c r="H125" i="2"/>
  <c r="I125" i="1" s="1"/>
  <c r="H126" i="2"/>
  <c r="I126" i="1" s="1"/>
  <c r="H127" i="2"/>
  <c r="I127" i="1" s="1"/>
  <c r="H128" i="2"/>
  <c r="I128" i="1" s="1"/>
  <c r="H129" i="2"/>
  <c r="I129" i="1" s="1"/>
  <c r="H130" i="2"/>
  <c r="I130" i="1" s="1"/>
  <c r="H131" i="2"/>
  <c r="I131" i="1" s="1"/>
  <c r="H132" i="2"/>
  <c r="I132" i="1" s="1"/>
  <c r="H133" i="2"/>
  <c r="I133" i="1" s="1"/>
  <c r="H134" i="2"/>
  <c r="I134" i="1" s="1"/>
  <c r="H135" i="2"/>
  <c r="I135" i="1" s="1"/>
  <c r="H136" i="2"/>
  <c r="I136" i="1" s="1"/>
  <c r="H137" i="2"/>
  <c r="I137" i="1" s="1"/>
  <c r="H138" i="2"/>
  <c r="I138" i="1" s="1"/>
  <c r="H139" i="2"/>
  <c r="I139" i="1" s="1"/>
  <c r="H140" i="2"/>
  <c r="I140" i="1" s="1"/>
  <c r="H141" i="2"/>
  <c r="I141" i="1" s="1"/>
  <c r="H142" i="2"/>
  <c r="I142" i="1" s="1"/>
  <c r="H143" i="2"/>
  <c r="I143" i="1" s="1"/>
  <c r="H144" i="2"/>
  <c r="I144" i="1" s="1"/>
  <c r="H145" i="2"/>
  <c r="I145" i="1" s="1"/>
  <c r="H146" i="2"/>
  <c r="I146" i="1" s="1"/>
  <c r="H147" i="2"/>
  <c r="I147" i="1" s="1"/>
  <c r="H148" i="2"/>
  <c r="I148" i="1" s="1"/>
  <c r="H149" i="2"/>
  <c r="I149" i="1" s="1"/>
  <c r="H150" i="2"/>
  <c r="I150" i="1" s="1"/>
  <c r="H151" i="2"/>
  <c r="I151" i="1" s="1"/>
  <c r="H152" i="2"/>
  <c r="I152" i="1" s="1"/>
  <c r="H153" i="2"/>
  <c r="I153" i="1" s="1"/>
  <c r="H154" i="2"/>
  <c r="I154" i="1" s="1"/>
  <c r="H155" i="2"/>
  <c r="I155" i="1" s="1"/>
  <c r="H156" i="2"/>
  <c r="I156" i="1" s="1"/>
  <c r="H157" i="2"/>
  <c r="I157" i="1" s="1"/>
  <c r="H158" i="2"/>
  <c r="I158" i="1" s="1"/>
  <c r="H159" i="2"/>
  <c r="I159" i="1" s="1"/>
  <c r="H160" i="2"/>
  <c r="I160" i="1" s="1"/>
  <c r="H161" i="2"/>
  <c r="I161" i="1" s="1"/>
  <c r="H162" i="2"/>
  <c r="I162" i="1" s="1"/>
  <c r="H163" i="2"/>
  <c r="I163" i="1" s="1"/>
  <c r="H164" i="2"/>
  <c r="I164" i="1" s="1"/>
  <c r="H165" i="2"/>
  <c r="I165" i="1" s="1"/>
  <c r="H166" i="2"/>
  <c r="I166" i="1" s="1"/>
  <c r="H167" i="2"/>
  <c r="I167" i="1" s="1"/>
  <c r="H168" i="2"/>
  <c r="I168" i="1" s="1"/>
  <c r="H169" i="2"/>
  <c r="I169" i="1" s="1"/>
  <c r="H170" i="2"/>
  <c r="I170" i="1" s="1"/>
  <c r="H171" i="2"/>
  <c r="I171" i="1" s="1"/>
  <c r="H172" i="2"/>
  <c r="I172" i="1" s="1"/>
  <c r="H173" i="2"/>
  <c r="I173" i="1" s="1"/>
  <c r="H174" i="2"/>
  <c r="I174" i="1" s="1"/>
  <c r="H175" i="2"/>
  <c r="I175" i="1" s="1"/>
  <c r="H176" i="2"/>
  <c r="I176" i="1" s="1"/>
  <c r="H177" i="2"/>
  <c r="I177" i="1" s="1"/>
  <c r="H178" i="2"/>
  <c r="I178" i="1" s="1"/>
  <c r="H179" i="2"/>
  <c r="I179" i="1" s="1"/>
  <c r="H180" i="2"/>
  <c r="I180" i="1" s="1"/>
  <c r="H181" i="2"/>
  <c r="I181" i="1" s="1"/>
  <c r="H182" i="2"/>
  <c r="I182" i="1" s="1"/>
  <c r="H183" i="2"/>
  <c r="I183" i="1" s="1"/>
  <c r="H184" i="2"/>
  <c r="I184" i="1" s="1"/>
  <c r="H185" i="2"/>
  <c r="I185" i="1" s="1"/>
  <c r="H186" i="2"/>
  <c r="I186" i="1" s="1"/>
  <c r="H187" i="2"/>
  <c r="I187" i="1" s="1"/>
  <c r="H188" i="2"/>
  <c r="I188" i="1" s="1"/>
  <c r="H189" i="2"/>
  <c r="I189" i="1" s="1"/>
  <c r="H190" i="2"/>
  <c r="I190" i="1" s="1"/>
  <c r="H191" i="2"/>
  <c r="I191" i="1" s="1"/>
  <c r="H192" i="2"/>
  <c r="I192" i="1" s="1"/>
  <c r="H193" i="2"/>
  <c r="I193" i="1" s="1"/>
  <c r="H194" i="2"/>
  <c r="I194" i="1" s="1"/>
  <c r="H195" i="2"/>
  <c r="I195" i="1" s="1"/>
  <c r="H196" i="2"/>
  <c r="I196" i="1" s="1"/>
  <c r="H197" i="2"/>
  <c r="I197" i="1" s="1"/>
  <c r="H198" i="2"/>
  <c r="I198" i="1" s="1"/>
  <c r="H199" i="2"/>
  <c r="I199" i="1" s="1"/>
  <c r="H200" i="2"/>
  <c r="I200" i="1" s="1"/>
  <c r="H201" i="2"/>
  <c r="I201" i="1" s="1"/>
  <c r="H202" i="2"/>
  <c r="I202" i="1" s="1"/>
  <c r="H203" i="2"/>
  <c r="I203" i="1" s="1"/>
  <c r="H204" i="2"/>
  <c r="I204" i="1" s="1"/>
  <c r="H205" i="2"/>
  <c r="I205" i="1" s="1"/>
  <c r="H206" i="2"/>
  <c r="I206" i="1" s="1"/>
  <c r="H207" i="2"/>
  <c r="I207" i="1" s="1"/>
  <c r="H208" i="2"/>
  <c r="I208" i="1" s="1"/>
  <c r="H209" i="2"/>
  <c r="I209" i="1" s="1"/>
  <c r="H210" i="2"/>
  <c r="I210" i="1" s="1"/>
  <c r="H211" i="2"/>
  <c r="I211" i="1" s="1"/>
  <c r="H212" i="2"/>
  <c r="I212" i="1" s="1"/>
  <c r="H213" i="2"/>
  <c r="I213" i="1" s="1"/>
  <c r="H214" i="2"/>
  <c r="I214" i="1" s="1"/>
  <c r="H215" i="2"/>
  <c r="I215" i="1" s="1"/>
  <c r="H216" i="2"/>
  <c r="I216" i="1" s="1"/>
  <c r="H217" i="2"/>
  <c r="I217" i="1" s="1"/>
  <c r="H218" i="2"/>
  <c r="I218" i="1" s="1"/>
  <c r="H219" i="2"/>
  <c r="I219" i="1" s="1"/>
  <c r="H220" i="2"/>
  <c r="I220" i="1" s="1"/>
  <c r="H221" i="2"/>
  <c r="I221" i="1" s="1"/>
  <c r="H222" i="2"/>
  <c r="I222" i="1" s="1"/>
  <c r="H223" i="2"/>
  <c r="I223" i="1" s="1"/>
  <c r="H224" i="2"/>
  <c r="I224" i="1" s="1"/>
  <c r="H225" i="2"/>
  <c r="I225" i="1" s="1"/>
  <c r="H226" i="2"/>
  <c r="I226" i="1" s="1"/>
  <c r="H227" i="2"/>
  <c r="I227" i="1" s="1"/>
  <c r="H228" i="2"/>
  <c r="I228" i="1" s="1"/>
  <c r="H229" i="2"/>
  <c r="I229" i="1" s="1"/>
  <c r="H230" i="2"/>
  <c r="I230" i="1" s="1"/>
  <c r="H231" i="2"/>
  <c r="I231" i="1" s="1"/>
  <c r="H232" i="2"/>
  <c r="I232" i="1" s="1"/>
  <c r="H233" i="2"/>
  <c r="I233" i="1" s="1"/>
  <c r="H234" i="2"/>
  <c r="I234" i="1" s="1"/>
  <c r="H235" i="2"/>
  <c r="I235" i="1" s="1"/>
  <c r="H236" i="2"/>
  <c r="I236" i="1" s="1"/>
  <c r="H237" i="2"/>
  <c r="I237" i="1" s="1"/>
  <c r="H238" i="2"/>
  <c r="I238" i="1" s="1"/>
  <c r="H239" i="2"/>
  <c r="I239" i="1" s="1"/>
  <c r="H240" i="2"/>
  <c r="I240" i="1" s="1"/>
  <c r="H241" i="2"/>
  <c r="I241" i="1" s="1"/>
  <c r="H242" i="2"/>
  <c r="I242" i="1" s="1"/>
  <c r="H243" i="2"/>
  <c r="I243" i="1" s="1"/>
  <c r="H244" i="2"/>
  <c r="I244" i="1" s="1"/>
  <c r="H245" i="2"/>
  <c r="I245" i="1" s="1"/>
  <c r="H246" i="2"/>
  <c r="I246" i="1" s="1"/>
  <c r="H247" i="2"/>
  <c r="I247" i="1" s="1"/>
  <c r="H248" i="2"/>
  <c r="I248" i="1" s="1"/>
  <c r="H249" i="2"/>
  <c r="I249" i="1" s="1"/>
  <c r="H250" i="2"/>
  <c r="I250" i="1" s="1"/>
  <c r="H251" i="2"/>
  <c r="I251" i="1" s="1"/>
  <c r="H252" i="2"/>
  <c r="I252" i="1" s="1"/>
  <c r="H253" i="2"/>
  <c r="I253" i="1" s="1"/>
  <c r="H254" i="2"/>
  <c r="I254" i="1" s="1"/>
  <c r="H255" i="2"/>
  <c r="I255" i="1" s="1"/>
  <c r="H256" i="2"/>
  <c r="I256" i="1" s="1"/>
  <c r="H257" i="2"/>
  <c r="I257" i="1" s="1"/>
  <c r="H258" i="2"/>
  <c r="I258" i="1" s="1"/>
  <c r="H259" i="2"/>
  <c r="I259" i="1" s="1"/>
  <c r="H260" i="2"/>
  <c r="I260" i="1" s="1"/>
  <c r="H261" i="2"/>
  <c r="I261" i="1" s="1"/>
  <c r="H262" i="2"/>
  <c r="I262" i="1" s="1"/>
  <c r="H263" i="2"/>
  <c r="I263" i="1" s="1"/>
  <c r="H264" i="2"/>
  <c r="I264" i="1" s="1"/>
  <c r="H265" i="2"/>
  <c r="I265" i="1" s="1"/>
  <c r="H266" i="2"/>
  <c r="I266" i="1" s="1"/>
  <c r="H267" i="2"/>
  <c r="I267" i="1" s="1"/>
  <c r="H268" i="2"/>
  <c r="I268" i="1" s="1"/>
  <c r="H269" i="2"/>
  <c r="I269" i="1" s="1"/>
  <c r="H270" i="2"/>
  <c r="I270" i="1" s="1"/>
  <c r="H271" i="2"/>
  <c r="I271" i="1" s="1"/>
  <c r="H272" i="2"/>
  <c r="I272" i="1" s="1"/>
  <c r="H273" i="2"/>
  <c r="I273" i="1" s="1"/>
  <c r="H274" i="2"/>
  <c r="I274" i="1" s="1"/>
  <c r="H275" i="2"/>
  <c r="I275" i="1" s="1"/>
  <c r="H276" i="2"/>
  <c r="I276" i="1" s="1"/>
  <c r="H277" i="2"/>
  <c r="I277" i="1" s="1"/>
  <c r="H278" i="2"/>
  <c r="I278" i="1" s="1"/>
  <c r="H279" i="2"/>
  <c r="I279" i="1" s="1"/>
  <c r="H280" i="2"/>
  <c r="I280" i="1" s="1"/>
  <c r="H281" i="2"/>
  <c r="I281" i="1" s="1"/>
  <c r="H282" i="2"/>
  <c r="I282" i="1" s="1"/>
  <c r="H283" i="2"/>
  <c r="I283" i="1" s="1"/>
  <c r="H284" i="2"/>
  <c r="I284" i="1" s="1"/>
  <c r="H285" i="2"/>
  <c r="I285" i="1" s="1"/>
  <c r="H286" i="2"/>
  <c r="I286" i="1" s="1"/>
  <c r="H287" i="2"/>
  <c r="I287" i="1" s="1"/>
  <c r="H288" i="2"/>
  <c r="I288" i="1" s="1"/>
  <c r="H289" i="2"/>
  <c r="I289" i="1" s="1"/>
  <c r="H290" i="2"/>
  <c r="I290" i="1" s="1"/>
  <c r="H291" i="2"/>
  <c r="I291" i="1" s="1"/>
  <c r="H292" i="2"/>
  <c r="I292" i="1" s="1"/>
  <c r="H293" i="2"/>
  <c r="I293" i="1" s="1"/>
  <c r="H294" i="2"/>
  <c r="I294" i="1" s="1"/>
  <c r="H295" i="2"/>
  <c r="I295" i="1" s="1"/>
  <c r="H296" i="2"/>
  <c r="I296" i="1" s="1"/>
  <c r="H297" i="2"/>
  <c r="I297" i="1" s="1"/>
  <c r="H298" i="2"/>
  <c r="I298" i="1" s="1"/>
  <c r="H299" i="2"/>
  <c r="I299" i="1" s="1"/>
  <c r="H300" i="2"/>
  <c r="I300" i="1" s="1"/>
  <c r="H301" i="2"/>
  <c r="I301" i="1" s="1"/>
  <c r="H302" i="2"/>
  <c r="I302" i="1" s="1"/>
  <c r="H303" i="2"/>
  <c r="I303" i="1" s="1"/>
  <c r="H304" i="2"/>
  <c r="I304" i="1" s="1"/>
  <c r="H305" i="2"/>
  <c r="I305" i="1" s="1"/>
  <c r="H306" i="2"/>
  <c r="I306" i="1" s="1"/>
  <c r="H307" i="2"/>
  <c r="I307" i="1" s="1"/>
  <c r="H308" i="2"/>
  <c r="I308" i="1" s="1"/>
  <c r="H309" i="2"/>
  <c r="I309" i="1" s="1"/>
  <c r="H310" i="2"/>
  <c r="I310" i="1" s="1"/>
  <c r="H311" i="2"/>
  <c r="I311" i="1" s="1"/>
  <c r="H312" i="2"/>
  <c r="I312" i="1" s="1"/>
  <c r="H313" i="2"/>
  <c r="I313" i="1" s="1"/>
  <c r="H314" i="2"/>
  <c r="I314" i="1" s="1"/>
  <c r="H315" i="2"/>
  <c r="I315" i="1" s="1"/>
  <c r="H316" i="2"/>
  <c r="I316" i="1" s="1"/>
  <c r="H317" i="2"/>
  <c r="I317" i="1" s="1"/>
  <c r="H318" i="2"/>
  <c r="I318" i="1" s="1"/>
  <c r="H319" i="2"/>
  <c r="I319" i="1" s="1"/>
  <c r="H320" i="2"/>
  <c r="I320" i="1" s="1"/>
  <c r="H321" i="2"/>
  <c r="I321" i="1" s="1"/>
  <c r="H322" i="2"/>
  <c r="I322" i="1" s="1"/>
  <c r="H323" i="2"/>
  <c r="I323" i="1" s="1"/>
  <c r="H324" i="2"/>
  <c r="I324" i="1" s="1"/>
  <c r="H325" i="2"/>
  <c r="I325" i="1" s="1"/>
  <c r="H326" i="2"/>
  <c r="I326" i="1" s="1"/>
  <c r="H327" i="2"/>
  <c r="I327" i="1" s="1"/>
  <c r="H328" i="2"/>
  <c r="I328" i="1" s="1"/>
  <c r="H329" i="2"/>
  <c r="I329" i="1" s="1"/>
  <c r="H330" i="2"/>
  <c r="I330" i="1" s="1"/>
  <c r="H331" i="2"/>
  <c r="I331" i="1" s="1"/>
  <c r="H332" i="2"/>
  <c r="I332" i="1" s="1"/>
  <c r="H333" i="2"/>
  <c r="I333" i="1" s="1"/>
  <c r="H334" i="2"/>
  <c r="I334" i="1" s="1"/>
  <c r="H335" i="2"/>
  <c r="I335" i="1" s="1"/>
  <c r="H336" i="2"/>
  <c r="I336" i="1" s="1"/>
  <c r="H337" i="2"/>
  <c r="I337" i="1" s="1"/>
  <c r="H338" i="2"/>
  <c r="I338" i="1" s="1"/>
  <c r="H339" i="2"/>
  <c r="I339" i="1" s="1"/>
  <c r="H340" i="2"/>
  <c r="I340" i="1" s="1"/>
  <c r="H341" i="2"/>
  <c r="I341" i="1" s="1"/>
  <c r="H342" i="2"/>
  <c r="I342" i="1" s="1"/>
  <c r="H343" i="2"/>
  <c r="I343" i="1" s="1"/>
  <c r="H344" i="2"/>
  <c r="I344" i="1" s="1"/>
  <c r="H345" i="2"/>
  <c r="I345" i="1" s="1"/>
  <c r="H346" i="2"/>
  <c r="I346" i="1" s="1"/>
  <c r="H347" i="2"/>
  <c r="I347" i="1" s="1"/>
  <c r="H348" i="2"/>
  <c r="I348" i="1" s="1"/>
  <c r="H349" i="2"/>
  <c r="I349" i="1" s="1"/>
  <c r="H350" i="2"/>
  <c r="I350" i="1" s="1"/>
  <c r="H351" i="2"/>
  <c r="I351" i="1" s="1"/>
  <c r="H352" i="2"/>
  <c r="I352" i="1" s="1"/>
  <c r="H353" i="2"/>
  <c r="I353" i="1" s="1"/>
  <c r="H354" i="2"/>
  <c r="I354" i="1" s="1"/>
  <c r="H355" i="2"/>
  <c r="I355" i="1" s="1"/>
  <c r="H356" i="2"/>
  <c r="I356" i="1" s="1"/>
  <c r="H357" i="2"/>
  <c r="I357" i="1" s="1"/>
  <c r="H358" i="2"/>
  <c r="I358" i="1" s="1"/>
  <c r="H359" i="2"/>
  <c r="I359" i="1" s="1"/>
  <c r="H360" i="2"/>
  <c r="I360" i="1" s="1"/>
  <c r="H361" i="2"/>
  <c r="I361" i="1" s="1"/>
  <c r="H362" i="2"/>
  <c r="I362" i="1" s="1"/>
  <c r="H363" i="2"/>
  <c r="I363" i="1" s="1"/>
  <c r="H364" i="2"/>
  <c r="I364" i="1" s="1"/>
  <c r="H365" i="2"/>
  <c r="I365" i="1" s="1"/>
  <c r="H366" i="2"/>
  <c r="I366" i="1" s="1"/>
  <c r="H367" i="2"/>
  <c r="I367" i="1" s="1"/>
  <c r="H368" i="2"/>
  <c r="I368" i="1" s="1"/>
  <c r="H369" i="2"/>
  <c r="I369" i="1" s="1"/>
  <c r="H370" i="2"/>
  <c r="I370" i="1" s="1"/>
  <c r="H371" i="2"/>
  <c r="I371" i="1" s="1"/>
  <c r="H372" i="2"/>
  <c r="I372" i="1" s="1"/>
  <c r="H373" i="2"/>
  <c r="I373" i="1" s="1"/>
  <c r="H374" i="2"/>
  <c r="I374" i="1" s="1"/>
  <c r="H375" i="2"/>
  <c r="I375" i="1" s="1"/>
  <c r="H376" i="2"/>
  <c r="I376" i="1" s="1"/>
  <c r="H377" i="2"/>
  <c r="I377" i="1" s="1"/>
  <c r="H378" i="2"/>
  <c r="I378" i="1" s="1"/>
  <c r="H379" i="2"/>
  <c r="I379" i="1" s="1"/>
  <c r="H380" i="2"/>
  <c r="I380" i="1" s="1"/>
  <c r="H381" i="2"/>
  <c r="I381" i="1" s="1"/>
  <c r="H382" i="2"/>
  <c r="I382" i="1" s="1"/>
  <c r="H383" i="2"/>
  <c r="I383" i="1" s="1"/>
  <c r="H384" i="2"/>
  <c r="I384" i="1" s="1"/>
  <c r="H385" i="2"/>
  <c r="I385" i="1" s="1"/>
  <c r="H386" i="2"/>
  <c r="I386" i="1" s="1"/>
  <c r="H387" i="2"/>
  <c r="I387" i="1" s="1"/>
  <c r="H388" i="2"/>
  <c r="I388" i="1" s="1"/>
  <c r="H389" i="2"/>
  <c r="I389" i="1" s="1"/>
  <c r="H390" i="2"/>
  <c r="I390" i="1" s="1"/>
  <c r="H391" i="2"/>
  <c r="I391" i="1" s="1"/>
  <c r="H392" i="2"/>
  <c r="I392" i="1" s="1"/>
  <c r="H393" i="2"/>
  <c r="I393" i="1" s="1"/>
  <c r="H394" i="2"/>
  <c r="I394" i="1" s="1"/>
  <c r="H395" i="2"/>
  <c r="I395" i="1" s="1"/>
  <c r="H396" i="2"/>
  <c r="I396" i="1" s="1"/>
  <c r="H397" i="2"/>
  <c r="I397" i="1" s="1"/>
  <c r="H398" i="2"/>
  <c r="I398" i="1" s="1"/>
  <c r="H399" i="2"/>
  <c r="I399" i="1" s="1"/>
  <c r="H400" i="2"/>
  <c r="I400" i="1" s="1"/>
  <c r="H401" i="2"/>
  <c r="I401" i="1" s="1"/>
  <c r="H402" i="2"/>
  <c r="I402" i="1" s="1"/>
  <c r="H403" i="2"/>
  <c r="I403" i="1" s="1"/>
  <c r="H404" i="2"/>
  <c r="I404" i="1" s="1"/>
  <c r="H405" i="2"/>
  <c r="I405" i="1" s="1"/>
  <c r="H406" i="2"/>
  <c r="I406" i="1" s="1"/>
  <c r="H407" i="2"/>
  <c r="I407" i="1" s="1"/>
  <c r="H408" i="2"/>
  <c r="I408" i="1" s="1"/>
  <c r="H409" i="2"/>
  <c r="I409" i="1" s="1"/>
  <c r="H410" i="2"/>
  <c r="I410" i="1" s="1"/>
  <c r="H411" i="2"/>
  <c r="I411" i="1" s="1"/>
  <c r="H412" i="2"/>
  <c r="I412" i="1" s="1"/>
  <c r="H413" i="2"/>
  <c r="I413" i="1" s="1"/>
  <c r="H414" i="2"/>
  <c r="I414" i="1" s="1"/>
  <c r="H415" i="2"/>
  <c r="I415" i="1" s="1"/>
  <c r="H416" i="2"/>
  <c r="I416" i="1" s="1"/>
  <c r="H417" i="2"/>
  <c r="I417" i="1" s="1"/>
  <c r="H418" i="2"/>
  <c r="I418" i="1" s="1"/>
  <c r="H419" i="2"/>
  <c r="I419" i="1" s="1"/>
  <c r="H420" i="2"/>
  <c r="I420" i="1" s="1"/>
  <c r="H421" i="2"/>
  <c r="I421" i="1" s="1"/>
  <c r="H422" i="2"/>
  <c r="I422" i="1" s="1"/>
  <c r="H423" i="2"/>
  <c r="I423" i="1" s="1"/>
  <c r="H425" i="2"/>
  <c r="I425" i="1" s="1"/>
  <c r="H426" i="2"/>
  <c r="I426" i="1" s="1"/>
  <c r="H427" i="2"/>
  <c r="I427" i="1" s="1"/>
  <c r="H428" i="2"/>
  <c r="I428" i="1" s="1"/>
  <c r="H429" i="2"/>
  <c r="I429" i="1" s="1"/>
  <c r="H430" i="2"/>
  <c r="I430" i="1" s="1"/>
  <c r="H431" i="2"/>
  <c r="I431" i="1" s="1"/>
  <c r="H432" i="2"/>
  <c r="I432" i="1" s="1"/>
  <c r="H433" i="2"/>
  <c r="I433" i="1" s="1"/>
  <c r="H434" i="2"/>
  <c r="I434" i="1" s="1"/>
  <c r="H435" i="2"/>
  <c r="I435" i="1" s="1"/>
  <c r="H436" i="2"/>
  <c r="I436" i="1" s="1"/>
  <c r="H437" i="2"/>
  <c r="I437" i="1" s="1"/>
  <c r="H438" i="2"/>
  <c r="I438" i="1" s="1"/>
  <c r="H439" i="2"/>
  <c r="I439" i="1" s="1"/>
  <c r="H440" i="2"/>
  <c r="I440" i="1" s="1"/>
  <c r="H441" i="2"/>
  <c r="I441" i="1" s="1"/>
  <c r="H442" i="2"/>
  <c r="I442" i="1" s="1"/>
  <c r="H443" i="2"/>
  <c r="I443" i="1" s="1"/>
  <c r="H444" i="2"/>
  <c r="I444" i="1" s="1"/>
  <c r="H445" i="2"/>
  <c r="I445" i="1" s="1"/>
  <c r="H447" i="2"/>
  <c r="I447" i="1" s="1"/>
  <c r="H448" i="2"/>
  <c r="I448" i="1" s="1"/>
  <c r="H449" i="2"/>
  <c r="I449" i="1" s="1"/>
  <c r="H450" i="2"/>
  <c r="I450" i="1" s="1"/>
  <c r="H451" i="2"/>
  <c r="I451" i="1" s="1"/>
  <c r="H452" i="2"/>
  <c r="I452" i="1" s="1"/>
  <c r="H453" i="2"/>
  <c r="I453" i="1" s="1"/>
  <c r="H454" i="2"/>
  <c r="I454" i="1" s="1"/>
  <c r="H455" i="2"/>
  <c r="I455" i="1" s="1"/>
  <c r="H456" i="2"/>
  <c r="I456" i="1" s="1"/>
  <c r="H457" i="2"/>
  <c r="I457" i="1" s="1"/>
  <c r="H458" i="2"/>
  <c r="I458" i="1" s="1"/>
  <c r="H459" i="2"/>
  <c r="I459" i="1" s="1"/>
  <c r="H460" i="2"/>
  <c r="I460" i="1" s="1"/>
  <c r="H461" i="2"/>
  <c r="I461" i="1" s="1"/>
  <c r="H462" i="2"/>
  <c r="I462" i="1" s="1"/>
  <c r="H463" i="2"/>
  <c r="I463" i="1" s="1"/>
  <c r="H464" i="2"/>
  <c r="I464" i="1" s="1"/>
  <c r="H465" i="2"/>
  <c r="I465" i="1" s="1"/>
  <c r="H466" i="2"/>
  <c r="I466" i="1" s="1"/>
  <c r="H467" i="2"/>
  <c r="I467" i="1" s="1"/>
  <c r="H468" i="2"/>
  <c r="I468" i="1" s="1"/>
  <c r="H469" i="2"/>
  <c r="I469" i="1" s="1"/>
  <c r="H470" i="2"/>
  <c r="I470" i="1" s="1"/>
  <c r="H471" i="2"/>
  <c r="I471" i="1" s="1"/>
  <c r="H472" i="2"/>
  <c r="I472" i="1" s="1"/>
  <c r="H473" i="2"/>
  <c r="I473" i="1" s="1"/>
  <c r="H474" i="2"/>
  <c r="I474" i="1" s="1"/>
  <c r="H475" i="2"/>
  <c r="I475" i="1" s="1"/>
  <c r="H476" i="2"/>
  <c r="I476" i="1" s="1"/>
  <c r="H477" i="2"/>
  <c r="I477" i="1" s="1"/>
  <c r="H478" i="2"/>
  <c r="I478" i="1" s="1"/>
  <c r="H479" i="2"/>
  <c r="I479" i="1" s="1"/>
  <c r="H480" i="2"/>
  <c r="I480" i="1" s="1"/>
  <c r="H481" i="2"/>
  <c r="I481" i="1" s="1"/>
  <c r="H482" i="2"/>
  <c r="I482" i="1" s="1"/>
  <c r="H483" i="2"/>
  <c r="I483" i="1" s="1"/>
  <c r="H484" i="2"/>
  <c r="I484" i="1" s="1"/>
  <c r="H485" i="2"/>
  <c r="I485" i="1" s="1"/>
  <c r="H486" i="2"/>
  <c r="I486" i="1" s="1"/>
  <c r="H487" i="2"/>
  <c r="I487" i="1" s="1"/>
  <c r="H488" i="2"/>
  <c r="I488" i="1" s="1"/>
  <c r="H489" i="2"/>
  <c r="I489" i="1" s="1"/>
  <c r="H490" i="2"/>
  <c r="I490" i="1" s="1"/>
  <c r="H491" i="2"/>
  <c r="I491" i="1" s="1"/>
  <c r="H492" i="2"/>
  <c r="I492" i="1" s="1"/>
  <c r="H493" i="2"/>
  <c r="I493" i="1" s="1"/>
  <c r="H494" i="2"/>
  <c r="I494" i="1" s="1"/>
  <c r="H495" i="2"/>
  <c r="I495" i="1" s="1"/>
  <c r="H496" i="2"/>
  <c r="I496" i="1" s="1"/>
  <c r="H497" i="2"/>
  <c r="I497" i="1" s="1"/>
  <c r="H498" i="2"/>
  <c r="I498" i="1" s="1"/>
  <c r="H499" i="2"/>
  <c r="I499" i="1" s="1"/>
  <c r="H500" i="2"/>
  <c r="I500" i="1" s="1"/>
  <c r="H501" i="2"/>
  <c r="I501" i="1" s="1"/>
  <c r="H502" i="2"/>
  <c r="I502" i="1" s="1"/>
  <c r="H503" i="2"/>
  <c r="I503" i="1" s="1"/>
  <c r="H504" i="2"/>
  <c r="I504" i="1" s="1"/>
  <c r="H505" i="2"/>
  <c r="I505" i="1" s="1"/>
  <c r="H506" i="2"/>
  <c r="I506" i="1" s="1"/>
  <c r="H507" i="2"/>
  <c r="I507" i="1" s="1"/>
  <c r="H508" i="2"/>
  <c r="I508" i="1" s="1"/>
  <c r="H509" i="2"/>
  <c r="I509" i="1" s="1"/>
  <c r="H510" i="2"/>
  <c r="I510" i="1" s="1"/>
  <c r="H511" i="2"/>
  <c r="I511" i="1" s="1"/>
  <c r="H512" i="2"/>
  <c r="I512" i="1" s="1"/>
  <c r="H513" i="2"/>
  <c r="I513" i="1" s="1"/>
  <c r="H514" i="2"/>
  <c r="I514" i="1" s="1"/>
  <c r="H515" i="2"/>
  <c r="I515" i="1" s="1"/>
  <c r="H516" i="2"/>
  <c r="I516" i="1" s="1"/>
  <c r="H517" i="2"/>
  <c r="I517" i="1" s="1"/>
  <c r="H518" i="2"/>
  <c r="I518" i="1" s="1"/>
  <c r="H519" i="2"/>
  <c r="I519" i="1" s="1"/>
  <c r="H520" i="2"/>
  <c r="I520" i="1" s="1"/>
  <c r="H521" i="2"/>
  <c r="I521" i="1" s="1"/>
  <c r="H522" i="2"/>
  <c r="I522" i="1" s="1"/>
  <c r="H523" i="2"/>
  <c r="I523" i="1" s="1"/>
  <c r="H524" i="2"/>
  <c r="I524" i="1" s="1"/>
  <c r="H525" i="2"/>
  <c r="I525" i="1" s="1"/>
  <c r="H526" i="2"/>
  <c r="I526" i="1" s="1"/>
  <c r="H527" i="2"/>
  <c r="I527" i="1" s="1"/>
  <c r="H528" i="2"/>
  <c r="I528" i="1" s="1"/>
  <c r="H529" i="2"/>
  <c r="I529" i="1" s="1"/>
  <c r="H530" i="2"/>
  <c r="I530" i="1" s="1"/>
  <c r="H531" i="2"/>
  <c r="I531" i="1" s="1"/>
  <c r="H532" i="2"/>
  <c r="I532" i="1" s="1"/>
  <c r="H533" i="2"/>
  <c r="I533" i="1" s="1"/>
  <c r="H534" i="2"/>
  <c r="I534" i="1" s="1"/>
  <c r="H535" i="2"/>
  <c r="I535" i="1" s="1"/>
  <c r="H536" i="2"/>
  <c r="I536" i="1" s="1"/>
  <c r="H537" i="2"/>
  <c r="I537" i="1" s="1"/>
  <c r="H538" i="2"/>
  <c r="I538" i="1" s="1"/>
  <c r="H539" i="2"/>
  <c r="I539" i="1" s="1"/>
  <c r="H540" i="2"/>
  <c r="I540" i="1" s="1"/>
  <c r="H541" i="2"/>
  <c r="I541" i="1" s="1"/>
  <c r="H542" i="2"/>
  <c r="I542" i="1" s="1"/>
  <c r="H543" i="2"/>
  <c r="I543" i="1" s="1"/>
  <c r="H544" i="2"/>
  <c r="I544" i="1" s="1"/>
  <c r="H545" i="2"/>
  <c r="I545" i="1" s="1"/>
  <c r="H546" i="2"/>
  <c r="I546" i="1" s="1"/>
  <c r="H547" i="2"/>
  <c r="I547" i="1" s="1"/>
  <c r="H548" i="2"/>
  <c r="I548" i="1" s="1"/>
  <c r="H549" i="2"/>
  <c r="I549" i="1" s="1"/>
  <c r="H550" i="2"/>
  <c r="I550" i="1" s="1"/>
  <c r="H551" i="2"/>
  <c r="I551" i="1" s="1"/>
  <c r="H552" i="2"/>
  <c r="I552" i="1" s="1"/>
  <c r="H553" i="2"/>
  <c r="I553" i="1" s="1"/>
  <c r="H554" i="2"/>
  <c r="I554" i="1" s="1"/>
  <c r="H555" i="2"/>
  <c r="I555" i="1" s="1"/>
  <c r="H556" i="2"/>
  <c r="I556" i="1" s="1"/>
  <c r="H557" i="2"/>
  <c r="I557" i="1" s="1"/>
  <c r="H558" i="2"/>
  <c r="I558" i="1" s="1"/>
  <c r="H559" i="2"/>
  <c r="I559" i="1" s="1"/>
  <c r="H560" i="2"/>
  <c r="I560" i="1" s="1"/>
  <c r="H561" i="2"/>
  <c r="I561" i="1" s="1"/>
  <c r="H562" i="2"/>
  <c r="I562" i="1" s="1"/>
  <c r="H563" i="2"/>
  <c r="I563" i="1" s="1"/>
  <c r="H564" i="2"/>
  <c r="I564" i="1" s="1"/>
  <c r="H565" i="2"/>
  <c r="I565" i="1" s="1"/>
  <c r="H566" i="2"/>
  <c r="I566" i="1" s="1"/>
  <c r="H567" i="2"/>
  <c r="I567" i="1" s="1"/>
  <c r="H568" i="2"/>
  <c r="I568" i="1" s="1"/>
  <c r="H569" i="2"/>
  <c r="I569" i="1" s="1"/>
  <c r="H570" i="2"/>
  <c r="I570" i="1" s="1"/>
  <c r="H571" i="2"/>
  <c r="I571" i="1" s="1"/>
  <c r="H572" i="2"/>
  <c r="I572" i="1" s="1"/>
  <c r="H573" i="2"/>
  <c r="I573" i="1" s="1"/>
  <c r="H574" i="2"/>
  <c r="I574" i="1" s="1"/>
  <c r="H575" i="2"/>
  <c r="I575" i="1" s="1"/>
  <c r="H576" i="2"/>
  <c r="I576" i="1" s="1"/>
  <c r="H577" i="2"/>
  <c r="I577" i="1" s="1"/>
  <c r="H578" i="2"/>
  <c r="I578" i="1" s="1"/>
  <c r="H579" i="2"/>
  <c r="I579" i="1" s="1"/>
  <c r="H580" i="2"/>
  <c r="I580" i="1" s="1"/>
  <c r="H581" i="2"/>
  <c r="I581" i="1" s="1"/>
  <c r="H582" i="2"/>
  <c r="I582" i="1" s="1"/>
  <c r="H583" i="2"/>
  <c r="I583" i="1" s="1"/>
  <c r="H584" i="2"/>
  <c r="I584" i="1" s="1"/>
  <c r="H585" i="2"/>
  <c r="I585" i="1" s="1"/>
  <c r="H586" i="2"/>
  <c r="I586" i="1" s="1"/>
  <c r="H587" i="2"/>
  <c r="I587" i="1" s="1"/>
  <c r="H588" i="2"/>
  <c r="I588" i="1" s="1"/>
  <c r="H589" i="2"/>
  <c r="I589" i="1" s="1"/>
  <c r="H590" i="2"/>
  <c r="I590" i="1" s="1"/>
  <c r="H591" i="2"/>
  <c r="I591" i="1" s="1"/>
  <c r="H592" i="2"/>
  <c r="I592" i="1" s="1"/>
  <c r="H593" i="2"/>
  <c r="I593" i="1" s="1"/>
  <c r="H594" i="2"/>
  <c r="I594" i="1" s="1"/>
  <c r="H595" i="2"/>
  <c r="I595" i="1" s="1"/>
  <c r="H596" i="2"/>
  <c r="I596" i="1" s="1"/>
  <c r="H597" i="2"/>
  <c r="I597" i="1" s="1"/>
  <c r="H598" i="2"/>
  <c r="I598" i="1" s="1"/>
  <c r="H599" i="2"/>
  <c r="I599" i="1" s="1"/>
  <c r="H600" i="2"/>
  <c r="I600" i="1" s="1"/>
  <c r="H601" i="2"/>
  <c r="I601" i="1" s="1"/>
  <c r="H602" i="2"/>
  <c r="I602" i="1" s="1"/>
  <c r="H603" i="2"/>
  <c r="I603" i="1" s="1"/>
  <c r="H604" i="2"/>
  <c r="I604" i="1" s="1"/>
  <c r="H605" i="2"/>
  <c r="I605" i="1" s="1"/>
  <c r="H606" i="2"/>
  <c r="I606" i="1" s="1"/>
  <c r="H607" i="2"/>
  <c r="I607" i="1" s="1"/>
  <c r="H608" i="2"/>
  <c r="I608" i="1" s="1"/>
  <c r="H609" i="2"/>
  <c r="I609" i="1" s="1"/>
  <c r="H610" i="2"/>
  <c r="I610" i="1" s="1"/>
  <c r="H611" i="2"/>
  <c r="I611" i="1" s="1"/>
  <c r="H612" i="2"/>
  <c r="I612" i="1" s="1"/>
  <c r="H613" i="2"/>
  <c r="I613" i="1" s="1"/>
  <c r="H614" i="2"/>
  <c r="I614" i="1" s="1"/>
  <c r="H615" i="2"/>
  <c r="I615" i="1" s="1"/>
  <c r="H616" i="2"/>
  <c r="I616" i="1" s="1"/>
  <c r="H617" i="2"/>
  <c r="I617" i="1" s="1"/>
  <c r="H618" i="2"/>
  <c r="I618" i="1" s="1"/>
  <c r="H619" i="2"/>
  <c r="I619" i="1" s="1"/>
  <c r="H620" i="2"/>
  <c r="I620" i="1" s="1"/>
  <c r="H621" i="2"/>
  <c r="I621" i="1" s="1"/>
  <c r="H622" i="2"/>
  <c r="I622" i="1" s="1"/>
  <c r="H623" i="2"/>
  <c r="I623" i="1" s="1"/>
  <c r="H624" i="2"/>
  <c r="I624" i="1" s="1"/>
  <c r="H625" i="2"/>
  <c r="I625" i="1" s="1"/>
  <c r="H626" i="2"/>
  <c r="I626" i="1" s="1"/>
  <c r="H627" i="2"/>
  <c r="I627" i="1" s="1"/>
  <c r="H628" i="2"/>
  <c r="I628" i="1" s="1"/>
  <c r="H629" i="2"/>
  <c r="I629" i="1" s="1"/>
  <c r="H630" i="2"/>
  <c r="I630" i="1" s="1"/>
  <c r="H631" i="2"/>
  <c r="I631" i="1" s="1"/>
  <c r="H632" i="2"/>
  <c r="I632" i="1" s="1"/>
  <c r="H633" i="2"/>
  <c r="I633" i="1" s="1"/>
  <c r="H634" i="2"/>
  <c r="I634" i="1" s="1"/>
  <c r="H635" i="2"/>
  <c r="I635" i="1" s="1"/>
  <c r="H636" i="2"/>
  <c r="I636" i="1" s="1"/>
  <c r="H637" i="2"/>
  <c r="I637" i="1" s="1"/>
  <c r="H638" i="2"/>
  <c r="I638" i="1" s="1"/>
  <c r="H639" i="2"/>
  <c r="I639" i="1" s="1"/>
  <c r="H640" i="2"/>
  <c r="I640" i="1" s="1"/>
  <c r="H641" i="2"/>
  <c r="I641" i="1" s="1"/>
  <c r="H642" i="2"/>
  <c r="I642" i="1" s="1"/>
  <c r="H643" i="2"/>
  <c r="I643" i="1" s="1"/>
  <c r="H644" i="2"/>
  <c r="I644" i="1" s="1"/>
  <c r="H645" i="2"/>
  <c r="I645" i="1" s="1"/>
  <c r="H646" i="2"/>
  <c r="I646" i="1" s="1"/>
  <c r="H647" i="2"/>
  <c r="I647" i="1" s="1"/>
  <c r="H648" i="2"/>
  <c r="I648" i="1" s="1"/>
  <c r="H649" i="2"/>
  <c r="I649" i="1" s="1"/>
  <c r="H650" i="2"/>
  <c r="I650" i="1" s="1"/>
  <c r="H651" i="2"/>
  <c r="I651" i="1" s="1"/>
  <c r="H652" i="2"/>
  <c r="I652" i="1" s="1"/>
  <c r="H653" i="2"/>
  <c r="I653" i="1" s="1"/>
  <c r="H654" i="2"/>
  <c r="I654" i="1" s="1"/>
  <c r="H655" i="2"/>
  <c r="I655" i="1" s="1"/>
  <c r="H656" i="2"/>
  <c r="I656" i="1" s="1"/>
  <c r="H657" i="2"/>
  <c r="I657" i="1" s="1"/>
  <c r="H658" i="2"/>
  <c r="I658" i="1" s="1"/>
  <c r="H659" i="2"/>
  <c r="I659" i="1" s="1"/>
  <c r="H660" i="2"/>
  <c r="I660" i="1" s="1"/>
  <c r="H661" i="2"/>
  <c r="I661" i="1" s="1"/>
  <c r="H662" i="2"/>
  <c r="I662" i="1" s="1"/>
  <c r="H663" i="2"/>
  <c r="I663" i="1" s="1"/>
  <c r="H664" i="2"/>
  <c r="I664" i="1" s="1"/>
  <c r="H665" i="2"/>
  <c r="I665" i="1" s="1"/>
  <c r="H666" i="2"/>
  <c r="I666" i="1" s="1"/>
  <c r="H667" i="2"/>
  <c r="I667" i="1" s="1"/>
  <c r="H668" i="2"/>
  <c r="I668" i="1" s="1"/>
  <c r="H669" i="2"/>
  <c r="I669" i="1" s="1"/>
  <c r="H670" i="2"/>
  <c r="I670" i="1" s="1"/>
  <c r="H671" i="2"/>
  <c r="I671" i="1" s="1"/>
  <c r="H672" i="2"/>
  <c r="I672" i="1" s="1"/>
  <c r="H673" i="2"/>
  <c r="I673" i="1" s="1"/>
  <c r="H674" i="2"/>
  <c r="I674" i="1" s="1"/>
  <c r="H675" i="2"/>
  <c r="I675" i="1" s="1"/>
  <c r="H676" i="2"/>
  <c r="I676" i="1" s="1"/>
  <c r="H677" i="2"/>
  <c r="I677" i="1" s="1"/>
  <c r="H678" i="2"/>
  <c r="I678" i="1" s="1"/>
  <c r="H679" i="2"/>
  <c r="I679" i="1" s="1"/>
  <c r="H680" i="2"/>
  <c r="I680" i="1" s="1"/>
  <c r="H681" i="2"/>
  <c r="I681" i="1" s="1"/>
  <c r="H682" i="2"/>
  <c r="I682" i="1" s="1"/>
  <c r="H683" i="2"/>
  <c r="I683" i="1" s="1"/>
  <c r="H684" i="2"/>
  <c r="I684" i="1" s="1"/>
  <c r="H685" i="2"/>
  <c r="I685" i="1" s="1"/>
  <c r="H686" i="2"/>
  <c r="I686" i="1" s="1"/>
  <c r="H687" i="2"/>
  <c r="I687" i="1" s="1"/>
  <c r="H688" i="2"/>
  <c r="I688" i="1" s="1"/>
  <c r="H689" i="2"/>
  <c r="I689" i="1" s="1"/>
  <c r="H690" i="2"/>
  <c r="I690" i="1" s="1"/>
  <c r="H691" i="2"/>
  <c r="I691" i="1" s="1"/>
  <c r="H692" i="2"/>
  <c r="I692" i="1" s="1"/>
  <c r="H693" i="2"/>
  <c r="I693" i="1" s="1"/>
  <c r="H694" i="2"/>
  <c r="I694" i="1" s="1"/>
  <c r="H695" i="2"/>
  <c r="I695" i="1" s="1"/>
  <c r="H696" i="2"/>
  <c r="I696" i="1" s="1"/>
  <c r="H697" i="2"/>
  <c r="I697" i="1" s="1"/>
  <c r="H698" i="2"/>
  <c r="I698" i="1" s="1"/>
  <c r="H699" i="2"/>
  <c r="I699" i="1" s="1"/>
  <c r="H700" i="2"/>
  <c r="I700" i="1" s="1"/>
  <c r="H701" i="2"/>
  <c r="I701" i="1" s="1"/>
  <c r="H702" i="2"/>
  <c r="I702" i="1" s="1"/>
  <c r="H703" i="2"/>
  <c r="I703" i="1" s="1"/>
  <c r="H704" i="2"/>
  <c r="I704" i="1" s="1"/>
  <c r="H705" i="2"/>
  <c r="I705" i="1" s="1"/>
  <c r="H706" i="2"/>
  <c r="I706" i="1" s="1"/>
  <c r="H707" i="2"/>
  <c r="I707" i="1" s="1"/>
  <c r="H708" i="2"/>
  <c r="I708" i="1" s="1"/>
  <c r="H709" i="2"/>
  <c r="I709" i="1" s="1"/>
  <c r="H710" i="2"/>
  <c r="I710" i="1" s="1"/>
  <c r="H711" i="2"/>
  <c r="I711" i="1" s="1"/>
  <c r="H712" i="2"/>
  <c r="I712" i="1" s="1"/>
  <c r="H714" i="2"/>
  <c r="I714" i="1" s="1"/>
  <c r="H715" i="2"/>
  <c r="I715" i="1" s="1"/>
  <c r="H716" i="2"/>
  <c r="I716" i="1" s="1"/>
  <c r="H717" i="2"/>
  <c r="I717" i="1" s="1"/>
  <c r="H718" i="2"/>
  <c r="I718" i="1" s="1"/>
  <c r="H719" i="2"/>
  <c r="I719" i="1" s="1"/>
  <c r="H720" i="2"/>
  <c r="I720" i="1" s="1"/>
  <c r="H721" i="2"/>
  <c r="I721" i="1" s="1"/>
  <c r="H722" i="2"/>
  <c r="I722" i="1" s="1"/>
  <c r="H723" i="2"/>
  <c r="I723" i="1" s="1"/>
  <c r="H724" i="2"/>
  <c r="I724" i="1" s="1"/>
  <c r="H725" i="2"/>
  <c r="I725" i="1" s="1"/>
  <c r="H726" i="2"/>
  <c r="I726" i="1" s="1"/>
  <c r="H727" i="2"/>
  <c r="I727" i="1" s="1"/>
  <c r="H728" i="2"/>
  <c r="I728" i="1" s="1"/>
  <c r="H729" i="2"/>
  <c r="I729" i="1" s="1"/>
  <c r="H730" i="2"/>
  <c r="I730" i="1" s="1"/>
  <c r="H731" i="2"/>
  <c r="I731" i="1" s="1"/>
  <c r="H732" i="2"/>
  <c r="I732" i="1" s="1"/>
  <c r="H733" i="2"/>
  <c r="I733" i="1" s="1"/>
  <c r="H734" i="2"/>
  <c r="I734" i="1" s="1"/>
  <c r="H735" i="2"/>
  <c r="I735" i="1" s="1"/>
  <c r="H736" i="2"/>
  <c r="I736" i="1" s="1"/>
  <c r="H737" i="2"/>
  <c r="I737" i="1" s="1"/>
  <c r="H738" i="2"/>
  <c r="I738" i="1" s="1"/>
  <c r="H739" i="2"/>
  <c r="I739" i="1" s="1"/>
  <c r="H740" i="2"/>
  <c r="I740" i="1" s="1"/>
  <c r="H741" i="2"/>
  <c r="I741" i="1" s="1"/>
  <c r="H742" i="2"/>
  <c r="I742" i="1" s="1"/>
  <c r="H743" i="2"/>
  <c r="I743" i="1" s="1"/>
  <c r="H744" i="2"/>
  <c r="I744" i="1" s="1"/>
  <c r="H745" i="2"/>
  <c r="I745" i="1" s="1"/>
  <c r="H746" i="2"/>
  <c r="I746" i="1" s="1"/>
  <c r="H747" i="2"/>
  <c r="I747" i="1" s="1"/>
  <c r="H748" i="2"/>
  <c r="I748" i="1" s="1"/>
  <c r="H749" i="2"/>
  <c r="I749" i="1" s="1"/>
  <c r="H750" i="2"/>
  <c r="I750" i="1" s="1"/>
  <c r="H751" i="2"/>
  <c r="I751" i="1" s="1"/>
  <c r="H752" i="2"/>
  <c r="I752" i="1" s="1"/>
  <c r="H753" i="2"/>
  <c r="I753" i="1" s="1"/>
  <c r="H754" i="2"/>
  <c r="I754" i="1" s="1"/>
  <c r="H755" i="2"/>
  <c r="I755" i="1" s="1"/>
  <c r="H756" i="2"/>
  <c r="I756" i="1" s="1"/>
  <c r="H757" i="2"/>
  <c r="I757" i="1" s="1"/>
  <c r="H758" i="2"/>
  <c r="I758" i="1" s="1"/>
  <c r="H759" i="2"/>
  <c r="I759" i="1" s="1"/>
  <c r="H760" i="2"/>
  <c r="I760" i="1" s="1"/>
  <c r="H761" i="2"/>
  <c r="I761" i="1" s="1"/>
  <c r="H762" i="2"/>
  <c r="I762" i="1" s="1"/>
  <c r="H763" i="2"/>
  <c r="I763" i="1" s="1"/>
  <c r="H764" i="2"/>
  <c r="I764" i="1" s="1"/>
  <c r="H765" i="2"/>
  <c r="I765" i="1" s="1"/>
  <c r="H766" i="2"/>
  <c r="I766" i="1" s="1"/>
  <c r="H767" i="2"/>
  <c r="I767" i="1" s="1"/>
  <c r="H768" i="2"/>
  <c r="I768" i="1" s="1"/>
  <c r="H769" i="2"/>
  <c r="I769" i="1" s="1"/>
  <c r="H770" i="2"/>
  <c r="I770" i="1" s="1"/>
  <c r="H771" i="2"/>
  <c r="I771" i="1" s="1"/>
  <c r="H772" i="2"/>
  <c r="I772" i="1" s="1"/>
  <c r="H773" i="2"/>
  <c r="I773" i="1" s="1"/>
  <c r="H774" i="2"/>
  <c r="I774" i="1" s="1"/>
  <c r="H775" i="2"/>
  <c r="I775" i="1" s="1"/>
  <c r="H776" i="2"/>
  <c r="I776" i="1" s="1"/>
  <c r="H777" i="2"/>
  <c r="I777" i="1" s="1"/>
  <c r="H778" i="2"/>
  <c r="I778" i="1" s="1"/>
  <c r="H779" i="2"/>
  <c r="I779" i="1" s="1"/>
  <c r="H780" i="2"/>
  <c r="I780" i="1" s="1"/>
  <c r="H781" i="2"/>
  <c r="I781" i="1" s="1"/>
  <c r="H782" i="2"/>
  <c r="I782" i="1" s="1"/>
  <c r="H783" i="2"/>
  <c r="I783" i="1" s="1"/>
  <c r="H784" i="2"/>
  <c r="I784" i="1" s="1"/>
  <c r="H785" i="2"/>
  <c r="I785" i="1" s="1"/>
  <c r="H786" i="2"/>
  <c r="I786" i="1" s="1"/>
  <c r="H787" i="2"/>
  <c r="I787" i="1" s="1"/>
  <c r="H788" i="2"/>
  <c r="I788" i="1" s="1"/>
  <c r="H789" i="2"/>
  <c r="I789" i="1" s="1"/>
  <c r="H790" i="2"/>
  <c r="I790" i="1" s="1"/>
  <c r="H791" i="2"/>
  <c r="I791" i="1" s="1"/>
  <c r="H792" i="2"/>
  <c r="I792" i="1" s="1"/>
  <c r="H793" i="2"/>
  <c r="I793" i="1" s="1"/>
  <c r="H794" i="2"/>
  <c r="I794" i="1" s="1"/>
  <c r="H795" i="2"/>
  <c r="I795" i="1" s="1"/>
  <c r="H796" i="2"/>
  <c r="I796" i="1" s="1"/>
  <c r="H797" i="2"/>
  <c r="I797" i="1" s="1"/>
  <c r="H798" i="2"/>
  <c r="I798" i="1" s="1"/>
  <c r="H799" i="2"/>
  <c r="I799" i="1" s="1"/>
  <c r="H800" i="2"/>
  <c r="I800" i="1" s="1"/>
  <c r="H801" i="2"/>
  <c r="I801" i="1" s="1"/>
  <c r="H802" i="2"/>
  <c r="I802" i="1" s="1"/>
  <c r="H803" i="2"/>
  <c r="I803" i="1" s="1"/>
  <c r="H804" i="2"/>
  <c r="I804" i="1" s="1"/>
  <c r="H805" i="2"/>
  <c r="I805" i="1" s="1"/>
  <c r="H806" i="2"/>
  <c r="I806" i="1" s="1"/>
  <c r="H807" i="2"/>
  <c r="I807" i="1" s="1"/>
  <c r="H808" i="2"/>
  <c r="I808" i="1" s="1"/>
  <c r="H809" i="2"/>
  <c r="I809" i="1" s="1"/>
  <c r="H810" i="2"/>
  <c r="I810" i="1" s="1"/>
  <c r="H811" i="2"/>
  <c r="I811" i="1" s="1"/>
  <c r="H812" i="2"/>
  <c r="I812" i="1" s="1"/>
  <c r="H813" i="2"/>
  <c r="I813" i="1" s="1"/>
  <c r="H814" i="2"/>
  <c r="I814" i="1" s="1"/>
  <c r="H815" i="2"/>
  <c r="I815" i="1" s="1"/>
  <c r="H816" i="2"/>
  <c r="I816" i="1" s="1"/>
  <c r="H817" i="2"/>
  <c r="I817" i="1" s="1"/>
  <c r="H818" i="2"/>
  <c r="I818" i="1" s="1"/>
  <c r="H819" i="2"/>
  <c r="I819" i="1" s="1"/>
  <c r="H820" i="2"/>
  <c r="I820" i="1" s="1"/>
  <c r="H821" i="2"/>
  <c r="I821" i="1" s="1"/>
  <c r="H822" i="2"/>
  <c r="I822" i="1" s="1"/>
  <c r="H823" i="2"/>
  <c r="I823" i="1" s="1"/>
  <c r="H824" i="2"/>
  <c r="I824" i="1" s="1"/>
  <c r="H825" i="2"/>
  <c r="I825" i="1" s="1"/>
  <c r="H826" i="2"/>
  <c r="I826" i="1" s="1"/>
  <c r="H827" i="2"/>
  <c r="I827" i="1" s="1"/>
  <c r="H828" i="2"/>
  <c r="I828" i="1" s="1"/>
  <c r="H829" i="2"/>
  <c r="I829" i="1" s="1"/>
  <c r="H830" i="2"/>
  <c r="I830" i="1" s="1"/>
  <c r="H831" i="2"/>
  <c r="I831" i="1" s="1"/>
  <c r="H832" i="2"/>
  <c r="I832" i="1" s="1"/>
  <c r="H833" i="2"/>
  <c r="I833" i="1" s="1"/>
  <c r="H834" i="2"/>
  <c r="I834" i="1" s="1"/>
  <c r="H835" i="2"/>
  <c r="I835" i="1" s="1"/>
  <c r="H836" i="2"/>
  <c r="I836" i="1" s="1"/>
  <c r="H837" i="2"/>
  <c r="I837" i="1" s="1"/>
  <c r="H838" i="2"/>
  <c r="I838" i="1" s="1"/>
  <c r="H839" i="2"/>
  <c r="I839" i="1" s="1"/>
  <c r="H840" i="2"/>
  <c r="I840" i="1" s="1"/>
  <c r="H841" i="2"/>
  <c r="I841" i="1" s="1"/>
  <c r="H842" i="2"/>
  <c r="I842" i="1" s="1"/>
  <c r="H843" i="2"/>
  <c r="I843" i="1" s="1"/>
  <c r="H844" i="2"/>
  <c r="I844" i="1" s="1"/>
  <c r="H845" i="2"/>
  <c r="I845" i="1" s="1"/>
  <c r="H846" i="2"/>
  <c r="I846" i="1" s="1"/>
  <c r="H847" i="2"/>
  <c r="I847" i="1" s="1"/>
  <c r="H848" i="2"/>
  <c r="I848" i="1" s="1"/>
  <c r="H849" i="2"/>
  <c r="I849" i="1" s="1"/>
  <c r="H850" i="2"/>
  <c r="I850" i="1" s="1"/>
  <c r="H851" i="2"/>
  <c r="I851" i="1" s="1"/>
  <c r="H852" i="2"/>
  <c r="I852" i="1" s="1"/>
  <c r="H853" i="2"/>
  <c r="I853" i="1" s="1"/>
  <c r="H854" i="2"/>
  <c r="I854" i="1" s="1"/>
  <c r="H855" i="2"/>
  <c r="I855" i="1" s="1"/>
  <c r="H856" i="2"/>
  <c r="I856" i="1" s="1"/>
  <c r="H857" i="2"/>
  <c r="I857" i="1" s="1"/>
  <c r="H858" i="2"/>
  <c r="I858" i="1" s="1"/>
  <c r="H859" i="2"/>
  <c r="I859" i="1" s="1"/>
  <c r="H860" i="2"/>
  <c r="I860" i="1" s="1"/>
  <c r="H861" i="2"/>
  <c r="I861" i="1" s="1"/>
  <c r="H862" i="2"/>
  <c r="I862" i="1" s="1"/>
  <c r="H863" i="2"/>
  <c r="I863" i="1" s="1"/>
  <c r="H864" i="2"/>
  <c r="I864" i="1" s="1"/>
  <c r="H865" i="2"/>
  <c r="I865" i="1" s="1"/>
  <c r="H866" i="2"/>
  <c r="I866" i="1" s="1"/>
  <c r="H867" i="2"/>
  <c r="I867" i="1" s="1"/>
  <c r="H868" i="2"/>
  <c r="I868" i="1" s="1"/>
  <c r="H869" i="2"/>
  <c r="I869" i="1" s="1"/>
  <c r="H870" i="2"/>
  <c r="I870" i="1" s="1"/>
  <c r="H871" i="2"/>
  <c r="I871" i="1" s="1"/>
  <c r="H872" i="2"/>
  <c r="I872" i="1" s="1"/>
  <c r="H873" i="2"/>
  <c r="I873" i="1" s="1"/>
  <c r="H874" i="2"/>
  <c r="I874" i="1" s="1"/>
  <c r="H875" i="2"/>
  <c r="I875" i="1" s="1"/>
  <c r="H876" i="2"/>
  <c r="I876" i="1" s="1"/>
  <c r="H877" i="2"/>
  <c r="I877" i="1" s="1"/>
  <c r="H878" i="2"/>
  <c r="I878" i="1" s="1"/>
  <c r="H879" i="2"/>
  <c r="I879" i="1" s="1"/>
  <c r="H880" i="2"/>
  <c r="I880" i="1" s="1"/>
  <c r="H881" i="2"/>
  <c r="I881" i="1" s="1"/>
  <c r="H882" i="2"/>
  <c r="I882" i="1" s="1"/>
  <c r="H883" i="2"/>
  <c r="I883" i="1" s="1"/>
  <c r="H884" i="2"/>
  <c r="I884" i="1" s="1"/>
  <c r="H885" i="2"/>
  <c r="I885" i="1" s="1"/>
  <c r="H886" i="2"/>
  <c r="I886" i="1" s="1"/>
  <c r="H887" i="2"/>
  <c r="I887" i="1" s="1"/>
  <c r="H888" i="2"/>
  <c r="I888" i="1" s="1"/>
  <c r="H889" i="2"/>
  <c r="I889" i="1" s="1"/>
  <c r="H890" i="2"/>
  <c r="I890" i="1" s="1"/>
  <c r="H891" i="2"/>
  <c r="I891" i="1" s="1"/>
  <c r="H892" i="2"/>
  <c r="I892" i="1" s="1"/>
  <c r="H893" i="2"/>
  <c r="I893" i="1" s="1"/>
  <c r="H894" i="2"/>
  <c r="I894" i="1" s="1"/>
  <c r="H895" i="2"/>
  <c r="I895" i="1" s="1"/>
  <c r="H896" i="2"/>
  <c r="I896" i="1" s="1"/>
  <c r="H897" i="2"/>
  <c r="I897" i="1" s="1"/>
  <c r="H898" i="2"/>
  <c r="I898" i="1" s="1"/>
  <c r="H899" i="2"/>
  <c r="I899" i="1" s="1"/>
  <c r="H900" i="2"/>
  <c r="I900" i="1" s="1"/>
  <c r="H901" i="2"/>
  <c r="I901" i="1" s="1"/>
  <c r="H902" i="2"/>
  <c r="I902" i="1" s="1"/>
  <c r="H903" i="2"/>
  <c r="I903" i="1" s="1"/>
  <c r="H904" i="2"/>
  <c r="I904" i="1" s="1"/>
  <c r="H905" i="2"/>
  <c r="I905" i="1" s="1"/>
  <c r="H906" i="2"/>
  <c r="I906" i="1" s="1"/>
  <c r="H907" i="2"/>
  <c r="I907" i="1" s="1"/>
  <c r="H908" i="2"/>
  <c r="I908" i="1" s="1"/>
  <c r="H909" i="2"/>
  <c r="I909" i="1" s="1"/>
  <c r="H910" i="2"/>
  <c r="I910" i="1" s="1"/>
  <c r="H911" i="2"/>
  <c r="I911" i="1" s="1"/>
  <c r="H912" i="2"/>
  <c r="I912" i="1" s="1"/>
  <c r="H913" i="2"/>
  <c r="I913" i="1" s="1"/>
  <c r="H914" i="2"/>
  <c r="I914" i="1" s="1"/>
  <c r="H915" i="2"/>
  <c r="I915" i="1" s="1"/>
  <c r="H916" i="2"/>
  <c r="I916" i="1" s="1"/>
  <c r="H917" i="2"/>
  <c r="I917" i="1" s="1"/>
  <c r="H918" i="2"/>
  <c r="I918" i="1" s="1"/>
  <c r="H919" i="2"/>
  <c r="I919" i="1" s="1"/>
  <c r="H920" i="2"/>
  <c r="I920" i="1" s="1"/>
  <c r="H921" i="2"/>
  <c r="I921" i="1" s="1"/>
  <c r="H922" i="2"/>
  <c r="I922" i="1" s="1"/>
  <c r="H923" i="2"/>
  <c r="I923" i="1" s="1"/>
  <c r="H924" i="2"/>
  <c r="I924" i="1" s="1"/>
  <c r="H925" i="2"/>
  <c r="I925" i="1" s="1"/>
  <c r="H926" i="2"/>
  <c r="I926" i="1" s="1"/>
  <c r="H927" i="2"/>
  <c r="I927" i="1" s="1"/>
  <c r="H928" i="2"/>
  <c r="I928" i="1" s="1"/>
  <c r="H929" i="2"/>
  <c r="I929" i="1" s="1"/>
  <c r="H930" i="2"/>
  <c r="I930" i="1" s="1"/>
  <c r="H931" i="2"/>
  <c r="I931" i="1" s="1"/>
  <c r="H932" i="2"/>
  <c r="I932" i="1" s="1"/>
  <c r="H933" i="2"/>
  <c r="I933" i="1" s="1"/>
  <c r="H934" i="2"/>
  <c r="I934" i="1" s="1"/>
  <c r="H935" i="2"/>
  <c r="I935" i="1" s="1"/>
  <c r="H936" i="2"/>
  <c r="I936" i="1" s="1"/>
  <c r="H937" i="2"/>
  <c r="I937" i="1" s="1"/>
  <c r="H938" i="2"/>
  <c r="I938" i="1" s="1"/>
  <c r="H939" i="2"/>
  <c r="I939" i="1" s="1"/>
  <c r="H940" i="2"/>
  <c r="I940" i="1" s="1"/>
  <c r="H941" i="2"/>
  <c r="I941" i="1" s="1"/>
  <c r="H942" i="2"/>
  <c r="I942" i="1" s="1"/>
  <c r="H943" i="2"/>
  <c r="I943" i="1" s="1"/>
  <c r="H944" i="2"/>
  <c r="I944" i="1" s="1"/>
  <c r="H945" i="2"/>
  <c r="I945" i="1" s="1"/>
  <c r="H946" i="2"/>
  <c r="I946" i="1" s="1"/>
  <c r="H947" i="2"/>
  <c r="I947" i="1" s="1"/>
  <c r="H948" i="2"/>
  <c r="I948" i="1" s="1"/>
  <c r="H949" i="2"/>
  <c r="I949" i="1" s="1"/>
  <c r="H950" i="2"/>
  <c r="I950" i="1" s="1"/>
  <c r="H951" i="2"/>
  <c r="I951" i="1" s="1"/>
  <c r="H952" i="2"/>
  <c r="I952" i="1" s="1"/>
  <c r="H953" i="2"/>
  <c r="I953" i="1" s="1"/>
  <c r="H954" i="2"/>
  <c r="I954" i="1" s="1"/>
  <c r="H955" i="2"/>
  <c r="I955" i="1" s="1"/>
  <c r="H956" i="2"/>
  <c r="I956" i="1" s="1"/>
  <c r="H957" i="2"/>
  <c r="I957" i="1" s="1"/>
  <c r="H958" i="2"/>
  <c r="I958" i="1" s="1"/>
  <c r="H959" i="2"/>
  <c r="I959" i="1" s="1"/>
  <c r="H960" i="2"/>
  <c r="I960" i="1" s="1"/>
  <c r="H961" i="2"/>
  <c r="I961" i="1" s="1"/>
  <c r="H962" i="2"/>
  <c r="I962" i="1" s="1"/>
  <c r="H963" i="2"/>
  <c r="I963" i="1" s="1"/>
  <c r="H964" i="2"/>
  <c r="I964" i="1" s="1"/>
  <c r="H965" i="2"/>
  <c r="I965" i="1" s="1"/>
  <c r="H966" i="2"/>
  <c r="I966" i="1" s="1"/>
  <c r="H967" i="2"/>
  <c r="I967" i="1" s="1"/>
  <c r="H968" i="2"/>
  <c r="I968" i="1" s="1"/>
  <c r="H969" i="2"/>
  <c r="I969" i="1" s="1"/>
  <c r="H970" i="2"/>
  <c r="I970" i="1" s="1"/>
  <c r="H971" i="2"/>
  <c r="I971" i="1" s="1"/>
  <c r="H972" i="2"/>
  <c r="I972" i="1" s="1"/>
  <c r="H973" i="2"/>
  <c r="I973" i="1" s="1"/>
  <c r="H974" i="2"/>
  <c r="I974" i="1" s="1"/>
  <c r="H975" i="2"/>
  <c r="I975" i="1" s="1"/>
  <c r="H976" i="2"/>
  <c r="I976" i="1" s="1"/>
  <c r="H977" i="2"/>
  <c r="I977" i="1" s="1"/>
  <c r="H978" i="2"/>
  <c r="I978" i="1" s="1"/>
  <c r="H979" i="2"/>
  <c r="I979" i="1" s="1"/>
  <c r="H980" i="2"/>
  <c r="I980" i="1" s="1"/>
  <c r="H981" i="2"/>
  <c r="I981" i="1" s="1"/>
  <c r="H982" i="2"/>
  <c r="I982" i="1" s="1"/>
  <c r="H983" i="2"/>
  <c r="I983" i="1" s="1"/>
  <c r="H984" i="2"/>
  <c r="I984" i="1" s="1"/>
  <c r="H985" i="2"/>
  <c r="I985" i="1" s="1"/>
  <c r="H986" i="2"/>
  <c r="I986" i="1" s="1"/>
  <c r="H987" i="2"/>
  <c r="I987" i="1" s="1"/>
  <c r="H988" i="2"/>
  <c r="I988" i="1" s="1"/>
  <c r="H989" i="2"/>
  <c r="I989" i="1" s="1"/>
  <c r="H990" i="2"/>
  <c r="I990" i="1" s="1"/>
  <c r="H991" i="2"/>
  <c r="I991" i="1" s="1"/>
  <c r="H992" i="2"/>
  <c r="I992" i="1" s="1"/>
  <c r="H993" i="2"/>
  <c r="I993" i="1" s="1"/>
  <c r="H994" i="2"/>
  <c r="I994" i="1" s="1"/>
  <c r="H995" i="2"/>
  <c r="I995" i="1" s="1"/>
  <c r="H996" i="2"/>
  <c r="I996" i="1" s="1"/>
  <c r="H997" i="2"/>
  <c r="I997" i="1" s="1"/>
  <c r="H998" i="2"/>
  <c r="I998" i="1" s="1"/>
  <c r="H999" i="2"/>
  <c r="I999" i="1" s="1"/>
  <c r="H1000" i="2"/>
  <c r="I1000" i="1" s="1"/>
  <c r="H1001" i="2"/>
  <c r="I1001" i="1" s="1"/>
  <c r="H1002" i="2"/>
  <c r="I1002" i="1" s="1"/>
  <c r="H1003" i="2"/>
  <c r="I1003" i="1" s="1"/>
  <c r="H1004" i="2"/>
  <c r="I1004" i="1" s="1"/>
  <c r="H1005" i="2"/>
  <c r="I1005" i="1" s="1"/>
  <c r="H1006" i="2"/>
  <c r="I1006" i="1" s="1"/>
  <c r="H1007" i="2"/>
  <c r="I1007" i="1" s="1"/>
  <c r="H1008" i="2"/>
  <c r="I1008" i="1" s="1"/>
  <c r="H1009" i="2"/>
  <c r="I1009" i="1" s="1"/>
  <c r="H1010" i="2"/>
  <c r="I1010" i="1" s="1"/>
  <c r="H1011" i="2"/>
  <c r="I1011" i="1" s="1"/>
  <c r="H1012" i="2"/>
  <c r="I1012" i="1" s="1"/>
  <c r="H1013" i="2"/>
  <c r="I1013" i="1" s="1"/>
  <c r="H1014" i="2"/>
  <c r="I1014" i="1" s="1"/>
  <c r="H1015" i="2"/>
  <c r="I1015" i="1" s="1"/>
  <c r="H1016" i="2"/>
  <c r="I1016" i="1" s="1"/>
  <c r="H1017" i="2"/>
  <c r="I1017" i="1" s="1"/>
  <c r="H1018" i="2"/>
  <c r="I1018" i="1" s="1"/>
  <c r="H1019" i="2"/>
  <c r="I1019" i="1" s="1"/>
  <c r="H1020" i="2"/>
  <c r="I1020" i="1" s="1"/>
  <c r="H1021" i="2"/>
  <c r="I1021" i="1" s="1"/>
  <c r="H1022" i="2"/>
  <c r="I1022" i="1" s="1"/>
  <c r="H1023" i="2"/>
  <c r="I1023" i="1" s="1"/>
  <c r="H1024" i="2"/>
  <c r="I1024" i="1" s="1"/>
  <c r="H1025" i="2"/>
  <c r="I1025" i="1" s="1"/>
  <c r="H1026" i="2"/>
  <c r="I1026" i="1" s="1"/>
  <c r="H1027" i="2"/>
  <c r="I1027" i="1" s="1"/>
  <c r="H1028" i="2"/>
  <c r="I1028" i="1" s="1"/>
  <c r="H1029" i="2"/>
  <c r="I1029" i="1" s="1"/>
  <c r="H1030" i="2"/>
  <c r="I1030" i="1" s="1"/>
  <c r="H1031" i="2"/>
  <c r="I1031" i="1" s="1"/>
  <c r="H1032" i="2"/>
  <c r="I1032" i="1" s="1"/>
  <c r="H1033" i="2"/>
  <c r="I1033" i="1" s="1"/>
  <c r="H1034" i="2"/>
  <c r="I1034" i="1" s="1"/>
  <c r="H1035" i="2"/>
  <c r="I1035" i="1" s="1"/>
  <c r="H1036" i="2"/>
  <c r="I1036" i="1" s="1"/>
  <c r="H1037" i="2"/>
  <c r="I1037" i="1" s="1"/>
  <c r="H1038" i="2"/>
  <c r="I1038" i="1" s="1"/>
  <c r="H1039" i="2"/>
  <c r="I1039" i="1" s="1"/>
  <c r="H1040" i="2"/>
  <c r="I1040" i="1" s="1"/>
  <c r="H1041" i="2"/>
  <c r="I1041" i="1" s="1"/>
  <c r="H1042" i="2"/>
  <c r="I1042" i="1" s="1"/>
  <c r="H1043" i="2"/>
  <c r="I1043" i="1" s="1"/>
  <c r="H1044" i="2"/>
  <c r="I1044" i="1" s="1"/>
  <c r="H1045" i="2"/>
  <c r="I1045" i="1" s="1"/>
  <c r="H1046" i="2"/>
  <c r="I1046" i="1" s="1"/>
  <c r="H1047" i="2"/>
  <c r="I1047" i="1" s="1"/>
  <c r="H1048" i="2"/>
  <c r="I1048" i="1" s="1"/>
  <c r="H1049" i="2"/>
  <c r="I1049" i="1" s="1"/>
  <c r="H1050" i="2"/>
  <c r="I1050" i="1" s="1"/>
  <c r="H1051" i="2"/>
  <c r="I1051" i="1" s="1"/>
  <c r="H1052" i="2"/>
  <c r="I1052" i="1" s="1"/>
  <c r="H1053" i="2"/>
  <c r="I1053" i="1" s="1"/>
  <c r="H1054" i="2"/>
  <c r="I1054" i="1" s="1"/>
  <c r="H1055" i="2"/>
  <c r="I1055" i="1" s="1"/>
  <c r="H1056" i="2"/>
  <c r="I1056" i="1" s="1"/>
  <c r="H1057" i="2"/>
  <c r="I1057" i="1" s="1"/>
  <c r="H1058" i="2"/>
  <c r="I1058" i="1" s="1"/>
  <c r="H1059" i="2"/>
  <c r="I1059" i="1" s="1"/>
  <c r="H1060" i="2"/>
  <c r="I1060" i="1" s="1"/>
  <c r="H1061" i="2"/>
  <c r="I1061" i="1" s="1"/>
  <c r="H1062" i="2"/>
  <c r="I1062" i="1" s="1"/>
  <c r="H1063" i="2"/>
  <c r="I1063" i="1" s="1"/>
  <c r="H1064" i="2"/>
  <c r="I1064" i="1" s="1"/>
  <c r="H1065" i="2"/>
  <c r="I1065" i="1" s="1"/>
  <c r="H1066" i="2"/>
  <c r="I1066" i="1" s="1"/>
  <c r="H1067" i="2"/>
  <c r="I1067" i="1" s="1"/>
  <c r="H1068" i="2"/>
  <c r="I1068" i="1" s="1"/>
  <c r="H1069" i="2"/>
  <c r="I1069" i="1" s="1"/>
  <c r="H1070" i="2"/>
  <c r="I1070" i="1" s="1"/>
  <c r="H1071" i="2"/>
  <c r="I1071" i="1" s="1"/>
  <c r="H1072" i="2"/>
  <c r="I1072" i="1" s="1"/>
  <c r="H1073" i="2"/>
  <c r="I1073" i="1" s="1"/>
  <c r="H1074" i="2"/>
  <c r="I1074" i="1" s="1"/>
  <c r="H1075" i="2"/>
  <c r="I1075" i="1" s="1"/>
  <c r="H1076" i="2"/>
  <c r="I1076" i="1" s="1"/>
  <c r="H1077" i="2"/>
  <c r="I1077" i="1" s="1"/>
  <c r="H1078" i="2"/>
  <c r="I1078" i="1" s="1"/>
  <c r="H1079" i="2"/>
  <c r="I1079" i="1" s="1"/>
  <c r="H1080" i="2"/>
  <c r="I1080" i="1" s="1"/>
  <c r="H1081" i="2"/>
  <c r="I1081" i="1" s="1"/>
  <c r="H1082" i="2"/>
  <c r="I1082" i="1" s="1"/>
  <c r="H1083" i="2"/>
  <c r="I1083" i="1" s="1"/>
  <c r="H1084" i="2"/>
  <c r="I1084" i="1" s="1"/>
  <c r="H1085" i="2"/>
  <c r="I1085" i="1" s="1"/>
  <c r="H1086" i="2"/>
  <c r="I1086" i="1" s="1"/>
  <c r="H1087" i="2"/>
  <c r="I1087" i="1" s="1"/>
  <c r="H1088" i="2"/>
  <c r="I1088" i="1" s="1"/>
  <c r="H1089" i="2"/>
  <c r="I1089" i="1" s="1"/>
  <c r="H1090" i="2"/>
  <c r="I1090" i="1" s="1"/>
  <c r="H1091" i="2"/>
  <c r="I1091" i="1" s="1"/>
  <c r="H1092" i="2"/>
  <c r="I1092" i="1" s="1"/>
  <c r="H1093" i="2"/>
  <c r="I1093" i="1" s="1"/>
  <c r="H1094" i="2"/>
  <c r="I1094" i="1" s="1"/>
  <c r="H1095" i="2"/>
  <c r="I1095" i="1" s="1"/>
  <c r="H1096" i="2"/>
  <c r="I1096" i="1" s="1"/>
  <c r="H1097" i="2"/>
  <c r="I1097" i="1" s="1"/>
  <c r="H1098" i="2"/>
  <c r="I1098" i="1" s="1"/>
  <c r="H1099" i="2"/>
  <c r="I1099" i="1" s="1"/>
  <c r="H1100" i="2"/>
  <c r="I1100" i="1" s="1"/>
  <c r="H1101" i="2"/>
  <c r="I1101" i="1" s="1"/>
  <c r="H1102" i="2"/>
  <c r="I1102" i="1" s="1"/>
  <c r="H1103" i="2"/>
  <c r="I1103" i="1" s="1"/>
  <c r="H1104" i="2"/>
  <c r="I1104" i="1" s="1"/>
  <c r="H1105" i="2"/>
  <c r="I1105" i="1" s="1"/>
  <c r="H2" i="2"/>
  <c r="I2" i="1" s="1"/>
  <c r="G378" i="5"/>
  <c r="I378" i="5" s="1"/>
  <c r="G371" i="5"/>
  <c r="I371" i="5" s="1"/>
  <c r="G385" i="5"/>
  <c r="I385" i="5" s="1"/>
  <c r="G418" i="5"/>
  <c r="I418" i="5" s="1"/>
  <c r="G403" i="5"/>
  <c r="I403" i="5" s="1"/>
  <c r="H284" i="11"/>
  <c r="I284" i="11"/>
  <c r="J284" i="11"/>
  <c r="H283" i="11"/>
  <c r="I283" i="11"/>
  <c r="J283" i="11"/>
  <c r="H282" i="11"/>
  <c r="I282" i="11"/>
  <c r="J282" i="11"/>
  <c r="H233" i="11"/>
  <c r="J233" i="11"/>
  <c r="H234" i="11"/>
  <c r="J234" i="11"/>
  <c r="H235" i="11"/>
  <c r="J235" i="11"/>
  <c r="H236" i="11"/>
  <c r="J236" i="11"/>
  <c r="H237" i="11"/>
  <c r="J237" i="11"/>
  <c r="H238" i="11"/>
  <c r="J238" i="11"/>
  <c r="H239" i="11"/>
  <c r="J239" i="11"/>
  <c r="H240" i="11"/>
  <c r="J240" i="11"/>
  <c r="H241" i="11"/>
  <c r="J241" i="11"/>
  <c r="H242" i="11"/>
  <c r="J242" i="11"/>
  <c r="H243" i="11"/>
  <c r="J243" i="11"/>
  <c r="H244" i="11"/>
  <c r="J244" i="11"/>
  <c r="H245" i="11"/>
  <c r="J245" i="11"/>
  <c r="H246" i="11"/>
  <c r="J246" i="11"/>
  <c r="H247" i="11"/>
  <c r="J247" i="11"/>
  <c r="H248" i="11"/>
  <c r="J248" i="11"/>
  <c r="H249" i="11"/>
  <c r="J249" i="11"/>
  <c r="H250" i="11"/>
  <c r="J250" i="11"/>
  <c r="H251" i="11"/>
  <c r="J251" i="11"/>
  <c r="H252" i="11"/>
  <c r="J252" i="11"/>
  <c r="H253" i="11"/>
  <c r="J253" i="11"/>
  <c r="H254" i="11"/>
  <c r="J254" i="11"/>
  <c r="H255" i="11"/>
  <c r="J255" i="11"/>
  <c r="H256" i="11"/>
  <c r="J256" i="11"/>
  <c r="H257" i="11"/>
  <c r="J257" i="11"/>
  <c r="H258" i="11"/>
  <c r="J258" i="11"/>
  <c r="H259" i="11"/>
  <c r="J259" i="11"/>
  <c r="H260" i="11"/>
  <c r="J260" i="11"/>
  <c r="H261" i="11"/>
  <c r="J261" i="11"/>
  <c r="H262" i="11"/>
  <c r="J262" i="11"/>
  <c r="H263" i="11"/>
  <c r="J263" i="11"/>
  <c r="H264" i="11"/>
  <c r="J264" i="11"/>
  <c r="H265" i="11"/>
  <c r="J265" i="11"/>
  <c r="H266" i="11"/>
  <c r="J266" i="11"/>
  <c r="H267" i="11"/>
  <c r="J267" i="11"/>
  <c r="J232" i="11"/>
  <c r="H232" i="11"/>
  <c r="L38" i="13"/>
  <c r="L4" i="13"/>
  <c r="G17" i="14"/>
  <c r="H17" i="14"/>
  <c r="I17" i="14"/>
  <c r="G126" i="14"/>
  <c r="I126" i="14"/>
  <c r="G18" i="14"/>
  <c r="I18" i="14"/>
  <c r="G19" i="14"/>
  <c r="I19" i="14"/>
  <c r="G20" i="14"/>
  <c r="I20" i="14"/>
  <c r="G21" i="14"/>
  <c r="I21" i="14"/>
  <c r="G22" i="14"/>
  <c r="I22" i="14"/>
  <c r="G23" i="14"/>
  <c r="I23" i="14"/>
  <c r="G83" i="14"/>
  <c r="I83" i="14"/>
  <c r="G24" i="14"/>
  <c r="I24" i="14"/>
  <c r="G25" i="14"/>
  <c r="I25" i="14"/>
  <c r="G121" i="14"/>
  <c r="I121" i="14"/>
  <c r="G26" i="14"/>
  <c r="I26" i="14"/>
  <c r="G27" i="14"/>
  <c r="I27" i="14"/>
  <c r="G28" i="14"/>
  <c r="I28" i="14"/>
  <c r="G29" i="14"/>
  <c r="I29" i="14"/>
  <c r="G30" i="14"/>
  <c r="I30" i="14"/>
  <c r="G31" i="14"/>
  <c r="I31" i="14"/>
  <c r="G32" i="14"/>
  <c r="I32" i="14"/>
  <c r="G33" i="14"/>
  <c r="I33" i="14"/>
  <c r="G34" i="14"/>
  <c r="I34" i="14"/>
  <c r="G35" i="14"/>
  <c r="I35" i="14"/>
  <c r="G36" i="14"/>
  <c r="I36" i="14"/>
  <c r="G37" i="14"/>
  <c r="I37" i="14"/>
  <c r="G38" i="14"/>
  <c r="I38" i="14"/>
  <c r="G39" i="14"/>
  <c r="I39" i="14"/>
  <c r="G40" i="14"/>
  <c r="I40" i="14"/>
  <c r="G41" i="14"/>
  <c r="I41" i="14"/>
  <c r="G42" i="14"/>
  <c r="I42" i="14"/>
  <c r="G43" i="14"/>
  <c r="I43" i="14"/>
  <c r="G44" i="14"/>
  <c r="I44" i="14"/>
  <c r="G45" i="14"/>
  <c r="I45" i="14"/>
  <c r="G46" i="14"/>
  <c r="I46" i="14"/>
  <c r="G47" i="14"/>
  <c r="I47" i="14"/>
  <c r="G48" i="14"/>
  <c r="I48" i="14"/>
  <c r="G49" i="14"/>
  <c r="I49" i="14"/>
  <c r="G50" i="14"/>
  <c r="I50" i="14"/>
  <c r="G51" i="14"/>
  <c r="I51" i="14"/>
  <c r="G52" i="14"/>
  <c r="I52" i="14"/>
  <c r="G53" i="14"/>
  <c r="I53" i="14"/>
  <c r="G54" i="14"/>
  <c r="I54" i="14"/>
  <c r="G55" i="14"/>
  <c r="I55" i="14"/>
  <c r="G56" i="14"/>
  <c r="I56" i="14"/>
  <c r="G57" i="14"/>
  <c r="I57" i="14"/>
  <c r="G58" i="14"/>
  <c r="I58" i="14"/>
  <c r="G59" i="14"/>
  <c r="I59" i="14"/>
  <c r="G60" i="14"/>
  <c r="I60" i="14"/>
  <c r="G61" i="14"/>
  <c r="I61" i="14"/>
  <c r="G62" i="14"/>
  <c r="I62" i="14"/>
  <c r="G63" i="14"/>
  <c r="I63" i="14"/>
  <c r="G64" i="14"/>
  <c r="I64" i="14"/>
  <c r="G65" i="14"/>
  <c r="I65" i="14"/>
  <c r="G78" i="14"/>
  <c r="I78" i="14"/>
  <c r="G4" i="14"/>
  <c r="I4" i="14"/>
  <c r="G66" i="14"/>
  <c r="I66" i="14"/>
  <c r="G105" i="14"/>
  <c r="I105" i="14"/>
  <c r="G112" i="14"/>
  <c r="I112" i="14"/>
  <c r="G94" i="14"/>
  <c r="I94" i="14"/>
  <c r="G106" i="14"/>
  <c r="I106" i="14"/>
  <c r="G123" i="14"/>
  <c r="I123" i="14"/>
  <c r="G67" i="14"/>
  <c r="I67" i="14"/>
  <c r="G109" i="14"/>
  <c r="I109" i="14"/>
  <c r="G68" i="14"/>
  <c r="I68" i="14"/>
  <c r="G90" i="14"/>
  <c r="I90" i="14"/>
  <c r="G69" i="14"/>
  <c r="I69" i="14"/>
  <c r="G70" i="14"/>
  <c r="I70" i="14"/>
  <c r="G95" i="14"/>
  <c r="I95" i="14"/>
  <c r="G84" i="14"/>
  <c r="I84" i="14"/>
  <c r="G71" i="14"/>
  <c r="I71" i="14"/>
  <c r="G73" i="14"/>
  <c r="I73" i="14"/>
  <c r="G86" i="14"/>
  <c r="I86" i="14"/>
  <c r="G129" i="14"/>
  <c r="I129" i="14"/>
  <c r="G91" i="14"/>
  <c r="I91" i="14"/>
  <c r="G88" i="14"/>
  <c r="I88" i="14"/>
  <c r="G72" i="14"/>
  <c r="I72" i="14"/>
  <c r="G80" i="14"/>
  <c r="I80" i="14"/>
  <c r="G96" i="14"/>
  <c r="I96" i="14"/>
  <c r="G3" i="14"/>
  <c r="I3" i="14"/>
  <c r="G74" i="14"/>
  <c r="I74" i="14"/>
  <c r="G99" i="14"/>
  <c r="I99" i="14"/>
  <c r="G89" i="14"/>
  <c r="I89" i="14"/>
  <c r="G107" i="14"/>
  <c r="I107" i="14"/>
  <c r="G92" i="14"/>
  <c r="I92" i="14"/>
  <c r="G100" i="14"/>
  <c r="I100" i="14"/>
  <c r="G85" i="14"/>
  <c r="I85" i="14"/>
  <c r="G93" i="14"/>
  <c r="I93" i="14"/>
  <c r="G103" i="14"/>
  <c r="I103" i="14"/>
  <c r="G104" i="14"/>
  <c r="I104" i="14"/>
  <c r="G132" i="14"/>
  <c r="I132" i="14"/>
  <c r="G87" i="14"/>
  <c r="I87" i="14"/>
  <c r="G110" i="14"/>
  <c r="I110" i="14"/>
  <c r="G82" i="14"/>
  <c r="I82" i="14"/>
  <c r="G118" i="14"/>
  <c r="I118" i="14"/>
  <c r="G75" i="14"/>
  <c r="I75" i="14"/>
  <c r="G98" i="14"/>
  <c r="I98" i="14"/>
  <c r="G115" i="14"/>
  <c r="I115" i="14"/>
  <c r="G114" i="14"/>
  <c r="I114" i="14"/>
  <c r="G119" i="14"/>
  <c r="I119" i="14"/>
  <c r="G97" i="14"/>
  <c r="I97" i="14"/>
  <c r="G113" i="14"/>
  <c r="I113" i="14"/>
  <c r="G111" i="14"/>
  <c r="I111" i="14"/>
  <c r="G120" i="14"/>
  <c r="I120" i="14"/>
  <c r="G108" i="14"/>
  <c r="I108" i="14"/>
  <c r="G117" i="14"/>
  <c r="I117" i="14"/>
  <c r="G135" i="14"/>
  <c r="I135" i="14"/>
  <c r="G127" i="14"/>
  <c r="I127" i="14"/>
  <c r="G128" i="14"/>
  <c r="I128" i="14"/>
  <c r="G125" i="14"/>
  <c r="I125" i="14"/>
  <c r="G124" i="14"/>
  <c r="I124" i="14"/>
  <c r="G76" i="14"/>
  <c r="I76" i="14"/>
  <c r="G122" i="14"/>
  <c r="I122" i="14"/>
  <c r="G130" i="14"/>
  <c r="I130" i="14"/>
  <c r="G116" i="14"/>
  <c r="I116" i="14"/>
  <c r="G101" i="14"/>
  <c r="I101" i="14"/>
  <c r="G133" i="14"/>
  <c r="I133" i="14"/>
  <c r="G134" i="14"/>
  <c r="I134" i="14"/>
  <c r="G136" i="14"/>
  <c r="I136" i="14"/>
  <c r="G143" i="14"/>
  <c r="I143" i="14"/>
  <c r="G139" i="14"/>
  <c r="I139" i="14"/>
  <c r="G140" i="14"/>
  <c r="I140" i="14"/>
  <c r="G141" i="14"/>
  <c r="I141" i="14"/>
  <c r="G142" i="14"/>
  <c r="I142" i="14"/>
  <c r="G144" i="14"/>
  <c r="I144" i="14"/>
  <c r="G138" i="14"/>
  <c r="I138" i="14"/>
  <c r="G145" i="14"/>
  <c r="I145" i="14"/>
  <c r="G146" i="14"/>
  <c r="I146" i="14"/>
  <c r="G147" i="14"/>
  <c r="I147" i="14"/>
  <c r="G148" i="14"/>
  <c r="I148" i="14"/>
  <c r="G149" i="14"/>
  <c r="I149" i="14"/>
  <c r="G15" i="14"/>
  <c r="I15" i="14"/>
  <c r="G102" i="14"/>
  <c r="I102" i="14"/>
  <c r="G16" i="14"/>
  <c r="I16" i="14"/>
  <c r="G6" i="14"/>
  <c r="H6" i="14"/>
  <c r="I6" i="14"/>
  <c r="G7" i="14"/>
  <c r="I7" i="14"/>
  <c r="G137" i="14"/>
  <c r="I137" i="14"/>
  <c r="G8" i="14"/>
  <c r="I8" i="14"/>
  <c r="G9" i="14"/>
  <c r="I9" i="14"/>
  <c r="G81" i="14"/>
  <c r="I81" i="14"/>
  <c r="G79" i="14"/>
  <c r="I79" i="14"/>
  <c r="G10" i="14"/>
  <c r="I10" i="14"/>
  <c r="G11" i="14"/>
  <c r="I11" i="14"/>
  <c r="G77" i="14"/>
  <c r="I77" i="14"/>
  <c r="G12" i="14"/>
  <c r="I12" i="14"/>
  <c r="G13" i="14"/>
  <c r="I13" i="14"/>
  <c r="G131" i="14"/>
  <c r="I131" i="14"/>
  <c r="G14" i="14"/>
  <c r="I14" i="14"/>
  <c r="I5" i="14"/>
  <c r="G5" i="14"/>
  <c r="L3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L98" i="13"/>
  <c r="L99" i="13"/>
  <c r="L100" i="13"/>
  <c r="L101" i="13"/>
  <c r="L102" i="13"/>
  <c r="L103" i="13"/>
  <c r="L104" i="13"/>
  <c r="L105" i="13"/>
  <c r="L106" i="13"/>
  <c r="L107" i="13"/>
  <c r="L108" i="13"/>
  <c r="L109" i="13"/>
  <c r="L110" i="13"/>
  <c r="L111" i="13"/>
  <c r="L112" i="13"/>
  <c r="L113" i="13"/>
  <c r="L115" i="13"/>
  <c r="L116" i="13"/>
  <c r="L117" i="13"/>
  <c r="L118" i="13"/>
  <c r="L119" i="13"/>
  <c r="L120" i="13"/>
  <c r="L121" i="13"/>
  <c r="L122" i="13"/>
  <c r="L123" i="13"/>
  <c r="L124" i="13"/>
  <c r="L125" i="13"/>
  <c r="L126" i="13"/>
  <c r="L127" i="13"/>
  <c r="L128" i="13"/>
  <c r="L129" i="13"/>
  <c r="L130" i="13"/>
  <c r="L131" i="13"/>
  <c r="L132" i="13"/>
  <c r="L133" i="13"/>
  <c r="L134" i="13"/>
  <c r="L135" i="13"/>
  <c r="L136" i="13"/>
  <c r="L137" i="13"/>
  <c r="L138" i="13"/>
  <c r="L139" i="13"/>
  <c r="L140" i="13"/>
  <c r="L141" i="13"/>
  <c r="L142" i="13"/>
  <c r="L143" i="13"/>
  <c r="L144" i="13"/>
  <c r="L145" i="13"/>
  <c r="L146" i="13"/>
  <c r="L147" i="13"/>
  <c r="L148" i="13"/>
  <c r="L149" i="13"/>
  <c r="L150" i="13"/>
  <c r="L151" i="13"/>
  <c r="L152" i="13"/>
  <c r="L153" i="13"/>
  <c r="L154" i="13"/>
  <c r="L155" i="13"/>
  <c r="L156" i="13"/>
  <c r="L157" i="13"/>
  <c r="L158" i="13"/>
  <c r="L159" i="13"/>
  <c r="L160" i="13"/>
  <c r="L161" i="13"/>
  <c r="L162" i="13"/>
  <c r="L163" i="13"/>
  <c r="L164" i="13"/>
  <c r="L165" i="13"/>
  <c r="L166" i="13"/>
  <c r="L167" i="13"/>
  <c r="L168" i="13"/>
  <c r="L169" i="13"/>
  <c r="L170" i="13"/>
  <c r="L171" i="13"/>
  <c r="L172" i="13"/>
  <c r="L173" i="13"/>
  <c r="L174" i="13"/>
  <c r="L175" i="13"/>
  <c r="L176" i="13"/>
  <c r="L177" i="13"/>
  <c r="L178" i="13"/>
  <c r="L179" i="13"/>
  <c r="L180" i="13"/>
  <c r="L181" i="13"/>
  <c r="L182" i="13"/>
  <c r="L183" i="13"/>
  <c r="L184" i="13"/>
  <c r="L185" i="13"/>
  <c r="I114" i="13"/>
  <c r="G114" i="13"/>
  <c r="H43" i="11"/>
  <c r="J43" i="11"/>
  <c r="H45" i="11"/>
  <c r="J45" i="11"/>
  <c r="H46" i="11"/>
  <c r="I46" i="11"/>
  <c r="J46" i="11"/>
  <c r="H47" i="11"/>
  <c r="J47" i="11"/>
  <c r="H48" i="11"/>
  <c r="J48" i="11"/>
  <c r="H49" i="11"/>
  <c r="J49" i="11"/>
  <c r="H50" i="11"/>
  <c r="J50" i="11"/>
  <c r="H359" i="11"/>
  <c r="J359" i="11"/>
  <c r="H555" i="11"/>
  <c r="J555" i="11"/>
  <c r="H615" i="11"/>
  <c r="J615" i="11"/>
  <c r="H636" i="11"/>
  <c r="J636" i="11"/>
  <c r="H22" i="11"/>
  <c r="J22" i="11"/>
  <c r="H51" i="11"/>
  <c r="J51" i="11"/>
  <c r="H52" i="11"/>
  <c r="J52" i="11"/>
  <c r="H11" i="11"/>
  <c r="J11" i="11"/>
  <c r="H53" i="11"/>
  <c r="J53" i="11"/>
  <c r="H54" i="11"/>
  <c r="J54" i="11"/>
  <c r="H653" i="11"/>
  <c r="J653" i="11"/>
  <c r="H55" i="11"/>
  <c r="J55" i="11"/>
  <c r="H27" i="11"/>
  <c r="J27" i="11"/>
  <c r="H404" i="11"/>
  <c r="I404" i="11"/>
  <c r="J404" i="11"/>
  <c r="H56" i="11"/>
  <c r="J56" i="11"/>
  <c r="H611" i="11"/>
  <c r="J611" i="11"/>
  <c r="H606" i="11"/>
  <c r="J606" i="11"/>
  <c r="H563" i="11"/>
  <c r="J563" i="11"/>
  <c r="H543" i="11"/>
  <c r="J543" i="11"/>
  <c r="H628" i="11"/>
  <c r="J628" i="11"/>
  <c r="H57" i="11"/>
  <c r="J57" i="11"/>
  <c r="H7" i="11"/>
  <c r="J7" i="11"/>
  <c r="H4" i="11"/>
  <c r="J4" i="11"/>
  <c r="H58" i="11"/>
  <c r="I58" i="11"/>
  <c r="J58" i="11"/>
  <c r="H39" i="11"/>
  <c r="J39" i="11"/>
  <c r="H35" i="11"/>
  <c r="J35" i="11"/>
  <c r="H299" i="11"/>
  <c r="J299" i="11"/>
  <c r="H59" i="11"/>
  <c r="J59" i="11"/>
  <c r="H60" i="11"/>
  <c r="J60" i="11"/>
  <c r="H441" i="11"/>
  <c r="J441" i="11"/>
  <c r="H413" i="11"/>
  <c r="J413" i="11"/>
  <c r="H61" i="11"/>
  <c r="J61" i="11"/>
  <c r="H62" i="11"/>
  <c r="J62" i="11"/>
  <c r="H348" i="11"/>
  <c r="J348" i="11"/>
  <c r="H63" i="11"/>
  <c r="J63" i="11"/>
  <c r="H64" i="11"/>
  <c r="J64" i="11"/>
  <c r="H65" i="11"/>
  <c r="J65" i="11"/>
  <c r="H66" i="11"/>
  <c r="J66" i="11"/>
  <c r="H517" i="11"/>
  <c r="J517" i="11"/>
  <c r="H67" i="11"/>
  <c r="J67" i="11"/>
  <c r="H68" i="11"/>
  <c r="J68" i="11"/>
  <c r="H321" i="11"/>
  <c r="J321" i="11"/>
  <c r="H319" i="11"/>
  <c r="J319" i="11"/>
  <c r="H310" i="11"/>
  <c r="J310" i="11"/>
  <c r="H495" i="11"/>
  <c r="J495" i="11"/>
  <c r="H69" i="11"/>
  <c r="J69" i="11"/>
  <c r="H70" i="11"/>
  <c r="J70" i="11"/>
  <c r="H71" i="11"/>
  <c r="J71" i="11"/>
  <c r="H72" i="11"/>
  <c r="J72" i="11"/>
  <c r="H73" i="11"/>
  <c r="J73" i="11"/>
  <c r="H74" i="11"/>
  <c r="I74" i="11"/>
  <c r="J74" i="11"/>
  <c r="H44" i="11"/>
  <c r="J44" i="11"/>
  <c r="H468" i="11"/>
  <c r="J468" i="11"/>
  <c r="H3" i="11"/>
  <c r="J3" i="11"/>
  <c r="H311" i="11"/>
  <c r="J311" i="11"/>
  <c r="H75" i="11"/>
  <c r="J75" i="11"/>
  <c r="H76" i="11"/>
  <c r="J76" i="11"/>
  <c r="H77" i="11"/>
  <c r="J77" i="11"/>
  <c r="H78" i="11"/>
  <c r="J78" i="11"/>
  <c r="H79" i="11"/>
  <c r="J79" i="11"/>
  <c r="H80" i="11"/>
  <c r="I80" i="11"/>
  <c r="J80" i="11"/>
  <c r="H81" i="11"/>
  <c r="J81" i="11"/>
  <c r="H579" i="11"/>
  <c r="J579" i="11"/>
  <c r="H82" i="11"/>
  <c r="J82" i="11"/>
  <c r="H83" i="11"/>
  <c r="J83" i="11"/>
  <c r="H325" i="11"/>
  <c r="J325" i="11"/>
  <c r="H318" i="11"/>
  <c r="J318" i="11"/>
  <c r="H84" i="11"/>
  <c r="J84" i="11"/>
  <c r="H85" i="11"/>
  <c r="J85" i="11"/>
  <c r="H309" i="11"/>
  <c r="J309" i="11"/>
  <c r="H86" i="11"/>
  <c r="J86" i="11"/>
  <c r="H87" i="11"/>
  <c r="J87" i="11"/>
  <c r="H545" i="11"/>
  <c r="J545" i="11"/>
  <c r="H88" i="11"/>
  <c r="J88" i="11"/>
  <c r="H89" i="11"/>
  <c r="J89" i="11"/>
  <c r="H393" i="11"/>
  <c r="J393" i="11"/>
  <c r="H90" i="11"/>
  <c r="J90" i="11"/>
  <c r="H91" i="11"/>
  <c r="I91" i="11"/>
  <c r="J91" i="11"/>
  <c r="H503" i="11"/>
  <c r="J503" i="11"/>
  <c r="H92" i="11"/>
  <c r="J92" i="11"/>
  <c r="H93" i="11"/>
  <c r="J93" i="11"/>
  <c r="H94" i="11"/>
  <c r="J94" i="11"/>
  <c r="H95" i="11"/>
  <c r="J95" i="11"/>
  <c r="H96" i="11"/>
  <c r="J96" i="11"/>
  <c r="H97" i="11"/>
  <c r="J97" i="11"/>
  <c r="H327" i="11"/>
  <c r="J327" i="11"/>
  <c r="H98" i="11"/>
  <c r="J98" i="11"/>
  <c r="H99" i="11"/>
  <c r="J99" i="11"/>
  <c r="H471" i="11"/>
  <c r="J471" i="11"/>
  <c r="H100" i="11"/>
  <c r="J100" i="11"/>
  <c r="H101" i="11"/>
  <c r="J101" i="11"/>
  <c r="H102" i="11"/>
  <c r="J102" i="11"/>
  <c r="H103" i="11"/>
  <c r="J103" i="11"/>
  <c r="H104" i="11"/>
  <c r="J104" i="11"/>
  <c r="H105" i="11"/>
  <c r="J105" i="11"/>
  <c r="H106" i="11"/>
  <c r="J106" i="11"/>
  <c r="H107" i="11"/>
  <c r="J107" i="11"/>
  <c r="H108" i="11"/>
  <c r="J108" i="11"/>
  <c r="H109" i="11"/>
  <c r="J109" i="11"/>
  <c r="H110" i="11"/>
  <c r="J110" i="11"/>
  <c r="H111" i="11"/>
  <c r="J111" i="11"/>
  <c r="H112" i="11"/>
  <c r="J112" i="11"/>
  <c r="H113" i="11"/>
  <c r="J113" i="11"/>
  <c r="H114" i="11"/>
  <c r="J114" i="11"/>
  <c r="H115" i="11"/>
  <c r="J115" i="11"/>
  <c r="H116" i="11"/>
  <c r="J116" i="11"/>
  <c r="H117" i="11"/>
  <c r="J117" i="11"/>
  <c r="H118" i="11"/>
  <c r="J118" i="11"/>
  <c r="H119" i="11"/>
  <c r="J119" i="11"/>
  <c r="H120" i="11"/>
  <c r="J120" i="11"/>
  <c r="H121" i="11"/>
  <c r="J121" i="11"/>
  <c r="H122" i="11"/>
  <c r="J122" i="11"/>
  <c r="H123" i="11"/>
  <c r="J123" i="11"/>
  <c r="H124" i="11"/>
  <c r="J124" i="11"/>
  <c r="H125" i="11"/>
  <c r="J125" i="11"/>
  <c r="H126" i="11"/>
  <c r="J126" i="11"/>
  <c r="H127" i="11"/>
  <c r="J127" i="11"/>
  <c r="H128" i="11"/>
  <c r="J128" i="11"/>
  <c r="H129" i="11"/>
  <c r="J129" i="11"/>
  <c r="H130" i="11"/>
  <c r="J130" i="11"/>
  <c r="H131" i="11"/>
  <c r="J131" i="11"/>
  <c r="H132" i="11"/>
  <c r="J132" i="11"/>
  <c r="H133" i="11"/>
  <c r="J133" i="11"/>
  <c r="H134" i="11"/>
  <c r="J134" i="11"/>
  <c r="H135" i="11"/>
  <c r="J135" i="11"/>
  <c r="H136" i="11"/>
  <c r="J136" i="11"/>
  <c r="H137" i="11"/>
  <c r="J137" i="11"/>
  <c r="H138" i="11"/>
  <c r="J138" i="11"/>
  <c r="H139" i="11"/>
  <c r="J139" i="11"/>
  <c r="H140" i="11"/>
  <c r="J140" i="11"/>
  <c r="H430" i="11"/>
  <c r="J430" i="11"/>
  <c r="H614" i="11"/>
  <c r="J614" i="11"/>
  <c r="H388" i="11"/>
  <c r="J388" i="11"/>
  <c r="H14" i="11"/>
  <c r="J14" i="11"/>
  <c r="H511" i="11"/>
  <c r="J511" i="11"/>
  <c r="H30" i="11"/>
  <c r="J30" i="11"/>
  <c r="H603" i="11"/>
  <c r="J603" i="11"/>
  <c r="H567" i="11"/>
  <c r="J567" i="11"/>
  <c r="H510" i="11"/>
  <c r="J510" i="11"/>
  <c r="H633" i="11"/>
  <c r="J633" i="11"/>
  <c r="H438" i="11"/>
  <c r="J438" i="11"/>
  <c r="H141" i="11"/>
  <c r="J141" i="11"/>
  <c r="H142" i="11"/>
  <c r="J142" i="11"/>
  <c r="H143" i="11"/>
  <c r="J143" i="11"/>
  <c r="H144" i="11"/>
  <c r="J144" i="11"/>
  <c r="H470" i="11"/>
  <c r="J470" i="11"/>
  <c r="H18" i="11"/>
  <c r="J18" i="11"/>
  <c r="H585" i="11"/>
  <c r="J585" i="11"/>
  <c r="H145" i="11"/>
  <c r="J145" i="11"/>
  <c r="H146" i="11"/>
  <c r="J146" i="11"/>
  <c r="H31" i="11"/>
  <c r="J31" i="11"/>
  <c r="H147" i="11"/>
  <c r="J147" i="11"/>
  <c r="H148" i="11"/>
  <c r="J148" i="11"/>
  <c r="H149" i="11"/>
  <c r="J149" i="11"/>
  <c r="H150" i="11"/>
  <c r="J150" i="11"/>
  <c r="H483" i="11"/>
  <c r="J483" i="11"/>
  <c r="H151" i="11"/>
  <c r="J151" i="11"/>
  <c r="H645" i="11"/>
  <c r="J645" i="11"/>
  <c r="H444" i="11"/>
  <c r="J444" i="11"/>
  <c r="H525" i="11"/>
  <c r="J525" i="11"/>
  <c r="H452" i="11"/>
  <c r="J452" i="11"/>
  <c r="H152" i="11"/>
  <c r="J152" i="11"/>
  <c r="H350" i="11"/>
  <c r="J350" i="11"/>
  <c r="H153" i="11"/>
  <c r="J153" i="11"/>
  <c r="H154" i="11"/>
  <c r="J154" i="11"/>
  <c r="H155" i="11"/>
  <c r="J155" i="11"/>
  <c r="H156" i="11"/>
  <c r="J156" i="11"/>
  <c r="H157" i="11"/>
  <c r="J157" i="11"/>
  <c r="H158" i="11"/>
  <c r="J158" i="11"/>
  <c r="H159" i="11"/>
  <c r="J159" i="11"/>
  <c r="H160" i="11"/>
  <c r="J160" i="11"/>
  <c r="H161" i="11"/>
  <c r="J161" i="11"/>
  <c r="H162" i="11"/>
  <c r="J162" i="11"/>
  <c r="H163" i="11"/>
  <c r="J163" i="11"/>
  <c r="H164" i="11"/>
  <c r="J164" i="11"/>
  <c r="H339" i="11"/>
  <c r="J339" i="11"/>
  <c r="H165" i="11"/>
  <c r="J165" i="11"/>
  <c r="H166" i="11"/>
  <c r="J166" i="11"/>
  <c r="H167" i="11"/>
  <c r="J167" i="11"/>
  <c r="H168" i="11"/>
  <c r="J168" i="11"/>
  <c r="H169" i="11"/>
  <c r="J169" i="11"/>
  <c r="H170" i="11"/>
  <c r="J170" i="11"/>
  <c r="H171" i="11"/>
  <c r="J171" i="11"/>
  <c r="H172" i="11"/>
  <c r="J172" i="11"/>
  <c r="H428" i="11"/>
  <c r="J428" i="11"/>
  <c r="H173" i="11"/>
  <c r="J173" i="11"/>
  <c r="H174" i="11"/>
  <c r="J174" i="11"/>
  <c r="H175" i="11"/>
  <c r="J175" i="11"/>
  <c r="H176" i="11"/>
  <c r="J176" i="11"/>
  <c r="H177" i="11"/>
  <c r="J177" i="11"/>
  <c r="H650" i="11"/>
  <c r="J650" i="11"/>
  <c r="H412" i="11"/>
  <c r="J412" i="11"/>
  <c r="H332" i="11"/>
  <c r="J332" i="11"/>
  <c r="H178" i="11"/>
  <c r="J178" i="11"/>
  <c r="H509" i="11"/>
  <c r="J509" i="11"/>
  <c r="H179" i="11"/>
  <c r="J179" i="11"/>
  <c r="H16" i="11"/>
  <c r="J16" i="11"/>
  <c r="H180" i="11"/>
  <c r="J180" i="11"/>
  <c r="H19" i="11"/>
  <c r="J19" i="11"/>
  <c r="H181" i="11"/>
  <c r="J181" i="11"/>
  <c r="H182" i="11"/>
  <c r="J182" i="11"/>
  <c r="H183" i="11"/>
  <c r="J183" i="11"/>
  <c r="H663" i="11"/>
  <c r="J663" i="11"/>
  <c r="H184" i="11"/>
  <c r="J184" i="11"/>
  <c r="H185" i="11"/>
  <c r="J185" i="11"/>
  <c r="H186" i="11"/>
  <c r="J186" i="11"/>
  <c r="H15" i="11"/>
  <c r="J15" i="11"/>
  <c r="H187" i="11"/>
  <c r="J187" i="11"/>
  <c r="H188" i="11"/>
  <c r="J188" i="11"/>
  <c r="H189" i="11"/>
  <c r="J189" i="11"/>
  <c r="H190" i="11"/>
  <c r="J190" i="11"/>
  <c r="H191" i="11"/>
  <c r="J191" i="11"/>
  <c r="H566" i="11"/>
  <c r="J566" i="11"/>
  <c r="H308" i="11"/>
  <c r="J308" i="11"/>
  <c r="H192" i="11"/>
  <c r="J192" i="11"/>
  <c r="H535" i="11"/>
  <c r="J535" i="11"/>
  <c r="H193" i="11"/>
  <c r="J193" i="11"/>
  <c r="H564" i="11"/>
  <c r="J564" i="11"/>
  <c r="H194" i="11"/>
  <c r="J194" i="11"/>
  <c r="H349" i="11"/>
  <c r="J349" i="11"/>
  <c r="H17" i="11"/>
  <c r="J17" i="11"/>
  <c r="H195" i="11"/>
  <c r="J195" i="11"/>
  <c r="H196" i="11"/>
  <c r="J196" i="11"/>
  <c r="H415" i="11"/>
  <c r="J415" i="11"/>
  <c r="H197" i="11"/>
  <c r="J197" i="11"/>
  <c r="H198" i="11"/>
  <c r="J198" i="11"/>
  <c r="H199" i="11"/>
  <c r="J199" i="11"/>
  <c r="H667" i="11"/>
  <c r="J667" i="11"/>
  <c r="H200" i="11"/>
  <c r="J200" i="11"/>
  <c r="H201" i="11"/>
  <c r="J201" i="11"/>
  <c r="H202" i="11"/>
  <c r="J202" i="11"/>
  <c r="H203" i="11"/>
  <c r="J203" i="11"/>
  <c r="H204" i="11"/>
  <c r="J204" i="11"/>
  <c r="H205" i="11"/>
  <c r="J205" i="11"/>
  <c r="H206" i="11"/>
  <c r="J206" i="11"/>
  <c r="H207" i="11"/>
  <c r="J207" i="11"/>
  <c r="H208" i="11"/>
  <c r="J208" i="11"/>
  <c r="H209" i="11"/>
  <c r="J209" i="11"/>
  <c r="H210" i="11"/>
  <c r="J210" i="11"/>
  <c r="H211" i="11"/>
  <c r="J211" i="11"/>
  <c r="H544" i="11"/>
  <c r="J544" i="11"/>
  <c r="H446" i="11"/>
  <c r="J446" i="11"/>
  <c r="H212" i="11"/>
  <c r="J212" i="11"/>
  <c r="H213" i="11"/>
  <c r="J213" i="11"/>
  <c r="H214" i="11"/>
  <c r="J214" i="11"/>
  <c r="H215" i="11"/>
  <c r="J215" i="11"/>
  <c r="H216" i="11"/>
  <c r="J216" i="11"/>
  <c r="H217" i="11"/>
  <c r="J217" i="11"/>
  <c r="H218" i="11"/>
  <c r="J218" i="11"/>
  <c r="H219" i="11"/>
  <c r="J219" i="11"/>
  <c r="H220" i="11"/>
  <c r="J220" i="11"/>
  <c r="H221" i="11"/>
  <c r="J221" i="11"/>
  <c r="H222" i="11"/>
  <c r="J222" i="11"/>
  <c r="H32" i="11"/>
  <c r="J32" i="11"/>
  <c r="H29" i="11"/>
  <c r="J29" i="11"/>
  <c r="H223" i="11"/>
  <c r="J223" i="11"/>
  <c r="H224" i="11"/>
  <c r="J224" i="11"/>
  <c r="H225" i="11"/>
  <c r="J225" i="11"/>
  <c r="H226" i="11"/>
  <c r="J226" i="11"/>
  <c r="H227" i="11"/>
  <c r="J227" i="11"/>
  <c r="H228" i="11"/>
  <c r="J228" i="11"/>
  <c r="H229" i="11"/>
  <c r="J229" i="11"/>
  <c r="H230" i="11"/>
  <c r="J230" i="11"/>
  <c r="H231" i="11"/>
  <c r="J231" i="11"/>
  <c r="H268" i="11"/>
  <c r="J268" i="11"/>
  <c r="H269" i="11"/>
  <c r="J269" i="11"/>
  <c r="H270" i="11"/>
  <c r="I270" i="11"/>
  <c r="J270" i="11"/>
  <c r="H271" i="11"/>
  <c r="I271" i="11"/>
  <c r="J271" i="11"/>
  <c r="H272" i="11"/>
  <c r="I272" i="11"/>
  <c r="J272" i="11"/>
  <c r="H273" i="11"/>
  <c r="I273" i="11"/>
  <c r="J273" i="11"/>
  <c r="H274" i="11"/>
  <c r="I274" i="11"/>
  <c r="J274" i="11"/>
  <c r="H275" i="11"/>
  <c r="I275" i="11"/>
  <c r="J275" i="11"/>
  <c r="H276" i="11"/>
  <c r="I276" i="11"/>
  <c r="J276" i="11"/>
  <c r="H277" i="11"/>
  <c r="I277" i="11"/>
  <c r="J277" i="11"/>
  <c r="H278" i="11"/>
  <c r="I278" i="11"/>
  <c r="J278" i="11"/>
  <c r="H279" i="11"/>
  <c r="I279" i="11"/>
  <c r="J279" i="11"/>
  <c r="H280" i="11"/>
  <c r="I280" i="11"/>
  <c r="J280" i="11"/>
  <c r="H281" i="11"/>
  <c r="I281" i="11"/>
  <c r="J281" i="11"/>
  <c r="H357" i="11"/>
  <c r="J357" i="11"/>
  <c r="H315" i="11"/>
  <c r="J315" i="11"/>
  <c r="H5" i="11"/>
  <c r="J5" i="11"/>
  <c r="H557" i="11"/>
  <c r="J557" i="11"/>
  <c r="H454" i="11"/>
  <c r="I454" i="11"/>
  <c r="J454" i="11"/>
  <c r="H312" i="11"/>
  <c r="J312" i="11"/>
  <c r="H313" i="11"/>
  <c r="J313" i="11"/>
  <c r="H314" i="11"/>
  <c r="J314" i="11"/>
  <c r="H316" i="11"/>
  <c r="J316" i="11"/>
  <c r="H317" i="11"/>
  <c r="J317" i="11"/>
  <c r="H320" i="11"/>
  <c r="J320" i="11"/>
  <c r="H23" i="11"/>
  <c r="J23" i="11"/>
  <c r="H301" i="11"/>
  <c r="J301" i="11"/>
  <c r="H37" i="11"/>
  <c r="J37" i="11"/>
  <c r="H298" i="11"/>
  <c r="J298" i="11"/>
  <c r="H41" i="11"/>
  <c r="J41" i="11"/>
  <c r="H24" i="11"/>
  <c r="J24" i="11"/>
  <c r="H285" i="11"/>
  <c r="J285" i="11"/>
  <c r="H286" i="11"/>
  <c r="J286" i="11"/>
  <c r="H33" i="11"/>
  <c r="J33" i="11"/>
  <c r="H578" i="11"/>
  <c r="J578" i="11"/>
  <c r="H406" i="11"/>
  <c r="J406" i="11"/>
  <c r="H436" i="11"/>
  <c r="J436" i="11"/>
  <c r="H364" i="11"/>
  <c r="J364" i="11"/>
  <c r="H408" i="11"/>
  <c r="J408" i="11"/>
  <c r="H328" i="11"/>
  <c r="J328" i="11"/>
  <c r="H377" i="11"/>
  <c r="J377" i="11"/>
  <c r="H341" i="11"/>
  <c r="J341" i="11"/>
  <c r="H488" i="11"/>
  <c r="J488" i="11"/>
  <c r="H459" i="11"/>
  <c r="J459" i="11"/>
  <c r="H448" i="11"/>
  <c r="J448" i="11"/>
  <c r="H609" i="11"/>
  <c r="J609" i="11"/>
  <c r="H40" i="11"/>
  <c r="J40" i="11"/>
  <c r="H343" i="11"/>
  <c r="J343" i="11"/>
  <c r="H287" i="11"/>
  <c r="J287" i="11"/>
  <c r="H400" i="11"/>
  <c r="J400" i="11"/>
  <c r="H26" i="11"/>
  <c r="J26" i="11"/>
  <c r="H586" i="11"/>
  <c r="J586" i="11"/>
  <c r="H334" i="11"/>
  <c r="J334" i="11"/>
  <c r="H421" i="11"/>
  <c r="J421" i="11"/>
  <c r="H346" i="11"/>
  <c r="J346" i="11"/>
  <c r="H36" i="11"/>
  <c r="J36" i="11"/>
  <c r="H356" i="11"/>
  <c r="J356" i="11"/>
  <c r="H288" i="11"/>
  <c r="J288" i="11"/>
  <c r="H351" i="11"/>
  <c r="J351" i="11"/>
  <c r="H344" i="11"/>
  <c r="J344" i="11"/>
  <c r="H12" i="11"/>
  <c r="J12" i="11"/>
  <c r="H289" i="11"/>
  <c r="J289" i="11"/>
  <c r="H290" i="11"/>
  <c r="J290" i="11"/>
  <c r="H368" i="11"/>
  <c r="J368" i="11"/>
  <c r="H365" i="11"/>
  <c r="J365" i="11"/>
  <c r="H352" i="11"/>
  <c r="J352" i="11"/>
  <c r="H355" i="11"/>
  <c r="J355" i="11"/>
  <c r="H329" i="11"/>
  <c r="J329" i="11"/>
  <c r="H291" i="11"/>
  <c r="J291" i="11"/>
  <c r="H303" i="11"/>
  <c r="J303" i="11"/>
  <c r="H336" i="11"/>
  <c r="J336" i="11"/>
  <c r="H323" i="11"/>
  <c r="J323" i="11"/>
  <c r="H28" i="11"/>
  <c r="J28" i="11"/>
  <c r="H402" i="11"/>
  <c r="J402" i="11"/>
  <c r="H529" i="11"/>
  <c r="J529" i="11"/>
  <c r="H361" i="11"/>
  <c r="J361" i="11"/>
  <c r="H354" i="11"/>
  <c r="J354" i="11"/>
  <c r="H486" i="11"/>
  <c r="J486" i="11"/>
  <c r="H550" i="11"/>
  <c r="J550" i="11"/>
  <c r="H366" i="11"/>
  <c r="J366" i="11"/>
  <c r="H337" i="11"/>
  <c r="J337" i="11"/>
  <c r="H322" i="11"/>
  <c r="J322" i="11"/>
  <c r="H295" i="11"/>
  <c r="J295" i="11"/>
  <c r="H292" i="11"/>
  <c r="J292" i="11"/>
  <c r="H324" i="11"/>
  <c r="J324" i="11"/>
  <c r="H629" i="11"/>
  <c r="J629" i="11"/>
  <c r="H434" i="11"/>
  <c r="J434" i="11"/>
  <c r="H407" i="11"/>
  <c r="J407" i="11"/>
  <c r="H293" i="11"/>
  <c r="J293" i="11"/>
  <c r="H420" i="11"/>
  <c r="J420" i="11"/>
  <c r="H25" i="11"/>
  <c r="J25" i="11"/>
  <c r="H374" i="11"/>
  <c r="J374" i="11"/>
  <c r="H371" i="11"/>
  <c r="J371" i="11"/>
  <c r="H20" i="11"/>
  <c r="J20" i="11"/>
  <c r="H333" i="11"/>
  <c r="J333" i="11"/>
  <c r="H378" i="11"/>
  <c r="J378" i="11"/>
  <c r="H38" i="11"/>
  <c r="J38" i="11"/>
  <c r="H304" i="11"/>
  <c r="J304" i="11"/>
  <c r="H531" i="11"/>
  <c r="J531" i="11"/>
  <c r="H338" i="11"/>
  <c r="J338" i="11"/>
  <c r="H345" i="11"/>
  <c r="J345" i="11"/>
  <c r="H375" i="11"/>
  <c r="J375" i="11"/>
  <c r="H340" i="11"/>
  <c r="J340" i="11"/>
  <c r="H370" i="11"/>
  <c r="J370" i="11"/>
  <c r="H386" i="11"/>
  <c r="J386" i="11"/>
  <c r="H409" i="11"/>
  <c r="J409" i="11"/>
  <c r="H387" i="11"/>
  <c r="J387" i="11"/>
  <c r="H358" i="11"/>
  <c r="J358" i="11"/>
  <c r="H390" i="11"/>
  <c r="J390" i="11"/>
  <c r="H389" i="11"/>
  <c r="J389" i="11"/>
  <c r="H294" i="11"/>
  <c r="J294" i="11"/>
  <c r="H596" i="11"/>
  <c r="J596" i="11"/>
  <c r="H396" i="11"/>
  <c r="I396" i="11"/>
  <c r="J396" i="11"/>
  <c r="H342" i="11"/>
  <c r="J342" i="11"/>
  <c r="H548" i="11"/>
  <c r="J548" i="11"/>
  <c r="H330" i="11"/>
  <c r="J330" i="11"/>
  <c r="H391" i="11"/>
  <c r="J391" i="11"/>
  <c r="H405" i="11"/>
  <c r="J405" i="11"/>
  <c r="H410" i="11"/>
  <c r="J410" i="11"/>
  <c r="H411" i="11"/>
  <c r="J411" i="11"/>
  <c r="H504" i="11"/>
  <c r="J504" i="11"/>
  <c r="H542" i="11"/>
  <c r="J542" i="11"/>
  <c r="H381" i="11"/>
  <c r="I381" i="11"/>
  <c r="J381" i="11"/>
  <c r="H360" i="11"/>
  <c r="J360" i="11"/>
  <c r="H445" i="11"/>
  <c r="J445" i="11"/>
  <c r="H399" i="11"/>
  <c r="J399" i="11"/>
  <c r="H401" i="11"/>
  <c r="J401" i="11"/>
  <c r="H551" i="11"/>
  <c r="J551" i="11"/>
  <c r="H422" i="11"/>
  <c r="J422" i="11"/>
  <c r="H362" i="11"/>
  <c r="J362" i="11"/>
  <c r="H423" i="11"/>
  <c r="J423" i="11"/>
  <c r="H425" i="11"/>
  <c r="J425" i="11"/>
  <c r="H335" i="11"/>
  <c r="J335" i="11"/>
  <c r="H353" i="11"/>
  <c r="J353" i="11"/>
  <c r="H367" i="11"/>
  <c r="J367" i="11"/>
  <c r="H431" i="11"/>
  <c r="J431" i="11"/>
  <c r="H418" i="11"/>
  <c r="J418" i="11"/>
  <c r="H426" i="11"/>
  <c r="J426" i="11"/>
  <c r="H326" i="11"/>
  <c r="J326" i="11"/>
  <c r="H394" i="11"/>
  <c r="J394" i="11"/>
  <c r="H499" i="11"/>
  <c r="J499" i="11"/>
  <c r="H432" i="11"/>
  <c r="J432" i="11"/>
  <c r="H467" i="11"/>
  <c r="J467" i="11"/>
  <c r="H384" i="11"/>
  <c r="J384" i="11"/>
  <c r="H469" i="11"/>
  <c r="J469" i="11"/>
  <c r="H306" i="11"/>
  <c r="J306" i="11"/>
  <c r="H369" i="11"/>
  <c r="J369" i="11"/>
  <c r="H382" i="11"/>
  <c r="J382" i="11"/>
  <c r="H380" i="11"/>
  <c r="J380" i="11"/>
  <c r="H331" i="11"/>
  <c r="J331" i="11"/>
  <c r="H363" i="11"/>
  <c r="J363" i="11"/>
  <c r="H397" i="11"/>
  <c r="J397" i="11"/>
  <c r="H300" i="11"/>
  <c r="J300" i="11"/>
  <c r="H417" i="11"/>
  <c r="J417" i="11"/>
  <c r="H435" i="11"/>
  <c r="J435" i="11"/>
  <c r="H466" i="11"/>
  <c r="J466" i="11"/>
  <c r="H385" i="11"/>
  <c r="J385" i="11"/>
  <c r="H450" i="11"/>
  <c r="J450" i="11"/>
  <c r="H453" i="11"/>
  <c r="J453" i="11"/>
  <c r="H302" i="11"/>
  <c r="J302" i="11"/>
  <c r="H383" i="11"/>
  <c r="J383" i="11"/>
  <c r="H460" i="11"/>
  <c r="J460" i="11"/>
  <c r="H373" i="11"/>
  <c r="J373" i="11"/>
  <c r="H505" i="11"/>
  <c r="J505" i="11"/>
  <c r="H443" i="11"/>
  <c r="J443" i="11"/>
  <c r="H461" i="11"/>
  <c r="J461" i="11"/>
  <c r="H575" i="11"/>
  <c r="J575" i="11"/>
  <c r="H34" i="11"/>
  <c r="J34" i="11"/>
  <c r="H439" i="11"/>
  <c r="J439" i="11"/>
  <c r="H451" i="11"/>
  <c r="J451" i="11"/>
  <c r="H456" i="11"/>
  <c r="J456" i="11"/>
  <c r="H372" i="11"/>
  <c r="J372" i="11"/>
  <c r="H347" i="11"/>
  <c r="J347" i="11"/>
  <c r="H427" i="11"/>
  <c r="J427" i="11"/>
  <c r="H424" i="11"/>
  <c r="J424" i="11"/>
  <c r="H472" i="11"/>
  <c r="J472" i="11"/>
  <c r="H473" i="11"/>
  <c r="J473" i="11"/>
  <c r="H458" i="11"/>
  <c r="J458" i="11"/>
  <c r="H474" i="11"/>
  <c r="J474" i="11"/>
  <c r="H612" i="11"/>
  <c r="J612" i="11"/>
  <c r="H475" i="11"/>
  <c r="J475" i="11"/>
  <c r="H10" i="11"/>
  <c r="J10" i="11"/>
  <c r="H296" i="11"/>
  <c r="J296" i="11"/>
  <c r="H416" i="11"/>
  <c r="J416" i="11"/>
  <c r="H437" i="11"/>
  <c r="J437" i="11"/>
  <c r="H532" i="11"/>
  <c r="J532" i="11"/>
  <c r="H398" i="11"/>
  <c r="J398" i="11"/>
  <c r="H42" i="11"/>
  <c r="J42" i="11"/>
  <c r="H493" i="11"/>
  <c r="J493" i="11"/>
  <c r="H463" i="11"/>
  <c r="J463" i="11"/>
  <c r="H485" i="11"/>
  <c r="J485" i="11"/>
  <c r="H568" i="11"/>
  <c r="J568" i="11"/>
  <c r="H414" i="11"/>
  <c r="J414" i="11"/>
  <c r="H307" i="11"/>
  <c r="J307" i="11"/>
  <c r="H490" i="11"/>
  <c r="J490" i="11"/>
  <c r="H514" i="11"/>
  <c r="J514" i="11"/>
  <c r="H573" i="11"/>
  <c r="J573" i="11"/>
  <c r="H433" i="11"/>
  <c r="J433" i="11"/>
  <c r="H478" i="11"/>
  <c r="J478" i="11"/>
  <c r="H403" i="11"/>
  <c r="J403" i="11"/>
  <c r="H465" i="11"/>
  <c r="J465" i="11"/>
  <c r="H464" i="11"/>
  <c r="J464" i="11"/>
  <c r="H13" i="11"/>
  <c r="J13" i="11"/>
  <c r="H481" i="11"/>
  <c r="J481" i="11"/>
  <c r="H457" i="11"/>
  <c r="J457" i="11"/>
  <c r="H6" i="11"/>
  <c r="J6" i="11"/>
  <c r="H440" i="11"/>
  <c r="J440" i="11"/>
  <c r="H419" i="11"/>
  <c r="J419" i="11"/>
  <c r="H449" i="11"/>
  <c r="J449" i="11"/>
  <c r="H560" i="11"/>
  <c r="J560" i="11"/>
  <c r="H442" i="11"/>
  <c r="J442" i="11"/>
  <c r="H379" i="11"/>
  <c r="J379" i="11"/>
  <c r="H8" i="11"/>
  <c r="J8" i="11"/>
  <c r="H507" i="11"/>
  <c r="J507" i="11"/>
  <c r="H9" i="11"/>
  <c r="J9" i="11"/>
  <c r="H462" i="11"/>
  <c r="J462" i="11"/>
  <c r="H512" i="11"/>
  <c r="J512" i="11"/>
  <c r="H513" i="11"/>
  <c r="J513" i="11"/>
  <c r="H496" i="11"/>
  <c r="J496" i="11"/>
  <c r="H515" i="11"/>
  <c r="J515" i="11"/>
  <c r="H508" i="11"/>
  <c r="J508" i="11"/>
  <c r="H518" i="11"/>
  <c r="J518" i="11"/>
  <c r="H519" i="11"/>
  <c r="J519" i="11"/>
  <c r="H489" i="11"/>
  <c r="J489" i="11"/>
  <c r="H497" i="11"/>
  <c r="J497" i="11"/>
  <c r="H455" i="11"/>
  <c r="J455" i="11"/>
  <c r="H477" i="11"/>
  <c r="J477" i="11"/>
  <c r="H522" i="11"/>
  <c r="J522" i="11"/>
  <c r="H501" i="11"/>
  <c r="J501" i="11"/>
  <c r="H524" i="11"/>
  <c r="J524" i="11"/>
  <c r="H487" i="11"/>
  <c r="J487" i="11"/>
  <c r="H480" i="11"/>
  <c r="J480" i="11"/>
  <c r="H492" i="11"/>
  <c r="J492" i="11"/>
  <c r="H526" i="11"/>
  <c r="J526" i="11"/>
  <c r="H506" i="11"/>
  <c r="J506" i="11"/>
  <c r="H482" i="11"/>
  <c r="J482" i="11"/>
  <c r="H479" i="11"/>
  <c r="J479" i="11"/>
  <c r="H494" i="11"/>
  <c r="J494" i="11"/>
  <c r="H516" i="11"/>
  <c r="J516" i="11"/>
  <c r="H305" i="11"/>
  <c r="J305" i="11"/>
  <c r="H500" i="11"/>
  <c r="J500" i="11"/>
  <c r="H21" i="11"/>
  <c r="J21" i="11"/>
  <c r="H376" i="11"/>
  <c r="J376" i="11"/>
  <c r="H528" i="11"/>
  <c r="J528" i="11"/>
  <c r="H484" i="11"/>
  <c r="J484" i="11"/>
  <c r="H565" i="11"/>
  <c r="J565" i="11"/>
  <c r="H536" i="11"/>
  <c r="J536" i="11"/>
  <c r="H447" i="11"/>
  <c r="J447" i="11"/>
  <c r="H537" i="11"/>
  <c r="J537" i="11"/>
  <c r="H476" i="11"/>
  <c r="J476" i="11"/>
  <c r="H538" i="11"/>
  <c r="J538" i="11"/>
  <c r="H539" i="11"/>
  <c r="J539" i="11"/>
  <c r="H540" i="11"/>
  <c r="J540" i="11"/>
  <c r="H520" i="11"/>
  <c r="J520" i="11"/>
  <c r="H530" i="11"/>
  <c r="J530" i="11"/>
  <c r="H498" i="11"/>
  <c r="J498" i="11"/>
  <c r="H491" i="11"/>
  <c r="J491" i="11"/>
  <c r="H392" i="11"/>
  <c r="J392" i="11"/>
  <c r="H604" i="11"/>
  <c r="J604" i="11"/>
  <c r="H559" i="11"/>
  <c r="J559" i="11"/>
  <c r="H546" i="11"/>
  <c r="J546" i="11"/>
  <c r="H502" i="11"/>
  <c r="J502" i="11"/>
  <c r="H554" i="11"/>
  <c r="J554" i="11"/>
  <c r="H533" i="11"/>
  <c r="J533" i="11"/>
  <c r="H541" i="11"/>
  <c r="J541" i="11"/>
  <c r="H534" i="11"/>
  <c r="J534" i="11"/>
  <c r="H523" i="11"/>
  <c r="J523" i="11"/>
  <c r="H547" i="11"/>
  <c r="J547" i="11"/>
  <c r="H527" i="11"/>
  <c r="J527" i="11"/>
  <c r="H552" i="11"/>
  <c r="J552" i="11"/>
  <c r="H553" i="11"/>
  <c r="J553" i="11"/>
  <c r="H562" i="11"/>
  <c r="J562" i="11"/>
  <c r="H556" i="11"/>
  <c r="J556" i="11"/>
  <c r="H549" i="11"/>
  <c r="J549" i="11"/>
  <c r="H558" i="11"/>
  <c r="J558" i="11"/>
  <c r="H583" i="11"/>
  <c r="J583" i="11"/>
  <c r="H580" i="11"/>
  <c r="J580" i="11"/>
  <c r="H581" i="11"/>
  <c r="J581" i="11"/>
  <c r="H582" i="11"/>
  <c r="J582" i="11"/>
  <c r="H576" i="11"/>
  <c r="J576" i="11"/>
  <c r="H618" i="11"/>
  <c r="J618" i="11"/>
  <c r="H569" i="11"/>
  <c r="J569" i="11"/>
  <c r="H577" i="11"/>
  <c r="J577" i="11"/>
  <c r="H395" i="11"/>
  <c r="J395" i="11"/>
  <c r="H572" i="11"/>
  <c r="J572" i="11"/>
  <c r="H591" i="11"/>
  <c r="J591" i="11"/>
  <c r="H593" i="11"/>
  <c r="J593" i="11"/>
  <c r="H584" i="11"/>
  <c r="J584" i="11"/>
  <c r="H570" i="11"/>
  <c r="J570" i="11"/>
  <c r="H592" i="11"/>
  <c r="J592" i="11"/>
  <c r="H598" i="11"/>
  <c r="J598" i="11"/>
  <c r="H587" i="11"/>
  <c r="J587" i="11"/>
  <c r="H600" i="11"/>
  <c r="J600" i="11"/>
  <c r="H599" i="11"/>
  <c r="J599" i="11"/>
  <c r="H589" i="11"/>
  <c r="J589" i="11"/>
  <c r="H594" i="11"/>
  <c r="J594" i="11"/>
  <c r="H595" i="11"/>
  <c r="J595" i="11"/>
  <c r="H574" i="11"/>
  <c r="J574" i="11"/>
  <c r="H602" i="11"/>
  <c r="J602" i="11"/>
  <c r="H588" i="11"/>
  <c r="J588" i="11"/>
  <c r="H605" i="11"/>
  <c r="J605" i="11"/>
  <c r="H597" i="11"/>
  <c r="J597" i="11"/>
  <c r="H601" i="11"/>
  <c r="J601" i="11"/>
  <c r="H571" i="11"/>
  <c r="J571" i="11"/>
  <c r="H641" i="11"/>
  <c r="J641" i="11"/>
  <c r="H561" i="11"/>
  <c r="J561" i="11"/>
  <c r="H610" i="11"/>
  <c r="J610" i="11"/>
  <c r="H631" i="11"/>
  <c r="J631" i="11"/>
  <c r="H297" i="11"/>
  <c r="J297" i="11"/>
  <c r="H616" i="11"/>
  <c r="J616" i="11"/>
  <c r="H607" i="11"/>
  <c r="J607" i="11"/>
  <c r="H617" i="11"/>
  <c r="J617" i="11"/>
  <c r="H608" i="11"/>
  <c r="J608" i="11"/>
  <c r="H619" i="11"/>
  <c r="J619" i="11"/>
  <c r="H620" i="11"/>
  <c r="J620" i="11"/>
  <c r="H622" i="11"/>
  <c r="J622" i="11"/>
  <c r="H621" i="11"/>
  <c r="J621" i="11"/>
  <c r="H627" i="11"/>
  <c r="J627" i="11"/>
  <c r="H626" i="11"/>
  <c r="J626" i="11"/>
  <c r="H623" i="11"/>
  <c r="J623" i="11"/>
  <c r="H624" i="11"/>
  <c r="J624" i="11"/>
  <c r="H634" i="11"/>
  <c r="J634" i="11"/>
  <c r="H630" i="11"/>
  <c r="J630" i="11"/>
  <c r="H625" i="11"/>
  <c r="J625" i="11"/>
  <c r="H632" i="11"/>
  <c r="J632" i="11"/>
  <c r="H638" i="11"/>
  <c r="J638" i="11"/>
  <c r="H640" i="11"/>
  <c r="J640" i="11"/>
  <c r="H637" i="11"/>
  <c r="J637" i="11"/>
  <c r="H521" i="11"/>
  <c r="J521" i="11"/>
  <c r="H635" i="11"/>
  <c r="J635" i="11"/>
  <c r="H639" i="11"/>
  <c r="J639" i="11"/>
  <c r="H613" i="11"/>
  <c r="J613" i="11"/>
  <c r="H642" i="11"/>
  <c r="J642" i="11"/>
  <c r="H644" i="11"/>
  <c r="J644" i="11"/>
  <c r="H643" i="11"/>
  <c r="J643" i="11"/>
  <c r="H590" i="11"/>
  <c r="J590" i="11"/>
  <c r="H647" i="11"/>
  <c r="J647" i="11"/>
  <c r="H648" i="11"/>
  <c r="J648" i="11"/>
  <c r="H649" i="11"/>
  <c r="J649" i="11"/>
  <c r="H646" i="11"/>
  <c r="J646" i="11"/>
  <c r="H652" i="11"/>
  <c r="J652" i="11"/>
  <c r="H651" i="11"/>
  <c r="J651" i="11"/>
  <c r="H654" i="11"/>
  <c r="J654" i="11"/>
  <c r="H655" i="11"/>
  <c r="J655" i="11"/>
  <c r="H656" i="11"/>
  <c r="J656" i="11"/>
  <c r="H657" i="11"/>
  <c r="J657" i="11"/>
  <c r="H658" i="11"/>
  <c r="J658" i="11"/>
  <c r="H659" i="11"/>
  <c r="J659" i="11"/>
  <c r="H660" i="11"/>
  <c r="J660" i="11"/>
  <c r="H661" i="11"/>
  <c r="J661" i="11"/>
  <c r="H662" i="11"/>
  <c r="J662" i="11"/>
  <c r="H664" i="11"/>
  <c r="J664" i="11"/>
  <c r="H665" i="11"/>
  <c r="J665" i="11"/>
  <c r="H666" i="11"/>
  <c r="J666" i="11"/>
  <c r="J429" i="11"/>
  <c r="H429" i="11"/>
  <c r="F130" i="12"/>
  <c r="H130" i="12"/>
  <c r="F125" i="12"/>
  <c r="H125" i="12"/>
  <c r="F115" i="12"/>
  <c r="H115" i="12"/>
  <c r="F205" i="12"/>
  <c r="H205" i="12"/>
  <c r="F107" i="12"/>
  <c r="H107" i="12"/>
  <c r="F245" i="12"/>
  <c r="H245" i="12"/>
  <c r="F106" i="12"/>
  <c r="H106" i="12"/>
  <c r="F15" i="12"/>
  <c r="H15" i="12"/>
  <c r="F21" i="12"/>
  <c r="H21" i="12"/>
  <c r="F118" i="12"/>
  <c r="H118" i="12"/>
  <c r="F120" i="12"/>
  <c r="H120" i="12"/>
  <c r="F131" i="12"/>
  <c r="H131" i="12"/>
  <c r="F140" i="12"/>
  <c r="G140" i="12"/>
  <c r="H140" i="12"/>
  <c r="F203" i="12"/>
  <c r="H203" i="12"/>
  <c r="F141" i="12"/>
  <c r="H141" i="12"/>
  <c r="F181" i="12"/>
  <c r="H181" i="12"/>
  <c r="F202" i="12"/>
  <c r="H202" i="12"/>
  <c r="F134" i="12"/>
  <c r="G134" i="12"/>
  <c r="H134" i="12"/>
  <c r="F128" i="12"/>
  <c r="H128" i="12"/>
  <c r="F147" i="12"/>
  <c r="H147" i="12"/>
  <c r="F126" i="12"/>
  <c r="H126" i="12"/>
  <c r="F129" i="12"/>
  <c r="H129" i="12"/>
  <c r="F146" i="12"/>
  <c r="H146" i="12"/>
  <c r="F150" i="12"/>
  <c r="H150" i="12"/>
  <c r="F163" i="12"/>
  <c r="H163" i="12"/>
  <c r="F111" i="12"/>
  <c r="H111" i="12"/>
  <c r="F135" i="12"/>
  <c r="H135" i="12"/>
  <c r="F116" i="12"/>
  <c r="H116" i="12"/>
  <c r="F109" i="12"/>
  <c r="H109" i="12"/>
  <c r="F137" i="12"/>
  <c r="H137" i="12"/>
  <c r="F136" i="12"/>
  <c r="H136" i="12"/>
  <c r="F218" i="12"/>
  <c r="H218" i="12"/>
  <c r="F19" i="12"/>
  <c r="H19" i="12"/>
  <c r="F122" i="12"/>
  <c r="H122" i="12"/>
  <c r="F164" i="12"/>
  <c r="H164" i="12"/>
  <c r="F165" i="12"/>
  <c r="H165" i="12"/>
  <c r="F158" i="12"/>
  <c r="H158" i="12"/>
  <c r="F166" i="12"/>
  <c r="H166" i="12"/>
  <c r="F235" i="12"/>
  <c r="H235" i="12"/>
  <c r="F167" i="12"/>
  <c r="H167" i="12"/>
  <c r="F4" i="12"/>
  <c r="H4" i="12"/>
  <c r="F108" i="12"/>
  <c r="H108" i="12"/>
  <c r="F145" i="12"/>
  <c r="H145" i="12"/>
  <c r="F194" i="12"/>
  <c r="H194" i="12"/>
  <c r="F23" i="12"/>
  <c r="H23" i="12"/>
  <c r="F173" i="12"/>
  <c r="H173" i="12"/>
  <c r="F214" i="12"/>
  <c r="H214" i="12"/>
  <c r="F143" i="12"/>
  <c r="H143" i="12"/>
  <c r="F112" i="12"/>
  <c r="H112" i="12"/>
  <c r="F175" i="12"/>
  <c r="H175" i="12"/>
  <c r="F161" i="12"/>
  <c r="H161" i="12"/>
  <c r="F5" i="12"/>
  <c r="H5" i="12"/>
  <c r="F157" i="12"/>
  <c r="H157" i="12"/>
  <c r="F152" i="12"/>
  <c r="H152" i="12"/>
  <c r="F153" i="12"/>
  <c r="H153" i="12"/>
  <c r="F133" i="12"/>
  <c r="H133" i="12"/>
  <c r="F183" i="12"/>
  <c r="H183" i="12"/>
  <c r="F3" i="12"/>
  <c r="H3" i="12"/>
  <c r="F160" i="12"/>
  <c r="H160" i="12"/>
  <c r="F178" i="12"/>
  <c r="H178" i="12"/>
  <c r="F184" i="12"/>
  <c r="H184" i="12"/>
  <c r="F188" i="12"/>
  <c r="H188" i="12"/>
  <c r="F174" i="12"/>
  <c r="H174" i="12"/>
  <c r="F156" i="12"/>
  <c r="H156" i="12"/>
  <c r="F169" i="12"/>
  <c r="H169" i="12"/>
  <c r="F190" i="12"/>
  <c r="H190" i="12"/>
  <c r="F193" i="12"/>
  <c r="H193" i="12"/>
  <c r="F182" i="12"/>
  <c r="H182" i="12"/>
  <c r="F171" i="12"/>
  <c r="H171" i="12"/>
  <c r="F170" i="12"/>
  <c r="H170" i="12"/>
  <c r="F177" i="12"/>
  <c r="H177" i="12"/>
  <c r="F12" i="12"/>
  <c r="H12" i="12"/>
  <c r="F132" i="12"/>
  <c r="H132" i="12"/>
  <c r="F197" i="12"/>
  <c r="H197" i="12"/>
  <c r="F168" i="12"/>
  <c r="H168" i="12"/>
  <c r="F198" i="12"/>
  <c r="H198" i="12"/>
  <c r="F199" i="12"/>
  <c r="H199" i="12"/>
  <c r="F200" i="12"/>
  <c r="H200" i="12"/>
  <c r="F179" i="12"/>
  <c r="H179" i="12"/>
  <c r="F176" i="12"/>
  <c r="H176" i="12"/>
  <c r="F232" i="12"/>
  <c r="H232" i="12"/>
  <c r="F209" i="12"/>
  <c r="H209" i="12"/>
  <c r="F180" i="12"/>
  <c r="H180" i="12"/>
  <c r="F207" i="12"/>
  <c r="H207" i="12"/>
  <c r="F195" i="12"/>
  <c r="H195" i="12"/>
  <c r="F201" i="12"/>
  <c r="H201" i="12"/>
  <c r="F191" i="12"/>
  <c r="H191" i="12"/>
  <c r="F206" i="12"/>
  <c r="H206" i="12"/>
  <c r="F210" i="12"/>
  <c r="H210" i="12"/>
  <c r="F204" i="12"/>
  <c r="H204" i="12"/>
  <c r="F221" i="12"/>
  <c r="H221" i="12"/>
  <c r="F222" i="12"/>
  <c r="H222" i="12"/>
  <c r="F223" i="12"/>
  <c r="H223" i="12"/>
  <c r="F215" i="12"/>
  <c r="H215" i="12"/>
  <c r="F219" i="12"/>
  <c r="H219" i="12"/>
  <c r="F139" i="12"/>
  <c r="H139" i="12"/>
  <c r="F217" i="12"/>
  <c r="H217" i="12"/>
  <c r="F227" i="12"/>
  <c r="H227" i="12"/>
  <c r="F228" i="12"/>
  <c r="H228" i="12"/>
  <c r="F216" i="12"/>
  <c r="H216" i="12"/>
  <c r="F229" i="12"/>
  <c r="H229" i="12"/>
  <c r="F226" i="12"/>
  <c r="H226" i="12"/>
  <c r="F230" i="12"/>
  <c r="H230" i="12"/>
  <c r="F233" i="12"/>
  <c r="H233" i="12"/>
  <c r="F238" i="12"/>
  <c r="H238" i="12"/>
  <c r="F239" i="12"/>
  <c r="H239" i="12"/>
  <c r="F240" i="12"/>
  <c r="H240" i="12"/>
  <c r="F244" i="12"/>
  <c r="H244" i="12"/>
  <c r="F241" i="12"/>
  <c r="H241" i="12"/>
  <c r="F242" i="12"/>
  <c r="H242" i="12"/>
  <c r="F248" i="12"/>
  <c r="H248" i="12"/>
  <c r="F246" i="12"/>
  <c r="H246" i="12"/>
  <c r="F243" i="12"/>
  <c r="H243" i="12"/>
  <c r="F250" i="12"/>
  <c r="H250" i="12"/>
  <c r="F249" i="12"/>
  <c r="H249" i="12"/>
  <c r="F189" i="12"/>
  <c r="H189" i="12"/>
  <c r="F251" i="12"/>
  <c r="H251" i="12"/>
  <c r="F236" i="12"/>
  <c r="H236" i="12"/>
  <c r="F252" i="12"/>
  <c r="H252" i="12"/>
  <c r="F253" i="12"/>
  <c r="H253" i="12"/>
  <c r="F256" i="12"/>
  <c r="H256" i="12"/>
  <c r="F255" i="12"/>
  <c r="H255" i="12"/>
  <c r="F259" i="12"/>
  <c r="H259" i="12"/>
  <c r="F258" i="12"/>
  <c r="H258" i="12"/>
  <c r="F260" i="12"/>
  <c r="H260" i="12"/>
  <c r="F261" i="12"/>
  <c r="H261" i="12"/>
  <c r="F263" i="12"/>
  <c r="H263" i="12"/>
  <c r="F13" i="12"/>
  <c r="H13" i="12"/>
  <c r="F110" i="12"/>
  <c r="H110" i="12"/>
  <c r="F14" i="12"/>
  <c r="H14" i="12"/>
  <c r="F105" i="12"/>
  <c r="H105" i="12"/>
  <c r="F18" i="12"/>
  <c r="H18" i="12"/>
  <c r="F220" i="12"/>
  <c r="H220" i="12"/>
  <c r="F159" i="12"/>
  <c r="H159" i="12"/>
  <c r="F234" i="12"/>
  <c r="H234" i="12"/>
  <c r="F22" i="12"/>
  <c r="H22" i="12"/>
  <c r="F225" i="12"/>
  <c r="H225" i="12"/>
  <c r="F121" i="12"/>
  <c r="H121" i="12"/>
  <c r="F20" i="12"/>
  <c r="H20" i="12"/>
  <c r="F127" i="12"/>
  <c r="H127" i="12"/>
  <c r="F76" i="12"/>
  <c r="G76" i="12"/>
  <c r="H76" i="12"/>
  <c r="F77" i="12"/>
  <c r="G77" i="12"/>
  <c r="H77" i="12"/>
  <c r="F79" i="12"/>
  <c r="G79" i="12"/>
  <c r="H79" i="12"/>
  <c r="F95" i="12"/>
  <c r="G95" i="12"/>
  <c r="H95" i="12"/>
  <c r="F97" i="12"/>
  <c r="G97" i="12"/>
  <c r="H97" i="12"/>
  <c r="F98" i="12"/>
  <c r="G98" i="12"/>
  <c r="H98" i="12"/>
  <c r="F99" i="12"/>
  <c r="G99" i="12"/>
  <c r="H99" i="12"/>
  <c r="F100" i="12"/>
  <c r="G100" i="12"/>
  <c r="H100" i="12"/>
  <c r="F101" i="12"/>
  <c r="G101" i="12"/>
  <c r="H101" i="12"/>
  <c r="F102" i="12"/>
  <c r="G102" i="12"/>
  <c r="H102" i="12"/>
  <c r="F103" i="12"/>
  <c r="G103" i="12"/>
  <c r="H103" i="12"/>
  <c r="F104" i="12"/>
  <c r="G104" i="12"/>
  <c r="H104" i="12"/>
  <c r="F208" i="12"/>
  <c r="H208" i="12"/>
  <c r="F114" i="12"/>
  <c r="H114" i="12"/>
  <c r="F149" i="12"/>
  <c r="H149" i="12"/>
  <c r="H237" i="12"/>
  <c r="F138" i="12"/>
  <c r="H138" i="12"/>
  <c r="F6" i="12"/>
  <c r="H6" i="12"/>
  <c r="F187" i="12"/>
  <c r="H187" i="12"/>
  <c r="F16" i="12"/>
  <c r="H16" i="12"/>
  <c r="F231" i="12"/>
  <c r="H231" i="12"/>
  <c r="F213" i="12"/>
  <c r="H213" i="12"/>
  <c r="F186" i="12"/>
  <c r="H186" i="12"/>
  <c r="F247" i="12"/>
  <c r="H247" i="12"/>
  <c r="F26" i="12"/>
  <c r="H26" i="12"/>
  <c r="F27" i="12"/>
  <c r="H27" i="12"/>
  <c r="F29" i="12"/>
  <c r="H29" i="12"/>
  <c r="F162" i="12"/>
  <c r="H162" i="12"/>
  <c r="F10" i="12"/>
  <c r="H10" i="12"/>
  <c r="F224" i="12"/>
  <c r="H224" i="12"/>
  <c r="F31" i="12"/>
  <c r="H31" i="12"/>
  <c r="F25" i="12"/>
  <c r="H25" i="12"/>
  <c r="F17" i="12"/>
  <c r="H17" i="12"/>
  <c r="F33" i="12"/>
  <c r="H33" i="12"/>
  <c r="F28" i="12"/>
  <c r="H28" i="12"/>
  <c r="F30" i="12"/>
  <c r="H30" i="12"/>
  <c r="F36" i="12"/>
  <c r="H36" i="12"/>
  <c r="F172" i="12"/>
  <c r="H172" i="12"/>
  <c r="F37" i="12"/>
  <c r="H37" i="12"/>
  <c r="F254" i="12"/>
  <c r="H254" i="12"/>
  <c r="F154" i="12"/>
  <c r="H154" i="12"/>
  <c r="F192" i="12"/>
  <c r="H192" i="12"/>
  <c r="F155" i="12"/>
  <c r="H155" i="12"/>
  <c r="F32" i="12"/>
  <c r="H32" i="12"/>
  <c r="F124" i="12"/>
  <c r="H124" i="12"/>
  <c r="F34" i="12"/>
  <c r="H34" i="12"/>
  <c r="F35" i="12"/>
  <c r="H35" i="12"/>
  <c r="F42" i="12"/>
  <c r="H42" i="12"/>
  <c r="F43" i="12"/>
  <c r="H43" i="12"/>
  <c r="F38" i="12"/>
  <c r="H38" i="12"/>
  <c r="F45" i="12"/>
  <c r="H45" i="12"/>
  <c r="F46" i="12"/>
  <c r="H46" i="12"/>
  <c r="F39" i="12"/>
  <c r="H39" i="12"/>
  <c r="F40" i="12"/>
  <c r="H40" i="12"/>
  <c r="F49" i="12"/>
  <c r="H49" i="12"/>
  <c r="F41" i="12"/>
  <c r="H41" i="12"/>
  <c r="F51" i="12"/>
  <c r="H51" i="12"/>
  <c r="F119" i="12"/>
  <c r="H119" i="12"/>
  <c r="F44" i="12"/>
  <c r="H44" i="12"/>
  <c r="F53" i="12"/>
  <c r="H53" i="12"/>
  <c r="F47" i="12"/>
  <c r="H47" i="12"/>
  <c r="F55" i="12"/>
  <c r="H55" i="12"/>
  <c r="F48" i="12"/>
  <c r="H48" i="12"/>
  <c r="F50" i="12"/>
  <c r="H50" i="12"/>
  <c r="F58" i="12"/>
  <c r="H58" i="12"/>
  <c r="F52" i="12"/>
  <c r="H52" i="12"/>
  <c r="F148" i="12"/>
  <c r="H148" i="12"/>
  <c r="F60" i="12"/>
  <c r="H60" i="12"/>
  <c r="F61" i="12"/>
  <c r="H61" i="12"/>
  <c r="F62" i="12"/>
  <c r="H62" i="12"/>
  <c r="F63" i="12"/>
  <c r="H63" i="12"/>
  <c r="F64" i="12"/>
  <c r="H64" i="12"/>
  <c r="F257" i="12"/>
  <c r="H257" i="12"/>
  <c r="F142" i="12"/>
  <c r="H142" i="12"/>
  <c r="F117" i="12"/>
  <c r="H117" i="12"/>
  <c r="F54" i="12"/>
  <c r="H54" i="12"/>
  <c r="F185" i="12"/>
  <c r="H185" i="12"/>
  <c r="F56" i="12"/>
  <c r="H56" i="12"/>
  <c r="F8" i="12"/>
  <c r="H8" i="12"/>
  <c r="F67" i="12"/>
  <c r="H67" i="12"/>
  <c r="F11" i="12"/>
  <c r="H11" i="12"/>
  <c r="F57" i="12"/>
  <c r="H57" i="12"/>
  <c r="F59" i="12"/>
  <c r="H59" i="12"/>
  <c r="F65" i="12"/>
  <c r="H65" i="12"/>
  <c r="F262" i="12"/>
  <c r="H262" i="12"/>
  <c r="F66" i="12"/>
  <c r="H66" i="12"/>
  <c r="F72" i="12"/>
  <c r="H72" i="12"/>
  <c r="F68" i="12"/>
  <c r="H68" i="12"/>
  <c r="F7" i="12"/>
  <c r="H7" i="12"/>
  <c r="F74" i="12"/>
  <c r="H74" i="12"/>
  <c r="F69" i="12"/>
  <c r="H69" i="12"/>
  <c r="F70" i="12"/>
  <c r="H70" i="12"/>
  <c r="F71" i="12"/>
  <c r="H71" i="12"/>
  <c r="F73" i="12"/>
  <c r="H73" i="12"/>
  <c r="F212" i="12"/>
  <c r="H212" i="12"/>
  <c r="F113" i="12"/>
  <c r="H113" i="12"/>
  <c r="F78" i="12"/>
  <c r="H78" i="12"/>
  <c r="F196" i="12"/>
  <c r="H196" i="12"/>
  <c r="F80" i="12"/>
  <c r="H80" i="12"/>
  <c r="F211" i="12"/>
  <c r="H211" i="12"/>
  <c r="F81" i="12"/>
  <c r="H81" i="12"/>
  <c r="F123" i="12"/>
  <c r="H123" i="12"/>
  <c r="F9" i="12"/>
  <c r="H9" i="12"/>
  <c r="F82" i="12"/>
  <c r="H82" i="12"/>
  <c r="F83" i="12"/>
  <c r="H83" i="12"/>
  <c r="F144" i="12"/>
  <c r="H144" i="12"/>
  <c r="F84" i="12"/>
  <c r="H84" i="12"/>
  <c r="F85" i="12"/>
  <c r="H85" i="12"/>
  <c r="F86" i="12"/>
  <c r="H86" i="12"/>
  <c r="F264" i="12"/>
  <c r="H264" i="12"/>
  <c r="F87" i="12"/>
  <c r="H87" i="12"/>
  <c r="F88" i="12"/>
  <c r="H88" i="12"/>
  <c r="F89" i="12"/>
  <c r="H89" i="12"/>
  <c r="F90" i="12"/>
  <c r="H90" i="12"/>
  <c r="F91" i="12"/>
  <c r="H91" i="12"/>
  <c r="F92" i="12"/>
  <c r="H92" i="12"/>
  <c r="F93" i="12"/>
  <c r="H93" i="12"/>
  <c r="F94" i="12"/>
  <c r="H94" i="12"/>
  <c r="F75" i="12"/>
  <c r="H75" i="12"/>
  <c r="F96" i="12"/>
  <c r="H96" i="12"/>
  <c r="H24" i="12"/>
  <c r="F24" i="12"/>
  <c r="E3" i="15"/>
  <c r="E4" i="15"/>
  <c r="D3" i="15"/>
  <c r="D4" i="15" s="1"/>
  <c r="C3" i="15"/>
  <c r="C4" i="15" s="1"/>
  <c r="N265" i="12"/>
  <c r="N266" i="12" s="1"/>
  <c r="O150" i="14"/>
  <c r="O151" i="14" s="1"/>
  <c r="O186" i="13"/>
  <c r="O187" i="13"/>
  <c r="G665" i="11"/>
  <c r="G664" i="11"/>
  <c r="G656" i="11"/>
  <c r="G655" i="11"/>
  <c r="G654" i="11"/>
  <c r="G646" i="11"/>
  <c r="G643" i="11"/>
  <c r="G640" i="11"/>
  <c r="G634" i="11"/>
  <c r="G623" i="11"/>
  <c r="G627" i="11"/>
  <c r="G622" i="11"/>
  <c r="G617" i="11"/>
  <c r="G616" i="11"/>
  <c r="G610" i="11"/>
  <c r="G599" i="11"/>
  <c r="G587" i="11"/>
  <c r="G598" i="11"/>
  <c r="G527" i="11"/>
  <c r="G547" i="11"/>
  <c r="G546" i="11"/>
  <c r="G392" i="11"/>
  <c r="G540" i="11"/>
  <c r="G537" i="11"/>
  <c r="G536" i="11"/>
  <c r="G524" i="11"/>
  <c r="G379" i="11"/>
  <c r="G457" i="11"/>
  <c r="G13" i="11"/>
  <c r="G573" i="11"/>
  <c r="G612" i="11"/>
  <c r="G427" i="11"/>
  <c r="G451" i="11"/>
  <c r="G466" i="11"/>
  <c r="G397" i="11"/>
  <c r="G363" i="11"/>
  <c r="G431" i="11"/>
  <c r="G353" i="11"/>
  <c r="G425" i="11"/>
  <c r="G423" i="11"/>
  <c r="G422" i="11"/>
  <c r="G445" i="11"/>
  <c r="G386" i="11"/>
  <c r="G374" i="11"/>
  <c r="G361" i="11"/>
  <c r="G36" i="11"/>
  <c r="G400" i="11"/>
  <c r="G408" i="11"/>
  <c r="G24" i="11"/>
  <c r="G5" i="11"/>
  <c r="G357" i="11"/>
  <c r="G269" i="11"/>
  <c r="G268" i="11"/>
  <c r="G223" i="11"/>
  <c r="G29" i="11"/>
  <c r="G191" i="11"/>
  <c r="G190" i="11"/>
  <c r="G189" i="11"/>
  <c r="G187" i="11"/>
  <c r="G185" i="11"/>
  <c r="G179" i="11"/>
  <c r="G509" i="11"/>
  <c r="G170" i="11"/>
  <c r="G169" i="11"/>
  <c r="G167" i="11"/>
  <c r="G165" i="11"/>
  <c r="G164" i="11"/>
  <c r="G159" i="11"/>
  <c r="G158" i="11"/>
  <c r="G157" i="11"/>
  <c r="G156" i="11"/>
  <c r="G153" i="11"/>
  <c r="G452" i="11"/>
  <c r="G149" i="11"/>
  <c r="G145" i="11"/>
  <c r="G585" i="11"/>
  <c r="G144" i="11"/>
  <c r="G137" i="11"/>
  <c r="G131" i="11"/>
  <c r="G130" i="11"/>
  <c r="G92" i="11"/>
  <c r="G468" i="11"/>
  <c r="G72" i="11"/>
  <c r="G69" i="11"/>
  <c r="G65" i="11"/>
  <c r="G348" i="11"/>
  <c r="G61" i="11"/>
  <c r="G56" i="11"/>
  <c r="G555" i="11"/>
  <c r="G359" i="11"/>
  <c r="G49" i="11"/>
  <c r="G47" i="11"/>
  <c r="G45" i="11"/>
  <c r="K429" i="10"/>
  <c r="H192" i="10"/>
  <c r="H194" i="10"/>
  <c r="H378" i="10"/>
  <c r="H365" i="10"/>
  <c r="H31" i="10"/>
  <c r="H360" i="10"/>
  <c r="H30" i="10"/>
  <c r="H189" i="10"/>
  <c r="H352" i="10"/>
  <c r="H357" i="10"/>
  <c r="H71" i="10"/>
  <c r="H448" i="10"/>
  <c r="H211" i="10"/>
  <c r="H316" i="10"/>
  <c r="H19" i="10"/>
  <c r="H261" i="10"/>
  <c r="H116" i="10"/>
  <c r="H473" i="10"/>
  <c r="H273" i="10"/>
  <c r="H217" i="10"/>
  <c r="H147" i="10"/>
  <c r="H224" i="10"/>
  <c r="H466" i="10"/>
  <c r="H291" i="10"/>
  <c r="H374" i="10"/>
  <c r="H146" i="10"/>
  <c r="H332" i="10"/>
  <c r="H218" i="10"/>
  <c r="H229" i="10"/>
  <c r="H434" i="10"/>
  <c r="H390" i="10"/>
  <c r="H399" i="10"/>
  <c r="H340" i="10"/>
  <c r="H471" i="10"/>
  <c r="H221" i="10"/>
  <c r="H460" i="10"/>
  <c r="H349" i="10"/>
  <c r="H247" i="10"/>
  <c r="H279" i="10"/>
  <c r="H488" i="10"/>
  <c r="H407" i="10"/>
  <c r="H359" i="10"/>
  <c r="H328" i="10"/>
  <c r="H64" i="10"/>
  <c r="H32" i="10"/>
  <c r="H228" i="10"/>
  <c r="H298" i="10"/>
  <c r="H252" i="10"/>
  <c r="H220" i="10"/>
  <c r="H154" i="10"/>
  <c r="H321" i="10"/>
  <c r="H259" i="10"/>
  <c r="H347" i="10"/>
  <c r="H22" i="10"/>
  <c r="H65" i="10"/>
  <c r="H276" i="10"/>
  <c r="H483" i="10"/>
  <c r="H311" i="10"/>
  <c r="H153" i="10"/>
  <c r="H8" i="10"/>
  <c r="H296" i="10"/>
  <c r="H59" i="10"/>
  <c r="H216" i="10"/>
  <c r="H467" i="10"/>
  <c r="H275" i="10"/>
  <c r="H225" i="10"/>
  <c r="H380" i="10"/>
  <c r="H33" i="10"/>
  <c r="H459" i="10"/>
  <c r="H263" i="10"/>
  <c r="H167" i="10"/>
  <c r="H265" i="10"/>
  <c r="H452" i="10"/>
  <c r="H351" i="10"/>
  <c r="H260" i="10"/>
  <c r="H302" i="10"/>
  <c r="H232" i="10"/>
  <c r="H243" i="10"/>
  <c r="H176" i="10"/>
  <c r="H115" i="10"/>
  <c r="H254" i="10"/>
  <c r="H419" i="10"/>
  <c r="H305" i="10"/>
  <c r="H257" i="10"/>
  <c r="H363" i="10"/>
  <c r="H199" i="10"/>
  <c r="H169" i="10"/>
  <c r="H282" i="10"/>
  <c r="H393" i="10"/>
  <c r="H223" i="10"/>
  <c r="H63" i="10"/>
  <c r="H322" i="10"/>
  <c r="H234" i="10"/>
  <c r="H255" i="10"/>
  <c r="H241" i="10"/>
  <c r="H262" i="10"/>
  <c r="H119" i="10"/>
  <c r="H303" i="10"/>
  <c r="H288" i="10"/>
  <c r="H342" i="10"/>
  <c r="H215" i="10"/>
  <c r="H171" i="10"/>
  <c r="H242" i="10"/>
  <c r="H12" i="10"/>
  <c r="H308" i="10"/>
  <c r="H213" i="10"/>
  <c r="H301" i="10"/>
  <c r="H464" i="10"/>
  <c r="H289" i="10"/>
  <c r="H463" i="10"/>
  <c r="H269" i="10"/>
  <c r="H70" i="10"/>
  <c r="H145" i="10"/>
  <c r="H144" i="10"/>
  <c r="H143" i="10"/>
  <c r="H142" i="10"/>
  <c r="H141" i="10"/>
  <c r="H443" i="10"/>
  <c r="H499" i="10"/>
  <c r="H140" i="10"/>
  <c r="H139" i="10"/>
  <c r="H138" i="10"/>
  <c r="H137" i="10"/>
  <c r="H136" i="10"/>
  <c r="H274" i="10"/>
  <c r="H401" i="10"/>
  <c r="H135" i="10"/>
  <c r="H134" i="10"/>
  <c r="H133" i="10"/>
  <c r="H132" i="10"/>
  <c r="H131" i="10"/>
  <c r="H130" i="10"/>
  <c r="H190" i="10"/>
  <c r="H129" i="10"/>
  <c r="H128" i="10"/>
  <c r="H127" i="10"/>
  <c r="H126" i="10"/>
  <c r="H125" i="10"/>
  <c r="H476" i="10"/>
  <c r="H475" i="10"/>
  <c r="H123" i="10"/>
  <c r="H162" i="10"/>
  <c r="H122" i="10"/>
  <c r="H121" i="10"/>
  <c r="H120" i="10"/>
  <c r="H183" i="10"/>
  <c r="H481" i="10"/>
  <c r="H507" i="10"/>
  <c r="H193" i="10"/>
  <c r="H118" i="10"/>
  <c r="H117" i="10"/>
  <c r="H202" i="10"/>
  <c r="H205" i="10"/>
  <c r="H299" i="10"/>
  <c r="H203" i="10"/>
  <c r="H245" i="10"/>
  <c r="H149" i="10"/>
  <c r="H168" i="10"/>
  <c r="H177" i="10"/>
  <c r="H457" i="10"/>
  <c r="H114" i="10"/>
  <c r="H113" i="10"/>
  <c r="H112" i="10"/>
  <c r="H334" i="10"/>
  <c r="H111" i="10"/>
  <c r="H110" i="10"/>
  <c r="H109" i="10"/>
  <c r="H108" i="10"/>
  <c r="H173" i="10"/>
  <c r="H337" i="10"/>
  <c r="H320" i="10"/>
  <c r="H186" i="10"/>
  <c r="H181" i="10"/>
  <c r="H28" i="10"/>
  <c r="H107" i="10"/>
  <c r="H106" i="10"/>
  <c r="H207" i="10"/>
  <c r="H7" i="10"/>
  <c r="H416" i="10"/>
  <c r="H381" i="10"/>
  <c r="H105" i="10"/>
  <c r="H104" i="10"/>
  <c r="H103" i="10"/>
  <c r="H368" i="10"/>
  <c r="H14" i="10"/>
  <c r="H285" i="10"/>
  <c r="H13" i="10"/>
  <c r="H514" i="10"/>
  <c r="H160" i="10"/>
  <c r="H385" i="10"/>
  <c r="H102" i="10"/>
  <c r="H101" i="10"/>
  <c r="H100" i="10"/>
  <c r="H99" i="10"/>
  <c r="H317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29" i="10"/>
  <c r="H78" i="10"/>
  <c r="H77" i="10"/>
  <c r="H76" i="10"/>
  <c r="H75" i="10"/>
  <c r="H74" i="10"/>
  <c r="H318" i="10"/>
  <c r="H26" i="10"/>
  <c r="H73" i="10"/>
  <c r="H72" i="10"/>
  <c r="H428" i="10"/>
  <c r="H69" i="10"/>
  <c r="H148" i="10"/>
  <c r="H68" i="10"/>
  <c r="H67" i="10"/>
  <c r="H155" i="10"/>
  <c r="H66" i="10"/>
  <c r="H304" i="10"/>
  <c r="H345" i="10"/>
  <c r="H62" i="10"/>
  <c r="H330" i="10"/>
  <c r="H161" i="10"/>
  <c r="H61" i="10"/>
  <c r="H60" i="10"/>
  <c r="H362" i="10"/>
  <c r="H446" i="10"/>
  <c r="H445" i="10"/>
  <c r="H249" i="10"/>
  <c r="H248" i="10"/>
  <c r="H56" i="10"/>
  <c r="H54" i="10"/>
  <c r="H456" i="10"/>
  <c r="H353" i="10"/>
  <c r="H40" i="10"/>
  <c r="H38" i="10"/>
  <c r="H53" i="10"/>
  <c r="H238" i="10"/>
  <c r="H227" i="10"/>
  <c r="H237" i="10"/>
  <c r="H52" i="10"/>
  <c r="H268" i="10"/>
  <c r="H517" i="10"/>
  <c r="H515" i="10"/>
  <c r="H518" i="10"/>
  <c r="H51" i="10"/>
  <c r="H370" i="10"/>
  <c r="H50" i="10"/>
  <c r="H23" i="10"/>
  <c r="H49" i="10"/>
  <c r="H343" i="10"/>
  <c r="H256" i="10"/>
  <c r="H48" i="10"/>
  <c r="H47" i="10"/>
  <c r="H358" i="10"/>
  <c r="H46" i="10"/>
  <c r="H402" i="10"/>
  <c r="H36" i="10"/>
  <c r="H27" i="10"/>
  <c r="H418" i="10"/>
  <c r="H45" i="10"/>
  <c r="H375" i="10"/>
  <c r="H44" i="10"/>
  <c r="H484" i="10"/>
  <c r="H43" i="10"/>
  <c r="H331" i="10"/>
  <c r="H152" i="10"/>
  <c r="H39" i="10"/>
  <c r="H42" i="10"/>
  <c r="H41" i="10"/>
  <c r="I289" i="10"/>
  <c r="K289" i="10" s="1"/>
  <c r="I70" i="10"/>
  <c r="K70" i="10" s="1"/>
  <c r="H35" i="10"/>
  <c r="G75" i="5"/>
  <c r="I75" i="5" s="1"/>
  <c r="G569" i="5"/>
  <c r="I569" i="5" s="1"/>
  <c r="G528" i="5"/>
  <c r="I528" i="5" s="1"/>
  <c r="G260" i="5"/>
  <c r="I260" i="5" s="1"/>
  <c r="K260" i="5" s="1"/>
  <c r="G632" i="5"/>
  <c r="I632" i="5" s="1"/>
  <c r="K261" i="5"/>
  <c r="K270" i="11" s="1"/>
  <c r="K262" i="5"/>
  <c r="K263" i="5"/>
  <c r="I79" i="12" s="1"/>
  <c r="K264" i="5"/>
  <c r="K273" i="11" s="1"/>
  <c r="K265" i="5"/>
  <c r="K274" i="11" s="1"/>
  <c r="K9" i="5"/>
  <c r="K266" i="5"/>
  <c r="K275" i="11" s="1"/>
  <c r="K267" i="5"/>
  <c r="K276" i="11" s="1"/>
  <c r="K268" i="5"/>
  <c r="K526" i="5"/>
  <c r="K269" i="5"/>
  <c r="K270" i="5"/>
  <c r="K271" i="5"/>
  <c r="I103" i="12" s="1"/>
  <c r="K279" i="5"/>
  <c r="K272" i="5"/>
  <c r="K282" i="11" s="1"/>
  <c r="K273" i="5"/>
  <c r="K283" i="11" s="1"/>
  <c r="K274" i="5"/>
  <c r="K284" i="11" s="1"/>
  <c r="G622" i="5"/>
  <c r="I622" i="5" s="1"/>
  <c r="G164" i="5"/>
  <c r="I164" i="5" s="1"/>
  <c r="G581" i="5"/>
  <c r="I581" i="5" s="1"/>
  <c r="G192" i="5"/>
  <c r="I192" i="5" s="1"/>
  <c r="G519" i="5"/>
  <c r="I519" i="5" s="1"/>
  <c r="G533" i="5"/>
  <c r="I533" i="5" s="1"/>
  <c r="G322" i="5"/>
  <c r="I322" i="5" s="1"/>
  <c r="G492" i="5"/>
  <c r="I492" i="5" s="1"/>
  <c r="G312" i="5"/>
  <c r="I312" i="5" s="1"/>
  <c r="G167" i="5"/>
  <c r="I167" i="5" s="1"/>
  <c r="I187" i="10"/>
  <c r="K187" i="10" s="1"/>
  <c r="I511" i="10"/>
  <c r="K511" i="10" s="1"/>
  <c r="G142" i="10"/>
  <c r="G141" i="10"/>
  <c r="I403" i="10"/>
  <c r="K403" i="10" s="1"/>
  <c r="I520" i="10"/>
  <c r="K520" i="10" s="1"/>
  <c r="I240" i="10"/>
  <c r="K240" i="10" s="1"/>
  <c r="I150" i="10"/>
  <c r="K150" i="10" s="1"/>
  <c r="I151" i="10"/>
  <c r="K151" i="10" s="1"/>
  <c r="I504" i="10"/>
  <c r="K504" i="10" s="1"/>
  <c r="I508" i="10"/>
  <c r="K508" i="10" s="1"/>
  <c r="I454" i="10"/>
  <c r="K454" i="10" s="1"/>
  <c r="I226" i="10"/>
  <c r="K226" i="10" s="1"/>
  <c r="I164" i="10"/>
  <c r="K164" i="10" s="1"/>
  <c r="I513" i="10"/>
  <c r="K513" i="10" s="1"/>
  <c r="I222" i="10"/>
  <c r="K222" i="10" s="1"/>
  <c r="I270" i="10"/>
  <c r="K270" i="10" s="1"/>
  <c r="I491" i="10"/>
  <c r="K491" i="10" s="1"/>
  <c r="I501" i="10"/>
  <c r="K501" i="10" s="1"/>
  <c r="I482" i="10"/>
  <c r="K482" i="10" s="1"/>
  <c r="I180" i="10"/>
  <c r="K180" i="10" s="1"/>
  <c r="I494" i="10"/>
  <c r="K494" i="10" s="1"/>
  <c r="I510" i="10"/>
  <c r="K510" i="10" s="1"/>
  <c r="I348" i="10"/>
  <c r="K348" i="10" s="1"/>
  <c r="I124" i="10"/>
  <c r="K124" i="10" s="1"/>
  <c r="I465" i="10"/>
  <c r="K465" i="10" s="1"/>
  <c r="I437" i="10"/>
  <c r="K437" i="10" s="1"/>
  <c r="I15" i="10"/>
  <c r="K15" i="10" s="1"/>
  <c r="I37" i="10"/>
  <c r="K37" i="10" s="1"/>
  <c r="I500" i="10"/>
  <c r="K500" i="10" s="1"/>
  <c r="I502" i="10"/>
  <c r="K502" i="10" s="1"/>
  <c r="I477" i="10"/>
  <c r="K477" i="10" s="1"/>
  <c r="I487" i="10"/>
  <c r="K487" i="10" s="1"/>
  <c r="I355" i="10"/>
  <c r="K355" i="10" s="1"/>
  <c r="I184" i="10"/>
  <c r="K184" i="10" s="1"/>
  <c r="I519" i="10"/>
  <c r="K519" i="10" s="1"/>
  <c r="I210" i="10"/>
  <c r="K210" i="10" s="1"/>
  <c r="G399" i="10"/>
  <c r="G509" i="10"/>
  <c r="I509" i="10" s="1"/>
  <c r="K509" i="10" s="1"/>
  <c r="G118" i="10"/>
  <c r="I387" i="10"/>
  <c r="K387" i="10" s="1"/>
  <c r="I185" i="10"/>
  <c r="K185" i="10" s="1"/>
  <c r="I478" i="10"/>
  <c r="K478" i="10" s="1"/>
  <c r="I350" i="10"/>
  <c r="K350" i="10" s="1"/>
  <c r="G202" i="10"/>
  <c r="I486" i="10"/>
  <c r="K486" i="10" s="1"/>
  <c r="I209" i="10"/>
  <c r="K209" i="10" s="1"/>
  <c r="I394" i="10"/>
  <c r="K394" i="10" s="1"/>
  <c r="I408" i="10"/>
  <c r="K408" i="10" s="1"/>
  <c r="I178" i="10"/>
  <c r="K178" i="10" s="1"/>
  <c r="I294" i="10"/>
  <c r="K294" i="10" s="1"/>
  <c r="I438" i="10"/>
  <c r="K438" i="10" s="1"/>
  <c r="I338" i="10"/>
  <c r="K338" i="10" s="1"/>
  <c r="I309" i="10"/>
  <c r="K309" i="10" s="1"/>
  <c r="I182" i="10"/>
  <c r="K182" i="10" s="1"/>
  <c r="I479" i="10"/>
  <c r="K479" i="10" s="1"/>
  <c r="I397" i="10"/>
  <c r="K397" i="10" s="1"/>
  <c r="I235" i="10"/>
  <c r="K235" i="10" s="1"/>
  <c r="G149" i="10"/>
  <c r="G179" i="10"/>
  <c r="I179" i="10" s="1"/>
  <c r="K179" i="10" s="1"/>
  <c r="I492" i="10"/>
  <c r="K492" i="10" s="1"/>
  <c r="I204" i="10"/>
  <c r="K204" i="10" s="1"/>
  <c r="G300" i="10"/>
  <c r="I300" i="10" s="1"/>
  <c r="K300" i="10" s="1"/>
  <c r="I427" i="10"/>
  <c r="K427" i="10" s="1"/>
  <c r="I490" i="10"/>
  <c r="K490" i="10" s="1"/>
  <c r="I9" i="10"/>
  <c r="K9" i="10" s="1"/>
  <c r="I198" i="10"/>
  <c r="K198" i="10" s="1"/>
  <c r="I415" i="10"/>
  <c r="K415" i="10" s="1"/>
  <c r="I512" i="10"/>
  <c r="K512" i="10" s="1"/>
  <c r="I197" i="10"/>
  <c r="K197" i="10" s="1"/>
  <c r="I11" i="10"/>
  <c r="K11" i="10" s="1"/>
  <c r="I239" i="10"/>
  <c r="K239" i="10" s="1"/>
  <c r="G111" i="10"/>
  <c r="G110" i="10"/>
  <c r="G231" i="10"/>
  <c r="I231" i="10" s="1"/>
  <c r="K231" i="10" s="1"/>
  <c r="I3" i="10"/>
  <c r="K3" i="10" s="1"/>
  <c r="G109" i="10"/>
  <c r="I451" i="10"/>
  <c r="K451" i="10" s="1"/>
  <c r="I250" i="10"/>
  <c r="K250" i="10" s="1"/>
  <c r="I5" i="10"/>
  <c r="K5" i="10" s="1"/>
  <c r="I4" i="10"/>
  <c r="K4" i="10" s="1"/>
  <c r="I392" i="10"/>
  <c r="K392" i="10" s="1"/>
  <c r="I191" i="10"/>
  <c r="K191" i="10" s="1"/>
  <c r="G337" i="10"/>
  <c r="I480" i="10"/>
  <c r="K480" i="10" s="1"/>
  <c r="I336" i="10"/>
  <c r="K336" i="10" s="1"/>
  <c r="I200" i="10"/>
  <c r="K200" i="10" s="1"/>
  <c r="I306" i="10"/>
  <c r="K306" i="10" s="1"/>
  <c r="I313" i="10"/>
  <c r="K313" i="10" s="1"/>
  <c r="I188" i="10"/>
  <c r="K188" i="10" s="1"/>
  <c r="I485" i="10"/>
  <c r="K485" i="10" s="1"/>
  <c r="I326" i="10"/>
  <c r="K326" i="10" s="1"/>
  <c r="I258" i="10"/>
  <c r="K258" i="10" s="1"/>
  <c r="I287" i="10"/>
  <c r="K287" i="10" s="1"/>
  <c r="G346" i="10"/>
  <c r="I346" i="10" s="1"/>
  <c r="K346" i="10" s="1"/>
  <c r="I506" i="10"/>
  <c r="K506" i="10" s="1"/>
  <c r="G176" i="10"/>
  <c r="G206" i="10"/>
  <c r="I206" i="10" s="1"/>
  <c r="K206" i="10" s="1"/>
  <c r="G416" i="10"/>
  <c r="I310" i="10"/>
  <c r="K310" i="10" s="1"/>
  <c r="I325" i="10"/>
  <c r="K325" i="10" s="1"/>
  <c r="I20" i="10"/>
  <c r="K20" i="10" s="1"/>
  <c r="I435" i="10"/>
  <c r="K435" i="10" s="1"/>
  <c r="G33" i="10"/>
  <c r="G391" i="10"/>
  <c r="I391" i="10" s="1"/>
  <c r="K391" i="10" s="1"/>
  <c r="I290" i="10"/>
  <c r="K290" i="10" s="1"/>
  <c r="G105" i="10"/>
  <c r="I10" i="10"/>
  <c r="K10" i="10" s="1"/>
  <c r="I431" i="10"/>
  <c r="K431" i="10" s="1"/>
  <c r="I208" i="10"/>
  <c r="K208" i="10" s="1"/>
  <c r="I413" i="10"/>
  <c r="K413" i="10" s="1"/>
  <c r="I6" i="10"/>
  <c r="K6" i="10" s="1"/>
  <c r="I447" i="10"/>
  <c r="K447" i="10" s="1"/>
  <c r="I307" i="10"/>
  <c r="K307" i="10" s="1"/>
  <c r="I292" i="10"/>
  <c r="K292" i="10" s="1"/>
  <c r="I450" i="10"/>
  <c r="K450" i="10" s="1"/>
  <c r="I24" i="10"/>
  <c r="K24" i="10" s="1"/>
  <c r="G166" i="10"/>
  <c r="I166" i="10" s="1"/>
  <c r="K166" i="10" s="1"/>
  <c r="I157" i="10"/>
  <c r="K157" i="10" s="1"/>
  <c r="I284" i="10"/>
  <c r="K284" i="10" s="1"/>
  <c r="I461" i="10"/>
  <c r="K461" i="10" s="1"/>
  <c r="I219" i="10"/>
  <c r="K219" i="10" s="1"/>
  <c r="I286" i="10"/>
  <c r="K286" i="10" s="1"/>
  <c r="I281" i="10"/>
  <c r="K281" i="10" s="1"/>
  <c r="I410" i="10"/>
  <c r="K410" i="10" s="1"/>
  <c r="I470" i="10"/>
  <c r="K470" i="10" s="1"/>
  <c r="I165" i="10"/>
  <c r="K165" i="10" s="1"/>
  <c r="I440" i="10"/>
  <c r="K440" i="10" s="1"/>
  <c r="I432" i="10"/>
  <c r="K432" i="10" s="1"/>
  <c r="I159" i="10"/>
  <c r="K159" i="10" s="1"/>
  <c r="I521" i="10"/>
  <c r="K521" i="10" s="1"/>
  <c r="I382" i="10"/>
  <c r="K382" i="10" s="1"/>
  <c r="I525" i="10"/>
  <c r="K525" i="10" s="1"/>
  <c r="I526" i="10"/>
  <c r="K526" i="10" s="1"/>
  <c r="I503" i="10"/>
  <c r="K503" i="10" s="1"/>
  <c r="G377" i="10"/>
  <c r="I377" i="10"/>
  <c r="K377" i="10" s="1"/>
  <c r="G317" i="10"/>
  <c r="G246" i="10"/>
  <c r="I246" i="10" s="1"/>
  <c r="K246" i="10" s="1"/>
  <c r="I376" i="10"/>
  <c r="K376" i="10" s="1"/>
  <c r="I369" i="10"/>
  <c r="K369" i="10" s="1"/>
  <c r="I395" i="10"/>
  <c r="K395" i="10" s="1"/>
  <c r="I174" i="10"/>
  <c r="K174" i="10" s="1"/>
  <c r="I422" i="10"/>
  <c r="K422" i="10" s="1"/>
  <c r="I489" i="10"/>
  <c r="K489" i="10" s="1"/>
  <c r="I417" i="10"/>
  <c r="K417" i="10" s="1"/>
  <c r="I356" i="10"/>
  <c r="K356" i="10" s="1"/>
  <c r="I409" i="10"/>
  <c r="K409" i="10" s="1"/>
  <c r="I367" i="10"/>
  <c r="K367" i="10" s="1"/>
  <c r="G232" i="10"/>
  <c r="I404" i="10"/>
  <c r="K404" i="10" s="1"/>
  <c r="I329" i="10"/>
  <c r="K329" i="10" s="1"/>
  <c r="I339" i="10"/>
  <c r="K339" i="10" s="1"/>
  <c r="I196" i="10"/>
  <c r="K196" i="10" s="1"/>
  <c r="G72" i="10"/>
  <c r="I278" i="10"/>
  <c r="K278" i="10" s="1"/>
  <c r="I271" i="10"/>
  <c r="K271" i="10" s="1"/>
  <c r="I505" i="10"/>
  <c r="K505" i="10" s="1"/>
  <c r="I371" i="10"/>
  <c r="K371" i="10" s="1"/>
  <c r="I233" i="10"/>
  <c r="K233" i="10" s="1"/>
  <c r="I458" i="10"/>
  <c r="K458" i="10" s="1"/>
  <c r="I283" i="10"/>
  <c r="K283" i="10" s="1"/>
  <c r="I230" i="10"/>
  <c r="K230" i="10" s="1"/>
  <c r="I333" i="10"/>
  <c r="K333" i="10" s="1"/>
  <c r="I201" i="10"/>
  <c r="K201" i="10" s="1"/>
  <c r="I264" i="10"/>
  <c r="K264" i="10" s="1"/>
  <c r="I433" i="10"/>
  <c r="K433" i="10" s="1"/>
  <c r="I400" i="10"/>
  <c r="K400" i="10" s="1"/>
  <c r="I244" i="10"/>
  <c r="K244" i="10" s="1"/>
  <c r="I156" i="10"/>
  <c r="K156" i="10" s="1"/>
  <c r="I18" i="10"/>
  <c r="K18" i="10" s="1"/>
  <c r="I170" i="10"/>
  <c r="K170" i="10" s="1"/>
  <c r="I319" i="10"/>
  <c r="K319" i="10" s="1"/>
  <c r="I389" i="10"/>
  <c r="K389" i="10" s="1"/>
  <c r="I324" i="10"/>
  <c r="K324" i="10" s="1"/>
  <c r="I251" i="10"/>
  <c r="K251" i="10" s="1"/>
  <c r="I341" i="10"/>
  <c r="K341" i="10" s="1"/>
  <c r="I361" i="10"/>
  <c r="K361" i="10" s="1"/>
  <c r="I354" i="10"/>
  <c r="K354" i="10" s="1"/>
  <c r="I522" i="10"/>
  <c r="K522" i="10" s="1"/>
  <c r="I516" i="10"/>
  <c r="K516" i="10" s="1"/>
  <c r="I495" i="10"/>
  <c r="K495" i="10" s="1"/>
  <c r="I523" i="10"/>
  <c r="K523" i="10" s="1"/>
  <c r="I55" i="10"/>
  <c r="K55" i="10" s="1"/>
  <c r="G398" i="10"/>
  <c r="I398" i="10" s="1"/>
  <c r="K398" i="10" s="1"/>
  <c r="G406" i="10"/>
  <c r="I406" i="10" s="1"/>
  <c r="K406" i="10" s="1"/>
  <c r="I444" i="10"/>
  <c r="K444" i="10" s="1"/>
  <c r="G388" i="10"/>
  <c r="I388" i="10" s="1"/>
  <c r="K388" i="10" s="1"/>
  <c r="G496" i="10"/>
  <c r="I496" i="10" s="1"/>
  <c r="K496" i="10" s="1"/>
  <c r="I16" i="10"/>
  <c r="K16" i="10" s="1"/>
  <c r="G53" i="10"/>
  <c r="I158" i="10"/>
  <c r="K158" i="10" s="1"/>
  <c r="G237" i="10"/>
  <c r="G52" i="10"/>
  <c r="G386" i="10"/>
  <c r="I386" i="10" s="1"/>
  <c r="K386" i="10" s="1"/>
  <c r="G17" i="10"/>
  <c r="I17" i="10" s="1"/>
  <c r="K17" i="10" s="1"/>
  <c r="I327" i="10"/>
  <c r="K327" i="10" s="1"/>
  <c r="I280" i="10"/>
  <c r="K280" i="10" s="1"/>
  <c r="I383" i="10"/>
  <c r="K383" i="10" s="1"/>
  <c r="I272" i="10"/>
  <c r="K272" i="10" s="1"/>
  <c r="I396" i="10"/>
  <c r="K396" i="10" s="1"/>
  <c r="I474" i="10"/>
  <c r="K474" i="10" s="1"/>
  <c r="G23" i="10"/>
  <c r="G497" i="10"/>
  <c r="G372" i="10"/>
  <c r="I372" i="10" s="1"/>
  <c r="K372" i="10" s="1"/>
  <c r="I493" i="10"/>
  <c r="K493" i="10" s="1"/>
  <c r="G256" i="10"/>
  <c r="I323" i="10"/>
  <c r="K323" i="10" s="1"/>
  <c r="I236" i="10"/>
  <c r="K236" i="10" s="1"/>
  <c r="I442" i="10"/>
  <c r="K442" i="10" s="1"/>
  <c r="G414" i="10"/>
  <c r="I414" i="10" s="1"/>
  <c r="K414" i="10" s="1"/>
  <c r="G424" i="10"/>
  <c r="I424" i="10" s="1"/>
  <c r="K424" i="10" s="1"/>
  <c r="G47" i="10"/>
  <c r="G462" i="10"/>
  <c r="I462" i="10" s="1"/>
  <c r="K462" i="10" s="1"/>
  <c r="G212" i="10"/>
  <c r="I212" i="10" s="1"/>
  <c r="K212" i="10" s="1"/>
  <c r="I469" i="10"/>
  <c r="K469" i="10" s="1"/>
  <c r="I315" i="10"/>
  <c r="K315" i="10" s="1"/>
  <c r="I441" i="10"/>
  <c r="K441" i="10" s="1"/>
  <c r="I295" i="10"/>
  <c r="K295" i="10" s="1"/>
  <c r="I455" i="10"/>
  <c r="K455" i="10" s="1"/>
  <c r="I421" i="10"/>
  <c r="K421" i="10" s="1"/>
  <c r="I335" i="10"/>
  <c r="K335" i="10" s="1"/>
  <c r="G322" i="10"/>
  <c r="I379" i="10"/>
  <c r="K379" i="10" s="1"/>
  <c r="I373" i="10"/>
  <c r="K373" i="10" s="1"/>
  <c r="I344" i="10"/>
  <c r="K344" i="10" s="1"/>
  <c r="I524" i="10"/>
  <c r="K524" i="10" s="1"/>
  <c r="G45" i="10"/>
  <c r="G265" i="10"/>
  <c r="I214" i="10"/>
  <c r="K214" i="10" s="1"/>
  <c r="G152" i="10"/>
  <c r="G215" i="10"/>
  <c r="G39" i="10"/>
  <c r="G34" i="10"/>
  <c r="I34" i="10" s="1"/>
  <c r="K34" i="10" s="1"/>
  <c r="G21" i="10"/>
  <c r="I21" i="10" s="1"/>
  <c r="K21" i="10" s="1"/>
  <c r="I436" i="10"/>
  <c r="K436" i="10" s="1"/>
  <c r="G253" i="10"/>
  <c r="I253" i="10" s="1"/>
  <c r="K253" i="10" s="1"/>
  <c r="I453" i="10"/>
  <c r="K453" i="10" s="1"/>
  <c r="G147" i="10"/>
  <c r="I312" i="10"/>
  <c r="K312" i="10" s="1"/>
  <c r="G412" i="10"/>
  <c r="I412" i="10" s="1"/>
  <c r="K412" i="10" s="1"/>
  <c r="G360" i="10"/>
  <c r="G366" i="10"/>
  <c r="I366" i="10" s="1"/>
  <c r="K366" i="10" s="1"/>
  <c r="G242" i="10"/>
  <c r="I384" i="10"/>
  <c r="K384" i="10" s="1"/>
  <c r="I498" i="10"/>
  <c r="K498" i="10" s="1"/>
  <c r="G472" i="10"/>
  <c r="I472" i="10" s="1"/>
  <c r="K472" i="10" s="1"/>
  <c r="I439" i="10"/>
  <c r="K439" i="10" s="1"/>
  <c r="I405" i="10"/>
  <c r="K405" i="10" s="1"/>
  <c r="I411" i="10"/>
  <c r="K411" i="10" s="1"/>
  <c r="G468" i="10"/>
  <c r="I468" i="10" s="1"/>
  <c r="K468" i="10" s="1"/>
  <c r="I293" i="10"/>
  <c r="K293" i="10" s="1"/>
  <c r="I297" i="10"/>
  <c r="K297" i="10" s="1"/>
  <c r="I425" i="10"/>
  <c r="K425" i="10" s="1"/>
  <c r="G267" i="10"/>
  <c r="I267" i="10" s="1"/>
  <c r="K267" i="10" s="1"/>
  <c r="I195" i="10"/>
  <c r="K195" i="10" s="1"/>
  <c r="I449" i="10"/>
  <c r="K449" i="10" s="1"/>
  <c r="I163" i="10"/>
  <c r="K163" i="10" s="1"/>
  <c r="G35" i="10"/>
  <c r="I277" i="10"/>
  <c r="K277" i="10" s="1"/>
  <c r="I266" i="10"/>
  <c r="K266" i="10" s="1"/>
  <c r="G175" i="10"/>
  <c r="G426" i="10"/>
  <c r="I426" i="10" s="1"/>
  <c r="K426" i="10" s="1"/>
  <c r="I25" i="10"/>
  <c r="K25" i="10" s="1"/>
  <c r="G314" i="10"/>
  <c r="I314" i="10" s="1"/>
  <c r="K314" i="10" s="1"/>
  <c r="G336" i="5"/>
  <c r="I336" i="5" s="1"/>
  <c r="I458" i="5"/>
  <c r="G390" i="5"/>
  <c r="I390" i="5" s="1"/>
  <c r="G54" i="5"/>
  <c r="I54" i="5" s="1"/>
  <c r="G352" i="5"/>
  <c r="I352" i="5" s="1"/>
  <c r="G53" i="5"/>
  <c r="I53" i="5" s="1"/>
  <c r="G39" i="5"/>
  <c r="I39" i="5" s="1"/>
  <c r="G20" i="5"/>
  <c r="I20" i="5" s="1"/>
  <c r="G307" i="5"/>
  <c r="I307" i="5" s="1"/>
  <c r="G50" i="5"/>
  <c r="I50" i="5" s="1"/>
  <c r="G557" i="5"/>
  <c r="I557" i="5" s="1"/>
  <c r="G495" i="5"/>
  <c r="G507" i="5"/>
  <c r="I507" i="5" s="1"/>
  <c r="G162" i="5"/>
  <c r="I162" i="5" s="1"/>
  <c r="G572" i="5"/>
  <c r="I572" i="5" s="1"/>
  <c r="G308" i="5"/>
  <c r="G513" i="5"/>
  <c r="I513" i="5" s="1"/>
  <c r="G659" i="5"/>
  <c r="I659" i="5" s="1"/>
  <c r="G408" i="5"/>
  <c r="I408" i="5" s="1"/>
  <c r="G447" i="5"/>
  <c r="I447" i="5" s="1"/>
  <c r="I372" i="5"/>
  <c r="I25" i="5"/>
  <c r="I573" i="5"/>
  <c r="I444" i="5"/>
  <c r="I417" i="5"/>
  <c r="I314" i="5"/>
  <c r="I401" i="5"/>
  <c r="G40" i="5"/>
  <c r="I40" i="5" s="1"/>
  <c r="I369" i="5"/>
  <c r="I48" i="5"/>
  <c r="I362" i="5"/>
  <c r="I597" i="5"/>
  <c r="I318" i="5"/>
  <c r="G427" i="5"/>
  <c r="I427" i="5" s="1"/>
  <c r="I409" i="5"/>
  <c r="K49" i="5"/>
  <c r="K46" i="11" s="1"/>
  <c r="I576" i="5"/>
  <c r="I425" i="5"/>
  <c r="I493" i="5"/>
  <c r="I422" i="5"/>
  <c r="G611" i="5"/>
  <c r="I611" i="5" s="1"/>
  <c r="I505" i="5"/>
  <c r="I381" i="5"/>
  <c r="I555" i="5"/>
  <c r="I522" i="5"/>
  <c r="G310" i="5"/>
  <c r="I310" i="5" s="1"/>
  <c r="I564" i="5"/>
  <c r="I588" i="5"/>
  <c r="G617" i="5"/>
  <c r="I617" i="5" s="1"/>
  <c r="I646" i="5"/>
  <c r="I36" i="5"/>
  <c r="I516" i="5"/>
  <c r="I333" i="5"/>
  <c r="G30" i="5"/>
  <c r="I30" i="5" s="1"/>
  <c r="I455" i="5"/>
  <c r="I594" i="5"/>
  <c r="I610" i="5"/>
  <c r="G376" i="5"/>
  <c r="I376" i="5" s="1"/>
  <c r="I51" i="5"/>
  <c r="I471" i="5"/>
  <c r="I52" i="5"/>
  <c r="I638" i="5"/>
  <c r="I604" i="5"/>
  <c r="I55" i="5"/>
  <c r="I56" i="5"/>
  <c r="I57" i="5"/>
  <c r="I351" i="5"/>
  <c r="I421" i="5"/>
  <c r="I58" i="5"/>
  <c r="I59" i="5"/>
  <c r="I60" i="5"/>
  <c r="I583" i="5"/>
  <c r="I634" i="5"/>
  <c r="I61" i="5"/>
  <c r="I339" i="5"/>
  <c r="G62" i="5"/>
  <c r="I62" i="5" s="1"/>
  <c r="I400" i="5"/>
  <c r="I498" i="5"/>
  <c r="I377" i="5"/>
  <c r="I541" i="5"/>
  <c r="I467" i="5"/>
  <c r="I383" i="5"/>
  <c r="I536" i="5"/>
  <c r="G452" i="5"/>
  <c r="I452" i="5" s="1"/>
  <c r="I592" i="5"/>
  <c r="I490" i="5"/>
  <c r="I577" i="5"/>
  <c r="I602" i="5"/>
  <c r="I463" i="5"/>
  <c r="I432" i="5"/>
  <c r="I361" i="5"/>
  <c r="I366" i="5"/>
  <c r="I63" i="5"/>
  <c r="K64" i="5"/>
  <c r="K58" i="11" s="1"/>
  <c r="I27" i="5"/>
  <c r="I47" i="5"/>
  <c r="I487" i="5"/>
  <c r="I374" i="5"/>
  <c r="I34" i="5"/>
  <c r="I21" i="5"/>
  <c r="I347" i="5"/>
  <c r="I614" i="5"/>
  <c r="I595" i="5"/>
  <c r="I65" i="5"/>
  <c r="I66" i="5"/>
  <c r="I453" i="5"/>
  <c r="I494" i="5"/>
  <c r="G67" i="5"/>
  <c r="I67" i="5" s="1"/>
  <c r="G68" i="5"/>
  <c r="I68" i="5" s="1"/>
  <c r="G350" i="5"/>
  <c r="I350" i="5" s="1"/>
  <c r="G406" i="5"/>
  <c r="I406" i="5" s="1"/>
  <c r="I337" i="5"/>
  <c r="I69" i="5"/>
  <c r="I354" i="5"/>
  <c r="I29" i="5"/>
  <c r="G24" i="5"/>
  <c r="I24" i="5" s="1"/>
  <c r="I436" i="5"/>
  <c r="I482" i="5"/>
  <c r="G645" i="5"/>
  <c r="I645" i="5" s="1"/>
  <c r="I70" i="5"/>
  <c r="G284" i="5"/>
  <c r="I284" i="5" s="1"/>
  <c r="G22" i="5"/>
  <c r="I22" i="5" s="1"/>
  <c r="I531" i="5"/>
  <c r="I413" i="5"/>
  <c r="I387" i="5"/>
  <c r="I571" i="5"/>
  <c r="I364" i="5"/>
  <c r="I43" i="5"/>
  <c r="I71" i="5"/>
  <c r="G16" i="5"/>
  <c r="I16" i="5" s="1"/>
  <c r="I633" i="5"/>
  <c r="G593" i="5"/>
  <c r="I593" i="5" s="1"/>
  <c r="I419" i="5"/>
  <c r="I510" i="5"/>
  <c r="K73" i="5"/>
  <c r="K67" i="11" s="1"/>
  <c r="K612" i="5"/>
  <c r="K321" i="11" s="1"/>
  <c r="K663" i="5"/>
  <c r="K319" i="11" s="1"/>
  <c r="I35" i="5"/>
  <c r="G74" i="5"/>
  <c r="I74" i="5" s="1"/>
  <c r="G356" i="5"/>
  <c r="I356" i="5" s="1"/>
  <c r="I430" i="5"/>
  <c r="I346" i="5"/>
  <c r="I355" i="5"/>
  <c r="G76" i="5"/>
  <c r="I76" i="5" s="1"/>
  <c r="I77" i="5"/>
  <c r="K304" i="5"/>
  <c r="K74" i="11" s="1"/>
  <c r="I78" i="5"/>
  <c r="I459" i="5"/>
  <c r="I28" i="5"/>
  <c r="G644" i="5"/>
  <c r="I644" i="5" s="1"/>
  <c r="G530" i="5"/>
  <c r="I530" i="5" s="1"/>
  <c r="I598" i="5"/>
  <c r="I550" i="5"/>
  <c r="I613" i="5"/>
  <c r="I79" i="5"/>
  <c r="G552" i="5"/>
  <c r="I552" i="5" s="1"/>
  <c r="G542" i="5"/>
  <c r="I80" i="5"/>
  <c r="I579" i="5"/>
  <c r="I626" i="5"/>
  <c r="I665" i="5"/>
  <c r="I81" i="5"/>
  <c r="I306" i="5"/>
  <c r="I481" i="5"/>
  <c r="I488" i="5"/>
  <c r="I367" i="5"/>
  <c r="I368" i="5"/>
  <c r="I404" i="5"/>
  <c r="I405" i="5"/>
  <c r="I82" i="5"/>
  <c r="I32" i="5"/>
  <c r="I411" i="5"/>
  <c r="K83" i="5"/>
  <c r="I84" i="5"/>
  <c r="I511" i="5"/>
  <c r="I485" i="5"/>
  <c r="I37" i="5"/>
  <c r="I399" i="5"/>
  <c r="I85" i="5"/>
  <c r="I86" i="5"/>
  <c r="I87" i="5"/>
  <c r="I88" i="5"/>
  <c r="I445" i="5"/>
  <c r="I379" i="5"/>
  <c r="I472" i="5"/>
  <c r="I462" i="5"/>
  <c r="I448" i="5"/>
  <c r="I532" i="5"/>
  <c r="I89" i="5"/>
  <c r="I90" i="5"/>
  <c r="I91" i="5"/>
  <c r="I92" i="5"/>
  <c r="I93" i="5"/>
  <c r="I466" i="5"/>
  <c r="I546" i="5"/>
  <c r="I282" i="5"/>
  <c r="I574" i="5"/>
  <c r="I94" i="5"/>
  <c r="I45" i="5"/>
  <c r="I464" i="5"/>
  <c r="I440" i="5"/>
  <c r="I357" i="5"/>
  <c r="I17" i="5"/>
  <c r="I95" i="5"/>
  <c r="I96" i="5"/>
  <c r="I97" i="5"/>
  <c r="I98" i="5"/>
  <c r="I99" i="5"/>
  <c r="I100" i="5"/>
  <c r="I101" i="5"/>
  <c r="I102" i="5"/>
  <c r="I103" i="5"/>
  <c r="I373" i="5"/>
  <c r="K104" i="5"/>
  <c r="I407" i="5"/>
  <c r="I534" i="5"/>
  <c r="I370" i="5"/>
  <c r="I591" i="5"/>
  <c r="I105" i="5"/>
  <c r="I437" i="5"/>
  <c r="I524" i="5"/>
  <c r="I568" i="5"/>
  <c r="I499" i="5"/>
  <c r="I537" i="5"/>
  <c r="I479" i="5"/>
  <c r="I543" i="5"/>
  <c r="I623" i="5"/>
  <c r="I615" i="5"/>
  <c r="I515" i="5"/>
  <c r="I655" i="5"/>
  <c r="I496" i="5"/>
  <c r="I410" i="5"/>
  <c r="I396" i="5"/>
  <c r="I389" i="5"/>
  <c r="I395" i="5"/>
  <c r="I589" i="5"/>
  <c r="G106" i="5"/>
  <c r="I106" i="5" s="1"/>
  <c r="I433" i="5"/>
  <c r="I504" i="5"/>
  <c r="I480" i="5"/>
  <c r="I441" i="5"/>
  <c r="I584" i="5"/>
  <c r="I561" i="5"/>
  <c r="G349" i="5"/>
  <c r="I349" i="5" s="1"/>
  <c r="I107" i="5"/>
  <c r="I506" i="5"/>
  <c r="I553" i="5"/>
  <c r="I491" i="5"/>
  <c r="I563" i="5"/>
  <c r="I293" i="5"/>
  <c r="I300" i="5"/>
  <c r="I295" i="5"/>
  <c r="I294" i="5"/>
  <c r="I26" i="5"/>
  <c r="I46" i="5"/>
  <c r="I108" i="5"/>
  <c r="I639" i="5"/>
  <c r="I380" i="5"/>
  <c r="I457" i="5"/>
  <c r="I109" i="5"/>
  <c r="I44" i="5"/>
  <c r="I343" i="5"/>
  <c r="I567" i="5"/>
  <c r="I110" i="5"/>
  <c r="I338" i="5"/>
  <c r="I299" i="5"/>
  <c r="I111" i="5"/>
  <c r="I112" i="5"/>
  <c r="I113" i="5"/>
  <c r="I549" i="5"/>
  <c r="I33" i="5"/>
  <c r="I520" i="5"/>
  <c r="I114" i="5"/>
  <c r="I115" i="5"/>
  <c r="I116" i="5"/>
  <c r="I117" i="5"/>
  <c r="I118" i="5"/>
  <c r="I119" i="5"/>
  <c r="I345" i="5"/>
  <c r="I120" i="5"/>
  <c r="I121" i="5"/>
  <c r="I122" i="5"/>
  <c r="I123" i="5"/>
  <c r="I124" i="5"/>
  <c r="I125" i="5"/>
  <c r="I126" i="5"/>
  <c r="I127" i="5"/>
  <c r="I384" i="5"/>
  <c r="I128" i="5"/>
  <c r="I129" i="5"/>
  <c r="I311" i="5"/>
  <c r="I130" i="5"/>
  <c r="I131" i="5"/>
  <c r="I132" i="5"/>
  <c r="I133" i="5"/>
  <c r="I134" i="5"/>
  <c r="I135" i="5"/>
  <c r="I544" i="5"/>
  <c r="G363" i="5"/>
  <c r="I363" i="5" s="1"/>
  <c r="G454" i="5"/>
  <c r="I454" i="5" s="1"/>
  <c r="G309" i="5"/>
  <c r="I309" i="5" s="1"/>
  <c r="I136" i="5"/>
  <c r="I137" i="5"/>
  <c r="I138" i="5"/>
  <c r="G525" i="5"/>
  <c r="I525" i="5" s="1"/>
  <c r="I139" i="5"/>
  <c r="I140" i="5"/>
  <c r="I517" i="5"/>
  <c r="G653" i="5"/>
  <c r="I653" i="5" s="1"/>
  <c r="I642" i="5"/>
  <c r="I649" i="5"/>
  <c r="I141" i="5"/>
  <c r="I142" i="5"/>
  <c r="I514" i="5"/>
  <c r="I621" i="5"/>
  <c r="I143" i="5"/>
  <c r="I586" i="5"/>
  <c r="I540" i="5"/>
  <c r="I503" i="5"/>
  <c r="I145" i="5"/>
  <c r="I147" i="5"/>
  <c r="I599" i="5"/>
  <c r="I620" i="5"/>
  <c r="I565" i="5"/>
  <c r="I398" i="5"/>
  <c r="I434" i="5"/>
  <c r="I31" i="5"/>
  <c r="I435" i="5"/>
  <c r="I443" i="5"/>
  <c r="I386" i="5"/>
  <c r="I582" i="5"/>
  <c r="I438" i="5"/>
  <c r="I148" i="5"/>
  <c r="I285" i="5"/>
  <c r="I664" i="5"/>
  <c r="I41" i="5"/>
  <c r="I461" i="5"/>
  <c r="I601" i="5"/>
  <c r="I450" i="5"/>
  <c r="I18" i="5"/>
  <c r="I439" i="5"/>
  <c r="I468" i="5"/>
  <c r="I19" i="5"/>
  <c r="I426" i="5"/>
  <c r="I7" i="5"/>
  <c r="I570" i="5"/>
  <c r="I360" i="5"/>
  <c r="I616" i="5"/>
  <c r="I375" i="5"/>
  <c r="I527" i="5"/>
  <c r="I585" i="5"/>
  <c r="I428" i="5"/>
  <c r="I12" i="5"/>
  <c r="I11" i="5"/>
  <c r="I149" i="5"/>
  <c r="I150" i="5"/>
  <c r="I478" i="5"/>
  <c r="I551" i="5"/>
  <c r="I559" i="5"/>
  <c r="I608" i="5"/>
  <c r="I292" i="5"/>
  <c r="G151" i="5"/>
  <c r="I151" i="5" s="1"/>
  <c r="I535" i="5"/>
  <c r="I449" i="5"/>
  <c r="G556" i="5"/>
  <c r="I556" i="5" s="1"/>
  <c r="I631" i="5"/>
  <c r="G144" i="5"/>
  <c r="I144" i="5" s="1"/>
  <c r="I415" i="5"/>
  <c r="I587" i="5"/>
  <c r="I38" i="5"/>
  <c r="I476" i="5"/>
  <c r="I470" i="5"/>
  <c r="I538" i="5"/>
  <c r="I392" i="5"/>
  <c r="G152" i="5"/>
  <c r="I152" i="5" s="1"/>
  <c r="G348" i="5"/>
  <c r="I348" i="5" s="1"/>
  <c r="I656" i="5"/>
  <c r="G501" i="5"/>
  <c r="I501" i="5" s="1"/>
  <c r="I153" i="5"/>
  <c r="I475" i="5"/>
  <c r="I10" i="5"/>
  <c r="I518" i="5"/>
  <c r="I446" i="5"/>
  <c r="I483" i="5"/>
  <c r="I473" i="5"/>
  <c r="I420" i="5"/>
  <c r="I477" i="5"/>
  <c r="I325" i="5"/>
  <c r="I637" i="5"/>
  <c r="I359" i="5"/>
  <c r="I326" i="5"/>
  <c r="I154" i="5"/>
  <c r="I424" i="5"/>
  <c r="I465" i="5"/>
  <c r="G155" i="5"/>
  <c r="I155" i="5" s="1"/>
  <c r="I335" i="5"/>
  <c r="I486" i="5"/>
  <c r="I156" i="5"/>
  <c r="I523" i="5"/>
  <c r="I42" i="5"/>
  <c r="I317" i="5"/>
  <c r="K660" i="5"/>
  <c r="I324" i="5"/>
  <c r="I474" i="5"/>
  <c r="I157" i="5"/>
  <c r="I146" i="5"/>
  <c r="I329" i="5"/>
  <c r="G158" i="5"/>
  <c r="I158" i="5" s="1"/>
  <c r="I558" i="5"/>
  <c r="I4" i="5"/>
  <c r="I5" i="5"/>
  <c r="I6" i="5"/>
  <c r="I394" i="5"/>
  <c r="I159" i="5"/>
  <c r="I539" i="5"/>
  <c r="I160" i="5"/>
  <c r="G161" i="5"/>
  <c r="I161" i="5" s="1"/>
  <c r="I3" i="5"/>
  <c r="G163" i="5"/>
  <c r="I163" i="5" s="1"/>
  <c r="I290" i="5"/>
  <c r="I165" i="5"/>
  <c r="I484" i="5"/>
  <c r="I166" i="5"/>
  <c r="I469" i="5"/>
  <c r="G168" i="5"/>
  <c r="I168" i="5" s="1"/>
  <c r="I169" i="5"/>
  <c r="G170" i="5"/>
  <c r="I170" i="5" s="1"/>
  <c r="I412" i="5"/>
  <c r="I605" i="5"/>
  <c r="I13" i="5"/>
  <c r="I334" i="5"/>
  <c r="I171" i="5"/>
  <c r="G172" i="5"/>
  <c r="I172" i="5" s="1"/>
  <c r="G173" i="5"/>
  <c r="I173" i="5" s="1"/>
  <c r="I423" i="5"/>
  <c r="I174" i="5"/>
  <c r="I327" i="5"/>
  <c r="I305" i="5"/>
  <c r="I331" i="5"/>
  <c r="I281" i="5"/>
  <c r="I175" i="5"/>
  <c r="I607" i="5"/>
  <c r="I313" i="5"/>
  <c r="I15" i="5"/>
  <c r="I600" i="5"/>
  <c r="I578" i="5"/>
  <c r="I176" i="5"/>
  <c r="I332" i="5"/>
  <c r="I14" i="5"/>
  <c r="I603" i="5"/>
  <c r="I618" i="5"/>
  <c r="I388" i="5"/>
  <c r="I280" i="5"/>
  <c r="I548" i="5"/>
  <c r="G460" i="5"/>
  <c r="I460" i="5" s="1"/>
  <c r="I342" i="5"/>
  <c r="I641" i="5"/>
  <c r="I302" i="5"/>
  <c r="I648" i="5"/>
  <c r="G177" i="5"/>
  <c r="I177" i="5" s="1"/>
  <c r="G178" i="5"/>
  <c r="I178" i="5" s="1"/>
  <c r="I560" i="5"/>
  <c r="I416" i="5"/>
  <c r="I630" i="5"/>
  <c r="I341" i="5"/>
  <c r="I382" i="5"/>
  <c r="I456" i="5"/>
  <c r="I319" i="5"/>
  <c r="I414" i="5"/>
  <c r="I296" i="5"/>
  <c r="I297" i="5"/>
  <c r="I497" i="5"/>
  <c r="I298" i="5"/>
  <c r="I344" i="5"/>
  <c r="I451" i="5"/>
  <c r="I323" i="5"/>
  <c r="I289" i="5"/>
  <c r="I8" i="5"/>
  <c r="I508" i="5"/>
  <c r="I179" i="5"/>
  <c r="I529" i="5"/>
  <c r="I353" i="5"/>
  <c r="I629" i="5"/>
  <c r="G340" i="5"/>
  <c r="I340" i="5" s="1"/>
  <c r="I509" i="5"/>
  <c r="I303" i="5"/>
  <c r="I566" i="5"/>
  <c r="I316" i="5"/>
  <c r="I545" i="5"/>
  <c r="G180" i="5"/>
  <c r="I180" i="5" s="1"/>
  <c r="I301" i="5"/>
  <c r="G181" i="5"/>
  <c r="I181" i="5" s="1"/>
  <c r="G286" i="5"/>
  <c r="I286" i="5" s="1"/>
  <c r="I627" i="5"/>
  <c r="G562" i="5"/>
  <c r="I562" i="5" s="1"/>
  <c r="G182" i="5"/>
  <c r="I521" i="5"/>
  <c r="I330" i="5"/>
  <c r="I365" i="5"/>
  <c r="I668" i="5"/>
  <c r="I183" i="5"/>
  <c r="I321" i="5"/>
  <c r="I512" i="5"/>
  <c r="I640" i="5"/>
  <c r="I628" i="5"/>
  <c r="I657" i="5"/>
  <c r="I654" i="5"/>
  <c r="I651" i="5"/>
  <c r="I184" i="5"/>
  <c r="I635" i="5"/>
  <c r="I23" i="5"/>
  <c r="I320" i="5"/>
  <c r="I185" i="5"/>
  <c r="I186" i="5"/>
  <c r="I187" i="5"/>
  <c r="I188" i="5"/>
  <c r="I596" i="5"/>
  <c r="I619" i="5"/>
  <c r="I189" i="5"/>
  <c r="I190" i="5"/>
  <c r="I502" i="5"/>
  <c r="I662" i="5"/>
  <c r="I650" i="5"/>
  <c r="I315" i="5"/>
  <c r="I636" i="5"/>
  <c r="I652" i="5"/>
  <c r="I643" i="5"/>
  <c r="I431" i="5"/>
  <c r="I391" i="5"/>
  <c r="I489" i="5"/>
  <c r="I191" i="5"/>
  <c r="I393" i="5"/>
  <c r="I606" i="5"/>
  <c r="I624" i="5"/>
  <c r="I658" i="5"/>
  <c r="I625" i="5"/>
  <c r="I670" i="5"/>
  <c r="I193" i="5"/>
  <c r="I194" i="5"/>
  <c r="I195" i="5"/>
  <c r="I196" i="5"/>
  <c r="I197" i="5"/>
  <c r="I198" i="5"/>
  <c r="I199" i="5"/>
  <c r="I328" i="5"/>
  <c r="I200" i="5"/>
  <c r="I259" i="5"/>
  <c r="I201" i="5"/>
  <c r="I202" i="5"/>
  <c r="I358" i="5"/>
  <c r="I203" i="5"/>
  <c r="I204" i="5"/>
  <c r="I547" i="5"/>
  <c r="I609" i="5"/>
  <c r="I397" i="5"/>
  <c r="I291" i="5"/>
  <c r="I205" i="5"/>
  <c r="I206" i="5"/>
  <c r="I669" i="5"/>
  <c r="I207" i="5"/>
  <c r="I288" i="5"/>
  <c r="I287" i="5"/>
  <c r="I208" i="5"/>
  <c r="I209" i="5"/>
  <c r="I210" i="5"/>
  <c r="I211" i="5"/>
  <c r="I647" i="5"/>
  <c r="I590" i="5"/>
  <c r="I580" i="5"/>
  <c r="I554" i="5"/>
  <c r="G212" i="5"/>
  <c r="I212" i="5" s="1"/>
  <c r="G213" i="5"/>
  <c r="I213" i="5" s="1"/>
  <c r="I214" i="5"/>
  <c r="I215" i="5"/>
  <c r="I661" i="5"/>
  <c r="I402" i="5"/>
  <c r="I216" i="5"/>
  <c r="I217" i="5"/>
  <c r="I218" i="5"/>
  <c r="I442" i="5"/>
  <c r="I219" i="5"/>
  <c r="I220" i="5"/>
  <c r="I221" i="5"/>
  <c r="I222" i="5"/>
  <c r="I223" i="5"/>
  <c r="I224" i="5"/>
  <c r="I233" i="11" s="1"/>
  <c r="I225" i="5"/>
  <c r="I226" i="5"/>
  <c r="I235" i="11" s="1"/>
  <c r="I227" i="5"/>
  <c r="K227" i="5" s="1"/>
  <c r="K236" i="11" s="1"/>
  <c r="I228" i="5"/>
  <c r="I229" i="5"/>
  <c r="I238" i="11" s="1"/>
  <c r="I230" i="5"/>
  <c r="I231" i="5"/>
  <c r="I232" i="5"/>
  <c r="I233" i="5"/>
  <c r="I234" i="5"/>
  <c r="I235" i="5"/>
  <c r="I236" i="5"/>
  <c r="I245" i="11" s="1"/>
  <c r="I237" i="5"/>
  <c r="I238" i="5"/>
  <c r="I247" i="11" s="1"/>
  <c r="I239" i="5"/>
  <c r="I240" i="5"/>
  <c r="K240" i="5" s="1"/>
  <c r="K249" i="11" s="1"/>
  <c r="I241" i="5"/>
  <c r="K241" i="5" s="1"/>
  <c r="K250" i="11" s="1"/>
  <c r="I242" i="5"/>
  <c r="K242" i="5" s="1"/>
  <c r="K251" i="11" s="1"/>
  <c r="I243" i="5"/>
  <c r="I252" i="11" s="1"/>
  <c r="I244" i="5"/>
  <c r="I253" i="11" s="1"/>
  <c r="I245" i="5"/>
  <c r="I246" i="5"/>
  <c r="I255" i="11" s="1"/>
  <c r="I247" i="5"/>
  <c r="I248" i="5"/>
  <c r="I249" i="5"/>
  <c r="I258" i="11" s="1"/>
  <c r="I250" i="5"/>
  <c r="I259" i="11" s="1"/>
  <c r="I251" i="5"/>
  <c r="I252" i="5"/>
  <c r="I253" i="5"/>
  <c r="I254" i="5"/>
  <c r="I263" i="11" s="1"/>
  <c r="I255" i="5"/>
  <c r="I264" i="11" s="1"/>
  <c r="I256" i="5"/>
  <c r="I257" i="5"/>
  <c r="I266" i="11" s="1"/>
  <c r="I258" i="5"/>
  <c r="I267" i="11" s="1"/>
  <c r="K429" i="5"/>
  <c r="K404" i="11" s="1"/>
  <c r="K72" i="5"/>
  <c r="K454" i="11" s="1"/>
  <c r="J1" i="3"/>
  <c r="K1" i="3" s="1"/>
  <c r="L1" i="3" s="1"/>
  <c r="M1" i="3" s="1"/>
  <c r="N1" i="3" s="1"/>
  <c r="O1" i="3" s="1"/>
  <c r="P1" i="3" s="1"/>
  <c r="Q1" i="3" s="1"/>
  <c r="R1" i="3" s="1"/>
  <c r="S1" i="3" s="1"/>
  <c r="T1" i="3" s="1"/>
  <c r="U1" i="3" s="1"/>
  <c r="V1" i="3" s="1"/>
  <c r="X1" i="3" s="1"/>
  <c r="Y1" i="3" s="1"/>
  <c r="Z1" i="3" s="1"/>
  <c r="AA1" i="3" s="1"/>
  <c r="AB1" i="3" s="1"/>
  <c r="AC1" i="3" s="1"/>
  <c r="AD1" i="3" s="1"/>
  <c r="AE1" i="3" s="1"/>
  <c r="AF1" i="3" s="1"/>
  <c r="AG1" i="3" s="1"/>
  <c r="AH1" i="3" s="1"/>
  <c r="AI1" i="3" s="1"/>
  <c r="AJ1" i="3" s="1"/>
  <c r="AK1" i="3" s="1"/>
  <c r="AL1" i="3" s="1"/>
  <c r="AM1" i="3" s="1"/>
  <c r="J405" i="1" l="1"/>
  <c r="K405" i="1" s="1"/>
  <c r="S69" i="19"/>
  <c r="J404" i="1"/>
  <c r="K404" i="1" s="1"/>
  <c r="S68" i="19"/>
  <c r="J403" i="1"/>
  <c r="K403" i="1" s="1"/>
  <c r="S67" i="19"/>
  <c r="J389" i="1"/>
  <c r="K389" i="1" s="1"/>
  <c r="S65" i="19"/>
  <c r="J407" i="1"/>
  <c r="K407" i="1" s="1"/>
  <c r="S71" i="19"/>
  <c r="J1088" i="1"/>
  <c r="K1088" i="1" s="1"/>
  <c r="J400" i="1"/>
  <c r="K400" i="1" s="1"/>
  <c r="S66" i="19"/>
  <c r="J386" i="1"/>
  <c r="K386" i="1" s="1"/>
  <c r="S64" i="19"/>
  <c r="J406" i="1"/>
  <c r="K406" i="1" s="1"/>
  <c r="S70" i="19"/>
  <c r="J385" i="1"/>
  <c r="K385" i="1" s="1"/>
  <c r="S63" i="19"/>
  <c r="J411" i="1"/>
  <c r="K411" i="1" s="1"/>
  <c r="S75" i="19"/>
  <c r="J19" i="1"/>
  <c r="K19" i="1" s="1"/>
  <c r="S9" i="19"/>
  <c r="J409" i="1"/>
  <c r="K409" i="1" s="1"/>
  <c r="S73" i="19"/>
  <c r="J408" i="1"/>
  <c r="K408" i="1" s="1"/>
  <c r="S72" i="19"/>
  <c r="J410" i="1"/>
  <c r="K410" i="1" s="1"/>
  <c r="S74" i="19"/>
  <c r="L8" i="19"/>
  <c r="M8" i="19" s="1"/>
  <c r="L90" i="19"/>
  <c r="M90" i="19" s="1"/>
  <c r="L79" i="19"/>
  <c r="M79" i="19" s="1"/>
  <c r="L73" i="19"/>
  <c r="M73" i="19" s="1"/>
  <c r="L89" i="19"/>
  <c r="M89" i="19" s="1"/>
  <c r="L7" i="19"/>
  <c r="M7" i="19" s="1"/>
  <c r="L44" i="19"/>
  <c r="M44" i="19" s="1"/>
  <c r="L87" i="19"/>
  <c r="M87" i="19" s="1"/>
  <c r="L86" i="19"/>
  <c r="M86" i="19" s="1"/>
  <c r="L78" i="19"/>
  <c r="M78" i="19" s="1"/>
  <c r="L85" i="19"/>
  <c r="M85" i="19" s="1"/>
  <c r="L51" i="19"/>
  <c r="M51" i="19" s="1"/>
  <c r="L43" i="19"/>
  <c r="M43" i="19" s="1"/>
  <c r="L42" i="19"/>
  <c r="M42" i="19" s="1"/>
  <c r="L13" i="19"/>
  <c r="M13" i="19" s="1"/>
  <c r="L14" i="19"/>
  <c r="M14" i="19" s="1"/>
  <c r="L41" i="19"/>
  <c r="M41" i="19" s="1"/>
  <c r="L84" i="19"/>
  <c r="M84" i="19" s="1"/>
  <c r="L83" i="19"/>
  <c r="M83" i="19" s="1"/>
  <c r="L82" i="19"/>
  <c r="M82" i="19" s="1"/>
  <c r="L40" i="19"/>
  <c r="M40" i="19" s="1"/>
  <c r="L81" i="19"/>
  <c r="M81" i="19" s="1"/>
  <c r="L39" i="19"/>
  <c r="M39" i="19" s="1"/>
  <c r="L6" i="19"/>
  <c r="M6" i="19" s="1"/>
  <c r="L88" i="19"/>
  <c r="M88" i="19" s="1"/>
  <c r="L80" i="19"/>
  <c r="M80" i="19" s="1"/>
  <c r="L38" i="19"/>
  <c r="M38" i="19" s="1"/>
  <c r="L11" i="19"/>
  <c r="M11" i="19" s="1"/>
  <c r="L5" i="19"/>
  <c r="M5" i="19" s="1"/>
  <c r="L77" i="19"/>
  <c r="M77" i="19" s="1"/>
  <c r="L76" i="19"/>
  <c r="M76" i="19" s="1"/>
  <c r="L37" i="19"/>
  <c r="M37" i="19" s="1"/>
  <c r="L75" i="19"/>
  <c r="M75" i="19" s="1"/>
  <c r="L74" i="19"/>
  <c r="M74" i="19" s="1"/>
  <c r="L12" i="19"/>
  <c r="M12" i="19" s="1"/>
  <c r="L36" i="19"/>
  <c r="M36" i="19" s="1"/>
  <c r="L72" i="19"/>
  <c r="M72" i="19" s="1"/>
  <c r="L71" i="19"/>
  <c r="M71" i="19" s="1"/>
  <c r="L35" i="19"/>
  <c r="M35" i="19" s="1"/>
  <c r="L31" i="19"/>
  <c r="M31" i="19" s="1"/>
  <c r="L70" i="19"/>
  <c r="M70" i="19" s="1"/>
  <c r="L34" i="19"/>
  <c r="M34" i="19" s="1"/>
  <c r="L69" i="19"/>
  <c r="M69" i="19" s="1"/>
  <c r="L68" i="19"/>
  <c r="M68" i="19" s="1"/>
  <c r="L67" i="19"/>
  <c r="M67" i="19" s="1"/>
  <c r="L33" i="19"/>
  <c r="M33" i="19" s="1"/>
  <c r="L32" i="19"/>
  <c r="M32" i="19" s="1"/>
  <c r="L66" i="19"/>
  <c r="M66" i="19" s="1"/>
  <c r="L65" i="19"/>
  <c r="M65" i="19" s="1"/>
  <c r="L30" i="19"/>
  <c r="M30" i="19" s="1"/>
  <c r="L15" i="19"/>
  <c r="M15" i="19" s="1"/>
  <c r="L10" i="19"/>
  <c r="M10" i="19" s="1"/>
  <c r="L9" i="19"/>
  <c r="M9" i="19" s="1"/>
  <c r="L27" i="19"/>
  <c r="M27" i="19" s="1"/>
  <c r="L29" i="19"/>
  <c r="M29" i="19" s="1"/>
  <c r="L28" i="19"/>
  <c r="M28" i="19" s="1"/>
  <c r="L17" i="19"/>
  <c r="M17" i="19" s="1"/>
  <c r="L93" i="19"/>
  <c r="M93" i="19" s="1"/>
  <c r="L48" i="19"/>
  <c r="M48" i="19" s="1"/>
  <c r="L92" i="19"/>
  <c r="M92" i="19" s="1"/>
  <c r="L64" i="19"/>
  <c r="M64" i="19" s="1"/>
  <c r="L4" i="19"/>
  <c r="M4" i="19" s="1"/>
  <c r="L63" i="19"/>
  <c r="M63" i="19" s="1"/>
  <c r="L62" i="19"/>
  <c r="M62" i="19" s="1"/>
  <c r="L61" i="19"/>
  <c r="M61" i="19" s="1"/>
  <c r="L60" i="19"/>
  <c r="M60" i="19" s="1"/>
  <c r="L59" i="19"/>
  <c r="M59" i="19" s="1"/>
  <c r="L58" i="19"/>
  <c r="M58" i="19" s="1"/>
  <c r="L96" i="19"/>
  <c r="M96" i="19" s="1"/>
  <c r="L53" i="19"/>
  <c r="M53" i="19" s="1"/>
  <c r="L50" i="19"/>
  <c r="M50" i="19" s="1"/>
  <c r="L22" i="19"/>
  <c r="M22" i="19" s="1"/>
  <c r="L57" i="19"/>
  <c r="M57" i="19" s="1"/>
  <c r="L95" i="19"/>
  <c r="M95" i="19" s="1"/>
  <c r="L56" i="19"/>
  <c r="M56" i="19" s="1"/>
  <c r="L94" i="19"/>
  <c r="M94" i="19" s="1"/>
  <c r="L97" i="19"/>
  <c r="M97" i="19" s="1"/>
  <c r="L26" i="19"/>
  <c r="M26" i="19" s="1"/>
  <c r="L54" i="19"/>
  <c r="M54" i="19" s="1"/>
  <c r="L47" i="19"/>
  <c r="M47" i="19" s="1"/>
  <c r="L21" i="19"/>
  <c r="M21" i="19" s="1"/>
  <c r="L46" i="19"/>
  <c r="M46" i="19" s="1"/>
  <c r="L91" i="19"/>
  <c r="M91" i="19" s="1"/>
  <c r="L55" i="19"/>
  <c r="M55" i="19" s="1"/>
  <c r="L25" i="19"/>
  <c r="M25" i="19" s="1"/>
  <c r="L24" i="19"/>
  <c r="M24" i="19" s="1"/>
  <c r="L52" i="19"/>
  <c r="M52" i="19" s="1"/>
  <c r="L20" i="19"/>
  <c r="M20" i="19" s="1"/>
  <c r="L16" i="19"/>
  <c r="M16" i="19" s="1"/>
  <c r="L49" i="19"/>
  <c r="M49" i="19" s="1"/>
  <c r="L18" i="19"/>
  <c r="M18" i="19" s="1"/>
  <c r="L19" i="19"/>
  <c r="M19" i="19" s="1"/>
  <c r="L45" i="19"/>
  <c r="M45" i="19" s="1"/>
  <c r="S62" i="19"/>
  <c r="S61" i="19"/>
  <c r="S106" i="19"/>
  <c r="S105" i="19"/>
  <c r="S104" i="19"/>
  <c r="S103" i="19"/>
  <c r="S102" i="19"/>
  <c r="S101" i="19"/>
  <c r="S100" i="19"/>
  <c r="S99" i="19"/>
  <c r="S98" i="19"/>
  <c r="S97" i="19"/>
  <c r="S96" i="19"/>
  <c r="S95" i="19"/>
  <c r="S94" i="19"/>
  <c r="S93" i="19"/>
  <c r="S92" i="19"/>
  <c r="S91" i="19"/>
  <c r="S90" i="19"/>
  <c r="S89" i="19"/>
  <c r="S88" i="19"/>
  <c r="S87" i="19"/>
  <c r="S86" i="19"/>
  <c r="S85" i="19"/>
  <c r="S84" i="19"/>
  <c r="S83" i="19"/>
  <c r="S82" i="19"/>
  <c r="S81" i="19"/>
  <c r="S80" i="19"/>
  <c r="S79" i="19"/>
  <c r="S78" i="19"/>
  <c r="S77" i="19"/>
  <c r="S76" i="19"/>
  <c r="S60" i="19"/>
  <c r="S59" i="19"/>
  <c r="S58" i="19"/>
  <c r="S57" i="19"/>
  <c r="S56" i="19"/>
  <c r="S55" i="19"/>
  <c r="S54" i="19"/>
  <c r="S53" i="19"/>
  <c r="S52" i="19"/>
  <c r="S51" i="19"/>
  <c r="S50" i="19"/>
  <c r="S49" i="19"/>
  <c r="S48" i="19"/>
  <c r="S47" i="19"/>
  <c r="S46" i="19"/>
  <c r="S45" i="19"/>
  <c r="S44" i="19"/>
  <c r="S41" i="19"/>
  <c r="S40" i="19"/>
  <c r="S38" i="19"/>
  <c r="S37" i="19"/>
  <c r="S35" i="19"/>
  <c r="S34" i="19"/>
  <c r="S32" i="19"/>
  <c r="S31" i="19"/>
  <c r="S30" i="19"/>
  <c r="S29" i="19"/>
  <c r="S28" i="19"/>
  <c r="S27" i="19"/>
  <c r="S26" i="19"/>
  <c r="S25" i="19"/>
  <c r="S24" i="19"/>
  <c r="S23" i="19"/>
  <c r="S22" i="19"/>
  <c r="S21" i="19"/>
  <c r="S20" i="19"/>
  <c r="S19" i="19"/>
  <c r="S18" i="19"/>
  <c r="S17" i="19"/>
  <c r="S16" i="19"/>
  <c r="S15" i="19"/>
  <c r="S14" i="19"/>
  <c r="S13" i="19"/>
  <c r="S12" i="19"/>
  <c r="S11" i="19"/>
  <c r="S10" i="19"/>
  <c r="S8" i="19"/>
  <c r="S7" i="19"/>
  <c r="S6" i="19"/>
  <c r="S5" i="19"/>
  <c r="S4" i="19"/>
  <c r="K13" i="5"/>
  <c r="K453" i="1"/>
  <c r="K790" i="1"/>
  <c r="K774" i="1"/>
  <c r="K771" i="1"/>
  <c r="K692" i="1"/>
  <c r="K575" i="1"/>
  <c r="K312" i="1"/>
  <c r="D6" i="18" s="1"/>
  <c r="K794" i="1"/>
  <c r="K789" i="1"/>
  <c r="K775" i="1"/>
  <c r="K691" i="1"/>
  <c r="K313" i="1"/>
  <c r="L442" i="5" s="1"/>
  <c r="K793" i="1"/>
  <c r="K791" i="1"/>
  <c r="K609" i="1"/>
  <c r="K798" i="1"/>
  <c r="K770" i="1"/>
  <c r="K574" i="1"/>
  <c r="K462" i="1"/>
  <c r="K797" i="1"/>
  <c r="K461" i="1"/>
  <c r="K795" i="1"/>
  <c r="K610" i="1"/>
  <c r="K773" i="1"/>
  <c r="K1110" i="1"/>
  <c r="K1109" i="1"/>
  <c r="K1108" i="1"/>
  <c r="K1107" i="1"/>
  <c r="K1106" i="1"/>
  <c r="K1105" i="1"/>
  <c r="K1104" i="1"/>
  <c r="K1103" i="1"/>
  <c r="K1102" i="1"/>
  <c r="K1101" i="1"/>
  <c r="K1100" i="1"/>
  <c r="K447" i="5"/>
  <c r="K547" i="11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7" i="1"/>
  <c r="K18" i="1"/>
  <c r="K20" i="1"/>
  <c r="K21" i="1"/>
  <c r="K22" i="1"/>
  <c r="K23" i="1"/>
  <c r="K24" i="1"/>
  <c r="K25" i="1"/>
  <c r="K26" i="1"/>
  <c r="K29" i="1"/>
  <c r="K33" i="1"/>
  <c r="K34" i="1"/>
  <c r="K35" i="1"/>
  <c r="K37" i="1"/>
  <c r="K38" i="1"/>
  <c r="K39" i="1"/>
  <c r="K40" i="1"/>
  <c r="K41" i="1"/>
  <c r="K44" i="1"/>
  <c r="K28" i="1"/>
  <c r="K36" i="1"/>
  <c r="K27" i="1"/>
  <c r="K1122" i="1"/>
  <c r="K42" i="1"/>
  <c r="K45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7" i="1"/>
  <c r="K68" i="1"/>
  <c r="K69" i="1"/>
  <c r="K70" i="1"/>
  <c r="K71" i="1"/>
  <c r="K72" i="1"/>
  <c r="K73" i="1"/>
  <c r="K75" i="1"/>
  <c r="K76" i="1"/>
  <c r="K78" i="1"/>
  <c r="K79" i="1"/>
  <c r="K80" i="1"/>
  <c r="K81" i="1"/>
  <c r="K82" i="1"/>
  <c r="K83" i="1"/>
  <c r="K84" i="1"/>
  <c r="K85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L309" i="5" s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2" i="1"/>
  <c r="K163" i="1"/>
  <c r="K164" i="1"/>
  <c r="K165" i="1"/>
  <c r="K166" i="1"/>
  <c r="K167" i="1"/>
  <c r="K168" i="1"/>
  <c r="K169" i="1"/>
  <c r="K170" i="1"/>
  <c r="K171" i="1"/>
  <c r="K173" i="1"/>
  <c r="K174" i="1"/>
  <c r="K175" i="1"/>
  <c r="K176" i="1"/>
  <c r="K177" i="1"/>
  <c r="K178" i="1"/>
  <c r="K179" i="1"/>
  <c r="K180" i="1"/>
  <c r="K181" i="1"/>
  <c r="K183" i="1"/>
  <c r="K185" i="1"/>
  <c r="K186" i="1"/>
  <c r="K187" i="1"/>
  <c r="K188" i="1"/>
  <c r="K189" i="1"/>
  <c r="K190" i="1"/>
  <c r="K191" i="1"/>
  <c r="K192" i="1"/>
  <c r="K193" i="1"/>
  <c r="K194" i="1"/>
  <c r="K195" i="1"/>
  <c r="L137" i="5" s="1"/>
  <c r="K196" i="1"/>
  <c r="K197" i="1"/>
  <c r="K198" i="1"/>
  <c r="K199" i="1"/>
  <c r="D4" i="18" s="1"/>
  <c r="E4" i="18" s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L84" i="5" s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161" i="1"/>
  <c r="K46" i="1"/>
  <c r="K172" i="1"/>
  <c r="K43" i="1"/>
  <c r="K182" i="1"/>
  <c r="K31" i="1"/>
  <c r="K30" i="1"/>
  <c r="K184" i="1"/>
  <c r="K268" i="1"/>
  <c r="K269" i="1"/>
  <c r="K270" i="1"/>
  <c r="K271" i="1"/>
  <c r="K272" i="1"/>
  <c r="K273" i="1"/>
  <c r="K74" i="1"/>
  <c r="K287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L288" i="5" s="1"/>
  <c r="K306" i="1"/>
  <c r="K307" i="1"/>
  <c r="K308" i="1"/>
  <c r="K309" i="1"/>
  <c r="K310" i="1"/>
  <c r="K311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7" i="1"/>
  <c r="K388" i="1"/>
  <c r="K390" i="1"/>
  <c r="K391" i="1"/>
  <c r="K392" i="1"/>
  <c r="K393" i="1"/>
  <c r="K394" i="1"/>
  <c r="K395" i="1"/>
  <c r="K396" i="1"/>
  <c r="K397" i="1"/>
  <c r="K398" i="1"/>
  <c r="K399" i="1"/>
  <c r="K401" i="1"/>
  <c r="K402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134" i="1"/>
  <c r="K283" i="1"/>
  <c r="K284" i="1"/>
  <c r="K285" i="1"/>
  <c r="K286" i="1"/>
  <c r="K288" i="1"/>
  <c r="K950" i="1"/>
  <c r="K1098" i="1"/>
  <c r="K1099" i="1"/>
  <c r="K2" i="1"/>
  <c r="K16" i="1"/>
  <c r="K77" i="1"/>
  <c r="K274" i="1"/>
  <c r="L287" i="5" s="1"/>
  <c r="K275" i="1"/>
  <c r="K276" i="1"/>
  <c r="K277" i="1"/>
  <c r="K278" i="1"/>
  <c r="K279" i="1"/>
  <c r="K280" i="1"/>
  <c r="K281" i="1"/>
  <c r="K282" i="1"/>
  <c r="K32" i="1"/>
  <c r="K47" i="1"/>
  <c r="K66" i="1"/>
  <c r="K314" i="1"/>
  <c r="D8" i="18" s="1"/>
  <c r="E8" i="18" s="1"/>
  <c r="K86" i="1"/>
  <c r="K315" i="1"/>
  <c r="K316" i="1"/>
  <c r="K317" i="1"/>
  <c r="K318" i="1"/>
  <c r="K319" i="1"/>
  <c r="L217" i="5" s="1"/>
  <c r="K320" i="1"/>
  <c r="K321" i="1"/>
  <c r="K322" i="1"/>
  <c r="K323" i="1"/>
  <c r="K324" i="1"/>
  <c r="D18" i="18" s="1"/>
  <c r="E18" i="18" s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1097" i="1"/>
  <c r="K1096" i="1"/>
  <c r="K1095" i="1"/>
  <c r="K1094" i="1"/>
  <c r="K1093" i="1"/>
  <c r="K1092" i="1"/>
  <c r="K1091" i="1"/>
  <c r="K1085" i="1"/>
  <c r="K1084" i="1"/>
  <c r="K1083" i="1"/>
  <c r="K1082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L195" i="5" s="1"/>
  <c r="L127" i="10" s="1"/>
  <c r="K1055" i="1"/>
  <c r="K1054" i="1"/>
  <c r="K1053" i="1"/>
  <c r="K1052" i="1"/>
  <c r="K1051" i="1"/>
  <c r="K1050" i="1"/>
  <c r="K1049" i="1"/>
  <c r="K1045" i="1"/>
  <c r="K1044" i="1"/>
  <c r="K1043" i="1"/>
  <c r="L268" i="5" s="1"/>
  <c r="L277" i="11" s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D224" i="18" s="1"/>
  <c r="E224" i="18" s="1"/>
  <c r="K1030" i="1"/>
  <c r="K1029" i="1"/>
  <c r="K1028" i="1"/>
  <c r="D239" i="18" s="1"/>
  <c r="E239" i="18" s="1"/>
  <c r="K1027" i="1"/>
  <c r="K1026" i="1"/>
  <c r="K1025" i="1"/>
  <c r="K1024" i="1"/>
  <c r="K1023" i="1"/>
  <c r="K1022" i="1"/>
  <c r="K1021" i="1"/>
  <c r="L1021" i="1" s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3" i="1"/>
  <c r="K1002" i="1"/>
  <c r="D247" i="18" s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49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D227" i="18" s="1"/>
  <c r="E227" i="18" s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6" i="1"/>
  <c r="K792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2" i="1"/>
  <c r="K769" i="1"/>
  <c r="K768" i="1"/>
  <c r="K767" i="1"/>
  <c r="K766" i="1"/>
  <c r="L147" i="5" s="1"/>
  <c r="K765" i="1"/>
  <c r="K764" i="1"/>
  <c r="K763" i="1"/>
  <c r="K762" i="1"/>
  <c r="K761" i="1"/>
  <c r="K760" i="1"/>
  <c r="L153" i="5" s="1"/>
  <c r="K759" i="1"/>
  <c r="K758" i="1"/>
  <c r="K757" i="1"/>
  <c r="K756" i="1"/>
  <c r="K755" i="1"/>
  <c r="K754" i="1"/>
  <c r="L171" i="5" s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L326" i="5" s="1"/>
  <c r="K737" i="1"/>
  <c r="K736" i="1"/>
  <c r="L181" i="5" s="1"/>
  <c r="K735" i="1"/>
  <c r="K734" i="1"/>
  <c r="K733" i="1"/>
  <c r="K732" i="1"/>
  <c r="K731" i="1"/>
  <c r="K730" i="1"/>
  <c r="L172" i="5" s="1"/>
  <c r="K729" i="1"/>
  <c r="L159" i="5" s="1"/>
  <c r="K728" i="1"/>
  <c r="K727" i="1"/>
  <c r="K726" i="1"/>
  <c r="K725" i="1"/>
  <c r="K724" i="1"/>
  <c r="K723" i="1"/>
  <c r="K722" i="1"/>
  <c r="K721" i="1"/>
  <c r="K720" i="1"/>
  <c r="K719" i="1"/>
  <c r="K718" i="1"/>
  <c r="D138" i="18" s="1"/>
  <c r="K717" i="1"/>
  <c r="K716" i="1"/>
  <c r="K715" i="1"/>
  <c r="K714" i="1"/>
  <c r="L540" i="5" s="1"/>
  <c r="K713" i="1"/>
  <c r="K712" i="1"/>
  <c r="L178" i="5" s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L327" i="5" s="1"/>
  <c r="K613" i="1"/>
  <c r="K612" i="1"/>
  <c r="K611" i="1"/>
  <c r="K608" i="1"/>
  <c r="K607" i="1"/>
  <c r="K606" i="1"/>
  <c r="K605" i="1"/>
  <c r="K604" i="1"/>
  <c r="K603" i="1"/>
  <c r="K602" i="1"/>
  <c r="L173" i="5" s="1"/>
  <c r="K601" i="1"/>
  <c r="D31" i="18" s="1"/>
  <c r="E31" i="18" s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0" i="1"/>
  <c r="K459" i="1"/>
  <c r="K458" i="1"/>
  <c r="K457" i="1"/>
  <c r="K456" i="1"/>
  <c r="K455" i="1"/>
  <c r="K454" i="1"/>
  <c r="K452" i="1"/>
  <c r="K451" i="1"/>
  <c r="K450" i="1"/>
  <c r="K449" i="1"/>
  <c r="K448" i="1"/>
  <c r="K447" i="1"/>
  <c r="K1090" i="1"/>
  <c r="K1089" i="1"/>
  <c r="K1087" i="1"/>
  <c r="K1086" i="1"/>
  <c r="K1081" i="1"/>
  <c r="K1080" i="1"/>
  <c r="K576" i="1"/>
  <c r="K1048" i="1"/>
  <c r="K1047" i="1"/>
  <c r="K948" i="1"/>
  <c r="K1046" i="1"/>
  <c r="K947" i="1"/>
  <c r="K35" i="5"/>
  <c r="K495" i="11" s="1"/>
  <c r="I448" i="11"/>
  <c r="K307" i="5"/>
  <c r="K49" i="11" s="1"/>
  <c r="L278" i="11"/>
  <c r="M278" i="11" s="1"/>
  <c r="L280" i="11"/>
  <c r="M280" i="11" s="1"/>
  <c r="L279" i="11"/>
  <c r="M279" i="11" s="1"/>
  <c r="K17" i="5"/>
  <c r="K419" i="11" s="1"/>
  <c r="I257" i="10"/>
  <c r="K257" i="10" s="1"/>
  <c r="I215" i="11"/>
  <c r="I130" i="10"/>
  <c r="K130" i="10" s="1"/>
  <c r="K606" i="5"/>
  <c r="I175" i="12" s="1"/>
  <c r="G69" i="12"/>
  <c r="G184" i="12"/>
  <c r="G152" i="12"/>
  <c r="K158" i="5"/>
  <c r="I34" i="12" s="1"/>
  <c r="K631" i="5"/>
  <c r="I162" i="12" s="1"/>
  <c r="I626" i="11"/>
  <c r="I502" i="11"/>
  <c r="I661" i="11"/>
  <c r="H98" i="14"/>
  <c r="I99" i="11"/>
  <c r="K464" i="5"/>
  <c r="K37" i="11" s="1"/>
  <c r="I53" i="10"/>
  <c r="K53" i="10" s="1"/>
  <c r="K24" i="5"/>
  <c r="K348" i="11" s="1"/>
  <c r="I514" i="11"/>
  <c r="I547" i="11"/>
  <c r="I337" i="10"/>
  <c r="K337" i="10" s="1"/>
  <c r="I269" i="11"/>
  <c r="I599" i="11"/>
  <c r="K620" i="5"/>
  <c r="I256" i="12" s="1"/>
  <c r="I625" i="11"/>
  <c r="K529" i="5"/>
  <c r="K541" i="11" s="1"/>
  <c r="I460" i="10"/>
  <c r="K460" i="10" s="1"/>
  <c r="K222" i="5"/>
  <c r="K231" i="11" s="1"/>
  <c r="I414" i="11"/>
  <c r="G192" i="12"/>
  <c r="I147" i="11"/>
  <c r="K348" i="5"/>
  <c r="I238" i="12" s="1"/>
  <c r="I144" i="11"/>
  <c r="I113" i="11"/>
  <c r="H104" i="14"/>
  <c r="K433" i="5"/>
  <c r="J139" i="14" s="1"/>
  <c r="K537" i="5"/>
  <c r="J89" i="14" s="1"/>
  <c r="I68" i="10"/>
  <c r="K68" i="10" s="1"/>
  <c r="I325" i="11"/>
  <c r="I77" i="11"/>
  <c r="K571" i="5"/>
  <c r="K571" i="11" s="1"/>
  <c r="I467" i="11"/>
  <c r="I344" i="11"/>
  <c r="K53" i="5"/>
  <c r="K359" i="11" s="1"/>
  <c r="K331" i="5"/>
  <c r="K477" i="11" s="1"/>
  <c r="K168" i="5"/>
  <c r="K165" i="11" s="1"/>
  <c r="K5" i="5"/>
  <c r="K418" i="11" s="1"/>
  <c r="G183" i="12"/>
  <c r="K514" i="5"/>
  <c r="K447" i="11" s="1"/>
  <c r="I131" i="11"/>
  <c r="K127" i="5"/>
  <c r="K120" i="11" s="1"/>
  <c r="I107" i="11"/>
  <c r="K496" i="5"/>
  <c r="K433" i="11" s="1"/>
  <c r="K511" i="5"/>
  <c r="J137" i="14" s="1"/>
  <c r="I636" i="11"/>
  <c r="I657" i="11"/>
  <c r="K632" i="5"/>
  <c r="K646" i="11" s="1"/>
  <c r="I308" i="10"/>
  <c r="K308" i="10" s="1"/>
  <c r="K4" i="5"/>
  <c r="I253" i="12" s="1"/>
  <c r="G203" i="12"/>
  <c r="H56" i="14"/>
  <c r="I45" i="10"/>
  <c r="K45" i="10" s="1"/>
  <c r="I189" i="11"/>
  <c r="G170" i="12"/>
  <c r="I34" i="11"/>
  <c r="K561" i="5"/>
  <c r="J125" i="14" s="1"/>
  <c r="K329" i="5"/>
  <c r="K482" i="11" s="1"/>
  <c r="K41" i="5"/>
  <c r="K331" i="11" s="1"/>
  <c r="I464" i="11"/>
  <c r="I252" i="10"/>
  <c r="K252" i="10" s="1"/>
  <c r="I664" i="11"/>
  <c r="G163" i="12"/>
  <c r="K172" i="5"/>
  <c r="K169" i="11" s="1"/>
  <c r="K405" i="5"/>
  <c r="K78" i="11" s="1"/>
  <c r="I366" i="11"/>
  <c r="K519" i="5"/>
  <c r="K623" i="11" s="1"/>
  <c r="K220" i="5"/>
  <c r="K43" i="11" s="1"/>
  <c r="G89" i="12"/>
  <c r="K365" i="5"/>
  <c r="I193" i="12" s="1"/>
  <c r="K302" i="5"/>
  <c r="I54" i="12" s="1"/>
  <c r="K15" i="5"/>
  <c r="I63" i="12" s="1"/>
  <c r="I347" i="11"/>
  <c r="K325" i="5"/>
  <c r="K591" i="11" s="1"/>
  <c r="G156" i="12"/>
  <c r="G189" i="12"/>
  <c r="I385" i="10"/>
  <c r="K385" i="10" s="1"/>
  <c r="K525" i="5"/>
  <c r="K536" i="11" s="1"/>
  <c r="K130" i="5"/>
  <c r="J50" i="14" s="1"/>
  <c r="K119" i="5"/>
  <c r="K112" i="11" s="1"/>
  <c r="K293" i="5"/>
  <c r="J20" i="14" s="1"/>
  <c r="K99" i="5"/>
  <c r="K545" i="11" s="1"/>
  <c r="I515" i="11"/>
  <c r="I641" i="11"/>
  <c r="I333" i="11"/>
  <c r="K350" i="5"/>
  <c r="K445" i="11" s="1"/>
  <c r="I36" i="10"/>
  <c r="K36" i="10" s="1"/>
  <c r="I111" i="10"/>
  <c r="K111" i="10" s="1"/>
  <c r="K418" i="5"/>
  <c r="K628" i="11" s="1"/>
  <c r="K640" i="5"/>
  <c r="I261" i="12" s="1"/>
  <c r="K423" i="5"/>
  <c r="I159" i="12" s="1"/>
  <c r="G164" i="12"/>
  <c r="K43" i="5"/>
  <c r="K574" i="11" s="1"/>
  <c r="I543" i="11"/>
  <c r="K587" i="5"/>
  <c r="I12" i="12" s="1"/>
  <c r="K654" i="5"/>
  <c r="K564" i="11" s="1"/>
  <c r="I279" i="10"/>
  <c r="K279" i="10" s="1"/>
  <c r="K142" i="5"/>
  <c r="J65" i="14" s="1"/>
  <c r="K349" i="5"/>
  <c r="J106" i="14" s="1"/>
  <c r="H144" i="14"/>
  <c r="I360" i="11"/>
  <c r="K84" i="5"/>
  <c r="K81" i="11" s="1"/>
  <c r="I650" i="11"/>
  <c r="G141" i="12"/>
  <c r="G41" i="12"/>
  <c r="G179" i="12"/>
  <c r="K141" i="5"/>
  <c r="J64" i="14" s="1"/>
  <c r="K363" i="5"/>
  <c r="K392" i="11" s="1"/>
  <c r="I118" i="11"/>
  <c r="H146" i="14"/>
  <c r="I326" i="11"/>
  <c r="I86" i="11"/>
  <c r="K448" i="5"/>
  <c r="J70" i="14" s="1"/>
  <c r="I584" i="11"/>
  <c r="I424" i="11"/>
  <c r="I418" i="10"/>
  <c r="K418" i="10" s="1"/>
  <c r="K588" i="5"/>
  <c r="K607" i="11" s="1"/>
  <c r="H147" i="14"/>
  <c r="H103" i="14"/>
  <c r="I214" i="11"/>
  <c r="K323" i="5"/>
  <c r="K651" i="11" s="1"/>
  <c r="K173" i="5"/>
  <c r="I50" i="12" s="1"/>
  <c r="I160" i="11"/>
  <c r="I12" i="11"/>
  <c r="I465" i="11"/>
  <c r="G247" i="12"/>
  <c r="G237" i="12"/>
  <c r="K653" i="5"/>
  <c r="J63" i="14" s="1"/>
  <c r="K552" i="5"/>
  <c r="K640" i="11" s="1"/>
  <c r="K490" i="5"/>
  <c r="K481" i="11" s="1"/>
  <c r="K522" i="5"/>
  <c r="K480" i="11" s="1"/>
  <c r="K408" i="5"/>
  <c r="I133" i="12" s="1"/>
  <c r="I617" i="11"/>
  <c r="G209" i="12"/>
  <c r="K321" i="5"/>
  <c r="I167" i="12" s="1"/>
  <c r="I110" i="10"/>
  <c r="K110" i="10" s="1"/>
  <c r="K326" i="5"/>
  <c r="K605" i="11" s="1"/>
  <c r="I613" i="11"/>
  <c r="K535" i="5"/>
  <c r="K23" i="11" s="1"/>
  <c r="K517" i="5"/>
  <c r="K552" i="11" s="1"/>
  <c r="I505" i="11"/>
  <c r="K221" i="5"/>
  <c r="K230" i="11" s="1"/>
  <c r="I199" i="10"/>
  <c r="K199" i="10" s="1"/>
  <c r="K152" i="5"/>
  <c r="K145" i="11" s="1"/>
  <c r="K292" i="5"/>
  <c r="K143" i="11" s="1"/>
  <c r="K360" i="5"/>
  <c r="K549" i="11" s="1"/>
  <c r="K148" i="5"/>
  <c r="K593" i="11" s="1"/>
  <c r="K345" i="5"/>
  <c r="K351" i="11" s="1"/>
  <c r="I354" i="11"/>
  <c r="I345" i="10"/>
  <c r="K345" i="10" s="1"/>
  <c r="I403" i="11"/>
  <c r="K406" i="5"/>
  <c r="K422" i="11" s="1"/>
  <c r="I340" i="10"/>
  <c r="K340" i="10" s="1"/>
  <c r="K594" i="5"/>
  <c r="K621" i="11" s="1"/>
  <c r="I363" i="10"/>
  <c r="K363" i="10" s="1"/>
  <c r="I598" i="11"/>
  <c r="K352" i="5"/>
  <c r="K5" i="11" s="1"/>
  <c r="K636" i="5"/>
  <c r="I230" i="12" s="1"/>
  <c r="K23" i="5"/>
  <c r="K476" i="11" s="1"/>
  <c r="G246" i="12"/>
  <c r="K412" i="5"/>
  <c r="I23" i="12" s="1"/>
  <c r="I154" i="11"/>
  <c r="I38" i="11"/>
  <c r="K426" i="5"/>
  <c r="I118" i="12" s="1"/>
  <c r="G129" i="12"/>
  <c r="K138" i="5"/>
  <c r="K134" i="11" s="1"/>
  <c r="H117" i="14"/>
  <c r="I312" i="11"/>
  <c r="I655" i="11"/>
  <c r="I65" i="11"/>
  <c r="I595" i="11"/>
  <c r="I328" i="11"/>
  <c r="I299" i="11"/>
  <c r="G223" i="12"/>
  <c r="K305" i="5"/>
  <c r="I52" i="12" s="1"/>
  <c r="K335" i="5"/>
  <c r="I242" i="12" s="1"/>
  <c r="K126" i="5"/>
  <c r="J45" i="14" s="1"/>
  <c r="I631" i="11"/>
  <c r="K32" i="5"/>
  <c r="J110" i="14" s="1"/>
  <c r="I294" i="11"/>
  <c r="K313" i="5"/>
  <c r="K175" i="11" s="1"/>
  <c r="G252" i="12"/>
  <c r="G160" i="12"/>
  <c r="K30" i="5"/>
  <c r="K357" i="11" s="1"/>
  <c r="I530" i="11"/>
  <c r="I210" i="11"/>
  <c r="K629" i="5"/>
  <c r="K652" i="11" s="1"/>
  <c r="K414" i="5"/>
  <c r="K323" i="11" s="1"/>
  <c r="G248" i="12"/>
  <c r="G60" i="12"/>
  <c r="K170" i="5"/>
  <c r="K167" i="11" s="1"/>
  <c r="K394" i="5"/>
  <c r="K489" i="11" s="1"/>
  <c r="I629" i="11"/>
  <c r="K143" i="5"/>
  <c r="J149" i="14" s="1"/>
  <c r="I93" i="10"/>
  <c r="K93" i="10" s="1"/>
  <c r="I558" i="11"/>
  <c r="I390" i="11"/>
  <c r="H67" i="14"/>
  <c r="I590" i="11"/>
  <c r="H66" i="14"/>
  <c r="I6" i="11"/>
  <c r="I341" i="11"/>
  <c r="K494" i="5"/>
  <c r="K413" i="11" s="1"/>
  <c r="K56" i="5"/>
  <c r="K51" i="11" s="1"/>
  <c r="K516" i="5"/>
  <c r="K534" i="11" s="1"/>
  <c r="K425" i="5"/>
  <c r="K513" i="11" s="1"/>
  <c r="I451" i="11"/>
  <c r="I132" i="10"/>
  <c r="K132" i="10" s="1"/>
  <c r="I594" i="11"/>
  <c r="H132" i="14"/>
  <c r="I297" i="11"/>
  <c r="I587" i="11"/>
  <c r="I643" i="11"/>
  <c r="G181" i="12"/>
  <c r="K155" i="5"/>
  <c r="I30" i="12" s="1"/>
  <c r="I184" i="11"/>
  <c r="G112" i="12"/>
  <c r="K556" i="5"/>
  <c r="I157" i="12" s="1"/>
  <c r="H24" i="14"/>
  <c r="H76" i="14"/>
  <c r="I635" i="11"/>
  <c r="G139" i="12"/>
  <c r="I600" i="11"/>
  <c r="K499" i="5"/>
  <c r="J87" i="14" s="1"/>
  <c r="I3" i="11"/>
  <c r="I497" i="11"/>
  <c r="I229" i="11"/>
  <c r="K652" i="5"/>
  <c r="I190" i="12" s="1"/>
  <c r="K320" i="5"/>
  <c r="I123" i="12" s="1"/>
  <c r="K330" i="5"/>
  <c r="K308" i="11" s="1"/>
  <c r="K340" i="5"/>
  <c r="K185" i="11" s="1"/>
  <c r="I115" i="10"/>
  <c r="K115" i="10" s="1"/>
  <c r="I345" i="11"/>
  <c r="I411" i="11"/>
  <c r="K467" i="5"/>
  <c r="K407" i="11" s="1"/>
  <c r="I461" i="11"/>
  <c r="I219" i="11"/>
  <c r="G264" i="12"/>
  <c r="K650" i="5"/>
  <c r="I188" i="12" s="1"/>
  <c r="K353" i="5"/>
  <c r="I195" i="12" s="1"/>
  <c r="K548" i="5"/>
  <c r="I208" i="12" s="1"/>
  <c r="I166" i="11"/>
  <c r="G182" i="12"/>
  <c r="I107" i="10"/>
  <c r="K107" i="10" s="1"/>
  <c r="G215" i="12"/>
  <c r="K38" i="5"/>
  <c r="I173" i="12" s="1"/>
  <c r="I577" i="11"/>
  <c r="K109" i="5"/>
  <c r="K100" i="11" s="1"/>
  <c r="K506" i="5"/>
  <c r="J128" i="14" s="1"/>
  <c r="K410" i="5"/>
  <c r="J118" i="14" s="1"/>
  <c r="H143" i="14"/>
  <c r="I529" i="11"/>
  <c r="H122" i="14"/>
  <c r="I441" i="11"/>
  <c r="I460" i="11"/>
  <c r="I22" i="11"/>
  <c r="I369" i="11"/>
  <c r="I394" i="11"/>
  <c r="I377" i="11"/>
  <c r="K162" i="5"/>
  <c r="I38" i="12" s="1"/>
  <c r="I308" i="5"/>
  <c r="I497" i="10"/>
  <c r="K497" i="10" s="1"/>
  <c r="K458" i="5"/>
  <c r="K299" i="11" s="1"/>
  <c r="I236" i="11"/>
  <c r="I175" i="10"/>
  <c r="K175" i="10" s="1"/>
  <c r="I481" i="10"/>
  <c r="K481" i="10" s="1"/>
  <c r="K328" i="5"/>
  <c r="I92" i="12" s="1"/>
  <c r="K369" i="5"/>
  <c r="K343" i="11" s="1"/>
  <c r="I49" i="11"/>
  <c r="I321" i="11"/>
  <c r="I76" i="12"/>
  <c r="I438" i="11"/>
  <c r="G151" i="12"/>
  <c r="I417" i="11"/>
  <c r="I486" i="11"/>
  <c r="G19" i="12"/>
  <c r="K37" i="5"/>
  <c r="K337" i="11" s="1"/>
  <c r="H129" i="14"/>
  <c r="K243" i="5"/>
  <c r="K252" i="11" s="1"/>
  <c r="K249" i="5"/>
  <c r="K258" i="11" s="1"/>
  <c r="K306" i="5"/>
  <c r="K6" i="11" s="1"/>
  <c r="I41" i="11"/>
  <c r="K381" i="5"/>
  <c r="K478" i="11" s="1"/>
  <c r="I401" i="11"/>
  <c r="K209" i="5"/>
  <c r="K219" i="11" s="1"/>
  <c r="K79" i="5"/>
  <c r="K75" i="11" s="1"/>
  <c r="I218" i="10"/>
  <c r="K218" i="10" s="1"/>
  <c r="I365" i="10"/>
  <c r="K365" i="10" s="1"/>
  <c r="I362" i="10"/>
  <c r="K362" i="10" s="1"/>
  <c r="H64" i="14"/>
  <c r="I247" i="10"/>
  <c r="K247" i="10" s="1"/>
  <c r="K639" i="5"/>
  <c r="K658" i="11" s="1"/>
  <c r="I138" i="11"/>
  <c r="I471" i="11"/>
  <c r="K125" i="5"/>
  <c r="J44" i="14" s="1"/>
  <c r="H121" i="14"/>
  <c r="K482" i="5"/>
  <c r="K63" i="11" s="1"/>
  <c r="K357" i="5"/>
  <c r="K375" i="11" s="1"/>
  <c r="K655" i="5"/>
  <c r="K632" i="11" s="1"/>
  <c r="I35" i="11"/>
  <c r="K520" i="5"/>
  <c r="J140" i="14" s="1"/>
  <c r="H93" i="14"/>
  <c r="K483" i="5"/>
  <c r="I215" i="12" s="1"/>
  <c r="K565" i="5"/>
  <c r="K502" i="11" s="1"/>
  <c r="H101" i="14"/>
  <c r="I358" i="10"/>
  <c r="K358" i="10" s="1"/>
  <c r="H7" i="14"/>
  <c r="K510" i="5"/>
  <c r="K517" i="11" s="1"/>
  <c r="I81" i="11"/>
  <c r="K91" i="5"/>
  <c r="J66" i="14" s="1"/>
  <c r="I551" i="11"/>
  <c r="K6" i="5"/>
  <c r="I182" i="12" s="1"/>
  <c r="I392" i="11"/>
  <c r="I517" i="11"/>
  <c r="K436" i="5"/>
  <c r="K424" i="11" s="1"/>
  <c r="I370" i="10"/>
  <c r="K370" i="10" s="1"/>
  <c r="I467" i="10"/>
  <c r="K467" i="10" s="1"/>
  <c r="I23" i="11"/>
  <c r="K337" i="5"/>
  <c r="K467" i="11" s="1"/>
  <c r="K272" i="11"/>
  <c r="K515" i="5"/>
  <c r="J82" i="14" s="1"/>
  <c r="K96" i="5"/>
  <c r="J138" i="14" s="1"/>
  <c r="I375" i="11"/>
  <c r="H27" i="14"/>
  <c r="K22" i="5"/>
  <c r="K65" i="11" s="1"/>
  <c r="K89" i="5"/>
  <c r="K84" i="11" s="1"/>
  <c r="K421" i="5"/>
  <c r="K298" i="11" s="1"/>
  <c r="I452" i="11"/>
  <c r="H99" i="14"/>
  <c r="K368" i="5"/>
  <c r="K314" i="11" s="1"/>
  <c r="K669" i="5"/>
  <c r="K631" i="11" s="1"/>
  <c r="K646" i="5"/>
  <c r="K657" i="11" s="1"/>
  <c r="H90" i="14"/>
  <c r="K87" i="5"/>
  <c r="J9" i="14" s="1"/>
  <c r="I173" i="11"/>
  <c r="K430" i="5"/>
  <c r="K366" i="11" s="1"/>
  <c r="K649" i="5"/>
  <c r="K661" i="11" s="1"/>
  <c r="K175" i="5"/>
  <c r="I60" i="12" s="1"/>
  <c r="K100" i="5"/>
  <c r="K88" i="11" s="1"/>
  <c r="I241" i="10"/>
  <c r="K241" i="10" s="1"/>
  <c r="I20" i="11"/>
  <c r="I574" i="11"/>
  <c r="I478" i="11"/>
  <c r="K386" i="5"/>
  <c r="I129" i="12" s="1"/>
  <c r="K238" i="5"/>
  <c r="K247" i="11" s="1"/>
  <c r="K189" i="5"/>
  <c r="I84" i="12" s="1"/>
  <c r="I119" i="11"/>
  <c r="I46" i="10"/>
  <c r="K46" i="10" s="1"/>
  <c r="H3" i="14"/>
  <c r="K255" i="5"/>
  <c r="K264" i="11" s="1"/>
  <c r="K338" i="5"/>
  <c r="J91" i="14" s="1"/>
  <c r="I262" i="10"/>
  <c r="K262" i="10" s="1"/>
  <c r="I630" i="11"/>
  <c r="I315" i="11"/>
  <c r="H116" i="14"/>
  <c r="G6" i="12"/>
  <c r="I534" i="11"/>
  <c r="I95" i="12"/>
  <c r="K419" i="5"/>
  <c r="K486" i="11" s="1"/>
  <c r="I216" i="10"/>
  <c r="K216" i="10" s="1"/>
  <c r="I29" i="11"/>
  <c r="H148" i="14"/>
  <c r="I141" i="10"/>
  <c r="K141" i="10" s="1"/>
  <c r="K532" i="5"/>
  <c r="J132" i="14" s="1"/>
  <c r="H46" i="14"/>
  <c r="I175" i="11"/>
  <c r="I422" i="11"/>
  <c r="K404" i="5"/>
  <c r="K77" i="11" s="1"/>
  <c r="I33" i="11"/>
  <c r="K581" i="5"/>
  <c r="K585" i="11" s="1"/>
  <c r="K151" i="5"/>
  <c r="I29" i="12" s="1"/>
  <c r="G224" i="12"/>
  <c r="I571" i="11"/>
  <c r="I585" i="11"/>
  <c r="I94" i="11"/>
  <c r="K664" i="5"/>
  <c r="K388" i="11" s="1"/>
  <c r="I243" i="10"/>
  <c r="K243" i="10" s="1"/>
  <c r="I249" i="11"/>
  <c r="I342" i="10"/>
  <c r="K342" i="10" s="1"/>
  <c r="I648" i="11"/>
  <c r="I357" i="11"/>
  <c r="I57" i="11"/>
  <c r="I506" i="11"/>
  <c r="I311" i="11"/>
  <c r="K558" i="5"/>
  <c r="I179" i="12" s="1"/>
  <c r="K469" i="5"/>
  <c r="K339" i="11" s="1"/>
  <c r="K534" i="5"/>
  <c r="J93" i="14" s="1"/>
  <c r="K200" i="5"/>
  <c r="I93" i="12" s="1"/>
  <c r="K48" i="5"/>
  <c r="K505" i="11" s="1"/>
  <c r="K614" i="5"/>
  <c r="K514" i="11" s="1"/>
  <c r="I261" i="10"/>
  <c r="K261" i="10" s="1"/>
  <c r="I498" i="11"/>
  <c r="G161" i="12"/>
  <c r="H42" i="14"/>
  <c r="I632" i="11"/>
  <c r="G122" i="12"/>
  <c r="G138" i="12"/>
  <c r="I230" i="11"/>
  <c r="I98" i="12"/>
  <c r="I399" i="11"/>
  <c r="K583" i="5"/>
  <c r="K448" i="11" s="1"/>
  <c r="I416" i="10"/>
  <c r="K416" i="10" s="1"/>
  <c r="K642" i="5"/>
  <c r="K659" i="11" s="1"/>
  <c r="G116" i="12"/>
  <c r="G29" i="12"/>
  <c r="K641" i="5"/>
  <c r="I117" i="12" s="1"/>
  <c r="K486" i="5"/>
  <c r="K507" i="11" s="1"/>
  <c r="I456" i="10"/>
  <c r="K456" i="10" s="1"/>
  <c r="I331" i="11"/>
  <c r="I388" i="11"/>
  <c r="K613" i="5"/>
  <c r="K311" i="11" s="1"/>
  <c r="K236" i="5"/>
  <c r="K245" i="11" s="1"/>
  <c r="K226" i="5"/>
  <c r="K235" i="11" s="1"/>
  <c r="I380" i="10"/>
  <c r="K380" i="10" s="1"/>
  <c r="I507" i="11"/>
  <c r="I56" i="11"/>
  <c r="G188" i="12"/>
  <c r="K478" i="5"/>
  <c r="I225" i="12" s="1"/>
  <c r="K282" i="5"/>
  <c r="J78" i="14" s="1"/>
  <c r="K164" i="5"/>
  <c r="K159" i="11" s="1"/>
  <c r="K250" i="5"/>
  <c r="K259" i="11" s="1"/>
  <c r="K453" i="5"/>
  <c r="K441" i="11" s="1"/>
  <c r="K55" i="5"/>
  <c r="K22" i="11" s="1"/>
  <c r="K301" i="5"/>
  <c r="K188" i="11" s="1"/>
  <c r="I391" i="11"/>
  <c r="I250" i="11"/>
  <c r="M250" i="11" s="1"/>
  <c r="O250" i="11" s="1"/>
  <c r="I569" i="11"/>
  <c r="H82" i="14"/>
  <c r="G180" i="12"/>
  <c r="H140" i="14"/>
  <c r="I153" i="11"/>
  <c r="I71" i="10"/>
  <c r="K71" i="10" s="1"/>
  <c r="I298" i="11"/>
  <c r="I304" i="10"/>
  <c r="K304" i="10" s="1"/>
  <c r="K299" i="5"/>
  <c r="K401" i="11" s="1"/>
  <c r="K342" i="5"/>
  <c r="K630" i="11" s="1"/>
  <c r="K70" i="5"/>
  <c r="K64" i="11" s="1"/>
  <c r="I30" i="10"/>
  <c r="K30" i="10" s="1"/>
  <c r="G146" i="12"/>
  <c r="I447" i="11"/>
  <c r="G46" i="12"/>
  <c r="I445" i="11"/>
  <c r="G74" i="12"/>
  <c r="I118" i="10"/>
  <c r="K118" i="10" s="1"/>
  <c r="K16" i="5"/>
  <c r="K397" i="11" s="1"/>
  <c r="I397" i="11"/>
  <c r="G126" i="12"/>
  <c r="K285" i="5"/>
  <c r="K353" i="11" s="1"/>
  <c r="I353" i="11"/>
  <c r="G66" i="12"/>
  <c r="I239" i="11"/>
  <c r="K230" i="5"/>
  <c r="K239" i="11" s="1"/>
  <c r="I546" i="11"/>
  <c r="K513" i="5"/>
  <c r="K546" i="11" s="1"/>
  <c r="K245" i="5"/>
  <c r="K254" i="11" s="1"/>
  <c r="I254" i="11"/>
  <c r="K231" i="5"/>
  <c r="K240" i="11" s="1"/>
  <c r="S240" i="11" s="1"/>
  <c r="I240" i="11"/>
  <c r="M240" i="11" s="1"/>
  <c r="O240" i="11" s="1"/>
  <c r="K501" i="5"/>
  <c r="I5" i="12" s="1"/>
  <c r="I13" i="11"/>
  <c r="I374" i="11"/>
  <c r="K67" i="5"/>
  <c r="K374" i="11" s="1"/>
  <c r="I139" i="10"/>
  <c r="K139" i="10" s="1"/>
  <c r="K210" i="5"/>
  <c r="K220" i="11" s="1"/>
  <c r="K203" i="5"/>
  <c r="K210" i="11" s="1"/>
  <c r="I134" i="10"/>
  <c r="K134" i="10" s="1"/>
  <c r="I604" i="11"/>
  <c r="G232" i="12"/>
  <c r="G230" i="12"/>
  <c r="K252" i="5"/>
  <c r="K261" i="11" s="1"/>
  <c r="I261" i="11"/>
  <c r="K124" i="5"/>
  <c r="J43" i="14" s="1"/>
  <c r="K411" i="5"/>
  <c r="K436" i="11" s="1"/>
  <c r="K666" i="5"/>
  <c r="K310" i="11" s="1"/>
  <c r="I476" i="11"/>
  <c r="G221" i="12"/>
  <c r="K502" i="5"/>
  <c r="K580" i="11" s="1"/>
  <c r="I427" i="11"/>
  <c r="K284" i="5"/>
  <c r="K427" i="11" s="1"/>
  <c r="K289" i="5"/>
  <c r="I211" i="11"/>
  <c r="G119" i="12"/>
  <c r="I320" i="11"/>
  <c r="I288" i="10"/>
  <c r="K288" i="10" s="1"/>
  <c r="I542" i="5"/>
  <c r="I495" i="5"/>
  <c r="G4" i="12"/>
  <c r="K643" i="5"/>
  <c r="K10" i="11" s="1"/>
  <c r="I192" i="11"/>
  <c r="K668" i="5"/>
  <c r="I78" i="12" s="1"/>
  <c r="K416" i="5"/>
  <c r="I8" i="12" s="1"/>
  <c r="I245" i="10"/>
  <c r="K245" i="10" s="1"/>
  <c r="I16" i="11"/>
  <c r="G8" i="12"/>
  <c r="I228" i="11"/>
  <c r="K218" i="5"/>
  <c r="K228" i="11" s="1"/>
  <c r="G123" i="12"/>
  <c r="K545" i="5"/>
  <c r="I111" i="12" s="1"/>
  <c r="G111" i="12"/>
  <c r="I227" i="11"/>
  <c r="K217" i="5"/>
  <c r="K227" i="11" s="1"/>
  <c r="K193" i="5"/>
  <c r="K200" i="11" s="1"/>
  <c r="I200" i="11"/>
  <c r="I125" i="10"/>
  <c r="K125" i="10" s="1"/>
  <c r="G200" i="12"/>
  <c r="I540" i="11"/>
  <c r="K192" i="5"/>
  <c r="K540" i="11" s="1"/>
  <c r="K598" i="5"/>
  <c r="K641" i="11" s="1"/>
  <c r="K194" i="5"/>
  <c r="I88" i="12" s="1"/>
  <c r="I134" i="12"/>
  <c r="K381" i="11"/>
  <c r="I251" i="11"/>
  <c r="K163" i="5"/>
  <c r="I45" i="12" s="1"/>
  <c r="K442" i="5"/>
  <c r="K317" i="11" s="1"/>
  <c r="I120" i="10"/>
  <c r="K120" i="10" s="1"/>
  <c r="G190" i="12"/>
  <c r="I226" i="11"/>
  <c r="I31" i="10"/>
  <c r="K31" i="10" s="1"/>
  <c r="K607" i="5"/>
  <c r="K174" i="11" s="1"/>
  <c r="G61" i="12"/>
  <c r="I174" i="11"/>
  <c r="K605" i="5"/>
  <c r="I642" i="11"/>
  <c r="I452" i="10"/>
  <c r="K452" i="10" s="1"/>
  <c r="I338" i="11"/>
  <c r="G118" i="12"/>
  <c r="H52" i="14"/>
  <c r="I126" i="11"/>
  <c r="I85" i="10"/>
  <c r="K85" i="10" s="1"/>
  <c r="K120" i="5"/>
  <c r="K295" i="5"/>
  <c r="K96" i="11" s="1"/>
  <c r="H22" i="14"/>
  <c r="I96" i="11"/>
  <c r="H15" i="14"/>
  <c r="K101" i="5"/>
  <c r="K89" i="11" s="1"/>
  <c r="K403" i="5"/>
  <c r="K611" i="11" s="1"/>
  <c r="I611" i="11"/>
  <c r="I51" i="11"/>
  <c r="I47" i="11"/>
  <c r="K310" i="5"/>
  <c r="K47" i="11" s="1"/>
  <c r="I380" i="11"/>
  <c r="K25" i="5"/>
  <c r="K380" i="11" s="1"/>
  <c r="I610" i="11"/>
  <c r="K557" i="5"/>
  <c r="K610" i="11" s="1"/>
  <c r="I42" i="10"/>
  <c r="K42" i="10" s="1"/>
  <c r="I50" i="11"/>
  <c r="K169" i="5"/>
  <c r="I53" i="12" s="1"/>
  <c r="K254" i="5"/>
  <c r="K263" i="11" s="1"/>
  <c r="I605" i="11"/>
  <c r="K373" i="5"/>
  <c r="J103" i="14" s="1"/>
  <c r="K387" i="5"/>
  <c r="K403" i="11" s="1"/>
  <c r="I127" i="10"/>
  <c r="K127" i="10" s="1"/>
  <c r="I522" i="11"/>
  <c r="I185" i="11"/>
  <c r="I180" i="11"/>
  <c r="G67" i="12"/>
  <c r="I99" i="12"/>
  <c r="I193" i="10"/>
  <c r="K193" i="10" s="1"/>
  <c r="G113" i="12"/>
  <c r="I108" i="10"/>
  <c r="K108" i="10" s="1"/>
  <c r="G168" i="12"/>
  <c r="G233" i="12"/>
  <c r="I100" i="12"/>
  <c r="K277" i="11"/>
  <c r="K498" i="5"/>
  <c r="K460" i="11" s="1"/>
  <c r="I602" i="11"/>
  <c r="I98" i="11"/>
  <c r="K46" i="5"/>
  <c r="K98" i="11" s="1"/>
  <c r="K45" i="5"/>
  <c r="K456" i="11" s="1"/>
  <c r="H119" i="14"/>
  <c r="I583" i="11"/>
  <c r="K347" i="5"/>
  <c r="K583" i="11" s="1"/>
  <c r="I220" i="11"/>
  <c r="I456" i="11"/>
  <c r="G5" i="12"/>
  <c r="I70" i="11"/>
  <c r="I227" i="10"/>
  <c r="K227" i="10" s="1"/>
  <c r="K346" i="5"/>
  <c r="K70" i="11" s="1"/>
  <c r="H134" i="14"/>
  <c r="K20" i="5"/>
  <c r="K466" i="11" s="1"/>
  <c r="I466" i="11"/>
  <c r="K371" i="5"/>
  <c r="K563" i="11" s="1"/>
  <c r="I563" i="11"/>
  <c r="I608" i="11"/>
  <c r="K318" i="5"/>
  <c r="K608" i="11" s="1"/>
  <c r="G84" i="12"/>
  <c r="G191" i="12"/>
  <c r="I523" i="11"/>
  <c r="I395" i="11"/>
  <c r="K500" i="5"/>
  <c r="K395" i="11" s="1"/>
  <c r="I479" i="11"/>
  <c r="K12" i="5"/>
  <c r="I170" i="12" s="1"/>
  <c r="K434" i="5"/>
  <c r="K25" i="11" s="1"/>
  <c r="K396" i="5"/>
  <c r="K390" i="11" s="1"/>
  <c r="I287" i="11"/>
  <c r="K105" i="5"/>
  <c r="K287" i="11" s="1"/>
  <c r="K47" i="5"/>
  <c r="K35" i="11" s="1"/>
  <c r="K634" i="5"/>
  <c r="K653" i="11" s="1"/>
  <c r="K398" i="5"/>
  <c r="K550" i="11" s="1"/>
  <c r="I206" i="11"/>
  <c r="G157" i="12"/>
  <c r="I519" i="11"/>
  <c r="I368" i="10"/>
  <c r="K368" i="10" s="1"/>
  <c r="I633" i="11"/>
  <c r="K527" i="5"/>
  <c r="K633" i="11" s="1"/>
  <c r="I91" i="10"/>
  <c r="K91" i="10" s="1"/>
  <c r="H45" i="14"/>
  <c r="K449" i="5"/>
  <c r="K465" i="11" s="1"/>
  <c r="K380" i="5"/>
  <c r="K450" i="5"/>
  <c r="I19" i="12" s="1"/>
  <c r="K156" i="5"/>
  <c r="I457" i="11"/>
  <c r="I483" i="10"/>
  <c r="K483" i="10" s="1"/>
  <c r="I217" i="10"/>
  <c r="K217" i="10" s="1"/>
  <c r="I510" i="11"/>
  <c r="K375" i="5"/>
  <c r="K510" i="11" s="1"/>
  <c r="I296" i="10"/>
  <c r="K296" i="10" s="1"/>
  <c r="H70" i="14"/>
  <c r="I357" i="10"/>
  <c r="K357" i="10" s="1"/>
  <c r="K518" i="5"/>
  <c r="K538" i="5"/>
  <c r="I304" i="11"/>
  <c r="K615" i="5"/>
  <c r="H75" i="14"/>
  <c r="I302" i="11"/>
  <c r="H4" i="14"/>
  <c r="I560" i="11"/>
  <c r="H135" i="14"/>
  <c r="K462" i="5"/>
  <c r="I596" i="11"/>
  <c r="K459" i="5"/>
  <c r="K596" i="11" s="1"/>
  <c r="I291" i="10"/>
  <c r="K291" i="10" s="1"/>
  <c r="I621" i="11"/>
  <c r="I607" i="11"/>
  <c r="I513" i="11"/>
  <c r="K298" i="5"/>
  <c r="I183" i="11"/>
  <c r="K147" i="5"/>
  <c r="I149" i="12" s="1"/>
  <c r="G65" i="12"/>
  <c r="K223" i="5"/>
  <c r="K232" i="11" s="1"/>
  <c r="S232" i="11" s="1"/>
  <c r="I232" i="11"/>
  <c r="M232" i="11" s="1"/>
  <c r="K214" i="5"/>
  <c r="K224" i="11" s="1"/>
  <c r="K71" i="5"/>
  <c r="K66" i="11" s="1"/>
  <c r="I50" i="10"/>
  <c r="K50" i="10" s="1"/>
  <c r="I66" i="11"/>
  <c r="I62" i="11"/>
  <c r="I7" i="11"/>
  <c r="K366" i="5"/>
  <c r="K7" i="11" s="1"/>
  <c r="I518" i="11"/>
  <c r="I248" i="11"/>
  <c r="K239" i="5"/>
  <c r="K248" i="11" s="1"/>
  <c r="I663" i="11"/>
  <c r="I205" i="10"/>
  <c r="K205" i="10" s="1"/>
  <c r="K344" i="5"/>
  <c r="K663" i="11" s="1"/>
  <c r="K3" i="5"/>
  <c r="G143" i="12"/>
  <c r="I7" i="10"/>
  <c r="K7" i="10" s="1"/>
  <c r="I31" i="11"/>
  <c r="K10" i="5"/>
  <c r="K31" i="11" s="1"/>
  <c r="I8" i="11"/>
  <c r="K80" i="5"/>
  <c r="K8" i="11" s="1"/>
  <c r="I44" i="10"/>
  <c r="K44" i="10" s="1"/>
  <c r="I55" i="11"/>
  <c r="I615" i="11"/>
  <c r="K638" i="5"/>
  <c r="K615" i="11" s="1"/>
  <c r="I353" i="10"/>
  <c r="K353" i="10" s="1"/>
  <c r="K201" i="5"/>
  <c r="K208" i="11" s="1"/>
  <c r="I208" i="11"/>
  <c r="I564" i="11"/>
  <c r="G211" i="12"/>
  <c r="I399" i="10"/>
  <c r="K399" i="10" s="1"/>
  <c r="I186" i="11"/>
  <c r="I117" i="10"/>
  <c r="K117" i="10" s="1"/>
  <c r="K618" i="5"/>
  <c r="G257" i="12"/>
  <c r="I464" i="10"/>
  <c r="K464" i="10" s="1"/>
  <c r="I189" i="10"/>
  <c r="K189" i="10" s="1"/>
  <c r="K327" i="5"/>
  <c r="I141" i="12" s="1"/>
  <c r="I442" i="11"/>
  <c r="K465" i="5"/>
  <c r="I153" i="12" s="1"/>
  <c r="G153" i="12"/>
  <c r="I368" i="11"/>
  <c r="I512" i="11"/>
  <c r="K354" i="5"/>
  <c r="K512" i="11" s="1"/>
  <c r="I4" i="11"/>
  <c r="K63" i="5"/>
  <c r="K4" i="11" s="1"/>
  <c r="K377" i="5"/>
  <c r="K389" i="11" s="1"/>
  <c r="I194" i="10"/>
  <c r="K194" i="10" s="1"/>
  <c r="I152" i="10"/>
  <c r="K152" i="10" s="1"/>
  <c r="I386" i="11"/>
  <c r="I147" i="10"/>
  <c r="K147" i="10" s="1"/>
  <c r="K50" i="5"/>
  <c r="K386" i="11" s="1"/>
  <c r="K303" i="5"/>
  <c r="K186" i="11" s="1"/>
  <c r="K246" i="5"/>
  <c r="K255" i="11" s="1"/>
  <c r="K549" i="5"/>
  <c r="I38" i="10"/>
  <c r="K38" i="10" s="1"/>
  <c r="K77" i="5"/>
  <c r="K73" i="11" s="1"/>
  <c r="I73" i="11"/>
  <c r="I471" i="10"/>
  <c r="K471" i="10" s="1"/>
  <c r="I434" i="11"/>
  <c r="K595" i="5"/>
  <c r="K434" i="11" s="1"/>
  <c r="I649" i="11"/>
  <c r="K661" i="5"/>
  <c r="K649" i="11" s="1"/>
  <c r="I218" i="11"/>
  <c r="K208" i="5"/>
  <c r="K218" i="11" s="1"/>
  <c r="I575" i="11"/>
  <c r="G218" i="12"/>
  <c r="K388" i="5"/>
  <c r="H25" i="14"/>
  <c r="I580" i="11"/>
  <c r="I319" i="11"/>
  <c r="I515" i="10"/>
  <c r="K515" i="10" s="1"/>
  <c r="I348" i="11"/>
  <c r="I256" i="10"/>
  <c r="K256" i="10" s="1"/>
  <c r="K61" i="5"/>
  <c r="K55" i="11" s="1"/>
  <c r="K108" i="5"/>
  <c r="J25" i="14" s="1"/>
  <c r="K224" i="5"/>
  <c r="K233" i="11" s="1"/>
  <c r="K541" i="5"/>
  <c r="K595" i="11" s="1"/>
  <c r="I449" i="11"/>
  <c r="I72" i="11"/>
  <c r="K76" i="5"/>
  <c r="K72" i="11" s="1"/>
  <c r="I299" i="10"/>
  <c r="K299" i="10" s="1"/>
  <c r="K456" i="5"/>
  <c r="I11" i="12" s="1"/>
  <c r="K600" i="5"/>
  <c r="I214" i="12" s="1"/>
  <c r="I568" i="11"/>
  <c r="G214" i="12"/>
  <c r="I181" i="10"/>
  <c r="K181" i="10" s="1"/>
  <c r="I421" i="11"/>
  <c r="H109" i="14"/>
  <c r="K97" i="5"/>
  <c r="J13" i="14" s="1"/>
  <c r="H13" i="14"/>
  <c r="I524" i="11"/>
  <c r="K530" i="5"/>
  <c r="K524" i="11" s="1"/>
  <c r="K358" i="5"/>
  <c r="K487" i="11" s="1"/>
  <c r="I487" i="11"/>
  <c r="K184" i="5"/>
  <c r="K9" i="11" s="1"/>
  <c r="G3" i="12"/>
  <c r="K316" i="5"/>
  <c r="I15" i="11"/>
  <c r="G7" i="12"/>
  <c r="I469" i="11"/>
  <c r="K451" i="5"/>
  <c r="G56" i="12"/>
  <c r="I179" i="11"/>
  <c r="K178" i="5"/>
  <c r="K179" i="11" s="1"/>
  <c r="I412" i="11"/>
  <c r="G142" i="12"/>
  <c r="I92" i="11"/>
  <c r="K593" i="5"/>
  <c r="K587" i="11" s="1"/>
  <c r="G91" i="12"/>
  <c r="I296" i="11"/>
  <c r="K191" i="5"/>
  <c r="I538" i="11"/>
  <c r="K596" i="5"/>
  <c r="I198" i="12" s="1"/>
  <c r="I660" i="11"/>
  <c r="G261" i="12"/>
  <c r="G259" i="12"/>
  <c r="I652" i="11"/>
  <c r="I323" i="11"/>
  <c r="G115" i="12"/>
  <c r="G250" i="12"/>
  <c r="I638" i="11"/>
  <c r="G64" i="12"/>
  <c r="I177" i="11"/>
  <c r="K176" i="5"/>
  <c r="I562" i="11"/>
  <c r="K539" i="5"/>
  <c r="I210" i="12" s="1"/>
  <c r="G210" i="12"/>
  <c r="G154" i="12"/>
  <c r="I186" i="10"/>
  <c r="K186" i="10" s="1"/>
  <c r="K324" i="5"/>
  <c r="I154" i="12" s="1"/>
  <c r="G33" i="12"/>
  <c r="I207" i="10"/>
  <c r="K207" i="10" s="1"/>
  <c r="G20" i="12"/>
  <c r="I33" i="10"/>
  <c r="K33" i="10" s="1"/>
  <c r="K144" i="5"/>
  <c r="I36" i="11"/>
  <c r="G27" i="12"/>
  <c r="K150" i="5"/>
  <c r="K142" i="11" s="1"/>
  <c r="G219" i="12"/>
  <c r="K468" i="5"/>
  <c r="K577" i="11" s="1"/>
  <c r="G145" i="12"/>
  <c r="I416" i="11"/>
  <c r="H60" i="14"/>
  <c r="H50" i="14"/>
  <c r="I124" i="11"/>
  <c r="I84" i="10"/>
  <c r="K84" i="10" s="1"/>
  <c r="H38" i="14"/>
  <c r="I112" i="11"/>
  <c r="I102" i="11"/>
  <c r="K110" i="5"/>
  <c r="J28" i="14" s="1"/>
  <c r="I428" i="10"/>
  <c r="K428" i="10" s="1"/>
  <c r="H126" i="14"/>
  <c r="K589" i="5"/>
  <c r="J126" i="14" s="1"/>
  <c r="H115" i="14"/>
  <c r="I443" i="11"/>
  <c r="K568" i="5"/>
  <c r="I545" i="11"/>
  <c r="I155" i="10"/>
  <c r="K155" i="10" s="1"/>
  <c r="H131" i="14"/>
  <c r="I60" i="10"/>
  <c r="K60" i="10" s="1"/>
  <c r="K86" i="5"/>
  <c r="I82" i="11"/>
  <c r="H8" i="14"/>
  <c r="K488" i="5"/>
  <c r="K411" i="11" s="1"/>
  <c r="K359" i="5"/>
  <c r="K147" i="11" s="1"/>
  <c r="I389" i="11"/>
  <c r="K247" i="5"/>
  <c r="K256" i="11" s="1"/>
  <c r="I256" i="11"/>
  <c r="K233" i="5"/>
  <c r="K242" i="11" s="1"/>
  <c r="I242" i="11"/>
  <c r="I43" i="11"/>
  <c r="I162" i="10"/>
  <c r="K162" i="10" s="1"/>
  <c r="I458" i="11"/>
  <c r="K319" i="5"/>
  <c r="K458" i="11" s="1"/>
  <c r="K637" i="5"/>
  <c r="K637" i="11" s="1"/>
  <c r="I637" i="11"/>
  <c r="G249" i="12"/>
  <c r="G14" i="12"/>
  <c r="K149" i="5"/>
  <c r="I26" i="12" s="1"/>
  <c r="K435" i="5"/>
  <c r="I178" i="12" s="1"/>
  <c r="G178" i="12"/>
  <c r="I496" i="11"/>
  <c r="K137" i="5"/>
  <c r="J59" i="14" s="1"/>
  <c r="H59" i="14"/>
  <c r="I133" i="11"/>
  <c r="I358" i="11"/>
  <c r="H92" i="14"/>
  <c r="I153" i="10"/>
  <c r="K153" i="10" s="1"/>
  <c r="K93" i="5"/>
  <c r="K303" i="11" s="1"/>
  <c r="I71" i="11"/>
  <c r="I238" i="10"/>
  <c r="K238" i="10" s="1"/>
  <c r="K602" i="5"/>
  <c r="K435" i="11" s="1"/>
  <c r="I435" i="11"/>
  <c r="I275" i="10"/>
  <c r="K275" i="10" s="1"/>
  <c r="K333" i="5"/>
  <c r="K328" i="11" s="1"/>
  <c r="I322" i="11"/>
  <c r="K187" i="5"/>
  <c r="K550" i="5"/>
  <c r="K3" i="11" s="1"/>
  <c r="I446" i="11"/>
  <c r="K481" i="5"/>
  <c r="K312" i="11" s="1"/>
  <c r="K68" i="5"/>
  <c r="K61" i="11" s="1"/>
  <c r="I61" i="11"/>
  <c r="I47" i="10"/>
  <c r="K47" i="10" s="1"/>
  <c r="I528" i="11"/>
  <c r="K505" i="5"/>
  <c r="K528" i="11" s="1"/>
  <c r="I402" i="11"/>
  <c r="K362" i="5"/>
  <c r="K402" i="11" s="1"/>
  <c r="K443" i="5"/>
  <c r="I100" i="10"/>
  <c r="K100" i="10" s="1"/>
  <c r="I548" i="11"/>
  <c r="H28" i="14"/>
  <c r="H127" i="14"/>
  <c r="I142" i="11"/>
  <c r="K309" i="5"/>
  <c r="J57" i="14" s="1"/>
  <c r="H57" i="14"/>
  <c r="K626" i="5"/>
  <c r="K297" i="11" s="1"/>
  <c r="K648" i="5"/>
  <c r="I250" i="12" s="1"/>
  <c r="G53" i="12"/>
  <c r="I76" i="10"/>
  <c r="K76" i="10" s="1"/>
  <c r="H20" i="14"/>
  <c r="I104" i="10"/>
  <c r="K104" i="10" s="1"/>
  <c r="I134" i="11"/>
  <c r="K374" i="5"/>
  <c r="K499" i="11" s="1"/>
  <c r="I499" i="11"/>
  <c r="I379" i="11"/>
  <c r="I407" i="10"/>
  <c r="K407" i="10" s="1"/>
  <c r="G130" i="12"/>
  <c r="I232" i="10"/>
  <c r="K232" i="10" s="1"/>
  <c r="K466" i="5"/>
  <c r="G133" i="12"/>
  <c r="I405" i="11"/>
  <c r="I468" i="11"/>
  <c r="I237" i="10"/>
  <c r="K237" i="10" s="1"/>
  <c r="K531" i="5"/>
  <c r="K410" i="11" s="1"/>
  <c r="I410" i="11"/>
  <c r="I45" i="11"/>
  <c r="K390" i="5"/>
  <c r="K400" i="11" s="1"/>
  <c r="I140" i="12"/>
  <c r="K396" i="11"/>
  <c r="K566" i="5"/>
  <c r="I218" i="12" s="1"/>
  <c r="K554" i="5"/>
  <c r="K322" i="11" s="1"/>
  <c r="I9" i="11"/>
  <c r="I378" i="11"/>
  <c r="K487" i="5"/>
  <c r="K378" i="11" s="1"/>
  <c r="I622" i="11"/>
  <c r="K611" i="5"/>
  <c r="K622" i="11" s="1"/>
  <c r="K601" i="5"/>
  <c r="G93" i="12"/>
  <c r="I490" i="11"/>
  <c r="G175" i="12"/>
  <c r="G202" i="12"/>
  <c r="K627" i="5"/>
  <c r="K542" i="11" s="1"/>
  <c r="G72" i="12"/>
  <c r="I202" i="10"/>
  <c r="K202" i="10" s="1"/>
  <c r="G59" i="12"/>
  <c r="G159" i="12"/>
  <c r="I459" i="11"/>
  <c r="G155" i="12"/>
  <c r="K492" i="5"/>
  <c r="K452" i="11" s="1"/>
  <c r="I106" i="10"/>
  <c r="K106" i="10" s="1"/>
  <c r="I390" i="10"/>
  <c r="K390" i="10" s="1"/>
  <c r="G21" i="12"/>
  <c r="K551" i="5"/>
  <c r="G120" i="12"/>
  <c r="K582" i="5"/>
  <c r="K345" i="11" s="1"/>
  <c r="G24" i="12"/>
  <c r="I140" i="11"/>
  <c r="H39" i="14"/>
  <c r="H89" i="14"/>
  <c r="I89" i="11"/>
  <c r="H81" i="14"/>
  <c r="I161" i="10"/>
  <c r="K161" i="10" s="1"/>
  <c r="K88" i="5"/>
  <c r="J81" i="14" s="1"/>
  <c r="I23" i="10"/>
  <c r="K23" i="10" s="1"/>
  <c r="I431" i="11"/>
  <c r="K376" i="5"/>
  <c r="K431" i="11" s="1"/>
  <c r="K528" i="5"/>
  <c r="G96" i="12"/>
  <c r="I78" i="11"/>
  <c r="I446" i="10"/>
  <c r="K446" i="10" s="1"/>
  <c r="I44" i="11"/>
  <c r="K36" i="5"/>
  <c r="K369" i="11" s="1"/>
  <c r="K361" i="5"/>
  <c r="G244" i="12"/>
  <c r="G216" i="12"/>
  <c r="I659" i="11"/>
  <c r="I88" i="10"/>
  <c r="K88" i="10" s="1"/>
  <c r="I130" i="11"/>
  <c r="K547" i="5"/>
  <c r="K544" i="11" s="1"/>
  <c r="K472" i="5"/>
  <c r="J79" i="14" s="1"/>
  <c r="K229" i="5"/>
  <c r="K238" i="11" s="1"/>
  <c r="K585" i="5"/>
  <c r="I169" i="10"/>
  <c r="K169" i="10" s="1"/>
  <c r="G256" i="12"/>
  <c r="I93" i="11"/>
  <c r="I137" i="10"/>
  <c r="K137" i="10" s="1"/>
  <c r="K206" i="5"/>
  <c r="K214" i="11" s="1"/>
  <c r="I339" i="11"/>
  <c r="K474" i="5"/>
  <c r="I320" i="10"/>
  <c r="K320" i="10" s="1"/>
  <c r="K19" i="5"/>
  <c r="I125" i="11"/>
  <c r="I351" i="11"/>
  <c r="H91" i="14"/>
  <c r="K546" i="5"/>
  <c r="K309" i="11" s="1"/>
  <c r="I445" i="10"/>
  <c r="K445" i="10" s="1"/>
  <c r="K62" i="5"/>
  <c r="K56" i="11" s="1"/>
  <c r="I203" i="10"/>
  <c r="K203" i="10" s="1"/>
  <c r="H118" i="14"/>
  <c r="I450" i="11"/>
  <c r="K28" i="5"/>
  <c r="K341" i="11" s="1"/>
  <c r="I418" i="11"/>
  <c r="G205" i="12"/>
  <c r="I188" i="11"/>
  <c r="I514" i="10"/>
  <c r="K514" i="10" s="1"/>
  <c r="K256" i="5"/>
  <c r="K265" i="11" s="1"/>
  <c r="I265" i="11"/>
  <c r="I432" i="11"/>
  <c r="K420" i="5"/>
  <c r="K428" i="5"/>
  <c r="I151" i="12" s="1"/>
  <c r="I74" i="10"/>
  <c r="K74" i="10" s="1"/>
  <c r="I154" i="10"/>
  <c r="K154" i="10" s="1"/>
  <c r="I508" i="11"/>
  <c r="K8" i="5"/>
  <c r="I184" i="12" s="1"/>
  <c r="I634" i="11"/>
  <c r="K460" i="5"/>
  <c r="I457" i="10"/>
  <c r="K457" i="10" s="1"/>
  <c r="I159" i="11"/>
  <c r="G36" i="12"/>
  <c r="I150" i="11"/>
  <c r="I120" i="11"/>
  <c r="I79" i="10"/>
  <c r="K79" i="10" s="1"/>
  <c r="I433" i="11"/>
  <c r="H111" i="14"/>
  <c r="I579" i="11"/>
  <c r="H137" i="14"/>
  <c r="K444" i="5"/>
  <c r="K377" i="11" s="1"/>
  <c r="K34" i="5"/>
  <c r="K391" i="11" s="1"/>
  <c r="K132" i="5"/>
  <c r="J52" i="14" s="1"/>
  <c r="K29" i="5"/>
  <c r="K294" i="11" s="1"/>
  <c r="K485" i="5"/>
  <c r="K212" i="5"/>
  <c r="K29" i="11" s="1"/>
  <c r="I92" i="10"/>
  <c r="K92" i="10" s="1"/>
  <c r="I367" i="11"/>
  <c r="I302" i="10"/>
  <c r="K302" i="10" s="1"/>
  <c r="I17" i="11"/>
  <c r="I306" i="11"/>
  <c r="I550" i="11"/>
  <c r="I330" i="10"/>
  <c r="K330" i="10" s="1"/>
  <c r="G225" i="12"/>
  <c r="I374" i="10"/>
  <c r="K374" i="10" s="1"/>
  <c r="I220" i="10"/>
  <c r="K220" i="10" s="1"/>
  <c r="K59" i="5"/>
  <c r="K53" i="11" s="1"/>
  <c r="I53" i="11"/>
  <c r="K278" i="5"/>
  <c r="K334" i="11" s="1"/>
  <c r="I242" i="10"/>
  <c r="K242" i="10" s="1"/>
  <c r="I378" i="10"/>
  <c r="K378" i="10" s="1"/>
  <c r="I420" i="11"/>
  <c r="K573" i="5"/>
  <c r="K420" i="11" s="1"/>
  <c r="K195" i="5"/>
  <c r="I177" i="10"/>
  <c r="K177" i="10" s="1"/>
  <c r="G62" i="12"/>
  <c r="I570" i="11"/>
  <c r="K334" i="5"/>
  <c r="I317" i="10"/>
  <c r="K317" i="10" s="1"/>
  <c r="K454" i="5"/>
  <c r="K130" i="11" s="1"/>
  <c r="I618" i="11"/>
  <c r="K591" i="5"/>
  <c r="I51" i="10"/>
  <c r="K51" i="10" s="1"/>
  <c r="I67" i="11"/>
  <c r="I429" i="11"/>
  <c r="H114" i="13"/>
  <c r="I419" i="10"/>
  <c r="K419" i="10" s="1"/>
  <c r="I215" i="10"/>
  <c r="K215" i="10" s="1"/>
  <c r="I5" i="11"/>
  <c r="I520" i="11"/>
  <c r="K417" i="5"/>
  <c r="K520" i="11" s="1"/>
  <c r="K341" i="5"/>
  <c r="K95" i="5"/>
  <c r="J129" i="14" s="1"/>
  <c r="I202" i="11"/>
  <c r="I229" i="10"/>
  <c r="K229" i="10" s="1"/>
  <c r="G150" i="12"/>
  <c r="I484" i="11"/>
  <c r="I138" i="10"/>
  <c r="K138" i="10" s="1"/>
  <c r="I557" i="11"/>
  <c r="G208" i="12"/>
  <c r="G114" i="12"/>
  <c r="I105" i="10"/>
  <c r="K105" i="10" s="1"/>
  <c r="I213" i="10"/>
  <c r="K213" i="10" s="1"/>
  <c r="G186" i="12"/>
  <c r="I90" i="10"/>
  <c r="K90" i="10" s="1"/>
  <c r="H44" i="14"/>
  <c r="K440" i="5"/>
  <c r="K86" i="11" s="1"/>
  <c r="H12" i="14"/>
  <c r="I290" i="11"/>
  <c r="I11" i="11"/>
  <c r="K52" i="5"/>
  <c r="K50" i="11" s="1"/>
  <c r="I556" i="11"/>
  <c r="K555" i="5"/>
  <c r="K556" i="11" s="1"/>
  <c r="K186" i="5"/>
  <c r="I82" i="12" s="1"/>
  <c r="K183" i="5"/>
  <c r="K301" i="11" s="1"/>
  <c r="I293" i="11"/>
  <c r="I12" i="10"/>
  <c r="K12" i="10" s="1"/>
  <c r="I168" i="11"/>
  <c r="G172" i="12"/>
  <c r="I121" i="11"/>
  <c r="I286" i="11"/>
  <c r="I413" i="11"/>
  <c r="G87" i="12"/>
  <c r="I308" i="11"/>
  <c r="I158" i="11"/>
  <c r="G13" i="12"/>
  <c r="I332" i="10"/>
  <c r="K332" i="10" s="1"/>
  <c r="K610" i="5"/>
  <c r="K344" i="11" s="1"/>
  <c r="M225" i="5"/>
  <c r="N225" i="5" s="1"/>
  <c r="K244" i="5"/>
  <c r="K253" i="11" s="1"/>
  <c r="I81" i="10"/>
  <c r="K81" i="10" s="1"/>
  <c r="I131" i="10"/>
  <c r="K131" i="10" s="1"/>
  <c r="I149" i="10"/>
  <c r="K149" i="10" s="1"/>
  <c r="G58" i="12"/>
  <c r="K161" i="5"/>
  <c r="K156" i="11" s="1"/>
  <c r="I135" i="11"/>
  <c r="K133" i="5"/>
  <c r="K127" i="11" s="1"/>
  <c r="K121" i="5"/>
  <c r="J40" i="14" s="1"/>
  <c r="K111" i="5"/>
  <c r="J29" i="14" s="1"/>
  <c r="K479" i="5"/>
  <c r="H86" i="14"/>
  <c r="I28" i="11"/>
  <c r="K463" i="5"/>
  <c r="K57" i="11" s="1"/>
  <c r="I39" i="10"/>
  <c r="K39" i="10" s="1"/>
  <c r="I402" i="10"/>
  <c r="K402" i="10" s="1"/>
  <c r="H23" i="14"/>
  <c r="K294" i="5"/>
  <c r="I27" i="10"/>
  <c r="K27" i="10" s="1"/>
  <c r="I39" i="11"/>
  <c r="K27" i="5"/>
  <c r="K39" i="11" s="1"/>
  <c r="I223" i="11"/>
  <c r="K213" i="5"/>
  <c r="K223" i="11" s="1"/>
  <c r="I363" i="11"/>
  <c r="K39" i="5"/>
  <c r="K363" i="11" s="1"/>
  <c r="K576" i="5"/>
  <c r="K394" i="11" s="1"/>
  <c r="K385" i="5"/>
  <c r="K543" i="11" s="1"/>
  <c r="I171" i="11"/>
  <c r="I176" i="10"/>
  <c r="K176" i="10" s="1"/>
  <c r="I19" i="11"/>
  <c r="G11" i="12"/>
  <c r="K258" i="5"/>
  <c r="K267" i="11" s="1"/>
  <c r="S267" i="11" s="1"/>
  <c r="K174" i="5"/>
  <c r="I58" i="12" s="1"/>
  <c r="K401" i="5"/>
  <c r="K530" i="11" s="1"/>
  <c r="K181" i="5"/>
  <c r="K259" i="5"/>
  <c r="I533" i="11"/>
  <c r="I298" i="10"/>
  <c r="K298" i="10" s="1"/>
  <c r="I355" i="11"/>
  <c r="K372" i="5"/>
  <c r="K355" i="11" s="1"/>
  <c r="K579" i="5"/>
  <c r="K584" i="11" s="1"/>
  <c r="G195" i="12"/>
  <c r="I274" i="10"/>
  <c r="K274" i="10" s="1"/>
  <c r="K509" i="5"/>
  <c r="K604" i="11" s="1"/>
  <c r="K21" i="5"/>
  <c r="K28" i="11" s="1"/>
  <c r="I52" i="10"/>
  <c r="K52" i="10" s="1"/>
  <c r="I69" i="11"/>
  <c r="K74" i="5"/>
  <c r="K69" i="11" s="1"/>
  <c r="K597" i="5"/>
  <c r="K635" i="11" s="1"/>
  <c r="K139" i="5"/>
  <c r="I60" i="11"/>
  <c r="K66" i="5"/>
  <c r="K60" i="11" s="1"/>
  <c r="I342" i="11"/>
  <c r="K383" i="5"/>
  <c r="K342" i="11" s="1"/>
  <c r="I22" i="10"/>
  <c r="K22" i="10" s="1"/>
  <c r="I331" i="10"/>
  <c r="K331" i="10" s="1"/>
  <c r="I114" i="10"/>
  <c r="K114" i="10" s="1"/>
  <c r="I212" i="11"/>
  <c r="K291" i="5"/>
  <c r="K212" i="11" s="1"/>
  <c r="I295" i="11"/>
  <c r="G107" i="12"/>
  <c r="K659" i="5"/>
  <c r="G263" i="12"/>
  <c r="I423" i="11"/>
  <c r="I473" i="10"/>
  <c r="K473" i="10" s="1"/>
  <c r="G147" i="12"/>
  <c r="G135" i="12"/>
  <c r="I382" i="11"/>
  <c r="G136" i="12"/>
  <c r="K578" i="5"/>
  <c r="I135" i="12" s="1"/>
  <c r="I645" i="11"/>
  <c r="G255" i="12"/>
  <c r="G254" i="12"/>
  <c r="I24" i="11"/>
  <c r="K312" i="5"/>
  <c r="G26" i="12"/>
  <c r="I103" i="10"/>
  <c r="K103" i="10" s="1"/>
  <c r="I30" i="11"/>
  <c r="G16" i="12"/>
  <c r="I285" i="10"/>
  <c r="K285" i="10" s="1"/>
  <c r="H149" i="14"/>
  <c r="I662" i="11"/>
  <c r="H49" i="14"/>
  <c r="I123" i="11"/>
  <c r="K311" i="5"/>
  <c r="J49" i="14" s="1"/>
  <c r="I83" i="10"/>
  <c r="K83" i="10" s="1"/>
  <c r="K118" i="5"/>
  <c r="H141" i="14"/>
  <c r="I597" i="11"/>
  <c r="I576" i="11"/>
  <c r="H136" i="14"/>
  <c r="H105" i="14"/>
  <c r="I406" i="11"/>
  <c r="I351" i="10"/>
  <c r="K351" i="10" s="1"/>
  <c r="I65" i="10"/>
  <c r="K65" i="10" s="1"/>
  <c r="H73" i="14"/>
  <c r="I303" i="11"/>
  <c r="H69" i="14"/>
  <c r="I289" i="11"/>
  <c r="G158" i="12"/>
  <c r="I521" i="11"/>
  <c r="G222" i="12"/>
  <c r="K391" i="5"/>
  <c r="I581" i="11"/>
  <c r="K317" i="5"/>
  <c r="I49" i="10"/>
  <c r="K49" i="10" s="1"/>
  <c r="I64" i="11"/>
  <c r="K617" i="5"/>
  <c r="K643" i="11" s="1"/>
  <c r="K524" i="5"/>
  <c r="K358" i="11" s="1"/>
  <c r="K438" i="5"/>
  <c r="K512" i="5"/>
  <c r="K207" i="5"/>
  <c r="K215" i="11" s="1"/>
  <c r="I59" i="10"/>
  <c r="K59" i="10" s="1"/>
  <c r="I262" i="11"/>
  <c r="K253" i="5"/>
  <c r="K262" i="11" s="1"/>
  <c r="I234" i="11"/>
  <c r="K225" i="5"/>
  <c r="K234" i="11" s="1"/>
  <c r="G176" i="12"/>
  <c r="I491" i="11"/>
  <c r="K315" i="5"/>
  <c r="G81" i="12"/>
  <c r="I194" i="11"/>
  <c r="K635" i="5"/>
  <c r="K194" i="11" s="1"/>
  <c r="I566" i="11"/>
  <c r="I359" i="10"/>
  <c r="K359" i="10" s="1"/>
  <c r="G212" i="12"/>
  <c r="K521" i="5"/>
  <c r="I651" i="11"/>
  <c r="G258" i="12"/>
  <c r="I472" i="11"/>
  <c r="K560" i="5"/>
  <c r="K281" i="5"/>
  <c r="I428" i="11"/>
  <c r="G148" i="12"/>
  <c r="I624" i="11"/>
  <c r="G242" i="12"/>
  <c r="I223" i="10"/>
  <c r="K223" i="10" s="1"/>
  <c r="I285" i="11"/>
  <c r="G105" i="12"/>
  <c r="K392" i="5"/>
  <c r="K395" i="5"/>
  <c r="K397" i="5"/>
  <c r="K446" i="11" s="1"/>
  <c r="K188" i="5"/>
  <c r="K58" i="5"/>
  <c r="K11" i="11" s="1"/>
  <c r="K446" i="5"/>
  <c r="G23" i="12"/>
  <c r="G70" i="12"/>
  <c r="I365" i="11"/>
  <c r="I667" i="11"/>
  <c r="K670" i="5"/>
  <c r="G73" i="12"/>
  <c r="K182" i="5"/>
  <c r="K191" i="11" s="1"/>
  <c r="G75" i="12"/>
  <c r="I168" i="10"/>
  <c r="K168" i="10" s="1"/>
  <c r="K280" i="5"/>
  <c r="G169" i="12"/>
  <c r="I477" i="11"/>
  <c r="G30" i="12"/>
  <c r="I149" i="11"/>
  <c r="I381" i="10"/>
  <c r="K381" i="10" s="1"/>
  <c r="G10" i="12"/>
  <c r="G213" i="12"/>
  <c r="K616" i="5"/>
  <c r="I614" i="11"/>
  <c r="K599" i="5"/>
  <c r="I601" i="11"/>
  <c r="H142" i="14"/>
  <c r="K544" i="5"/>
  <c r="I117" i="11"/>
  <c r="I89" i="10"/>
  <c r="K89" i="10" s="1"/>
  <c r="I434" i="10"/>
  <c r="K434" i="10" s="1"/>
  <c r="H74" i="14"/>
  <c r="K584" i="5"/>
  <c r="K91" i="11"/>
  <c r="J17" i="14"/>
  <c r="I37" i="11"/>
  <c r="I255" i="10"/>
  <c r="K255" i="10" s="1"/>
  <c r="I282" i="10"/>
  <c r="K282" i="10" s="1"/>
  <c r="H112" i="14"/>
  <c r="I436" i="11"/>
  <c r="I26" i="11"/>
  <c r="K493" i="5"/>
  <c r="K26" i="11" s="1"/>
  <c r="I347" i="10"/>
  <c r="K347" i="10" s="1"/>
  <c r="K40" i="5"/>
  <c r="K45" i="11" s="1"/>
  <c r="I35" i="10"/>
  <c r="K35" i="10" s="1"/>
  <c r="I265" i="10"/>
  <c r="K265" i="10" s="1"/>
  <c r="K533" i="5"/>
  <c r="I654" i="11"/>
  <c r="G260" i="12"/>
  <c r="I244" i="11"/>
  <c r="K235" i="5"/>
  <c r="K244" i="11" s="1"/>
  <c r="K574" i="5"/>
  <c r="H29" i="14"/>
  <c r="I163" i="11"/>
  <c r="K166" i="5"/>
  <c r="I75" i="11"/>
  <c r="I54" i="10"/>
  <c r="K54" i="10" s="1"/>
  <c r="K622" i="5"/>
  <c r="I147" i="12" s="1"/>
  <c r="I169" i="11"/>
  <c r="I501" i="11"/>
  <c r="K106" i="5"/>
  <c r="J18" i="14" s="1"/>
  <c r="K75" i="5"/>
  <c r="K617" i="11" s="1"/>
  <c r="K645" i="5"/>
  <c r="K656" i="11" s="1"/>
  <c r="I656" i="11"/>
  <c r="K563" i="5"/>
  <c r="K576" i="11" s="1"/>
  <c r="K198" i="5"/>
  <c r="K336" i="5"/>
  <c r="K451" i="11" s="1"/>
  <c r="K536" i="5"/>
  <c r="K497" i="11" s="1"/>
  <c r="K355" i="5"/>
  <c r="K71" i="11" s="1"/>
  <c r="I211" i="10"/>
  <c r="K211" i="10" s="1"/>
  <c r="H43" i="14"/>
  <c r="G47" i="12"/>
  <c r="I42" i="11"/>
  <c r="I383" i="11"/>
  <c r="G48" i="12"/>
  <c r="H125" i="14"/>
  <c r="I268" i="11"/>
  <c r="H95" i="14"/>
  <c r="I260" i="11"/>
  <c r="M260" i="11" s="1"/>
  <c r="K251" i="5"/>
  <c r="K260" i="11" s="1"/>
  <c r="S260" i="11" s="1"/>
  <c r="I246" i="11"/>
  <c r="K237" i="5"/>
  <c r="K246" i="11" s="1"/>
  <c r="I217" i="11"/>
  <c r="K287" i="5"/>
  <c r="K217" i="11" s="1"/>
  <c r="I133" i="10"/>
  <c r="K133" i="10" s="1"/>
  <c r="I209" i="11"/>
  <c r="I199" i="11"/>
  <c r="G86" i="12"/>
  <c r="K625" i="5"/>
  <c r="I476" i="10"/>
  <c r="K476" i="10" s="1"/>
  <c r="G243" i="12"/>
  <c r="K662" i="5"/>
  <c r="G239" i="12"/>
  <c r="K651" i="5"/>
  <c r="G127" i="12"/>
  <c r="I356" i="11"/>
  <c r="G52" i="12"/>
  <c r="I172" i="11"/>
  <c r="G17" i="12"/>
  <c r="I553" i="11"/>
  <c r="K470" i="5"/>
  <c r="G206" i="12"/>
  <c r="I143" i="11"/>
  <c r="I549" i="11"/>
  <c r="G204" i="12"/>
  <c r="G149" i="12"/>
  <c r="I160" i="10"/>
  <c r="K160" i="10" s="1"/>
  <c r="I430" i="11"/>
  <c r="I552" i="11"/>
  <c r="H133" i="14"/>
  <c r="K135" i="5"/>
  <c r="I98" i="10"/>
  <c r="K98" i="10" s="1"/>
  <c r="H55" i="14"/>
  <c r="I116" i="11"/>
  <c r="K123" i="5"/>
  <c r="I105" i="11"/>
  <c r="H31" i="14"/>
  <c r="K113" i="5"/>
  <c r="H85" i="14"/>
  <c r="I352" i="10"/>
  <c r="K352" i="10" s="1"/>
  <c r="I330" i="11"/>
  <c r="K441" i="5"/>
  <c r="I305" i="11"/>
  <c r="K623" i="5"/>
  <c r="K305" i="11" s="1"/>
  <c r="I318" i="11"/>
  <c r="H79" i="14"/>
  <c r="H110" i="14"/>
  <c r="I426" i="11"/>
  <c r="I555" i="11"/>
  <c r="K54" i="5"/>
  <c r="K555" i="11" s="1"/>
  <c r="K280" i="11"/>
  <c r="G166" i="12"/>
  <c r="I474" i="11"/>
  <c r="G32" i="12"/>
  <c r="K157" i="5"/>
  <c r="K152" i="11" s="1"/>
  <c r="K504" i="5"/>
  <c r="I439" i="11"/>
  <c r="I393" i="11"/>
  <c r="I148" i="10"/>
  <c r="K148" i="10" s="1"/>
  <c r="K497" i="5"/>
  <c r="K102" i="5"/>
  <c r="I620" i="11"/>
  <c r="K489" i="5"/>
  <c r="G240" i="12"/>
  <c r="I500" i="11"/>
  <c r="K580" i="5"/>
  <c r="K500" i="11" s="1"/>
  <c r="I203" i="11"/>
  <c r="K197" i="5"/>
  <c r="G90" i="12"/>
  <c r="I128" i="10"/>
  <c r="K128" i="10" s="1"/>
  <c r="I196" i="11"/>
  <c r="G83" i="12"/>
  <c r="I122" i="10"/>
  <c r="K122" i="10" s="1"/>
  <c r="G167" i="12"/>
  <c r="I475" i="11"/>
  <c r="I541" i="11"/>
  <c r="G201" i="12"/>
  <c r="I178" i="11"/>
  <c r="G54" i="12"/>
  <c r="I334" i="10"/>
  <c r="K334" i="10" s="1"/>
  <c r="I162" i="11"/>
  <c r="G49" i="12"/>
  <c r="I489" i="11"/>
  <c r="G174" i="12"/>
  <c r="I151" i="11"/>
  <c r="G37" i="12"/>
  <c r="G227" i="12"/>
  <c r="I591" i="11"/>
  <c r="H124" i="14"/>
  <c r="K491" i="5"/>
  <c r="J124" i="14" s="1"/>
  <c r="I398" i="11"/>
  <c r="K471" i="5"/>
  <c r="K398" i="11" s="1"/>
  <c r="K413" i="5"/>
  <c r="K333" i="11" s="1"/>
  <c r="I141" i="11"/>
  <c r="I559" i="11"/>
  <c r="I52" i="11"/>
  <c r="K57" i="5"/>
  <c r="K52" i="11" s="1"/>
  <c r="K85" i="5"/>
  <c r="K219" i="5"/>
  <c r="K229" i="11" s="1"/>
  <c r="G43" i="12"/>
  <c r="K98" i="5"/>
  <c r="K503" i="5"/>
  <c r="K578" i="11" s="1"/>
  <c r="I59" i="11"/>
  <c r="K65" i="5"/>
  <c r="K59" i="11" s="1"/>
  <c r="I375" i="10"/>
  <c r="K375" i="10" s="1"/>
  <c r="I27" i="11"/>
  <c r="K339" i="5"/>
  <c r="K27" i="11" s="1"/>
  <c r="I234" i="10"/>
  <c r="K234" i="10" s="1"/>
  <c r="K402" i="5"/>
  <c r="K41" i="11" s="1"/>
  <c r="K33" i="5"/>
  <c r="I29" i="10"/>
  <c r="K29" i="10" s="1"/>
  <c r="H32" i="14"/>
  <c r="I106" i="11"/>
  <c r="I364" i="11"/>
  <c r="I254" i="10"/>
  <c r="K254" i="10" s="1"/>
  <c r="H94" i="14"/>
  <c r="K407" i="5"/>
  <c r="J6" i="14"/>
  <c r="K80" i="11"/>
  <c r="I68" i="11"/>
  <c r="I518" i="10"/>
  <c r="K518" i="10" s="1"/>
  <c r="K667" i="5"/>
  <c r="K68" i="11" s="1"/>
  <c r="I561" i="11"/>
  <c r="K364" i="5"/>
  <c r="K561" i="11" s="1"/>
  <c r="I400" i="11"/>
  <c r="K567" i="5"/>
  <c r="K597" i="11" s="1"/>
  <c r="K484" i="5"/>
  <c r="K162" i="11" s="1"/>
  <c r="K159" i="5"/>
  <c r="K439" i="5"/>
  <c r="K604" i="5"/>
  <c r="K636" i="11" s="1"/>
  <c r="K422" i="5"/>
  <c r="K461" i="11" s="1"/>
  <c r="I167" i="11"/>
  <c r="I658" i="11"/>
  <c r="I129" i="11"/>
  <c r="G34" i="12"/>
  <c r="I407" i="11"/>
  <c r="I191" i="11"/>
  <c r="I97" i="11"/>
  <c r="I231" i="11"/>
  <c r="I216" i="11"/>
  <c r="K288" i="5"/>
  <c r="K216" i="11" s="1"/>
  <c r="I582" i="11"/>
  <c r="K658" i="5"/>
  <c r="I223" i="12" s="1"/>
  <c r="I612" i="11"/>
  <c r="K562" i="5"/>
  <c r="G235" i="12"/>
  <c r="G241" i="12"/>
  <c r="I623" i="11"/>
  <c r="G38" i="12"/>
  <c r="I157" i="11"/>
  <c r="I350" i="11"/>
  <c r="K146" i="5"/>
  <c r="I173" i="10"/>
  <c r="K173" i="10" s="1"/>
  <c r="I321" i="10"/>
  <c r="K321" i="10" s="1"/>
  <c r="K475" i="5"/>
  <c r="I423" i="10"/>
  <c r="K423" i="10" s="1"/>
  <c r="K569" i="5"/>
  <c r="K468" i="11" s="1"/>
  <c r="I565" i="11"/>
  <c r="K432" i="5"/>
  <c r="K565" i="11" s="1"/>
  <c r="I453" i="11"/>
  <c r="K400" i="5"/>
  <c r="K453" i="11" s="1"/>
  <c r="K60" i="5"/>
  <c r="K54" i="11" s="1"/>
  <c r="I43" i="10"/>
  <c r="K43" i="10" s="1"/>
  <c r="I54" i="11"/>
  <c r="I493" i="11"/>
  <c r="K455" i="5"/>
  <c r="K493" i="11" s="1"/>
  <c r="I588" i="11"/>
  <c r="K564" i="5"/>
  <c r="K588" i="11" s="1"/>
  <c r="K553" i="5"/>
  <c r="K558" i="11" s="1"/>
  <c r="K228" i="5"/>
  <c r="K237" i="11" s="1"/>
  <c r="I237" i="11"/>
  <c r="I504" i="11"/>
  <c r="K508" i="5"/>
  <c r="I145" i="11"/>
  <c r="G31" i="12"/>
  <c r="H65" i="14"/>
  <c r="I139" i="11"/>
  <c r="I224" i="10"/>
  <c r="K224" i="10" s="1"/>
  <c r="I409" i="11"/>
  <c r="H107" i="14"/>
  <c r="K384" i="5"/>
  <c r="I108" i="11"/>
  <c r="K115" i="5"/>
  <c r="I80" i="10"/>
  <c r="K80" i="10" s="1"/>
  <c r="H34" i="14"/>
  <c r="I554" i="11"/>
  <c r="K431" i="5"/>
  <c r="I273" i="10"/>
  <c r="K273" i="10" s="1"/>
  <c r="H100" i="14"/>
  <c r="I337" i="11"/>
  <c r="H88" i="14"/>
  <c r="I10" i="11"/>
  <c r="I32" i="10"/>
  <c r="K32" i="10" s="1"/>
  <c r="H128" i="14"/>
  <c r="H138" i="14"/>
  <c r="I221" i="11"/>
  <c r="K211" i="5"/>
  <c r="K221" i="11" s="1"/>
  <c r="I140" i="10"/>
  <c r="K140" i="10" s="1"/>
  <c r="K204" i="5"/>
  <c r="K211" i="11" s="1"/>
  <c r="I135" i="10"/>
  <c r="K135" i="10" s="1"/>
  <c r="I201" i="11"/>
  <c r="G88" i="12"/>
  <c r="G193" i="12"/>
  <c r="I526" i="11"/>
  <c r="I187" i="11"/>
  <c r="K180" i="5"/>
  <c r="G165" i="12"/>
  <c r="K630" i="5"/>
  <c r="I473" i="11"/>
  <c r="G253" i="12"/>
  <c r="I644" i="11"/>
  <c r="G125" i="12"/>
  <c r="I311" i="10"/>
  <c r="K311" i="10" s="1"/>
  <c r="K473" i="5"/>
  <c r="I352" i="11"/>
  <c r="I301" i="10"/>
  <c r="K301" i="10" s="1"/>
  <c r="K461" i="5"/>
  <c r="H33" i="14"/>
  <c r="K114" i="5"/>
  <c r="I318" i="10"/>
  <c r="K318" i="10" s="1"/>
  <c r="K457" i="5"/>
  <c r="I73" i="10"/>
  <c r="K73" i="10" s="1"/>
  <c r="K107" i="5"/>
  <c r="K370" i="5"/>
  <c r="H96" i="14"/>
  <c r="I371" i="11"/>
  <c r="H108" i="14"/>
  <c r="I419" i="11"/>
  <c r="H10" i="14"/>
  <c r="I84" i="11"/>
  <c r="I573" i="11"/>
  <c r="K427" i="5"/>
  <c r="K573" i="11" s="1"/>
  <c r="I303" i="10"/>
  <c r="K303" i="10" s="1"/>
  <c r="I317" i="11"/>
  <c r="I466" i="10"/>
  <c r="K466" i="10" s="1"/>
  <c r="I387" i="11"/>
  <c r="G15" i="12"/>
  <c r="I25" i="11"/>
  <c r="H35" i="14"/>
  <c r="I109" i="11"/>
  <c r="I101" i="11"/>
  <c r="K44" i="5"/>
  <c r="K101" i="11" s="1"/>
  <c r="I75" i="10"/>
  <c r="K75" i="10" s="1"/>
  <c r="I384" i="11"/>
  <c r="K577" i="5"/>
  <c r="K384" i="11" s="1"/>
  <c r="I516" i="11"/>
  <c r="I192" i="10"/>
  <c r="K192" i="10" s="1"/>
  <c r="I63" i="10"/>
  <c r="K63" i="10" s="1"/>
  <c r="I401" i="10"/>
  <c r="K401" i="10" s="1"/>
  <c r="I544" i="11"/>
  <c r="G9" i="12"/>
  <c r="K185" i="5"/>
  <c r="G39" i="12"/>
  <c r="K290" i="5"/>
  <c r="G245" i="12"/>
  <c r="K523" i="5"/>
  <c r="K629" i="11" s="1"/>
  <c r="I269" i="10"/>
  <c r="K269" i="10" s="1"/>
  <c r="I316" i="11"/>
  <c r="K633" i="5"/>
  <c r="K316" i="11" s="1"/>
  <c r="I316" i="10"/>
  <c r="K316" i="10" s="1"/>
  <c r="I531" i="11"/>
  <c r="K314" i="5"/>
  <c r="K516" i="11" s="1"/>
  <c r="K116" i="5"/>
  <c r="K128" i="5"/>
  <c r="K409" i="5"/>
  <c r="K531" i="11" s="1"/>
  <c r="G78" i="12"/>
  <c r="H47" i="14"/>
  <c r="I14" i="11"/>
  <c r="I145" i="10"/>
  <c r="K145" i="10" s="1"/>
  <c r="K216" i="5"/>
  <c r="K226" i="11" s="1"/>
  <c r="I197" i="11"/>
  <c r="I123" i="10"/>
  <c r="K123" i="10" s="1"/>
  <c r="K297" i="5"/>
  <c r="I182" i="11"/>
  <c r="I536" i="11"/>
  <c r="H130" i="14"/>
  <c r="K586" i="5"/>
  <c r="I462" i="11"/>
  <c r="H87" i="14"/>
  <c r="I335" i="11"/>
  <c r="H77" i="14"/>
  <c r="I309" i="11"/>
  <c r="K540" i="5"/>
  <c r="I24" i="12" s="1"/>
  <c r="I542" i="11"/>
  <c r="I241" i="11"/>
  <c r="K232" i="5"/>
  <c r="K241" i="11" s="1"/>
  <c r="I343" i="11"/>
  <c r="I260" i="10"/>
  <c r="K260" i="10" s="1"/>
  <c r="M246" i="5"/>
  <c r="N246" i="5" s="1"/>
  <c r="K248" i="5"/>
  <c r="K257" i="11" s="1"/>
  <c r="I257" i="11"/>
  <c r="I243" i="11"/>
  <c r="K234" i="5"/>
  <c r="K243" i="11" s="1"/>
  <c r="I532" i="11"/>
  <c r="G194" i="12"/>
  <c r="K476" i="5"/>
  <c r="K608" i="5"/>
  <c r="I609" i="11"/>
  <c r="I459" i="10"/>
  <c r="K459" i="10" s="1"/>
  <c r="G234" i="12"/>
  <c r="I455" i="11"/>
  <c r="K570" i="5"/>
  <c r="I593" i="11"/>
  <c r="G228" i="12"/>
  <c r="I589" i="11"/>
  <c r="G226" i="12"/>
  <c r="K145" i="5"/>
  <c r="H62" i="14"/>
  <c r="I136" i="11"/>
  <c r="I102" i="10"/>
  <c r="K102" i="10" s="1"/>
  <c r="K140" i="5"/>
  <c r="I128" i="11"/>
  <c r="H54" i="14"/>
  <c r="I97" i="10"/>
  <c r="K97" i="10" s="1"/>
  <c r="K134" i="5"/>
  <c r="I115" i="11"/>
  <c r="I87" i="10"/>
  <c r="K87" i="10" s="1"/>
  <c r="H41" i="14"/>
  <c r="K122" i="5"/>
  <c r="I78" i="10"/>
  <c r="K78" i="10" s="1"/>
  <c r="I104" i="11"/>
  <c r="K112" i="5"/>
  <c r="H30" i="14"/>
  <c r="I327" i="11"/>
  <c r="H83" i="14"/>
  <c r="K26" i="5"/>
  <c r="I26" i="10"/>
  <c r="K26" i="10" s="1"/>
  <c r="H113" i="14"/>
  <c r="I437" i="11"/>
  <c r="K480" i="5"/>
  <c r="I372" i="11"/>
  <c r="K543" i="5"/>
  <c r="H97" i="14"/>
  <c r="H16" i="14"/>
  <c r="I90" i="11"/>
  <c r="K103" i="5"/>
  <c r="I69" i="10"/>
  <c r="K69" i="10" s="1"/>
  <c r="I146" i="10"/>
  <c r="K146" i="10" s="1"/>
  <c r="I324" i="11"/>
  <c r="K94" i="5"/>
  <c r="H120" i="14"/>
  <c r="K379" i="5"/>
  <c r="K82" i="5"/>
  <c r="H5" i="14"/>
  <c r="I79" i="11"/>
  <c r="I606" i="11"/>
  <c r="K378" i="5"/>
  <c r="K606" i="11" s="1"/>
  <c r="H80" i="14"/>
  <c r="I136" i="10"/>
  <c r="K136" i="10" s="1"/>
  <c r="I213" i="11"/>
  <c r="K205" i="5"/>
  <c r="K213" i="11" s="1"/>
  <c r="G92" i="12"/>
  <c r="I205" i="11"/>
  <c r="I190" i="10"/>
  <c r="K190" i="10" s="1"/>
  <c r="G251" i="12"/>
  <c r="I639" i="11"/>
  <c r="K393" i="5"/>
  <c r="G199" i="12"/>
  <c r="K619" i="5"/>
  <c r="I539" i="11"/>
  <c r="I535" i="11"/>
  <c r="K628" i="5"/>
  <c r="G196" i="12"/>
  <c r="I190" i="11"/>
  <c r="G71" i="12"/>
  <c r="K286" i="5"/>
  <c r="G57" i="12"/>
  <c r="I181" i="11"/>
  <c r="K296" i="5"/>
  <c r="G197" i="12"/>
  <c r="I537" i="11"/>
  <c r="K322" i="5"/>
  <c r="G128" i="12"/>
  <c r="I362" i="11"/>
  <c r="K332" i="5"/>
  <c r="G50" i="12"/>
  <c r="I170" i="11"/>
  <c r="I443" i="10"/>
  <c r="K443" i="10" s="1"/>
  <c r="I32" i="11"/>
  <c r="G238" i="12"/>
  <c r="I616" i="11"/>
  <c r="G162" i="12"/>
  <c r="I470" i="11"/>
  <c r="I346" i="11"/>
  <c r="I8" i="10"/>
  <c r="K8" i="10" s="1"/>
  <c r="G121" i="12"/>
  <c r="K11" i="5"/>
  <c r="I511" i="11"/>
  <c r="I13" i="10"/>
  <c r="K13" i="10" s="1"/>
  <c r="G187" i="12"/>
  <c r="K18" i="5"/>
  <c r="K31" i="5"/>
  <c r="I19" i="10"/>
  <c r="K19" i="10" s="1"/>
  <c r="I370" i="11"/>
  <c r="G131" i="12"/>
  <c r="I647" i="11"/>
  <c r="K621" i="5"/>
  <c r="H145" i="14"/>
  <c r="I132" i="11"/>
  <c r="K136" i="5"/>
  <c r="I99" i="10"/>
  <c r="K99" i="10" s="1"/>
  <c r="H58" i="14"/>
  <c r="I94" i="10"/>
  <c r="K94" i="10" s="1"/>
  <c r="H48" i="14"/>
  <c r="I122" i="11"/>
  <c r="K129" i="5"/>
  <c r="I110" i="11"/>
  <c r="I82" i="10"/>
  <c r="K82" i="10" s="1"/>
  <c r="H36" i="14"/>
  <c r="K117" i="5"/>
  <c r="I225" i="10"/>
  <c r="K225" i="10" s="1"/>
  <c r="H68" i="14"/>
  <c r="K343" i="5"/>
  <c r="I288" i="11"/>
  <c r="K590" i="5"/>
  <c r="K32" i="11" s="1"/>
  <c r="I137" i="11"/>
  <c r="H63" i="14"/>
  <c r="I361" i="11"/>
  <c r="K452" i="5"/>
  <c r="K361" i="11" s="1"/>
  <c r="I322" i="10"/>
  <c r="K322" i="10" s="1"/>
  <c r="I640" i="11"/>
  <c r="K609" i="5"/>
  <c r="K387" i="11" s="1"/>
  <c r="K78" i="5"/>
  <c r="K44" i="11" s="1"/>
  <c r="I40" i="10"/>
  <c r="K40" i="10" s="1"/>
  <c r="I207" i="11"/>
  <c r="G94" i="12"/>
  <c r="I198" i="11"/>
  <c r="G85" i="12"/>
  <c r="K624" i="5"/>
  <c r="G109" i="12"/>
  <c r="I300" i="11"/>
  <c r="K190" i="5"/>
  <c r="I507" i="10"/>
  <c r="K507" i="10" s="1"/>
  <c r="I193" i="11"/>
  <c r="G80" i="12"/>
  <c r="K657" i="5"/>
  <c r="G185" i="12"/>
  <c r="I509" i="11"/>
  <c r="K603" i="5"/>
  <c r="I440" i="11"/>
  <c r="G44" i="12"/>
  <c r="I165" i="11"/>
  <c r="I156" i="11"/>
  <c r="I109" i="10"/>
  <c r="K109" i="10" s="1"/>
  <c r="G177" i="12"/>
  <c r="I494" i="11"/>
  <c r="G25" i="12"/>
  <c r="K153" i="5"/>
  <c r="I146" i="11"/>
  <c r="I485" i="11"/>
  <c r="G173" i="12"/>
  <c r="I385" i="11"/>
  <c r="G137" i="12"/>
  <c r="K559" i="5"/>
  <c r="G132" i="12"/>
  <c r="I376" i="11"/>
  <c r="I349" i="10"/>
  <c r="K349" i="10" s="1"/>
  <c r="I578" i="11"/>
  <c r="H61" i="14"/>
  <c r="I101" i="10"/>
  <c r="K101" i="10" s="1"/>
  <c r="I96" i="10"/>
  <c r="K96" i="10" s="1"/>
  <c r="H53" i="14"/>
  <c r="I127" i="11"/>
  <c r="I86" i="10"/>
  <c r="K86" i="10" s="1"/>
  <c r="H40" i="14"/>
  <c r="I114" i="11"/>
  <c r="K437" i="5"/>
  <c r="I116" i="10"/>
  <c r="K116" i="10" s="1"/>
  <c r="I665" i="11"/>
  <c r="K389" i="5"/>
  <c r="I263" i="10"/>
  <c r="K263" i="10" s="1"/>
  <c r="I64" i="10"/>
  <c r="K64" i="10" s="1"/>
  <c r="H72" i="14"/>
  <c r="I292" i="11"/>
  <c r="K92" i="5"/>
  <c r="I499" i="10"/>
  <c r="K499" i="10" s="1"/>
  <c r="I222" i="11"/>
  <c r="G22" i="12"/>
  <c r="I40" i="11"/>
  <c r="I408" i="11"/>
  <c r="K257" i="5"/>
  <c r="K266" i="11" s="1"/>
  <c r="S266" i="11" s="1"/>
  <c r="I492" i="11"/>
  <c r="K279" i="11"/>
  <c r="I102" i="12"/>
  <c r="I66" i="10"/>
  <c r="K66" i="10" s="1"/>
  <c r="I87" i="11"/>
  <c r="K507" i="5"/>
  <c r="K599" i="11" s="1"/>
  <c r="K644" i="5"/>
  <c r="K655" i="11" s="1"/>
  <c r="H106" i="14"/>
  <c r="K356" i="5"/>
  <c r="K665" i="11" s="1"/>
  <c r="K177" i="5"/>
  <c r="K382" i="5"/>
  <c r="K424" i="5"/>
  <c r="K7" i="5"/>
  <c r="I152" i="11"/>
  <c r="I393" i="10"/>
  <c r="K393" i="10" s="1"/>
  <c r="I480" i="11"/>
  <c r="K278" i="11"/>
  <c r="I101" i="12"/>
  <c r="I313" i="11"/>
  <c r="I248" i="10"/>
  <c r="K248" i="10" s="1"/>
  <c r="H18" i="14"/>
  <c r="K367" i="5"/>
  <c r="K313" i="11" s="1"/>
  <c r="K179" i="5"/>
  <c r="G106" i="12"/>
  <c r="I495" i="11"/>
  <c r="I268" i="10"/>
  <c r="K268" i="10" s="1"/>
  <c r="I276" i="10"/>
  <c r="K276" i="10" s="1"/>
  <c r="I291" i="11"/>
  <c r="K399" i="5"/>
  <c r="H71" i="14"/>
  <c r="I119" i="10"/>
  <c r="K119" i="10" s="1"/>
  <c r="I301" i="11"/>
  <c r="G110" i="12"/>
  <c r="I72" i="10"/>
  <c r="K72" i="10" s="1"/>
  <c r="K196" i="5"/>
  <c r="G55" i="12"/>
  <c r="G220" i="12"/>
  <c r="K647" i="5"/>
  <c r="K222" i="11" s="1"/>
  <c r="G207" i="12"/>
  <c r="I56" i="10"/>
  <c r="K56" i="10" s="1"/>
  <c r="I76" i="11"/>
  <c r="K81" i="5"/>
  <c r="K76" i="11" s="1"/>
  <c r="I97" i="12"/>
  <c r="I195" i="11"/>
  <c r="I121" i="10"/>
  <c r="K121" i="10" s="1"/>
  <c r="G82" i="12"/>
  <c r="I488" i="10"/>
  <c r="K488" i="10" s="1"/>
  <c r="I332" i="11"/>
  <c r="G117" i="12"/>
  <c r="G63" i="12"/>
  <c r="I176" i="11"/>
  <c r="I113" i="10"/>
  <c r="K113" i="10" s="1"/>
  <c r="K171" i="5"/>
  <c r="I161" i="11"/>
  <c r="G40" i="12"/>
  <c r="K165" i="5"/>
  <c r="I483" i="11"/>
  <c r="I28" i="10"/>
  <c r="K28" i="10" s="1"/>
  <c r="K42" i="5"/>
  <c r="I572" i="11"/>
  <c r="G217" i="12"/>
  <c r="K477" i="5"/>
  <c r="I463" i="11"/>
  <c r="K351" i="5"/>
  <c r="K463" i="11" s="1"/>
  <c r="I475" i="10"/>
  <c r="K475" i="10" s="1"/>
  <c r="G229" i="12"/>
  <c r="I224" i="11"/>
  <c r="I143" i="10"/>
  <c r="K143" i="10" s="1"/>
  <c r="I666" i="11"/>
  <c r="K665" i="5"/>
  <c r="K666" i="11" s="1"/>
  <c r="I103" i="11"/>
  <c r="I77" i="10"/>
  <c r="K77" i="10" s="1"/>
  <c r="I228" i="10"/>
  <c r="K228" i="10" s="1"/>
  <c r="H84" i="14"/>
  <c r="I259" i="10"/>
  <c r="K259" i="10" s="1"/>
  <c r="I336" i="11"/>
  <c r="H123" i="14"/>
  <c r="I305" i="10"/>
  <c r="K305" i="10" s="1"/>
  <c r="K445" i="5"/>
  <c r="I484" i="10"/>
  <c r="K484" i="10" s="1"/>
  <c r="I653" i="11"/>
  <c r="K51" i="5"/>
  <c r="K48" i="11" s="1"/>
  <c r="I41" i="10"/>
  <c r="K41" i="10" s="1"/>
  <c r="H102" i="14"/>
  <c r="K14" i="5"/>
  <c r="I307" i="11"/>
  <c r="G28" i="12"/>
  <c r="I148" i="11"/>
  <c r="K154" i="5"/>
  <c r="I21" i="11"/>
  <c r="G12" i="12"/>
  <c r="H139" i="14"/>
  <c r="I592" i="11"/>
  <c r="I171" i="10"/>
  <c r="K171" i="10" s="1"/>
  <c r="H78" i="14"/>
  <c r="I628" i="11"/>
  <c r="G42" i="12"/>
  <c r="K160" i="5"/>
  <c r="K415" i="5"/>
  <c r="G18" i="12"/>
  <c r="I586" i="11"/>
  <c r="I328" i="10"/>
  <c r="K328" i="10" s="1"/>
  <c r="G231" i="12"/>
  <c r="I14" i="10"/>
  <c r="K14" i="10" s="1"/>
  <c r="H51" i="14"/>
  <c r="K131" i="5"/>
  <c r="I95" i="10"/>
  <c r="K95" i="10" s="1"/>
  <c r="I95" i="11"/>
  <c r="K300" i="5"/>
  <c r="I67" i="10"/>
  <c r="K67" i="10" s="1"/>
  <c r="H14" i="14"/>
  <c r="I88" i="11"/>
  <c r="I61" i="10"/>
  <c r="K61" i="10" s="1"/>
  <c r="H9" i="14"/>
  <c r="I83" i="11"/>
  <c r="I481" i="11"/>
  <c r="I48" i="11"/>
  <c r="I329" i="11"/>
  <c r="I204" i="11"/>
  <c r="K199" i="5"/>
  <c r="G51" i="12"/>
  <c r="I112" i="10"/>
  <c r="K112" i="10" s="1"/>
  <c r="K167" i="5"/>
  <c r="K69" i="5"/>
  <c r="K62" i="11" s="1"/>
  <c r="I48" i="10"/>
  <c r="K48" i="10" s="1"/>
  <c r="K572" i="5"/>
  <c r="K598" i="11" s="1"/>
  <c r="K281" i="11"/>
  <c r="I104" i="12"/>
  <c r="H114" i="14"/>
  <c r="I249" i="10"/>
  <c r="K249" i="10" s="1"/>
  <c r="I314" i="11"/>
  <c r="I448" i="10"/>
  <c r="K448" i="10" s="1"/>
  <c r="K592" i="5"/>
  <c r="K417" i="11" s="1"/>
  <c r="G198" i="12"/>
  <c r="H26" i="14"/>
  <c r="I100" i="11"/>
  <c r="H11" i="14"/>
  <c r="K90" i="5"/>
  <c r="I129" i="10"/>
  <c r="K129" i="10" s="1"/>
  <c r="I444" i="11"/>
  <c r="I183" i="10"/>
  <c r="K183" i="10" s="1"/>
  <c r="I349" i="11"/>
  <c r="G108" i="12"/>
  <c r="I63" i="11"/>
  <c r="I343" i="10"/>
  <c r="K343" i="10" s="1"/>
  <c r="I334" i="11"/>
  <c r="I167" i="10"/>
  <c r="K167" i="10" s="1"/>
  <c r="I525" i="11"/>
  <c r="G236" i="12"/>
  <c r="I126" i="10"/>
  <c r="K126" i="10" s="1"/>
  <c r="I155" i="11"/>
  <c r="I340" i="11"/>
  <c r="I603" i="11"/>
  <c r="I144" i="10"/>
  <c r="K144" i="10" s="1"/>
  <c r="I225" i="11"/>
  <c r="K215" i="5"/>
  <c r="K225" i="11" s="1"/>
  <c r="K656" i="5"/>
  <c r="I164" i="11"/>
  <c r="I85" i="11"/>
  <c r="H21" i="14"/>
  <c r="I488" i="11"/>
  <c r="I310" i="11"/>
  <c r="I517" i="10"/>
  <c r="K517" i="10" s="1"/>
  <c r="G171" i="12"/>
  <c r="I482" i="11"/>
  <c r="H19" i="14"/>
  <c r="I77" i="12"/>
  <c r="K271" i="11"/>
  <c r="I373" i="11"/>
  <c r="I619" i="11"/>
  <c r="I567" i="11"/>
  <c r="G68" i="12"/>
  <c r="G124" i="12"/>
  <c r="G45" i="12"/>
  <c r="G262" i="12"/>
  <c r="I415" i="11"/>
  <c r="G144" i="12"/>
  <c r="I221" i="10"/>
  <c r="K221" i="10" s="1"/>
  <c r="I463" i="10"/>
  <c r="K463" i="10" s="1"/>
  <c r="I503" i="11"/>
  <c r="I646" i="11"/>
  <c r="I142" i="10"/>
  <c r="K142" i="10" s="1"/>
  <c r="I18" i="11"/>
  <c r="I62" i="10"/>
  <c r="K62" i="10" s="1"/>
  <c r="I359" i="11"/>
  <c r="H37" i="14"/>
  <c r="I111" i="11"/>
  <c r="K202" i="5"/>
  <c r="K209" i="11" s="1"/>
  <c r="G35" i="12"/>
  <c r="M254" i="5"/>
  <c r="O254" i="5" s="1"/>
  <c r="M238" i="5"/>
  <c r="O238" i="5" s="1"/>
  <c r="M223" i="5"/>
  <c r="N223" i="5" s="1"/>
  <c r="M236" i="5"/>
  <c r="O236" i="5" s="1"/>
  <c r="M249" i="5"/>
  <c r="N249" i="5" s="1"/>
  <c r="M251" i="5"/>
  <c r="N251" i="5" s="1"/>
  <c r="M257" i="5"/>
  <c r="N257" i="5" s="1"/>
  <c r="L234" i="11"/>
  <c r="S250" i="11"/>
  <c r="L225" i="11"/>
  <c r="M215" i="5"/>
  <c r="L258" i="11"/>
  <c r="M258" i="11" s="1"/>
  <c r="L224" i="11"/>
  <c r="M214" i="5"/>
  <c r="M231" i="5"/>
  <c r="O231" i="5" s="1"/>
  <c r="L276" i="11"/>
  <c r="M276" i="11" s="1"/>
  <c r="M267" i="5"/>
  <c r="N267" i="5" s="1"/>
  <c r="L244" i="11"/>
  <c r="M235" i="5"/>
  <c r="N235" i="5" s="1"/>
  <c r="M248" i="5"/>
  <c r="O248" i="5" s="1"/>
  <c r="L257" i="11"/>
  <c r="M234" i="5"/>
  <c r="N234" i="5" s="1"/>
  <c r="L243" i="11"/>
  <c r="M245" i="5"/>
  <c r="L254" i="11"/>
  <c r="L253" i="11"/>
  <c r="M253" i="11" s="1"/>
  <c r="N253" i="11" s="1"/>
  <c r="M244" i="5"/>
  <c r="O244" i="5" s="1"/>
  <c r="J99" i="12"/>
  <c r="K99" i="12" s="1"/>
  <c r="L284" i="11"/>
  <c r="M284" i="11" s="1"/>
  <c r="O284" i="11" s="1"/>
  <c r="M267" i="11"/>
  <c r="O267" i="11" s="1"/>
  <c r="M282" i="11"/>
  <c r="N282" i="11" s="1"/>
  <c r="L256" i="11"/>
  <c r="M247" i="5"/>
  <c r="L242" i="11"/>
  <c r="M233" i="5"/>
  <c r="L261" i="11"/>
  <c r="M252" i="5"/>
  <c r="M224" i="5"/>
  <c r="O224" i="5" s="1"/>
  <c r="L233" i="11"/>
  <c r="L246" i="11"/>
  <c r="M237" i="5"/>
  <c r="N237" i="5" s="1"/>
  <c r="L255" i="11"/>
  <c r="M255" i="11" s="1"/>
  <c r="O255" i="11" s="1"/>
  <c r="L236" i="11"/>
  <c r="S236" i="11" s="1"/>
  <c r="M227" i="5"/>
  <c r="M240" i="5"/>
  <c r="L249" i="11"/>
  <c r="S249" i="11" s="1"/>
  <c r="M226" i="5"/>
  <c r="L235" i="11"/>
  <c r="M235" i="11" s="1"/>
  <c r="L259" i="11"/>
  <c r="M250" i="5"/>
  <c r="N250" i="5" s="1"/>
  <c r="L245" i="11"/>
  <c r="M245" i="11" s="1"/>
  <c r="O245" i="11" s="1"/>
  <c r="M239" i="5"/>
  <c r="O239" i="5" s="1"/>
  <c r="L248" i="11"/>
  <c r="J95" i="12"/>
  <c r="K95" i="12" s="1"/>
  <c r="L273" i="11"/>
  <c r="M264" i="5"/>
  <c r="O264" i="5" s="1"/>
  <c r="L241" i="11"/>
  <c r="M232" i="5"/>
  <c r="S282" i="11"/>
  <c r="M266" i="11"/>
  <c r="N266" i="11" s="1"/>
  <c r="M256" i="5"/>
  <c r="L265" i="11"/>
  <c r="L251" i="11"/>
  <c r="M242" i="5"/>
  <c r="L237" i="11"/>
  <c r="M228" i="5"/>
  <c r="M269" i="5"/>
  <c r="J101" i="12"/>
  <c r="K101" i="12" s="1"/>
  <c r="M253" i="5"/>
  <c r="L262" i="11"/>
  <c r="M273" i="5"/>
  <c r="L283" i="11"/>
  <c r="M230" i="5"/>
  <c r="L239" i="11"/>
  <c r="J103" i="12"/>
  <c r="K103" i="12" s="1"/>
  <c r="M271" i="5"/>
  <c r="L264" i="11"/>
  <c r="M255" i="5"/>
  <c r="M258" i="5"/>
  <c r="M243" i="5"/>
  <c r="L252" i="11"/>
  <c r="M229" i="5"/>
  <c r="L238" i="11"/>
  <c r="J102" i="12"/>
  <c r="K102" i="12" s="1"/>
  <c r="M270" i="5"/>
  <c r="L247" i="11"/>
  <c r="M241" i="5"/>
  <c r="M272" i="5"/>
  <c r="L263" i="11"/>
  <c r="N274" i="5"/>
  <c r="L142" i="5" l="1"/>
  <c r="M421" i="20"/>
  <c r="N421" i="20" s="1"/>
  <c r="M228" i="20"/>
  <c r="S228" i="20" s="1"/>
  <c r="M420" i="20"/>
  <c r="N420" i="20" s="1"/>
  <c r="M189" i="20"/>
  <c r="N189" i="20" s="1"/>
  <c r="M70" i="20"/>
  <c r="N70" i="20" s="1"/>
  <c r="M44" i="20"/>
  <c r="S44" i="20" s="1"/>
  <c r="M344" i="20"/>
  <c r="S344" i="20" s="1"/>
  <c r="M436" i="20"/>
  <c r="N436" i="20" s="1"/>
  <c r="M337" i="20"/>
  <c r="S337" i="20" s="1"/>
  <c r="M439" i="20"/>
  <c r="N439" i="20" s="1"/>
  <c r="M437" i="20"/>
  <c r="N437" i="20" s="1"/>
  <c r="M230" i="20"/>
  <c r="S230" i="20" s="1"/>
  <c r="M351" i="20"/>
  <c r="S351" i="20" s="1"/>
  <c r="M193" i="20"/>
  <c r="N193" i="20" s="1"/>
  <c r="M429" i="20"/>
  <c r="N429" i="20" s="1"/>
  <c r="M501" i="20"/>
  <c r="N501" i="20" s="1"/>
  <c r="M495" i="20"/>
  <c r="S495" i="20" s="1"/>
  <c r="M438" i="20"/>
  <c r="S438" i="20" s="1"/>
  <c r="M352" i="20"/>
  <c r="S352" i="20" s="1"/>
  <c r="M496" i="20"/>
  <c r="N496" i="20" s="1"/>
  <c r="M484" i="20"/>
  <c r="N484" i="20" s="1"/>
  <c r="M497" i="20"/>
  <c r="N497" i="20" s="1"/>
  <c r="M498" i="20"/>
  <c r="N498" i="20" s="1"/>
  <c r="M455" i="20"/>
  <c r="N455" i="20" s="1"/>
  <c r="M16" i="20"/>
  <c r="N16" i="20" s="1"/>
  <c r="M404" i="20"/>
  <c r="N404" i="20" s="1"/>
  <c r="M322" i="20"/>
  <c r="S322" i="20" s="1"/>
  <c r="D129" i="18"/>
  <c r="E129" i="18" s="1"/>
  <c r="M2" i="20"/>
  <c r="M363" i="20"/>
  <c r="M264" i="20"/>
  <c r="M249" i="20"/>
  <c r="M463" i="20"/>
  <c r="M397" i="20"/>
  <c r="M273" i="20"/>
  <c r="M75" i="20"/>
  <c r="M299" i="20"/>
  <c r="M307" i="20"/>
  <c r="M396" i="20"/>
  <c r="M434" i="20"/>
  <c r="M410" i="20"/>
  <c r="M287" i="20"/>
  <c r="M334" i="20"/>
  <c r="M394" i="20"/>
  <c r="M195" i="20"/>
  <c r="M197" i="20"/>
  <c r="M255" i="20"/>
  <c r="M493" i="20"/>
  <c r="M136" i="20"/>
  <c r="M6" i="20"/>
  <c r="M248" i="20"/>
  <c r="M209" i="20"/>
  <c r="M162" i="20"/>
  <c r="M175" i="20"/>
  <c r="M161" i="20"/>
  <c r="M412" i="20"/>
  <c r="M361" i="20"/>
  <c r="M128" i="20"/>
  <c r="M499" i="20"/>
  <c r="M133" i="20"/>
  <c r="M476" i="20"/>
  <c r="M10" i="20"/>
  <c r="M51" i="20"/>
  <c r="M281" i="20"/>
  <c r="M272" i="20"/>
  <c r="M97" i="20"/>
  <c r="M73" i="20"/>
  <c r="M405" i="20"/>
  <c r="M347" i="20"/>
  <c r="M444" i="20"/>
  <c r="M101" i="20"/>
  <c r="M406" i="20"/>
  <c r="M314" i="20"/>
  <c r="M393" i="20"/>
  <c r="M488" i="20"/>
  <c r="M234" i="20"/>
  <c r="M492" i="20"/>
  <c r="M176" i="20"/>
  <c r="M362" i="20"/>
  <c r="M46" i="20"/>
  <c r="M271" i="20"/>
  <c r="M49" i="20"/>
  <c r="M160" i="20"/>
  <c r="M177" i="20"/>
  <c r="M132" i="20"/>
  <c r="M165" i="20"/>
  <c r="M169" i="20"/>
  <c r="M368" i="20"/>
  <c r="M206" i="20"/>
  <c r="M245" i="20"/>
  <c r="M9" i="20"/>
  <c r="M387" i="20"/>
  <c r="M263" i="20"/>
  <c r="M430" i="20"/>
  <c r="M77" i="20"/>
  <c r="M308" i="20"/>
  <c r="M290" i="20"/>
  <c r="M348" i="20"/>
  <c r="M426" i="20"/>
  <c r="M328" i="20"/>
  <c r="M71" i="20"/>
  <c r="M302" i="20"/>
  <c r="M402" i="20"/>
  <c r="M425" i="20"/>
  <c r="M435" i="20"/>
  <c r="M196" i="20"/>
  <c r="M93" i="20"/>
  <c r="M207" i="20"/>
  <c r="M494" i="20"/>
  <c r="M178" i="20"/>
  <c r="M5" i="20"/>
  <c r="M211" i="20"/>
  <c r="M24" i="20"/>
  <c r="M265" i="20"/>
  <c r="M181" i="20"/>
  <c r="M127" i="20"/>
  <c r="M138" i="20"/>
  <c r="M155" i="20"/>
  <c r="M266" i="20"/>
  <c r="M226" i="20"/>
  <c r="M219" i="20"/>
  <c r="M311" i="20"/>
  <c r="M76" i="20"/>
  <c r="M433" i="20"/>
  <c r="M65" i="20"/>
  <c r="M327" i="20"/>
  <c r="M424" i="20"/>
  <c r="M215" i="20"/>
  <c r="M408" i="20"/>
  <c r="M374" i="20"/>
  <c r="M432" i="20"/>
  <c r="M440" i="20"/>
  <c r="M184" i="20"/>
  <c r="M232" i="20"/>
  <c r="M229" i="20"/>
  <c r="M285" i="20"/>
  <c r="M250" i="20"/>
  <c r="M204" i="20"/>
  <c r="M354" i="20"/>
  <c r="M278" i="20"/>
  <c r="M479" i="20"/>
  <c r="M43" i="20"/>
  <c r="M27" i="20"/>
  <c r="M22" i="20"/>
  <c r="M164" i="20"/>
  <c r="M121" i="20"/>
  <c r="M112" i="20"/>
  <c r="M268" i="20"/>
  <c r="M129" i="20"/>
  <c r="M359" i="20"/>
  <c r="M500" i="20"/>
  <c r="M152" i="20"/>
  <c r="M367" i="20"/>
  <c r="M23" i="20"/>
  <c r="M296" i="20"/>
  <c r="M422" i="20"/>
  <c r="M74" i="20"/>
  <c r="M383" i="20"/>
  <c r="M95" i="20"/>
  <c r="M399" i="20"/>
  <c r="M182" i="20"/>
  <c r="M340" i="20"/>
  <c r="M372" i="20"/>
  <c r="M411" i="20"/>
  <c r="M381" i="20"/>
  <c r="M428" i="20"/>
  <c r="M316" i="20"/>
  <c r="M203" i="20"/>
  <c r="M280" i="20"/>
  <c r="M277" i="20"/>
  <c r="M200" i="20"/>
  <c r="M480" i="20"/>
  <c r="M130" i="20"/>
  <c r="M142" i="20"/>
  <c r="M170" i="20"/>
  <c r="M157" i="20"/>
  <c r="M148" i="20"/>
  <c r="M150" i="20"/>
  <c r="M456" i="20"/>
  <c r="M69" i="20"/>
  <c r="M213" i="20"/>
  <c r="M61" i="20"/>
  <c r="M364" i="20"/>
  <c r="M39" i="20"/>
  <c r="M205" i="20"/>
  <c r="M460" i="20"/>
  <c r="M260" i="20"/>
  <c r="M486" i="20"/>
  <c r="M81" i="20"/>
  <c r="M64" i="20"/>
  <c r="M398" i="20"/>
  <c r="M376" i="20"/>
  <c r="M441" i="20"/>
  <c r="M365" i="20"/>
  <c r="M310" i="20"/>
  <c r="M384" i="20"/>
  <c r="M297" i="20"/>
  <c r="M192" i="20"/>
  <c r="M331" i="20"/>
  <c r="M293" i="20"/>
  <c r="M252" i="20"/>
  <c r="M11" i="20"/>
  <c r="M47" i="20"/>
  <c r="M3" i="20"/>
  <c r="M239" i="20"/>
  <c r="M251" i="20"/>
  <c r="M144" i="20"/>
  <c r="M119" i="20"/>
  <c r="M358" i="20"/>
  <c r="M147" i="20"/>
  <c r="M154" i="20"/>
  <c r="M389" i="20"/>
  <c r="M379" i="20"/>
  <c r="M78" i="20"/>
  <c r="M475" i="20"/>
  <c r="M443" i="20"/>
  <c r="M237" i="20"/>
  <c r="M40" i="20"/>
  <c r="M212" i="20"/>
  <c r="M459" i="20"/>
  <c r="M37" i="20"/>
  <c r="M505" i="20"/>
  <c r="M58" i="20"/>
  <c r="M190" i="20"/>
  <c r="M450" i="20"/>
  <c r="M416" i="20"/>
  <c r="M341" i="20"/>
  <c r="M85" i="20"/>
  <c r="M417" i="20"/>
  <c r="M343" i="20"/>
  <c r="M86" i="20"/>
  <c r="M188" i="20"/>
  <c r="M79" i="20"/>
  <c r="M353" i="20"/>
  <c r="M482" i="20"/>
  <c r="M257" i="20"/>
  <c r="M12" i="20"/>
  <c r="M276" i="20"/>
  <c r="M4" i="20"/>
  <c r="M240" i="20"/>
  <c r="M210" i="20"/>
  <c r="M238" i="20"/>
  <c r="M174" i="20"/>
  <c r="M222" i="20"/>
  <c r="M117" i="20"/>
  <c r="M166" i="20"/>
  <c r="M149" i="20"/>
  <c r="M135" i="20"/>
  <c r="M312" i="20"/>
  <c r="M452" i="20"/>
  <c r="M472" i="20"/>
  <c r="M461" i="20"/>
  <c r="M45" i="20"/>
  <c r="M59" i="20"/>
  <c r="M8" i="20"/>
  <c r="M345" i="20"/>
  <c r="M66" i="20"/>
  <c r="M286" i="20"/>
  <c r="M409" i="20"/>
  <c r="M102" i="20"/>
  <c r="M326" i="20"/>
  <c r="M317" i="20"/>
  <c r="M294" i="20"/>
  <c r="M288" i="20"/>
  <c r="M185" i="20"/>
  <c r="M385" i="20"/>
  <c r="M335" i="20"/>
  <c r="M446" i="20"/>
  <c r="M267" i="20"/>
  <c r="M7" i="20"/>
  <c r="M275" i="20"/>
  <c r="M199" i="20"/>
  <c r="M18" i="20"/>
  <c r="M241" i="20"/>
  <c r="M111" i="20"/>
  <c r="M179" i="20"/>
  <c r="M139" i="20"/>
  <c r="M180" i="20"/>
  <c r="M355" i="20"/>
  <c r="M151" i="20"/>
  <c r="M145" i="20"/>
  <c r="M259" i="20"/>
  <c r="M216" i="20"/>
  <c r="M470" i="20"/>
  <c r="M41" i="20"/>
  <c r="M21" i="20"/>
  <c r="M26" i="20"/>
  <c r="M15" i="20"/>
  <c r="M32" i="20"/>
  <c r="M57" i="20"/>
  <c r="M60" i="20"/>
  <c r="M321" i="20"/>
  <c r="M502" i="20"/>
  <c r="M194" i="20"/>
  <c r="M89" i="20"/>
  <c r="M63" i="20"/>
  <c r="M84" i="20"/>
  <c r="M88" i="20"/>
  <c r="M400" i="20"/>
  <c r="M401" i="20"/>
  <c r="M366" i="20"/>
  <c r="M80" i="20"/>
  <c r="M346" i="20"/>
  <c r="M68" i="20"/>
  <c r="M17" i="20"/>
  <c r="M242" i="20"/>
  <c r="M123" i="20"/>
  <c r="M171" i="20"/>
  <c r="M357" i="20"/>
  <c r="M120" i="20"/>
  <c r="M141" i="20"/>
  <c r="M140" i="20"/>
  <c r="M473" i="20"/>
  <c r="M453" i="20"/>
  <c r="M449" i="20"/>
  <c r="M471" i="20"/>
  <c r="M214" i="20"/>
  <c r="M282" i="20"/>
  <c r="M458" i="20"/>
  <c r="M504" i="20"/>
  <c r="M371" i="20"/>
  <c r="M295" i="20"/>
  <c r="M96" i="20"/>
  <c r="M431" i="20"/>
  <c r="M309" i="20"/>
  <c r="M333" i="20"/>
  <c r="M187" i="20"/>
  <c r="M373" i="20"/>
  <c r="M305" i="20"/>
  <c r="M395" i="20"/>
  <c r="M377" i="20"/>
  <c r="M301" i="20"/>
  <c r="M218" i="20"/>
  <c r="M414" i="20"/>
  <c r="M323" i="20"/>
  <c r="M256" i="20"/>
  <c r="M279" i="20"/>
  <c r="M231" i="20"/>
  <c r="M220" i="20"/>
  <c r="M20" i="20"/>
  <c r="M28" i="20"/>
  <c r="M158" i="20"/>
  <c r="M143" i="20"/>
  <c r="M124" i="20"/>
  <c r="M109" i="20"/>
  <c r="M261" i="20"/>
  <c r="M225" i="20"/>
  <c r="M462" i="20"/>
  <c r="M186" i="20"/>
  <c r="M469" i="20"/>
  <c r="M465" i="20"/>
  <c r="M52" i="20"/>
  <c r="M254" i="20"/>
  <c r="M506" i="20"/>
  <c r="S506" i="20" s="1"/>
  <c r="M99" i="20"/>
  <c r="M67" i="20"/>
  <c r="M418" i="20"/>
  <c r="M324" i="20"/>
  <c r="M98" i="20"/>
  <c r="M330" i="20"/>
  <c r="M375" i="20"/>
  <c r="M83" i="20"/>
  <c r="M90" i="20"/>
  <c r="M391" i="20"/>
  <c r="M325" i="20"/>
  <c r="M319" i="20"/>
  <c r="M442" i="20"/>
  <c r="M503" i="20"/>
  <c r="M423" i="20"/>
  <c r="M485" i="20"/>
  <c r="M25" i="20"/>
  <c r="M246" i="20"/>
  <c r="M201" i="20"/>
  <c r="M19" i="20"/>
  <c r="M125" i="20"/>
  <c r="M360" i="20"/>
  <c r="M87" i="20"/>
  <c r="M349" i="20"/>
  <c r="M332" i="20"/>
  <c r="M478" i="20"/>
  <c r="M468" i="20"/>
  <c r="M38" i="20"/>
  <c r="M464" i="20"/>
  <c r="M14" i="20"/>
  <c r="M53" i="20"/>
  <c r="M386" i="20"/>
  <c r="M447" i="20"/>
  <c r="M94" i="20"/>
  <c r="M318" i="20"/>
  <c r="M82" i="20"/>
  <c r="M407" i="20"/>
  <c r="M388" i="20"/>
  <c r="M369" i="20"/>
  <c r="M382" i="20"/>
  <c r="M62" i="20"/>
  <c r="M419" i="20"/>
  <c r="M427" i="20"/>
  <c r="M415" i="20"/>
  <c r="M217" i="20"/>
  <c r="M13" i="20"/>
  <c r="M490" i="20"/>
  <c r="M454" i="20"/>
  <c r="M198" i="20"/>
  <c r="M35" i="20"/>
  <c r="M30" i="20"/>
  <c r="M126" i="20"/>
  <c r="M159" i="20"/>
  <c r="M115" i="20"/>
  <c r="M270" i="20"/>
  <c r="M224" i="20"/>
  <c r="M146" i="20"/>
  <c r="M168" i="20"/>
  <c r="M167" i="20"/>
  <c r="M107" i="20"/>
  <c r="M304" i="20"/>
  <c r="M477" i="20"/>
  <c r="M42" i="20"/>
  <c r="M243" i="20"/>
  <c r="M54" i="20"/>
  <c r="M283" i="20"/>
  <c r="M292" i="20"/>
  <c r="M183" i="20"/>
  <c r="M92" i="20"/>
  <c r="M72" i="20"/>
  <c r="M284" i="20"/>
  <c r="M342" i="20"/>
  <c r="M390" i="20"/>
  <c r="M191" i="20"/>
  <c r="M233" i="20"/>
  <c r="M445" i="20"/>
  <c r="M303" i="20"/>
  <c r="M370" i="20"/>
  <c r="M289" i="20"/>
  <c r="M413" i="20"/>
  <c r="M448" i="20"/>
  <c r="M329" i="20"/>
  <c r="M483" i="20"/>
  <c r="M451" i="20"/>
  <c r="M269" i="20"/>
  <c r="M50" i="20"/>
  <c r="M34" i="20"/>
  <c r="M29" i="20"/>
  <c r="M114" i="20"/>
  <c r="M356" i="20"/>
  <c r="M113" i="20"/>
  <c r="M153" i="20"/>
  <c r="M156" i="20"/>
  <c r="M457" i="20"/>
  <c r="M31" i="20"/>
  <c r="M474" i="20"/>
  <c r="M466" i="20"/>
  <c r="M258" i="20"/>
  <c r="M244" i="20"/>
  <c r="M253" i="20"/>
  <c r="M55" i="20"/>
  <c r="M118" i="20"/>
  <c r="M91" i="20"/>
  <c r="M298" i="20"/>
  <c r="M403" i="20"/>
  <c r="M339" i="20"/>
  <c r="M338" i="20"/>
  <c r="M300" i="20"/>
  <c r="M336" i="20"/>
  <c r="M320" i="20"/>
  <c r="M392" i="20"/>
  <c r="M306" i="20"/>
  <c r="M313" i="20"/>
  <c r="M202" i="20"/>
  <c r="M487" i="20"/>
  <c r="M350" i="20"/>
  <c r="M491" i="20"/>
  <c r="M56" i="20"/>
  <c r="M33" i="20"/>
  <c r="M36" i="20"/>
  <c r="M208" i="20"/>
  <c r="M173" i="20"/>
  <c r="M122" i="20"/>
  <c r="M172" i="20"/>
  <c r="M131" i="20"/>
  <c r="M134" i="20"/>
  <c r="M137" i="20"/>
  <c r="M380" i="20"/>
  <c r="L263" i="5"/>
  <c r="L272" i="11" s="1"/>
  <c r="M272" i="11" s="1"/>
  <c r="O272" i="11" s="1"/>
  <c r="D19" i="18"/>
  <c r="E19" i="18" s="1"/>
  <c r="L590" i="5"/>
  <c r="L443" i="10" s="1"/>
  <c r="M443" i="10" s="1"/>
  <c r="L279" i="5"/>
  <c r="J104" i="12" s="1"/>
  <c r="K104" i="12" s="1"/>
  <c r="L505" i="5"/>
  <c r="L200" i="5"/>
  <c r="L130" i="10" s="1"/>
  <c r="M130" i="10" s="1"/>
  <c r="N130" i="10" s="1"/>
  <c r="L265" i="5"/>
  <c r="J97" i="12" s="1"/>
  <c r="K97" i="12" s="1"/>
  <c r="L97" i="12" s="1"/>
  <c r="L216" i="5"/>
  <c r="L145" i="10" s="1"/>
  <c r="M145" i="10" s="1"/>
  <c r="L261" i="5"/>
  <c r="J76" i="12" s="1"/>
  <c r="K76" i="12" s="1"/>
  <c r="M76" i="12" s="1"/>
  <c r="L266" i="5"/>
  <c r="M266" i="5" s="1"/>
  <c r="N266" i="5" s="1"/>
  <c r="L221" i="5"/>
  <c r="L165" i="5"/>
  <c r="L402" i="5"/>
  <c r="L234" i="10" s="1"/>
  <c r="M234" i="10" s="1"/>
  <c r="D183" i="18"/>
  <c r="E183" i="18" s="1"/>
  <c r="D191" i="18"/>
  <c r="E191" i="18" s="1"/>
  <c r="L262" i="5"/>
  <c r="J77" i="12" s="1"/>
  <c r="K77" i="12" s="1"/>
  <c r="M77" i="12" s="1"/>
  <c r="L645" i="5"/>
  <c r="L497" i="10" s="1"/>
  <c r="M497" i="10" s="1"/>
  <c r="O497" i="10" s="1"/>
  <c r="D41" i="18"/>
  <c r="E41" i="18" s="1"/>
  <c r="L155" i="5"/>
  <c r="L149" i="11" s="1"/>
  <c r="M149" i="11" s="1"/>
  <c r="O149" i="11" s="1"/>
  <c r="D12" i="18"/>
  <c r="E12" i="18" s="1"/>
  <c r="L259" i="5"/>
  <c r="L131" i="10" s="1"/>
  <c r="M131" i="10" s="1"/>
  <c r="O131" i="10" s="1"/>
  <c r="L220" i="5"/>
  <c r="L222" i="5"/>
  <c r="L175" i="5"/>
  <c r="L219" i="5"/>
  <c r="L229" i="11" s="1"/>
  <c r="M229" i="11" s="1"/>
  <c r="O229" i="11" s="1"/>
  <c r="D229" i="18"/>
  <c r="E229" i="18" s="1"/>
  <c r="L612" i="5"/>
  <c r="L176" i="5"/>
  <c r="L199" i="5"/>
  <c r="L129" i="10" s="1"/>
  <c r="M129" i="10" s="1"/>
  <c r="L218" i="5"/>
  <c r="L228" i="11" s="1"/>
  <c r="S228" i="11" s="1"/>
  <c r="M268" i="5"/>
  <c r="N268" i="5" s="1"/>
  <c r="J100" i="12"/>
  <c r="K100" i="12" s="1"/>
  <c r="L100" i="12" s="1"/>
  <c r="L202" i="11"/>
  <c r="M202" i="11" s="1"/>
  <c r="O202" i="11" s="1"/>
  <c r="J89" i="12"/>
  <c r="K89" i="12" s="1"/>
  <c r="M89" i="12" s="1"/>
  <c r="L285" i="5"/>
  <c r="L166" i="10" s="1"/>
  <c r="M166" i="10" s="1"/>
  <c r="M195" i="5"/>
  <c r="O195" i="5" s="1"/>
  <c r="L170" i="5"/>
  <c r="D218" i="18"/>
  <c r="E218" i="18" s="1"/>
  <c r="L305" i="5"/>
  <c r="D219" i="18"/>
  <c r="E219" i="18" s="1"/>
  <c r="L148" i="5"/>
  <c r="L157" i="10" s="1"/>
  <c r="M157" i="10" s="1"/>
  <c r="O157" i="10" s="1"/>
  <c r="E247" i="18"/>
  <c r="F247" i="18"/>
  <c r="L335" i="5"/>
  <c r="L200" i="10" s="1"/>
  <c r="M200" i="10" s="1"/>
  <c r="L538" i="5"/>
  <c r="L381" i="10" s="1"/>
  <c r="M381" i="10" s="1"/>
  <c r="L572" i="5"/>
  <c r="L426" i="10" s="1"/>
  <c r="L348" i="5"/>
  <c r="L206" i="10" s="1"/>
  <c r="M206" i="10" s="1"/>
  <c r="N206" i="10" s="1"/>
  <c r="L157" i="5"/>
  <c r="L152" i="11" s="1"/>
  <c r="S152" i="11" s="1"/>
  <c r="L556" i="5"/>
  <c r="L391" i="10" s="1"/>
  <c r="M391" i="10" s="1"/>
  <c r="N391" i="10" s="1"/>
  <c r="L392" i="5"/>
  <c r="L223" i="10" s="1"/>
  <c r="M223" i="10" s="1"/>
  <c r="O223" i="10" s="1"/>
  <c r="L617" i="5"/>
  <c r="L290" i="5"/>
  <c r="D3" i="18"/>
  <c r="E3" i="18" s="1"/>
  <c r="L470" i="5"/>
  <c r="L310" i="10" s="1"/>
  <c r="L49" i="5"/>
  <c r="L168" i="5"/>
  <c r="D38" i="18"/>
  <c r="E38" i="18" s="1"/>
  <c r="D5" i="18"/>
  <c r="E5" i="18" s="1"/>
  <c r="L381" i="5"/>
  <c r="D2" i="18"/>
  <c r="E2" i="18" s="1"/>
  <c r="L10" i="5"/>
  <c r="L7" i="10" s="1"/>
  <c r="M7" i="10" s="1"/>
  <c r="L359" i="5"/>
  <c r="L207" i="10" s="1"/>
  <c r="M207" i="10" s="1"/>
  <c r="N207" i="10" s="1"/>
  <c r="L284" i="5"/>
  <c r="L46" i="5"/>
  <c r="L378" i="5"/>
  <c r="L323" i="5"/>
  <c r="L178" i="10" s="1"/>
  <c r="M178" i="10" s="1"/>
  <c r="N178" i="10" s="1"/>
  <c r="L312" i="5"/>
  <c r="L176" i="10" s="1"/>
  <c r="L654" i="5"/>
  <c r="L502" i="10" s="1"/>
  <c r="M502" i="10" s="1"/>
  <c r="L191" i="5"/>
  <c r="L164" i="10" s="1"/>
  <c r="M164" i="10" s="1"/>
  <c r="N164" i="10" s="1"/>
  <c r="L438" i="5"/>
  <c r="L284" i="10" s="1"/>
  <c r="L319" i="5"/>
  <c r="L182" i="10" s="1"/>
  <c r="M182" i="10" s="1"/>
  <c r="O182" i="10" s="1"/>
  <c r="L449" i="5"/>
  <c r="L290" i="10" s="1"/>
  <c r="M290" i="10" s="1"/>
  <c r="L522" i="5"/>
  <c r="L385" i="5"/>
  <c r="L167" i="5"/>
  <c r="L112" i="10" s="1"/>
  <c r="M112" i="10" s="1"/>
  <c r="L582" i="5"/>
  <c r="L461" i="10" s="1"/>
  <c r="M461" i="10" s="1"/>
  <c r="O461" i="10" s="1"/>
  <c r="L344" i="5"/>
  <c r="L205" i="10" s="1"/>
  <c r="M205" i="10" s="1"/>
  <c r="O205" i="10" s="1"/>
  <c r="L340" i="5"/>
  <c r="L202" i="10" s="1"/>
  <c r="M202" i="10" s="1"/>
  <c r="N202" i="10" s="1"/>
  <c r="L289" i="5"/>
  <c r="L606" i="5"/>
  <c r="L454" i="10" s="1"/>
  <c r="M454" i="10" s="1"/>
  <c r="N454" i="10" s="1"/>
  <c r="L533" i="5"/>
  <c r="L429" i="10" s="1"/>
  <c r="M429" i="10" s="1"/>
  <c r="L456" i="5"/>
  <c r="L299" i="10" s="1"/>
  <c r="M299" i="10" s="1"/>
  <c r="L501" i="5"/>
  <c r="L346" i="10" s="1"/>
  <c r="M346" i="10" s="1"/>
  <c r="L661" i="5"/>
  <c r="L511" i="10" s="1"/>
  <c r="M511" i="10" s="1"/>
  <c r="L294" i="5"/>
  <c r="L145" i="5"/>
  <c r="L165" i="10" s="1"/>
  <c r="L371" i="5"/>
  <c r="L394" i="5"/>
  <c r="L250" i="10" s="1"/>
  <c r="M250" i="10" s="1"/>
  <c r="N250" i="10" s="1"/>
  <c r="L416" i="5"/>
  <c r="L245" i="10" s="1"/>
  <c r="M245" i="10" s="1"/>
  <c r="L393" i="5"/>
  <c r="L226" i="10" s="1"/>
  <c r="M226" i="10" s="1"/>
  <c r="L600" i="5"/>
  <c r="L512" i="10" s="1"/>
  <c r="M512" i="10" s="1"/>
  <c r="L322" i="5"/>
  <c r="L179" i="10" s="1"/>
  <c r="M179" i="10" s="1"/>
  <c r="N179" i="10" s="1"/>
  <c r="L451" i="5"/>
  <c r="L294" i="10" s="1"/>
  <c r="L424" i="5"/>
  <c r="L313" i="10" s="1"/>
  <c r="M313" i="10" s="1"/>
  <c r="L316" i="5"/>
  <c r="L185" i="10" s="1"/>
  <c r="M185" i="10" s="1"/>
  <c r="L13" i="5"/>
  <c r="L11" i="10" s="1"/>
  <c r="M11" i="10" s="1"/>
  <c r="L31" i="5"/>
  <c r="L19" i="10" s="1"/>
  <c r="L608" i="5"/>
  <c r="L459" i="10" s="1"/>
  <c r="M459" i="10" s="1"/>
  <c r="L473" i="5"/>
  <c r="L311" i="10" s="1"/>
  <c r="M311" i="10" s="1"/>
  <c r="L144" i="5"/>
  <c r="L33" i="10" s="1"/>
  <c r="M33" i="10" s="1"/>
  <c r="O33" i="10" s="1"/>
  <c r="L208" i="5"/>
  <c r="L83" i="5"/>
  <c r="L628" i="5"/>
  <c r="L477" i="10" s="1"/>
  <c r="M477" i="10" s="1"/>
  <c r="N477" i="10" s="1"/>
  <c r="L82" i="5"/>
  <c r="L418" i="5"/>
  <c r="L535" i="5"/>
  <c r="L380" i="10" s="1"/>
  <c r="M380" i="10" s="1"/>
  <c r="N380" i="10" s="1"/>
  <c r="L331" i="5"/>
  <c r="L197" i="10" s="1"/>
  <c r="L635" i="5"/>
  <c r="L481" i="10" s="1"/>
  <c r="M481" i="10" s="1"/>
  <c r="L648" i="5"/>
  <c r="L492" i="10" s="1"/>
  <c r="M492" i="10" s="1"/>
  <c r="O492" i="10" s="1"/>
  <c r="L414" i="5"/>
  <c r="L309" i="10" s="1"/>
  <c r="L55" i="5"/>
  <c r="L597" i="5"/>
  <c r="L513" i="5"/>
  <c r="L15" i="5"/>
  <c r="L12" i="10" s="1"/>
  <c r="M12" i="10" s="1"/>
  <c r="L193" i="5"/>
  <c r="L125" i="10" s="1"/>
  <c r="M125" i="10" s="1"/>
  <c r="O125" i="10" s="1"/>
  <c r="L474" i="5"/>
  <c r="L320" i="10" s="1"/>
  <c r="M320" i="10" s="1"/>
  <c r="O320" i="10" s="1"/>
  <c r="L315" i="5"/>
  <c r="L180" i="10" s="1"/>
  <c r="M180" i="10" s="1"/>
  <c r="N180" i="10" s="1"/>
  <c r="L177" i="5"/>
  <c r="L149" i="10" s="1"/>
  <c r="M149" i="10" s="1"/>
  <c r="O149" i="10" s="1"/>
  <c r="L325" i="5"/>
  <c r="L187" i="10" s="1"/>
  <c r="L298" i="5"/>
  <c r="L438" i="10" s="1"/>
  <c r="M438" i="10" s="1"/>
  <c r="L301" i="5"/>
  <c r="L450" i="5"/>
  <c r="L292" i="10" s="1"/>
  <c r="L599" i="5"/>
  <c r="L72" i="5"/>
  <c r="L300" i="5"/>
  <c r="L27" i="5"/>
  <c r="L27" i="10" s="1"/>
  <c r="M27" i="10" s="1"/>
  <c r="N27" i="10" s="1"/>
  <c r="L56" i="5"/>
  <c r="L318" i="5"/>
  <c r="L161" i="5"/>
  <c r="L109" i="10" s="1"/>
  <c r="M109" i="10" s="1"/>
  <c r="L162" i="5"/>
  <c r="L157" i="11" s="1"/>
  <c r="M157" i="11" s="1"/>
  <c r="L523" i="5"/>
  <c r="L480" i="10" s="1"/>
  <c r="M480" i="10" s="1"/>
  <c r="L497" i="5"/>
  <c r="L338" i="10" s="1"/>
  <c r="M338" i="10" s="1"/>
  <c r="L508" i="5"/>
  <c r="L408" i="10" s="1"/>
  <c r="M408" i="10" s="1"/>
  <c r="N408" i="10" s="1"/>
  <c r="L624" i="5"/>
  <c r="L475" i="10" s="1"/>
  <c r="M475" i="10" s="1"/>
  <c r="L353" i="5"/>
  <c r="L209" i="10" s="1"/>
  <c r="M209" i="10" s="1"/>
  <c r="N209" i="10" s="1"/>
  <c r="L382" i="5"/>
  <c r="L217" i="10" s="1"/>
  <c r="M217" i="10" s="1"/>
  <c r="N217" i="10" s="1"/>
  <c r="L558" i="5"/>
  <c r="L392" i="10" s="1"/>
  <c r="M392" i="10" s="1"/>
  <c r="L519" i="5"/>
  <c r="L235" i="10" s="1"/>
  <c r="M235" i="10" s="1"/>
  <c r="L526" i="5"/>
  <c r="L64" i="5"/>
  <c r="L375" i="5"/>
  <c r="L213" i="10" s="1"/>
  <c r="M213" i="10" s="1"/>
  <c r="O213" i="10" s="1"/>
  <c r="L35" i="5"/>
  <c r="L268" i="10" s="1"/>
  <c r="M268" i="10" s="1"/>
  <c r="L313" i="5"/>
  <c r="L177" i="10" s="1"/>
  <c r="M177" i="10" s="1"/>
  <c r="N177" i="10" s="1"/>
  <c r="L492" i="5"/>
  <c r="L337" i="10" s="1"/>
  <c r="M337" i="10" s="1"/>
  <c r="N337" i="10" s="1"/>
  <c r="L296" i="5"/>
  <c r="M296" i="5" s="1"/>
  <c r="O296" i="5" s="1"/>
  <c r="L166" i="5"/>
  <c r="L439" i="5"/>
  <c r="L285" i="10" s="1"/>
  <c r="L57" i="5"/>
  <c r="L185" i="5"/>
  <c r="L120" i="10" s="1"/>
  <c r="L518" i="5"/>
  <c r="L357" i="10" s="1"/>
  <c r="M357" i="10" s="1"/>
  <c r="O357" i="10" s="1"/>
  <c r="L179" i="5"/>
  <c r="L116" i="10" s="1"/>
  <c r="L476" i="5"/>
  <c r="L325" i="10" s="1"/>
  <c r="M325" i="10" s="1"/>
  <c r="L6" i="5"/>
  <c r="L5" i="10" s="1"/>
  <c r="L603" i="5"/>
  <c r="L490" i="10" s="1"/>
  <c r="L658" i="5"/>
  <c r="L508" i="10" s="1"/>
  <c r="M508" i="10" s="1"/>
  <c r="N508" i="10" s="1"/>
  <c r="L412" i="5"/>
  <c r="L239" i="10" s="1"/>
  <c r="M239" i="10" s="1"/>
  <c r="L190" i="5"/>
  <c r="L124" i="10" s="1"/>
  <c r="M124" i="10" s="1"/>
  <c r="O124" i="10" s="1"/>
  <c r="L334" i="5"/>
  <c r="L199" i="10" s="1"/>
  <c r="M199" i="10" s="1"/>
  <c r="O199" i="10" s="1"/>
  <c r="L386" i="5"/>
  <c r="L219" i="10" s="1"/>
  <c r="L164" i="5"/>
  <c r="L111" i="10" s="1"/>
  <c r="M111" i="10" s="1"/>
  <c r="O111" i="10" s="1"/>
  <c r="D221" i="18"/>
  <c r="E221" i="18" s="1"/>
  <c r="L36" i="5"/>
  <c r="L311" i="5"/>
  <c r="L293" i="5"/>
  <c r="L555" i="5"/>
  <c r="L304" i="5"/>
  <c r="L186" i="5"/>
  <c r="L121" i="10" s="1"/>
  <c r="M121" i="10" s="1"/>
  <c r="N121" i="10" s="1"/>
  <c r="L281" i="5"/>
  <c r="L169" i="10" s="1"/>
  <c r="M169" i="10" s="1"/>
  <c r="O169" i="10" s="1"/>
  <c r="L151" i="5"/>
  <c r="L105" i="10" s="1"/>
  <c r="L388" i="5"/>
  <c r="L221" i="10" s="1"/>
  <c r="M221" i="10" s="1"/>
  <c r="O221" i="10" s="1"/>
  <c r="L636" i="5"/>
  <c r="L482" i="10" s="1"/>
  <c r="M482" i="10" s="1"/>
  <c r="N482" i="10" s="1"/>
  <c r="L280" i="5"/>
  <c r="L168" i="10" s="1"/>
  <c r="M168" i="10" s="1"/>
  <c r="L656" i="5"/>
  <c r="L506" i="10" s="1"/>
  <c r="M506" i="10" s="1"/>
  <c r="L154" i="5"/>
  <c r="L106" i="10" s="1"/>
  <c r="M106" i="10" s="1"/>
  <c r="N106" i="10" s="1"/>
  <c r="L435" i="5"/>
  <c r="L281" i="10" s="1"/>
  <c r="M281" i="10" s="1"/>
  <c r="O281" i="10" s="1"/>
  <c r="L622" i="5"/>
  <c r="L473" i="10" s="1"/>
  <c r="L207" i="5"/>
  <c r="M207" i="5" s="1"/>
  <c r="O207" i="5" s="1"/>
  <c r="L638" i="5"/>
  <c r="L187" i="5"/>
  <c r="L122" i="10" s="1"/>
  <c r="M122" i="10" s="1"/>
  <c r="L446" i="5"/>
  <c r="L288" i="10" s="1"/>
  <c r="M288" i="10" s="1"/>
  <c r="O288" i="10" s="1"/>
  <c r="L664" i="5"/>
  <c r="L514" i="10" s="1"/>
  <c r="M514" i="10" s="1"/>
  <c r="N514" i="10" s="1"/>
  <c r="L566" i="5"/>
  <c r="L478" i="10" s="1"/>
  <c r="M478" i="10" s="1"/>
  <c r="N478" i="10" s="1"/>
  <c r="L502" i="5"/>
  <c r="L348" i="10" s="1"/>
  <c r="M348" i="10" s="1"/>
  <c r="L486" i="5"/>
  <c r="L336" i="10" s="1"/>
  <c r="M336" i="10" s="1"/>
  <c r="N336" i="10" s="1"/>
  <c r="L460" i="5"/>
  <c r="L300" i="10" s="1"/>
  <c r="M300" i="10" s="1"/>
  <c r="N300" i="10" s="1"/>
  <c r="L587" i="5"/>
  <c r="L435" i="10" s="1"/>
  <c r="M435" i="10" s="1"/>
  <c r="O435" i="10" s="1"/>
  <c r="L443" i="5"/>
  <c r="L286" i="10" s="1"/>
  <c r="L152" i="5"/>
  <c r="L286" i="5"/>
  <c r="L516" i="5"/>
  <c r="L291" i="5"/>
  <c r="L130" i="5"/>
  <c r="L430" i="5"/>
  <c r="L366" i="5"/>
  <c r="L188" i="5"/>
  <c r="L162" i="10" s="1"/>
  <c r="M162" i="10" s="1"/>
  <c r="L500" i="5"/>
  <c r="L364" i="10" s="1"/>
  <c r="M364" i="10" s="1"/>
  <c r="L169" i="5"/>
  <c r="L166" i="11" s="1"/>
  <c r="M166" i="11" s="1"/>
  <c r="O166" i="11" s="1"/>
  <c r="L641" i="5"/>
  <c r="L488" i="10" s="1"/>
  <c r="L560" i="5"/>
  <c r="L397" i="10" s="1"/>
  <c r="M397" i="10" s="1"/>
  <c r="O397" i="10" s="1"/>
  <c r="L652" i="5"/>
  <c r="L501" i="10" s="1"/>
  <c r="L365" i="5"/>
  <c r="L210" i="10" s="1"/>
  <c r="M210" i="10" s="1"/>
  <c r="L637" i="5"/>
  <c r="L485" i="10" s="1"/>
  <c r="M485" i="10" s="1"/>
  <c r="L341" i="5"/>
  <c r="L203" i="10" s="1"/>
  <c r="M203" i="10" s="1"/>
  <c r="L4" i="5"/>
  <c r="J253" i="12" s="1"/>
  <c r="K253" i="12" s="1"/>
  <c r="M253" i="12" s="1"/>
  <c r="L580" i="5"/>
  <c r="L403" i="10" s="1"/>
  <c r="L594" i="5"/>
  <c r="L453" i="10" s="1"/>
  <c r="M453" i="10" s="1"/>
  <c r="L653" i="5"/>
  <c r="L398" i="5"/>
  <c r="L229" i="10" s="1"/>
  <c r="M229" i="10" s="1"/>
  <c r="O229" i="10" s="1"/>
  <c r="L317" i="5"/>
  <c r="L181" i="10" s="1"/>
  <c r="M181" i="10" s="1"/>
  <c r="N181" i="10" s="1"/>
  <c r="L651" i="5"/>
  <c r="L500" i="10" s="1"/>
  <c r="L640" i="5"/>
  <c r="L487" i="10" s="1"/>
  <c r="M487" i="10" s="1"/>
  <c r="L477" i="5"/>
  <c r="L326" i="10" s="1"/>
  <c r="L192" i="5"/>
  <c r="L372" i="5"/>
  <c r="L298" i="10" s="1"/>
  <c r="M298" i="10" s="1"/>
  <c r="N298" i="10" s="1"/>
  <c r="L295" i="5"/>
  <c r="L96" i="11" s="1"/>
  <c r="M96" i="11" s="1"/>
  <c r="O96" i="11" s="1"/>
  <c r="L113" i="5"/>
  <c r="L132" i="5"/>
  <c r="L18" i="5"/>
  <c r="L13" i="10" s="1"/>
  <c r="L324" i="5"/>
  <c r="L186" i="10" s="1"/>
  <c r="M186" i="10" s="1"/>
  <c r="O186" i="10" s="1"/>
  <c r="L529" i="5"/>
  <c r="L394" i="10" s="1"/>
  <c r="M394" i="10" s="1"/>
  <c r="L302" i="5"/>
  <c r="L321" i="5"/>
  <c r="L184" i="10" s="1"/>
  <c r="M184" i="10" s="1"/>
  <c r="L631" i="5"/>
  <c r="L23" i="5"/>
  <c r="L15" i="10" s="1"/>
  <c r="L548" i="5"/>
  <c r="L427" i="10" s="1"/>
  <c r="M427" i="10" s="1"/>
  <c r="N427" i="10" s="1"/>
  <c r="L297" i="5"/>
  <c r="L115" i="10" s="1"/>
  <c r="M115" i="10" s="1"/>
  <c r="O115" i="10" s="1"/>
  <c r="L12" i="5"/>
  <c r="L10" i="10" s="1"/>
  <c r="M10" i="10" s="1"/>
  <c r="N10" i="10" s="1"/>
  <c r="L59" i="5"/>
  <c r="L627" i="5"/>
  <c r="L542" i="11" s="1"/>
  <c r="M542" i="11" s="1"/>
  <c r="L650" i="5"/>
  <c r="L494" i="10" s="1"/>
  <c r="M494" i="10" s="1"/>
  <c r="O494" i="10" s="1"/>
  <c r="L63" i="5"/>
  <c r="L646" i="5"/>
  <c r="L588" i="5"/>
  <c r="L670" i="5"/>
  <c r="L504" i="10" s="1"/>
  <c r="L483" i="5"/>
  <c r="L287" i="10" s="1"/>
  <c r="L618" i="5"/>
  <c r="L464" i="10" s="1"/>
  <c r="M464" i="10" s="1"/>
  <c r="N464" i="10" s="1"/>
  <c r="L643" i="5"/>
  <c r="L491" i="10" s="1"/>
  <c r="M491" i="10" s="1"/>
  <c r="O491" i="10" s="1"/>
  <c r="L391" i="5"/>
  <c r="L222" i="10" s="1"/>
  <c r="M222" i="10" s="1"/>
  <c r="N222" i="10" s="1"/>
  <c r="L434" i="5"/>
  <c r="L279" i="10" s="1"/>
  <c r="L180" i="5"/>
  <c r="L118" i="10" s="1"/>
  <c r="M118" i="10" s="1"/>
  <c r="O118" i="10" s="1"/>
  <c r="L605" i="5"/>
  <c r="L452" i="10" s="1"/>
  <c r="M452" i="10" s="1"/>
  <c r="O452" i="10" s="1"/>
  <c r="L620" i="5"/>
  <c r="L470" i="10" s="1"/>
  <c r="M470" i="10" s="1"/>
  <c r="L585" i="5"/>
  <c r="L431" i="10" s="1"/>
  <c r="M431" i="10" s="1"/>
  <c r="L342" i="5"/>
  <c r="L204" i="10" s="1"/>
  <c r="M204" i="10" s="1"/>
  <c r="N204" i="10" s="1"/>
  <c r="L528" i="5"/>
  <c r="L108" i="5"/>
  <c r="D151" i="18"/>
  <c r="F151" i="18" s="1"/>
  <c r="L66" i="5"/>
  <c r="L604" i="5"/>
  <c r="L310" i="5"/>
  <c r="L403" i="5"/>
  <c r="L163" i="5"/>
  <c r="L110" i="10" s="1"/>
  <c r="M110" i="10" s="1"/>
  <c r="O110" i="10" s="1"/>
  <c r="L607" i="5"/>
  <c r="L457" i="10" s="1"/>
  <c r="M457" i="10" s="1"/>
  <c r="O457" i="10" s="1"/>
  <c r="L581" i="5"/>
  <c r="L416" i="10" s="1"/>
  <c r="M416" i="10" s="1"/>
  <c r="L616" i="5"/>
  <c r="L463" i="10" s="1"/>
  <c r="M463" i="10" s="1"/>
  <c r="L453" i="5"/>
  <c r="L507" i="5"/>
  <c r="L366" i="10" s="1"/>
  <c r="L38" i="5"/>
  <c r="L20" i="10" s="1"/>
  <c r="M20" i="10" s="1"/>
  <c r="L303" i="5"/>
  <c r="L117" i="10" s="1"/>
  <c r="L160" i="5"/>
  <c r="L108" i="10" s="1"/>
  <c r="M108" i="10" s="1"/>
  <c r="N108" i="10" s="1"/>
  <c r="L158" i="5"/>
  <c r="L328" i="5"/>
  <c r="L190" i="10" s="1"/>
  <c r="M190" i="10" s="1"/>
  <c r="L90" i="5"/>
  <c r="L141" i="5"/>
  <c r="K64" i="14" s="1"/>
  <c r="L64" i="14" s="1"/>
  <c r="L564" i="5"/>
  <c r="L405" i="10" s="1"/>
  <c r="M405" i="10" s="1"/>
  <c r="L633" i="5"/>
  <c r="L320" i="5"/>
  <c r="L183" i="10" s="1"/>
  <c r="L423" i="5"/>
  <c r="L261" i="10" s="1"/>
  <c r="M261" i="10" s="1"/>
  <c r="N261" i="10" s="1"/>
  <c r="L509" i="5"/>
  <c r="L350" i="10" s="1"/>
  <c r="M350" i="10" s="1"/>
  <c r="D84" i="18"/>
  <c r="E84" i="18" s="1"/>
  <c r="L657" i="5"/>
  <c r="L507" i="10" s="1"/>
  <c r="M507" i="10" s="1"/>
  <c r="O507" i="10" s="1"/>
  <c r="L489" i="5"/>
  <c r="L513" i="10" s="1"/>
  <c r="M513" i="10" s="1"/>
  <c r="N513" i="10" s="1"/>
  <c r="L662" i="5"/>
  <c r="L510" i="10" s="1"/>
  <c r="M510" i="10" s="1"/>
  <c r="L562" i="5"/>
  <c r="L399" i="10" s="1"/>
  <c r="M399" i="10" s="1"/>
  <c r="N399" i="10" s="1"/>
  <c r="L461" i="5"/>
  <c r="L301" i="10" s="1"/>
  <c r="M301" i="10" s="1"/>
  <c r="N301" i="10" s="1"/>
  <c r="L415" i="5"/>
  <c r="L243" i="10" s="1"/>
  <c r="L292" i="5"/>
  <c r="L307" i="5"/>
  <c r="L49" i="11" s="1"/>
  <c r="S49" i="11" s="1"/>
  <c r="L447" i="5"/>
  <c r="L314" i="10" s="1"/>
  <c r="L401" i="5"/>
  <c r="L277" i="10" s="1"/>
  <c r="L417" i="5"/>
  <c r="L266" i="10" s="1"/>
  <c r="L65" i="5"/>
  <c r="L46" i="10" s="1"/>
  <c r="L579" i="5"/>
  <c r="L523" i="10" s="1"/>
  <c r="M523" i="10" s="1"/>
  <c r="L346" i="5"/>
  <c r="L227" i="10" s="1"/>
  <c r="M227" i="10" s="1"/>
  <c r="N227" i="10" s="1"/>
  <c r="L78" i="5"/>
  <c r="L40" i="10" s="1"/>
  <c r="M40" i="10" s="1"/>
  <c r="N40" i="10" s="1"/>
  <c r="L613" i="5"/>
  <c r="L456" i="10" s="1"/>
  <c r="M456" i="10" s="1"/>
  <c r="N456" i="10" s="1"/>
  <c r="L510" i="5"/>
  <c r="L370" i="10" s="1"/>
  <c r="M370" i="10" s="1"/>
  <c r="O370" i="10" s="1"/>
  <c r="L182" i="5"/>
  <c r="L260" i="5"/>
  <c r="M260" i="5" s="1"/>
  <c r="N260" i="5" s="1"/>
  <c r="L521" i="5"/>
  <c r="L359" i="10" s="1"/>
  <c r="M359" i="10" s="1"/>
  <c r="O359" i="10" s="1"/>
  <c r="L196" i="5"/>
  <c r="L151" i="10" s="1"/>
  <c r="M151" i="10" s="1"/>
  <c r="N151" i="10" s="1"/>
  <c r="L339" i="5"/>
  <c r="L375" i="10" s="1"/>
  <c r="M375" i="10" s="1"/>
  <c r="O375" i="10" s="1"/>
  <c r="L278" i="5"/>
  <c r="L167" i="10" s="1"/>
  <c r="L611" i="5"/>
  <c r="L468" i="10" s="1"/>
  <c r="M468" i="10" s="1"/>
  <c r="N468" i="10" s="1"/>
  <c r="L135" i="5"/>
  <c r="L98" i="10" s="1"/>
  <c r="M98" i="10" s="1"/>
  <c r="L567" i="5"/>
  <c r="L422" i="10" s="1"/>
  <c r="M422" i="10" s="1"/>
  <c r="L454" i="5"/>
  <c r="L317" i="10" s="1"/>
  <c r="L520" i="5"/>
  <c r="L369" i="10" s="1"/>
  <c r="L110" i="5"/>
  <c r="L76" i="10" s="1"/>
  <c r="M76" i="10" s="1"/>
  <c r="O76" i="10" s="1"/>
  <c r="L119" i="5"/>
  <c r="L84" i="10" s="1"/>
  <c r="M84" i="10" s="1"/>
  <c r="N84" i="10" s="1"/>
  <c r="L97" i="5"/>
  <c r="L66" i="10" s="1"/>
  <c r="M66" i="10" s="1"/>
  <c r="O66" i="10" s="1"/>
  <c r="L138" i="5"/>
  <c r="L100" i="10" s="1"/>
  <c r="M100" i="10" s="1"/>
  <c r="L574" i="5"/>
  <c r="L259" i="10" s="1"/>
  <c r="L407" i="5"/>
  <c r="L254" i="10" s="1"/>
  <c r="M254" i="10" s="1"/>
  <c r="N254" i="10" s="1"/>
  <c r="D39" i="18"/>
  <c r="F39" i="18" s="1"/>
  <c r="L465" i="5"/>
  <c r="L306" i="10" s="1"/>
  <c r="M306" i="10" s="1"/>
  <c r="N306" i="10" s="1"/>
  <c r="L47" i="5"/>
  <c r="L36" i="10" s="1"/>
  <c r="M36" i="10" s="1"/>
  <c r="L626" i="5"/>
  <c r="L495" i="10" s="1"/>
  <c r="M495" i="10" s="1"/>
  <c r="N495" i="10" s="1"/>
  <c r="L374" i="5"/>
  <c r="L441" i="10" s="1"/>
  <c r="L667" i="5"/>
  <c r="L518" i="10" s="1"/>
  <c r="M518" i="10" s="1"/>
  <c r="N518" i="10" s="1"/>
  <c r="L601" i="5"/>
  <c r="L450" i="10" s="1"/>
  <c r="L330" i="5"/>
  <c r="L193" i="10" s="1"/>
  <c r="M193" i="10" s="1"/>
  <c r="N193" i="10" s="1"/>
  <c r="L360" i="5"/>
  <c r="L208" i="10" s="1"/>
  <c r="L547" i="5"/>
  <c r="L401" i="10" s="1"/>
  <c r="L569" i="5"/>
  <c r="L423" i="10" s="1"/>
  <c r="M423" i="10" s="1"/>
  <c r="L517" i="5"/>
  <c r="L503" i="10" s="1"/>
  <c r="M503" i="10" s="1"/>
  <c r="L433" i="5"/>
  <c r="L196" i="10" s="1"/>
  <c r="M196" i="10" s="1"/>
  <c r="O196" i="10" s="1"/>
  <c r="L444" i="5"/>
  <c r="L302" i="10" s="1"/>
  <c r="M302" i="10" s="1"/>
  <c r="L463" i="5"/>
  <c r="L418" i="10" s="1"/>
  <c r="M418" i="10" s="1"/>
  <c r="O418" i="10" s="1"/>
  <c r="L107" i="5"/>
  <c r="L73" i="10" s="1"/>
  <c r="L134" i="5"/>
  <c r="L97" i="10" s="1"/>
  <c r="L511" i="5"/>
  <c r="L362" i="10" s="1"/>
  <c r="M362" i="10" s="1"/>
  <c r="O362" i="10" s="1"/>
  <c r="L395" i="5"/>
  <c r="L351" i="10" s="1"/>
  <c r="M351" i="10" s="1"/>
  <c r="L457" i="5"/>
  <c r="L318" i="10" s="1"/>
  <c r="M318" i="10" s="1"/>
  <c r="L32" i="5"/>
  <c r="L361" i="10" s="1"/>
  <c r="L33" i="5"/>
  <c r="L29" i="10" s="1"/>
  <c r="M29" i="10" s="1"/>
  <c r="L514" i="5"/>
  <c r="L382" i="10" s="1"/>
  <c r="L363" i="5"/>
  <c r="L246" i="10" s="1"/>
  <c r="M246" i="10" s="1"/>
  <c r="N246" i="10" s="1"/>
  <c r="L561" i="5"/>
  <c r="L404" i="10" s="1"/>
  <c r="M404" i="10" s="1"/>
  <c r="N404" i="10" s="1"/>
  <c r="L551" i="5"/>
  <c r="L390" i="10" s="1"/>
  <c r="M390" i="10" s="1"/>
  <c r="L419" i="5"/>
  <c r="L262" i="10" s="1"/>
  <c r="M262" i="10" s="1"/>
  <c r="L377" i="5"/>
  <c r="L194" i="10" s="1"/>
  <c r="M194" i="10" s="1"/>
  <c r="N194" i="10" s="1"/>
  <c r="L665" i="5"/>
  <c r="L516" i="10" s="1"/>
  <c r="M516" i="10" s="1"/>
  <c r="O516" i="10" s="1"/>
  <c r="L62" i="5"/>
  <c r="L45" i="10" s="1"/>
  <c r="M45" i="10" s="1"/>
  <c r="N45" i="10" s="1"/>
  <c r="L406" i="5"/>
  <c r="L414" i="10" s="1"/>
  <c r="M414" i="10" s="1"/>
  <c r="O414" i="10" s="1"/>
  <c r="L487" i="5"/>
  <c r="L340" i="10" s="1"/>
  <c r="L73" i="5"/>
  <c r="L51" i="10" s="1"/>
  <c r="M51" i="10" s="1"/>
  <c r="O51" i="10" s="1"/>
  <c r="L565" i="5"/>
  <c r="L410" i="10" s="1"/>
  <c r="M410" i="10" s="1"/>
  <c r="L11" i="5"/>
  <c r="L8" i="10" s="1"/>
  <c r="L212" i="5"/>
  <c r="L141" i="10" s="1"/>
  <c r="L283" i="5"/>
  <c r="L172" i="10" s="1"/>
  <c r="L43" i="5"/>
  <c r="L327" i="10" s="1"/>
  <c r="M327" i="10" s="1"/>
  <c r="L573" i="5"/>
  <c r="L460" i="10" s="1"/>
  <c r="L361" i="5"/>
  <c r="L257" i="10" s="1"/>
  <c r="M257" i="10" s="1"/>
  <c r="O257" i="10" s="1"/>
  <c r="L595" i="5"/>
  <c r="L471" i="10" s="1"/>
  <c r="M471" i="10" s="1"/>
  <c r="L466" i="5"/>
  <c r="L319" i="10" s="1"/>
  <c r="L370" i="5"/>
  <c r="L247" i="10" s="1"/>
  <c r="M247" i="10" s="1"/>
  <c r="N247" i="10" s="1"/>
  <c r="L589" i="5"/>
  <c r="L428" i="10" s="1"/>
  <c r="M428" i="10" s="1"/>
  <c r="L93" i="5"/>
  <c r="L65" i="10" s="1"/>
  <c r="M65" i="10" s="1"/>
  <c r="N65" i="10" s="1"/>
  <c r="L115" i="5"/>
  <c r="L80" i="10" s="1"/>
  <c r="M80" i="10" s="1"/>
  <c r="O80" i="10" s="1"/>
  <c r="L440" i="5"/>
  <c r="L304" i="10" s="1"/>
  <c r="L133" i="5"/>
  <c r="L96" i="10" s="1"/>
  <c r="M96" i="10" s="1"/>
  <c r="D249" i="18"/>
  <c r="E249" i="18" s="1"/>
  <c r="L570" i="5"/>
  <c r="L413" i="10" s="1"/>
  <c r="M413" i="10" s="1"/>
  <c r="N413" i="10" s="1"/>
  <c r="L541" i="5"/>
  <c r="L373" i="10" s="1"/>
  <c r="M373" i="10" s="1"/>
  <c r="O373" i="10" s="1"/>
  <c r="L76" i="5"/>
  <c r="L53" i="10" s="1"/>
  <c r="M53" i="10" s="1"/>
  <c r="O53" i="10" s="1"/>
  <c r="L458" i="5"/>
  <c r="L402" i="10" s="1"/>
  <c r="L28" i="5"/>
  <c r="L16" i="10" s="1"/>
  <c r="M16" i="10" s="1"/>
  <c r="O16" i="10" s="1"/>
  <c r="L593" i="5"/>
  <c r="L386" i="10" s="1"/>
  <c r="M386" i="10" s="1"/>
  <c r="L557" i="5"/>
  <c r="L412" i="10" s="1"/>
  <c r="M412" i="10" s="1"/>
  <c r="N412" i="10" s="1"/>
  <c r="L666" i="5"/>
  <c r="L517" i="10" s="1"/>
  <c r="M517" i="10" s="1"/>
  <c r="D60" i="18"/>
  <c r="E60" i="18" s="1"/>
  <c r="L3" i="5"/>
  <c r="L3" i="10" s="1"/>
  <c r="L668" i="5"/>
  <c r="L519" i="10" s="1"/>
  <c r="L189" i="5"/>
  <c r="L123" i="10" s="1"/>
  <c r="M123" i="10" s="1"/>
  <c r="L512" i="5"/>
  <c r="L355" i="10" s="1"/>
  <c r="M355" i="10" s="1"/>
  <c r="L420" i="5"/>
  <c r="L258" i="10" s="1"/>
  <c r="M258" i="10" s="1"/>
  <c r="N258" i="10" s="1"/>
  <c r="L149" i="5"/>
  <c r="L103" i="10" s="1"/>
  <c r="M103" i="10" s="1"/>
  <c r="L367" i="5"/>
  <c r="L248" i="10" s="1"/>
  <c r="M248" i="10" s="1"/>
  <c r="N248" i="10" s="1"/>
  <c r="L276" i="5"/>
  <c r="L420" i="10" s="1"/>
  <c r="L362" i="5"/>
  <c r="L252" i="10" s="1"/>
  <c r="M252" i="10" s="1"/>
  <c r="O252" i="10" s="1"/>
  <c r="L553" i="5"/>
  <c r="L409" i="10" s="1"/>
  <c r="M409" i="10" s="1"/>
  <c r="O409" i="10" s="1"/>
  <c r="L343" i="5"/>
  <c r="L225" i="10" s="1"/>
  <c r="M225" i="10" s="1"/>
  <c r="L118" i="5"/>
  <c r="L83" i="10" s="1"/>
  <c r="M83" i="10" s="1"/>
  <c r="N83" i="10" s="1"/>
  <c r="L357" i="5"/>
  <c r="L218" i="10" s="1"/>
  <c r="M218" i="10" s="1"/>
  <c r="O218" i="10" s="1"/>
  <c r="L92" i="5"/>
  <c r="L64" i="10" s="1"/>
  <c r="L136" i="5"/>
  <c r="L99" i="10" s="1"/>
  <c r="M99" i="10" s="1"/>
  <c r="L441" i="5"/>
  <c r="L352" i="10" s="1"/>
  <c r="M352" i="10" s="1"/>
  <c r="L499" i="5"/>
  <c r="L230" i="10" s="1"/>
  <c r="M230" i="10" s="1"/>
  <c r="L464" i="5"/>
  <c r="L255" i="10" s="1"/>
  <c r="L129" i="5"/>
  <c r="L94" i="10" s="1"/>
  <c r="L60" i="5"/>
  <c r="L43" i="10" s="1"/>
  <c r="M43" i="10" s="1"/>
  <c r="N43" i="10" s="1"/>
  <c r="L488" i="5"/>
  <c r="L354" i="10" s="1"/>
  <c r="M354" i="10" s="1"/>
  <c r="O354" i="10" s="1"/>
  <c r="L333" i="5"/>
  <c r="L275" i="10" s="1"/>
  <c r="M275" i="10" s="1"/>
  <c r="L436" i="5"/>
  <c r="L493" i="10" s="1"/>
  <c r="M493" i="10" s="1"/>
  <c r="O493" i="10" s="1"/>
  <c r="L34" i="5"/>
  <c r="L30" i="10" s="1"/>
  <c r="D28" i="18"/>
  <c r="E28" i="18" s="1"/>
  <c r="L484" i="5"/>
  <c r="L334" i="10" s="1"/>
  <c r="M334" i="10" s="1"/>
  <c r="N334" i="10" s="1"/>
  <c r="L329" i="5"/>
  <c r="L191" i="10" s="1"/>
  <c r="M191" i="10" s="1"/>
  <c r="O191" i="10" s="1"/>
  <c r="L559" i="5"/>
  <c r="L393" i="10" s="1"/>
  <c r="M393" i="10" s="1"/>
  <c r="L213" i="5"/>
  <c r="L142" i="10" s="1"/>
  <c r="M142" i="10" s="1"/>
  <c r="L364" i="5"/>
  <c r="L280" i="10" s="1"/>
  <c r="M280" i="10" s="1"/>
  <c r="N280" i="10" s="1"/>
  <c r="L384" i="5"/>
  <c r="L224" i="10" s="1"/>
  <c r="L351" i="5"/>
  <c r="L214" i="10" s="1"/>
  <c r="M214" i="10" s="1"/>
  <c r="O214" i="10" s="1"/>
  <c r="L16" i="5"/>
  <c r="L17" i="10" s="1"/>
  <c r="M17" i="10" s="1"/>
  <c r="L647" i="5"/>
  <c r="L499" i="10" s="1"/>
  <c r="M499" i="10" s="1"/>
  <c r="L85" i="5"/>
  <c r="L59" i="10" s="1"/>
  <c r="M59" i="10" s="1"/>
  <c r="N59" i="10" s="1"/>
  <c r="L111" i="5"/>
  <c r="L77" i="10" s="1"/>
  <c r="L639" i="5"/>
  <c r="L489" i="10" s="1"/>
  <c r="M489" i="10" s="1"/>
  <c r="O489" i="10" s="1"/>
  <c r="L112" i="5"/>
  <c r="L78" i="10" s="1"/>
  <c r="L525" i="5"/>
  <c r="L377" i="10" s="1"/>
  <c r="M377" i="10" s="1"/>
  <c r="N377" i="10" s="1"/>
  <c r="L139" i="5"/>
  <c r="L101" i="10" s="1"/>
  <c r="M101" i="10" s="1"/>
  <c r="L126" i="5"/>
  <c r="L91" i="10" s="1"/>
  <c r="M91" i="10" s="1"/>
  <c r="O91" i="10" s="1"/>
  <c r="L494" i="5"/>
  <c r="L358" i="10" s="1"/>
  <c r="L354" i="5"/>
  <c r="L236" i="10" s="1"/>
  <c r="M236" i="10" s="1"/>
  <c r="N236" i="10" s="1"/>
  <c r="L383" i="5"/>
  <c r="L211" i="10" s="1"/>
  <c r="M211" i="10" s="1"/>
  <c r="L459" i="5"/>
  <c r="L291" i="10" s="1"/>
  <c r="M291" i="10" s="1"/>
  <c r="L103" i="5"/>
  <c r="L69" i="10" s="1"/>
  <c r="M69" i="10" s="1"/>
  <c r="O69" i="10" s="1"/>
  <c r="L131" i="5"/>
  <c r="L95" i="10" s="1"/>
  <c r="M95" i="10" s="1"/>
  <c r="L143" i="5"/>
  <c r="L159" i="10" s="1"/>
  <c r="M159" i="10" s="1"/>
  <c r="L496" i="5"/>
  <c r="L271" i="10" s="1"/>
  <c r="M271" i="10" s="1"/>
  <c r="N271" i="10" s="1"/>
  <c r="L125" i="5"/>
  <c r="L90" i="10" s="1"/>
  <c r="M90" i="10" s="1"/>
  <c r="N90" i="10" s="1"/>
  <c r="D117" i="18"/>
  <c r="E117" i="18" s="1"/>
  <c r="L332" i="5"/>
  <c r="L198" i="10" s="1"/>
  <c r="M198" i="10" s="1"/>
  <c r="O198" i="10" s="1"/>
  <c r="L400" i="5"/>
  <c r="L524" i="10" s="1"/>
  <c r="M524" i="10" s="1"/>
  <c r="L21" i="5"/>
  <c r="L22" i="10" s="1"/>
  <c r="L337" i="5"/>
  <c r="L442" i="10" s="1"/>
  <c r="M442" i="10" s="1"/>
  <c r="N442" i="10" s="1"/>
  <c r="L336" i="5"/>
  <c r="L212" i="10" s="1"/>
  <c r="L355" i="5"/>
  <c r="L238" i="10" s="1"/>
  <c r="M238" i="10" s="1"/>
  <c r="N238" i="10" s="1"/>
  <c r="L376" i="5"/>
  <c r="L253" i="10" s="1"/>
  <c r="M253" i="10" s="1"/>
  <c r="O253" i="10" s="1"/>
  <c r="L156" i="5"/>
  <c r="L107" i="10" s="1"/>
  <c r="M107" i="10" s="1"/>
  <c r="N107" i="10" s="1"/>
  <c r="L197" i="5"/>
  <c r="L128" i="10" s="1"/>
  <c r="M128" i="10" s="1"/>
  <c r="N128" i="10" s="1"/>
  <c r="L405" i="5"/>
  <c r="L446" i="10" s="1"/>
  <c r="M446" i="10" s="1"/>
  <c r="O446" i="10" s="1"/>
  <c r="L306" i="5"/>
  <c r="L522" i="10" s="1"/>
  <c r="M522" i="10" s="1"/>
  <c r="L531" i="5"/>
  <c r="L474" i="10" s="1"/>
  <c r="M474" i="10" s="1"/>
  <c r="N474" i="10" s="1"/>
  <c r="L576" i="5"/>
  <c r="L425" i="10" s="1"/>
  <c r="M425" i="10" s="1"/>
  <c r="O425" i="10" s="1"/>
  <c r="L70" i="5"/>
  <c r="L49" i="10" s="1"/>
  <c r="M49" i="10" s="1"/>
  <c r="N49" i="10" s="1"/>
  <c r="L75" i="5"/>
  <c r="L158" i="10" s="1"/>
  <c r="M158" i="10" s="1"/>
  <c r="N158" i="10" s="1"/>
  <c r="L204" i="5"/>
  <c r="L135" i="10" s="1"/>
  <c r="M135" i="10" s="1"/>
  <c r="L94" i="5"/>
  <c r="L146" i="10" s="1"/>
  <c r="L26" i="5"/>
  <c r="L26" i="10" s="1"/>
  <c r="M26" i="10" s="1"/>
  <c r="L380" i="5"/>
  <c r="L483" i="10" s="1"/>
  <c r="M483" i="10" s="1"/>
  <c r="L17" i="5"/>
  <c r="L18" i="10" s="1"/>
  <c r="M18" i="10" s="1"/>
  <c r="N18" i="10" s="1"/>
  <c r="L109" i="5"/>
  <c r="L74" i="10" s="1"/>
  <c r="M74" i="10" s="1"/>
  <c r="O74" i="10" s="1"/>
  <c r="L299" i="5"/>
  <c r="L174" i="10" s="1"/>
  <c r="M174" i="10" s="1"/>
  <c r="N174" i="10" s="1"/>
  <c r="L615" i="5"/>
  <c r="L233" i="10" s="1"/>
  <c r="L105" i="5"/>
  <c r="L71" i="10" s="1"/>
  <c r="M71" i="10" s="1"/>
  <c r="O71" i="10" s="1"/>
  <c r="L543" i="5"/>
  <c r="L283" i="10" s="1"/>
  <c r="L655" i="5"/>
  <c r="L505" i="10" s="1"/>
  <c r="M505" i="10" s="1"/>
  <c r="O505" i="10" s="1"/>
  <c r="L122" i="5"/>
  <c r="L87" i="10" s="1"/>
  <c r="L71" i="5"/>
  <c r="L50" i="10" s="1"/>
  <c r="M50" i="10" s="1"/>
  <c r="L69" i="5"/>
  <c r="L48" i="10" s="1"/>
  <c r="M48" i="10" s="1"/>
  <c r="L390" i="5"/>
  <c r="L265" i="10" s="1"/>
  <c r="M265" i="10" s="1"/>
  <c r="L630" i="5"/>
  <c r="L479" i="10" s="1"/>
  <c r="M479" i="10" s="1"/>
  <c r="L583" i="5"/>
  <c r="L419" i="10" s="1"/>
  <c r="M419" i="10" s="1"/>
  <c r="L67" i="5"/>
  <c r="L462" i="10" s="1"/>
  <c r="L598" i="5"/>
  <c r="L444" i="10" s="1"/>
  <c r="M444" i="10" s="1"/>
  <c r="L356" i="5"/>
  <c r="L237" i="10" s="1"/>
  <c r="M237" i="10" s="1"/>
  <c r="O237" i="10" s="1"/>
  <c r="D21" i="18"/>
  <c r="E21" i="18" s="1"/>
  <c r="L408" i="5"/>
  <c r="L231" i="10" s="1"/>
  <c r="M231" i="10" s="1"/>
  <c r="L48" i="5"/>
  <c r="L163" i="10" s="1"/>
  <c r="M163" i="10" s="1"/>
  <c r="L275" i="5"/>
  <c r="L58" i="10" s="1"/>
  <c r="L206" i="5"/>
  <c r="L137" i="10" s="1"/>
  <c r="L493" i="5"/>
  <c r="L347" i="10" s="1"/>
  <c r="M347" i="10" s="1"/>
  <c r="L577" i="5"/>
  <c r="L421" i="10" s="1"/>
  <c r="L203" i="5"/>
  <c r="L134" i="10" s="1"/>
  <c r="L117" i="5"/>
  <c r="L82" i="10" s="1"/>
  <c r="L399" i="5"/>
  <c r="L276" i="10" s="1"/>
  <c r="L373" i="5"/>
  <c r="L244" i="10" s="1"/>
  <c r="M244" i="10" s="1"/>
  <c r="O244" i="10" s="1"/>
  <c r="L485" i="5"/>
  <c r="L341" i="10" s="1"/>
  <c r="L546" i="5"/>
  <c r="L345" i="10" s="1"/>
  <c r="L479" i="5"/>
  <c r="L228" i="10" s="1"/>
  <c r="M228" i="10" s="1"/>
  <c r="L121" i="5"/>
  <c r="L86" i="10" s="1"/>
  <c r="M86" i="10" s="1"/>
  <c r="D118" i="18"/>
  <c r="F118" i="18" s="1"/>
  <c r="L14" i="5"/>
  <c r="L9" i="10" s="1"/>
  <c r="M9" i="10" s="1"/>
  <c r="O9" i="10" s="1"/>
  <c r="L634" i="5"/>
  <c r="L484" i="10" s="1"/>
  <c r="M484" i="10" s="1"/>
  <c r="L481" i="5"/>
  <c r="L342" i="10" s="1"/>
  <c r="M342" i="10" s="1"/>
  <c r="N342" i="10" s="1"/>
  <c r="L54" i="5"/>
  <c r="L152" i="10" s="1"/>
  <c r="M152" i="10" s="1"/>
  <c r="O152" i="10" s="1"/>
  <c r="L663" i="5"/>
  <c r="L515" i="10" s="1"/>
  <c r="M515" i="10" s="1"/>
  <c r="O515" i="10" s="1"/>
  <c r="L625" i="5"/>
  <c r="L476" i="10" s="1"/>
  <c r="L184" i="5"/>
  <c r="L37" i="10" s="1"/>
  <c r="M37" i="10" s="1"/>
  <c r="L545" i="5"/>
  <c r="L387" i="10" s="1"/>
  <c r="M387" i="10" s="1"/>
  <c r="N387" i="10" s="1"/>
  <c r="L150" i="5"/>
  <c r="L104" i="10" s="1"/>
  <c r="M104" i="10" s="1"/>
  <c r="N104" i="10" s="1"/>
  <c r="L183" i="5"/>
  <c r="L119" i="10" s="1"/>
  <c r="M119" i="10" s="1"/>
  <c r="L571" i="5"/>
  <c r="L383" i="10" s="1"/>
  <c r="M383" i="10" s="1"/>
  <c r="O383" i="10" s="1"/>
  <c r="L88" i="5"/>
  <c r="L161" i="10" s="1"/>
  <c r="L506" i="5"/>
  <c r="L367" i="10" s="1"/>
  <c r="M367" i="10" s="1"/>
  <c r="N367" i="10" s="1"/>
  <c r="L77" i="5"/>
  <c r="L38" i="10" s="1"/>
  <c r="M38" i="10" s="1"/>
  <c r="N38" i="10" s="1"/>
  <c r="L51" i="5"/>
  <c r="L41" i="10" s="1"/>
  <c r="M41" i="10" s="1"/>
  <c r="L50" i="5"/>
  <c r="L147" i="10" s="1"/>
  <c r="D46" i="18"/>
  <c r="F46" i="18" s="1"/>
  <c r="L578" i="5"/>
  <c r="L415" i="10" s="1"/>
  <c r="L42" i="5"/>
  <c r="L28" i="10" s="1"/>
  <c r="M28" i="10" s="1"/>
  <c r="L503" i="5"/>
  <c r="L349" i="10" s="1"/>
  <c r="M349" i="10" s="1"/>
  <c r="L469" i="5"/>
  <c r="L308" i="10" s="1"/>
  <c r="M308" i="10" s="1"/>
  <c r="O308" i="10" s="1"/>
  <c r="L428" i="5"/>
  <c r="L269" i="10" s="1"/>
  <c r="M269" i="10" s="1"/>
  <c r="L554" i="5"/>
  <c r="L407" i="10" s="1"/>
  <c r="M407" i="10" s="1"/>
  <c r="L25" i="5"/>
  <c r="L25" i="10" s="1"/>
  <c r="M25" i="10" s="1"/>
  <c r="L201" i="5"/>
  <c r="L132" i="10" s="1"/>
  <c r="L445" i="5"/>
  <c r="L305" i="10" s="1"/>
  <c r="M305" i="10" s="1"/>
  <c r="L91" i="5"/>
  <c r="L63" i="10" s="1"/>
  <c r="L96" i="5"/>
  <c r="L156" i="10" s="1"/>
  <c r="M156" i="10" s="1"/>
  <c r="O156" i="10" s="1"/>
  <c r="L649" i="5"/>
  <c r="L525" i="10" s="1"/>
  <c r="M525" i="10" s="1"/>
  <c r="L568" i="5"/>
  <c r="L333" i="10" s="1"/>
  <c r="L349" i="5"/>
  <c r="L232" i="10" s="1"/>
  <c r="L123" i="5"/>
  <c r="L88" i="10" s="1"/>
  <c r="M88" i="10" s="1"/>
  <c r="N88" i="10" s="1"/>
  <c r="D250" i="18"/>
  <c r="E250" i="18" s="1"/>
  <c r="L426" i="5"/>
  <c r="L447" i="10" s="1"/>
  <c r="M447" i="10" s="1"/>
  <c r="N447" i="10" s="1"/>
  <c r="L350" i="5"/>
  <c r="L424" i="10" s="1"/>
  <c r="M424" i="10" s="1"/>
  <c r="N424" i="10" s="1"/>
  <c r="L39" i="5"/>
  <c r="L34" i="10" s="1"/>
  <c r="L539" i="5"/>
  <c r="L451" i="10" s="1"/>
  <c r="M451" i="10" s="1"/>
  <c r="N451" i="10" s="1"/>
  <c r="L174" i="5"/>
  <c r="L114" i="10" s="1"/>
  <c r="M114" i="10" s="1"/>
  <c r="L478" i="5"/>
  <c r="L328" i="10" s="1"/>
  <c r="M328" i="10" s="1"/>
  <c r="L452" i="5"/>
  <c r="L322" i="10" s="1"/>
  <c r="L387" i="5"/>
  <c r="L272" i="10" s="1"/>
  <c r="M272" i="10" s="1"/>
  <c r="L425" i="5"/>
  <c r="L297" i="10" s="1"/>
  <c r="M297" i="10" s="1"/>
  <c r="N297" i="10" s="1"/>
  <c r="L432" i="5"/>
  <c r="L295" i="10" s="1"/>
  <c r="M295" i="10" s="1"/>
  <c r="O295" i="10" s="1"/>
  <c r="L482" i="5"/>
  <c r="L343" i="10" s="1"/>
  <c r="M343" i="10" s="1"/>
  <c r="L358" i="5"/>
  <c r="L240" i="10" s="1"/>
  <c r="L532" i="5"/>
  <c r="L389" i="10" s="1"/>
  <c r="M389" i="10" s="1"/>
  <c r="O389" i="10" s="1"/>
  <c r="L491" i="5"/>
  <c r="L356" i="10" s="1"/>
  <c r="M356" i="10" s="1"/>
  <c r="L462" i="5"/>
  <c r="L324" i="10" s="1"/>
  <c r="M324" i="10" s="1"/>
  <c r="O324" i="10" s="1"/>
  <c r="L448" i="5"/>
  <c r="L296" i="10" s="1"/>
  <c r="L524" i="5"/>
  <c r="L201" i="10" s="1"/>
  <c r="M201" i="10" s="1"/>
  <c r="L642" i="5"/>
  <c r="L526" i="10" s="1"/>
  <c r="M526" i="10" s="1"/>
  <c r="L537" i="5"/>
  <c r="L374" i="10" s="1"/>
  <c r="M374" i="10" s="1"/>
  <c r="O374" i="10" s="1"/>
  <c r="L282" i="5"/>
  <c r="L171" i="10" s="1"/>
  <c r="L120" i="5"/>
  <c r="L85" i="10" s="1"/>
  <c r="M85" i="10" s="1"/>
  <c r="L429" i="5"/>
  <c r="L289" i="10" s="1"/>
  <c r="M289" i="10" s="1"/>
  <c r="L614" i="5"/>
  <c r="L469" i="10" s="1"/>
  <c r="M469" i="10" s="1"/>
  <c r="L68" i="5"/>
  <c r="L47" i="10" s="1"/>
  <c r="M47" i="10" s="1"/>
  <c r="L61" i="5"/>
  <c r="L44" i="10" s="1"/>
  <c r="M44" i="10" s="1"/>
  <c r="O44" i="10" s="1"/>
  <c r="L550" i="5"/>
  <c r="L353" i="10" s="1"/>
  <c r="M353" i="10" s="1"/>
  <c r="O353" i="10" s="1"/>
  <c r="L352" i="5"/>
  <c r="L215" i="10" s="1"/>
  <c r="M215" i="10" s="1"/>
  <c r="O215" i="10" s="1"/>
  <c r="L41" i="5"/>
  <c r="L24" i="10" s="1"/>
  <c r="M24" i="10" s="1"/>
  <c r="L431" i="5"/>
  <c r="L270" i="10" s="1"/>
  <c r="M270" i="10" s="1"/>
  <c r="O270" i="10" s="1"/>
  <c r="L659" i="5"/>
  <c r="L509" i="10" s="1"/>
  <c r="M509" i="10" s="1"/>
  <c r="L468" i="5"/>
  <c r="L307" i="10" s="1"/>
  <c r="M307" i="10" s="1"/>
  <c r="O307" i="10" s="1"/>
  <c r="L198" i="5"/>
  <c r="L150" i="10" s="1"/>
  <c r="M150" i="10" s="1"/>
  <c r="O150" i="10" s="1"/>
  <c r="L575" i="5"/>
  <c r="L430" i="10" s="1"/>
  <c r="L74" i="5"/>
  <c r="L52" i="10" s="1"/>
  <c r="M52" i="10" s="1"/>
  <c r="L277" i="5"/>
  <c r="L57" i="10" s="1"/>
  <c r="L669" i="5"/>
  <c r="L520" i="10" s="1"/>
  <c r="L20" i="5"/>
  <c r="L21" i="10" s="1"/>
  <c r="L58" i="5"/>
  <c r="L331" i="10" s="1"/>
  <c r="M331" i="10" s="1"/>
  <c r="C5" i="17"/>
  <c r="D5" i="17" s="1"/>
  <c r="L211" i="5"/>
  <c r="L140" i="10" s="1"/>
  <c r="L86" i="5"/>
  <c r="L60" i="10" s="1"/>
  <c r="M60" i="10" s="1"/>
  <c r="L389" i="5"/>
  <c r="L263" i="10" s="1"/>
  <c r="L37" i="5"/>
  <c r="L32" i="10" s="1"/>
  <c r="L621" i="5"/>
  <c r="L521" i="10" s="1"/>
  <c r="M521" i="10" s="1"/>
  <c r="L114" i="5"/>
  <c r="L79" i="10" s="1"/>
  <c r="L106" i="5"/>
  <c r="L72" i="10" s="1"/>
  <c r="M72" i="10" s="1"/>
  <c r="O72" i="10" s="1"/>
  <c r="L515" i="5"/>
  <c r="L371" i="10" s="1"/>
  <c r="M371" i="10" s="1"/>
  <c r="N371" i="10" s="1"/>
  <c r="L124" i="5"/>
  <c r="L89" i="10" s="1"/>
  <c r="M89" i="10" s="1"/>
  <c r="L30" i="5"/>
  <c r="L242" i="10" s="1"/>
  <c r="M242" i="10" s="1"/>
  <c r="O242" i="10" s="1"/>
  <c r="L368" i="5"/>
  <c r="L249" i="10" s="1"/>
  <c r="M249" i="10" s="1"/>
  <c r="O249" i="10" s="1"/>
  <c r="L404" i="5"/>
  <c r="L77" i="11" s="1"/>
  <c r="L369" i="5"/>
  <c r="L260" i="10" s="1"/>
  <c r="M260" i="10" s="1"/>
  <c r="N260" i="10" s="1"/>
  <c r="L409" i="5"/>
  <c r="L316" i="10" s="1"/>
  <c r="M316" i="10" s="1"/>
  <c r="L422" i="5"/>
  <c r="L293" i="10" s="1"/>
  <c r="M293" i="10" s="1"/>
  <c r="L22" i="5"/>
  <c r="L23" i="10" s="1"/>
  <c r="M23" i="10" s="1"/>
  <c r="O23" i="10" s="1"/>
  <c r="L396" i="5"/>
  <c r="L273" i="10" s="1"/>
  <c r="M273" i="10" s="1"/>
  <c r="L591" i="5"/>
  <c r="L433" i="10" s="1"/>
  <c r="L544" i="5"/>
  <c r="L376" i="10" s="1"/>
  <c r="L410" i="5"/>
  <c r="L278" i="10" s="1"/>
  <c r="M278" i="10" s="1"/>
  <c r="L95" i="5"/>
  <c r="L154" i="10" s="1"/>
  <c r="M154" i="10" s="1"/>
  <c r="L534" i="5"/>
  <c r="L400" i="10" s="1"/>
  <c r="L102" i="5"/>
  <c r="L148" i="10" s="1"/>
  <c r="M148" i="10" s="1"/>
  <c r="N148" i="10" s="1"/>
  <c r="L623" i="5"/>
  <c r="L458" i="10" s="1"/>
  <c r="M458" i="10" s="1"/>
  <c r="L128" i="5"/>
  <c r="L93" i="10" s="1"/>
  <c r="M93" i="10" s="1"/>
  <c r="N93" i="10" s="1"/>
  <c r="L498" i="5"/>
  <c r="L344" i="10" s="1"/>
  <c r="M344" i="10" s="1"/>
  <c r="O344" i="10" s="1"/>
  <c r="L347" i="5"/>
  <c r="L315" i="10" s="1"/>
  <c r="M315" i="10" s="1"/>
  <c r="N315" i="10" s="1"/>
  <c r="L29" i="5"/>
  <c r="L323" i="10" s="1"/>
  <c r="M323" i="10" s="1"/>
  <c r="N323" i="10" s="1"/>
  <c r="L610" i="5"/>
  <c r="L467" i="10" s="1"/>
  <c r="M467" i="10" s="1"/>
  <c r="N467" i="10" s="1"/>
  <c r="L596" i="5"/>
  <c r="L437" i="10" s="1"/>
  <c r="M437" i="10" s="1"/>
  <c r="O437" i="10" s="1"/>
  <c r="L5" i="5"/>
  <c r="L4" i="10" s="1"/>
  <c r="M4" i="10" s="1"/>
  <c r="O4" i="10" s="1"/>
  <c r="L475" i="5"/>
  <c r="L321" i="10" s="1"/>
  <c r="L81" i="5"/>
  <c r="L56" i="10" s="1"/>
  <c r="M56" i="10" s="1"/>
  <c r="L421" i="5"/>
  <c r="L241" i="10" s="1"/>
  <c r="M241" i="10" s="1"/>
  <c r="O241" i="10" s="1"/>
  <c r="L205" i="5"/>
  <c r="L136" i="10" s="1"/>
  <c r="M136" i="10" s="1"/>
  <c r="N136" i="10" s="1"/>
  <c r="L52" i="5"/>
  <c r="L42" i="10" s="1"/>
  <c r="M42" i="10" s="1"/>
  <c r="L455" i="5"/>
  <c r="L312" i="10" s="1"/>
  <c r="M312" i="10" s="1"/>
  <c r="L644" i="5"/>
  <c r="L496" i="10" s="1"/>
  <c r="M496" i="10" s="1"/>
  <c r="O496" i="10" s="1"/>
  <c r="L210" i="5"/>
  <c r="L139" i="10" s="1"/>
  <c r="L202" i="5"/>
  <c r="L133" i="10" s="1"/>
  <c r="M133" i="10" s="1"/>
  <c r="L89" i="5"/>
  <c r="L62" i="10" s="1"/>
  <c r="M62" i="10" s="1"/>
  <c r="O62" i="10" s="1"/>
  <c r="L472" i="5"/>
  <c r="L330" i="10" s="1"/>
  <c r="M330" i="10" s="1"/>
  <c r="N330" i="10" s="1"/>
  <c r="L116" i="5"/>
  <c r="L81" i="10" s="1"/>
  <c r="L140" i="5"/>
  <c r="L102" i="10" s="1"/>
  <c r="M102" i="10" s="1"/>
  <c r="N102" i="10" s="1"/>
  <c r="L338" i="5"/>
  <c r="L220" i="10" s="1"/>
  <c r="M220" i="10" s="1"/>
  <c r="L549" i="5"/>
  <c r="L395" i="10" s="1"/>
  <c r="M395" i="10" s="1"/>
  <c r="O395" i="10" s="1"/>
  <c r="L104" i="5"/>
  <c r="L70" i="10" s="1"/>
  <c r="L480" i="5"/>
  <c r="L329" i="10" s="1"/>
  <c r="M329" i="10" s="1"/>
  <c r="L99" i="5"/>
  <c r="L155" i="10" s="1"/>
  <c r="M155" i="10" s="1"/>
  <c r="N155" i="10" s="1"/>
  <c r="L45" i="5"/>
  <c r="L170" i="10" s="1"/>
  <c r="L345" i="5"/>
  <c r="L216" i="10" s="1"/>
  <c r="M216" i="10" s="1"/>
  <c r="O216" i="10" s="1"/>
  <c r="L146" i="5"/>
  <c r="L173" i="10" s="1"/>
  <c r="M173" i="10" s="1"/>
  <c r="D233" i="18"/>
  <c r="E233" i="18" s="1"/>
  <c r="L7" i="5"/>
  <c r="L6" i="10" s="1"/>
  <c r="M6" i="10" s="1"/>
  <c r="O6" i="10" s="1"/>
  <c r="L427" i="5"/>
  <c r="L267" i="10" s="1"/>
  <c r="M267" i="10" s="1"/>
  <c r="N267" i="10" s="1"/>
  <c r="L53" i="5"/>
  <c r="L39" i="10" s="1"/>
  <c r="M39" i="10" s="1"/>
  <c r="L629" i="5"/>
  <c r="L486" i="10" s="1"/>
  <c r="M486" i="10" s="1"/>
  <c r="O486" i="10" s="1"/>
  <c r="L609" i="5"/>
  <c r="L466" i="10" s="1"/>
  <c r="L379" i="5"/>
  <c r="L251" i="10" s="1"/>
  <c r="M251" i="10" s="1"/>
  <c r="N251" i="10" s="1"/>
  <c r="L87" i="5"/>
  <c r="L61" i="10" s="1"/>
  <c r="L100" i="5"/>
  <c r="L67" i="10" s="1"/>
  <c r="M67" i="10" s="1"/>
  <c r="L584" i="5"/>
  <c r="L434" i="10" s="1"/>
  <c r="M434" i="10" s="1"/>
  <c r="D40" i="18"/>
  <c r="E40" i="18" s="1"/>
  <c r="L586" i="5"/>
  <c r="L440" i="10" s="1"/>
  <c r="M440" i="10" s="1"/>
  <c r="N440" i="10" s="1"/>
  <c r="L467" i="5"/>
  <c r="L332" i="10" s="1"/>
  <c r="M332" i="10" s="1"/>
  <c r="O332" i="10" s="1"/>
  <c r="L80" i="5"/>
  <c r="L55" i="10" s="1"/>
  <c r="M55" i="10" s="1"/>
  <c r="N55" i="10" s="1"/>
  <c r="L24" i="5"/>
  <c r="L256" i="10" s="1"/>
  <c r="M256" i="10" s="1"/>
  <c r="O256" i="10" s="1"/>
  <c r="L490" i="5"/>
  <c r="L335" i="10" s="1"/>
  <c r="L40" i="5"/>
  <c r="L35" i="10" s="1"/>
  <c r="M35" i="10" s="1"/>
  <c r="N35" i="10" s="1"/>
  <c r="L592" i="5"/>
  <c r="L448" i="10" s="1"/>
  <c r="L79" i="5"/>
  <c r="L54" i="10" s="1"/>
  <c r="M54" i="10" s="1"/>
  <c r="O54" i="10" s="1"/>
  <c r="L632" i="5"/>
  <c r="M632" i="5" s="1"/>
  <c r="O632" i="5" s="1"/>
  <c r="L660" i="5"/>
  <c r="L619" i="5"/>
  <c r="L465" i="10" s="1"/>
  <c r="M465" i="10" s="1"/>
  <c r="N465" i="10" s="1"/>
  <c r="L194" i="5"/>
  <c r="L126" i="10" s="1"/>
  <c r="M126" i="10" s="1"/>
  <c r="N126" i="10" s="1"/>
  <c r="L413" i="5"/>
  <c r="L396" i="10" s="1"/>
  <c r="M396" i="10" s="1"/>
  <c r="L471" i="5"/>
  <c r="L436" i="10" s="1"/>
  <c r="L602" i="5"/>
  <c r="L455" i="10" s="1"/>
  <c r="M455" i="10" s="1"/>
  <c r="N455" i="10" s="1"/>
  <c r="L530" i="5"/>
  <c r="L388" i="10" s="1"/>
  <c r="M388" i="10" s="1"/>
  <c r="L536" i="5"/>
  <c r="L379" i="10" s="1"/>
  <c r="M379" i="10" s="1"/>
  <c r="L209" i="5"/>
  <c r="L138" i="10" s="1"/>
  <c r="M138" i="10" s="1"/>
  <c r="N138" i="10" s="1"/>
  <c r="L397" i="5"/>
  <c r="L274" i="10" s="1"/>
  <c r="L44" i="5"/>
  <c r="L75" i="10" s="1"/>
  <c r="M75" i="10" s="1"/>
  <c r="L101" i="5"/>
  <c r="L68" i="10" s="1"/>
  <c r="M68" i="10" s="1"/>
  <c r="L563" i="5"/>
  <c r="L417" i="10" s="1"/>
  <c r="M417" i="10" s="1"/>
  <c r="L411" i="5"/>
  <c r="L282" i="10" s="1"/>
  <c r="M282" i="10" s="1"/>
  <c r="L504" i="5"/>
  <c r="L339" i="10" s="1"/>
  <c r="M339" i="10" s="1"/>
  <c r="L98" i="5"/>
  <c r="L153" i="10" s="1"/>
  <c r="M153" i="10" s="1"/>
  <c r="L437" i="5"/>
  <c r="L264" i="10" s="1"/>
  <c r="M264" i="10" s="1"/>
  <c r="O264" i="10" s="1"/>
  <c r="L127" i="5"/>
  <c r="L92" i="10" s="1"/>
  <c r="M92" i="10" s="1"/>
  <c r="O92" i="10" s="1"/>
  <c r="L19" i="5"/>
  <c r="L14" i="10" s="1"/>
  <c r="M14" i="10" s="1"/>
  <c r="E138" i="18"/>
  <c r="F138" i="18"/>
  <c r="E6" i="18"/>
  <c r="F6" i="18"/>
  <c r="D237" i="18"/>
  <c r="E237" i="18" s="1"/>
  <c r="D235" i="18"/>
  <c r="D20" i="18"/>
  <c r="E20" i="18" s="1"/>
  <c r="D22" i="18"/>
  <c r="E22" i="18" s="1"/>
  <c r="D23" i="18"/>
  <c r="D24" i="18"/>
  <c r="E24" i="18" s="1"/>
  <c r="D25" i="18"/>
  <c r="E25" i="18" s="1"/>
  <c r="D26" i="18"/>
  <c r="E26" i="18" s="1"/>
  <c r="D27" i="18"/>
  <c r="E27" i="18" s="1"/>
  <c r="D29" i="18"/>
  <c r="D30" i="18"/>
  <c r="D32" i="18"/>
  <c r="E32" i="18" s="1"/>
  <c r="D33" i="18"/>
  <c r="D34" i="18"/>
  <c r="D35" i="18"/>
  <c r="D36" i="18"/>
  <c r="E36" i="18" s="1"/>
  <c r="D37" i="18"/>
  <c r="D42" i="18"/>
  <c r="E42" i="18" s="1"/>
  <c r="D43" i="18"/>
  <c r="L189" i="10"/>
  <c r="D44" i="18"/>
  <c r="D45" i="18"/>
  <c r="D47" i="18"/>
  <c r="D48" i="18"/>
  <c r="D246" i="18"/>
  <c r="D49" i="18"/>
  <c r="D50" i="18"/>
  <c r="D51" i="18"/>
  <c r="D52" i="18"/>
  <c r="E52" i="18" s="1"/>
  <c r="D53" i="18"/>
  <c r="E53" i="18" s="1"/>
  <c r="D54" i="18"/>
  <c r="E54" i="18" s="1"/>
  <c r="D55" i="18"/>
  <c r="D242" i="18"/>
  <c r="D56" i="18"/>
  <c r="D57" i="18"/>
  <c r="E57" i="18" s="1"/>
  <c r="D58" i="18"/>
  <c r="E58" i="18" s="1"/>
  <c r="D59" i="18"/>
  <c r="D61" i="18"/>
  <c r="D62" i="18"/>
  <c r="E62" i="18" s="1"/>
  <c r="D63" i="18"/>
  <c r="E63" i="18" s="1"/>
  <c r="D64" i="18"/>
  <c r="E64" i="18" s="1"/>
  <c r="D65" i="18"/>
  <c r="E65" i="18" s="1"/>
  <c r="D66" i="18"/>
  <c r="D67" i="18"/>
  <c r="D68" i="18"/>
  <c r="D69" i="18"/>
  <c r="E69" i="18" s="1"/>
  <c r="D70" i="18"/>
  <c r="D71" i="18"/>
  <c r="D72" i="18"/>
  <c r="D73" i="18"/>
  <c r="D74" i="18"/>
  <c r="E74" i="18" s="1"/>
  <c r="D75" i="18"/>
  <c r="D76" i="18"/>
  <c r="D77" i="18"/>
  <c r="D78" i="18"/>
  <c r="D79" i="18"/>
  <c r="D80" i="18"/>
  <c r="D81" i="18"/>
  <c r="D82" i="18"/>
  <c r="E82" i="18" s="1"/>
  <c r="D83" i="18"/>
  <c r="D85" i="18"/>
  <c r="D86" i="18"/>
  <c r="D87" i="18"/>
  <c r="D88" i="18"/>
  <c r="D89" i="18"/>
  <c r="D90" i="18"/>
  <c r="E90" i="18" s="1"/>
  <c r="D91" i="18"/>
  <c r="E91" i="18" s="1"/>
  <c r="D92" i="18"/>
  <c r="E92" i="18" s="1"/>
  <c r="D93" i="18"/>
  <c r="E93" i="18" s="1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E107" i="18" s="1"/>
  <c r="D108" i="18"/>
  <c r="D109" i="18"/>
  <c r="D110" i="18"/>
  <c r="E110" i="18" s="1"/>
  <c r="D111" i="18"/>
  <c r="E111" i="18" s="1"/>
  <c r="D112" i="18"/>
  <c r="D113" i="18"/>
  <c r="D114" i="18"/>
  <c r="D115" i="18"/>
  <c r="E115" i="18" s="1"/>
  <c r="D116" i="18"/>
  <c r="E116" i="18" s="1"/>
  <c r="D119" i="18"/>
  <c r="D120" i="18"/>
  <c r="D121" i="18"/>
  <c r="D122" i="18"/>
  <c r="E122" i="18" s="1"/>
  <c r="D123" i="18"/>
  <c r="D124" i="18"/>
  <c r="D125" i="18"/>
  <c r="D126" i="18"/>
  <c r="D127" i="18"/>
  <c r="D128" i="18"/>
  <c r="E128" i="18" s="1"/>
  <c r="D130" i="18"/>
  <c r="D131" i="18"/>
  <c r="D132" i="18"/>
  <c r="D133" i="18"/>
  <c r="E133" i="18" s="1"/>
  <c r="D134" i="18"/>
  <c r="L385" i="10"/>
  <c r="M385" i="10" s="1"/>
  <c r="D240" i="18"/>
  <c r="D135" i="18"/>
  <c r="D136" i="18"/>
  <c r="D137" i="18"/>
  <c r="D139" i="18"/>
  <c r="D140" i="18"/>
  <c r="D141" i="18"/>
  <c r="D142" i="18"/>
  <c r="D143" i="18"/>
  <c r="D144" i="18"/>
  <c r="D145" i="18"/>
  <c r="D146" i="18"/>
  <c r="D147" i="18"/>
  <c r="D148" i="18"/>
  <c r="E148" i="18" s="1"/>
  <c r="D149" i="18"/>
  <c r="E149" i="18" s="1"/>
  <c r="D150" i="18"/>
  <c r="D152" i="18"/>
  <c r="D153" i="18"/>
  <c r="D154" i="18"/>
  <c r="E154" i="18" s="1"/>
  <c r="D155" i="18"/>
  <c r="E155" i="18" s="1"/>
  <c r="L188" i="10"/>
  <c r="M188" i="10" s="1"/>
  <c r="N188" i="10" s="1"/>
  <c r="D156" i="18"/>
  <c r="D157" i="18"/>
  <c r="E157" i="18" s="1"/>
  <c r="D158" i="18"/>
  <c r="E158" i="18" s="1"/>
  <c r="D159" i="18"/>
  <c r="E159" i="18" s="1"/>
  <c r="D160" i="18"/>
  <c r="D161" i="18"/>
  <c r="D162" i="18"/>
  <c r="D163" i="18"/>
  <c r="D164" i="18"/>
  <c r="D165" i="18"/>
  <c r="D166" i="18"/>
  <c r="D167" i="18"/>
  <c r="D168" i="18"/>
  <c r="E168" i="18" s="1"/>
  <c r="D169" i="18"/>
  <c r="E169" i="18" s="1"/>
  <c r="D170" i="18"/>
  <c r="L113" i="10"/>
  <c r="M113" i="10" s="1"/>
  <c r="D171" i="18"/>
  <c r="E171" i="18" s="1"/>
  <c r="D172" i="18"/>
  <c r="E172" i="18" s="1"/>
  <c r="D173" i="18"/>
  <c r="D174" i="18"/>
  <c r="D175" i="18"/>
  <c r="D176" i="18"/>
  <c r="E176" i="18" s="1"/>
  <c r="D177" i="18"/>
  <c r="E177" i="18" s="1"/>
  <c r="D178" i="18"/>
  <c r="D179" i="18"/>
  <c r="D180" i="18"/>
  <c r="E180" i="18" s="1"/>
  <c r="L160" i="10"/>
  <c r="M160" i="10" s="1"/>
  <c r="D181" i="18"/>
  <c r="E181" i="18" s="1"/>
  <c r="D182" i="18"/>
  <c r="D184" i="18"/>
  <c r="D251" i="18"/>
  <c r="D232" i="18"/>
  <c r="D228" i="18"/>
  <c r="D186" i="18"/>
  <c r="D248" i="18"/>
  <c r="D187" i="18"/>
  <c r="D188" i="18"/>
  <c r="D189" i="18"/>
  <c r="E189" i="18" s="1"/>
  <c r="D190" i="18"/>
  <c r="E190" i="18" s="1"/>
  <c r="D192" i="18"/>
  <c r="D193" i="18"/>
  <c r="D194" i="18"/>
  <c r="E194" i="18" s="1"/>
  <c r="D195" i="18"/>
  <c r="D196" i="18"/>
  <c r="E196" i="18" s="1"/>
  <c r="D197" i="18"/>
  <c r="E197" i="18" s="1"/>
  <c r="D198" i="18"/>
  <c r="E198" i="18" s="1"/>
  <c r="D199" i="18"/>
  <c r="E199" i="18" s="1"/>
  <c r="D200" i="18"/>
  <c r="D201" i="18"/>
  <c r="D202" i="18"/>
  <c r="D203" i="18"/>
  <c r="D204" i="18"/>
  <c r="E204" i="18" s="1"/>
  <c r="D205" i="18"/>
  <c r="D206" i="18"/>
  <c r="D207" i="18"/>
  <c r="D208" i="18"/>
  <c r="D209" i="18"/>
  <c r="D210" i="18"/>
  <c r="E210" i="18" s="1"/>
  <c r="D211" i="18"/>
  <c r="D212" i="18"/>
  <c r="D236" i="18"/>
  <c r="D213" i="18"/>
  <c r="D214" i="18"/>
  <c r="D215" i="18"/>
  <c r="C82" i="17"/>
  <c r="D82" i="17" s="1"/>
  <c r="D216" i="18"/>
  <c r="C51" i="17"/>
  <c r="D51" i="17" s="1"/>
  <c r="D217" i="18"/>
  <c r="E217" i="18" s="1"/>
  <c r="D222" i="18"/>
  <c r="C53" i="17"/>
  <c r="D53" i="17" s="1"/>
  <c r="D223" i="18"/>
  <c r="E223" i="18" s="1"/>
  <c r="D225" i="18"/>
  <c r="D17" i="18"/>
  <c r="E17" i="18" s="1"/>
  <c r="D16" i="18"/>
  <c r="E16" i="18" s="1"/>
  <c r="D15" i="18"/>
  <c r="E15" i="18" s="1"/>
  <c r="D14" i="18"/>
  <c r="D13" i="18"/>
  <c r="E13" i="18" s="1"/>
  <c r="D11" i="18"/>
  <c r="E11" i="18" s="1"/>
  <c r="D10" i="18"/>
  <c r="E10" i="18" s="1"/>
  <c r="D9" i="18"/>
  <c r="C83" i="17"/>
  <c r="D83" i="17" s="1"/>
  <c r="D226" i="18"/>
  <c r="E226" i="18" s="1"/>
  <c r="C84" i="17"/>
  <c r="D84" i="17" s="1"/>
  <c r="D220" i="18"/>
  <c r="D231" i="18"/>
  <c r="L303" i="10"/>
  <c r="M303" i="10" s="1"/>
  <c r="D7" i="18"/>
  <c r="D185" i="18"/>
  <c r="D238" i="18"/>
  <c r="L360" i="10"/>
  <c r="L192" i="10"/>
  <c r="L175" i="10"/>
  <c r="M175" i="10" s="1"/>
  <c r="N175" i="10" s="1"/>
  <c r="L398" i="10"/>
  <c r="L406" i="10"/>
  <c r="K65" i="14"/>
  <c r="L65" i="14" s="1"/>
  <c r="K1004" i="1"/>
  <c r="C60" i="17"/>
  <c r="D60" i="17" s="1"/>
  <c r="C81" i="17"/>
  <c r="D81" i="17" s="1"/>
  <c r="C40" i="17"/>
  <c r="D40" i="17" s="1"/>
  <c r="C50" i="17"/>
  <c r="D50" i="17" s="1"/>
  <c r="C30" i="17"/>
  <c r="D30" i="17" s="1"/>
  <c r="C16" i="17"/>
  <c r="D16" i="17" s="1"/>
  <c r="C79" i="17"/>
  <c r="D79" i="17" s="1"/>
  <c r="C85" i="17"/>
  <c r="D85" i="17" s="1"/>
  <c r="C80" i="17"/>
  <c r="D80" i="17" s="1"/>
  <c r="C78" i="17"/>
  <c r="D78" i="17" s="1"/>
  <c r="C77" i="17"/>
  <c r="D77" i="17" s="1"/>
  <c r="C76" i="17"/>
  <c r="D76" i="17" s="1"/>
  <c r="C75" i="17"/>
  <c r="D75" i="17" s="1"/>
  <c r="C74" i="17"/>
  <c r="D74" i="17" s="1"/>
  <c r="C73" i="17"/>
  <c r="D73" i="17" s="1"/>
  <c r="C72" i="17"/>
  <c r="D72" i="17" s="1"/>
  <c r="C71" i="17"/>
  <c r="D71" i="17" s="1"/>
  <c r="C70" i="17"/>
  <c r="D70" i="17" s="1"/>
  <c r="C69" i="17"/>
  <c r="D69" i="17" s="1"/>
  <c r="C68" i="17"/>
  <c r="D68" i="17" s="1"/>
  <c r="C67" i="17"/>
  <c r="D67" i="17" s="1"/>
  <c r="C66" i="17"/>
  <c r="D66" i="17" s="1"/>
  <c r="C65" i="17"/>
  <c r="D65" i="17" s="1"/>
  <c r="C64" i="17"/>
  <c r="D64" i="17" s="1"/>
  <c r="C63" i="17"/>
  <c r="D63" i="17" s="1"/>
  <c r="C62" i="17"/>
  <c r="D62" i="17" s="1"/>
  <c r="C61" i="17"/>
  <c r="D61" i="17" s="1"/>
  <c r="C59" i="17"/>
  <c r="D59" i="17" s="1"/>
  <c r="C58" i="17"/>
  <c r="D58" i="17" s="1"/>
  <c r="C57" i="17"/>
  <c r="D57" i="17" s="1"/>
  <c r="C56" i="17"/>
  <c r="D56" i="17" s="1"/>
  <c r="C55" i="17"/>
  <c r="D55" i="17" s="1"/>
  <c r="C54" i="17"/>
  <c r="D54" i="17" s="1"/>
  <c r="C52" i="17"/>
  <c r="D52" i="17" s="1"/>
  <c r="C49" i="17"/>
  <c r="D49" i="17" s="1"/>
  <c r="C48" i="17"/>
  <c r="D48" i="17" s="1"/>
  <c r="C47" i="17"/>
  <c r="D47" i="17" s="1"/>
  <c r="C46" i="17"/>
  <c r="D46" i="17" s="1"/>
  <c r="C45" i="17"/>
  <c r="D45" i="17" s="1"/>
  <c r="C44" i="17"/>
  <c r="D44" i="17" s="1"/>
  <c r="C43" i="17"/>
  <c r="D43" i="17" s="1"/>
  <c r="C42" i="17"/>
  <c r="D42" i="17" s="1"/>
  <c r="C41" i="17"/>
  <c r="D41" i="17" s="1"/>
  <c r="C39" i="17"/>
  <c r="D39" i="17" s="1"/>
  <c r="C38" i="17"/>
  <c r="D38" i="17" s="1"/>
  <c r="C37" i="17"/>
  <c r="D37" i="17" s="1"/>
  <c r="C36" i="17"/>
  <c r="D36" i="17" s="1"/>
  <c r="C35" i="17"/>
  <c r="D35" i="17" s="1"/>
  <c r="C34" i="17"/>
  <c r="D34" i="17" s="1"/>
  <c r="C33" i="17"/>
  <c r="D33" i="17" s="1"/>
  <c r="C32" i="17"/>
  <c r="D32" i="17" s="1"/>
  <c r="C31" i="17"/>
  <c r="D31" i="17" s="1"/>
  <c r="C29" i="17"/>
  <c r="D29" i="17" s="1"/>
  <c r="C28" i="17"/>
  <c r="D28" i="17" s="1"/>
  <c r="C27" i="17"/>
  <c r="D27" i="17" s="1"/>
  <c r="C26" i="17"/>
  <c r="D26" i="17" s="1"/>
  <c r="C25" i="17"/>
  <c r="D25" i="17" s="1"/>
  <c r="C24" i="17"/>
  <c r="D24" i="17" s="1"/>
  <c r="C23" i="17"/>
  <c r="D23" i="17" s="1"/>
  <c r="C22" i="17"/>
  <c r="D22" i="17" s="1"/>
  <c r="C21" i="17"/>
  <c r="D21" i="17" s="1"/>
  <c r="C20" i="17"/>
  <c r="D20" i="17" s="1"/>
  <c r="C19" i="17"/>
  <c r="D19" i="17" s="1"/>
  <c r="C18" i="17"/>
  <c r="D18" i="17" s="1"/>
  <c r="C17" i="17"/>
  <c r="D17" i="17" s="1"/>
  <c r="C15" i="17"/>
  <c r="D15" i="17" s="1"/>
  <c r="C14" i="17"/>
  <c r="D14" i="17" s="1"/>
  <c r="C13" i="17"/>
  <c r="D13" i="17" s="1"/>
  <c r="C12" i="17"/>
  <c r="D12" i="17" s="1"/>
  <c r="C11" i="17"/>
  <c r="D11" i="17" s="1"/>
  <c r="C10" i="17"/>
  <c r="D10" i="17" s="1"/>
  <c r="F10" i="17" s="1"/>
  <c r="C9" i="17"/>
  <c r="D9" i="17" s="1"/>
  <c r="C8" i="17"/>
  <c r="D8" i="17" s="1"/>
  <c r="C7" i="17"/>
  <c r="D7" i="17" s="1"/>
  <c r="C6" i="17"/>
  <c r="D6" i="17" s="1"/>
  <c r="O214" i="5"/>
  <c r="J140" i="12"/>
  <c r="K140" i="12" s="1"/>
  <c r="M288" i="5"/>
  <c r="N288" i="5" s="1"/>
  <c r="K459" i="11"/>
  <c r="K172" i="11"/>
  <c r="K119" i="11"/>
  <c r="I44" i="12"/>
  <c r="K645" i="11"/>
  <c r="I113" i="12"/>
  <c r="K379" i="11"/>
  <c r="I204" i="12"/>
  <c r="J7" i="14"/>
  <c r="I255" i="12"/>
  <c r="I115" i="12"/>
  <c r="K660" i="11"/>
  <c r="I168" i="12"/>
  <c r="K602" i="11"/>
  <c r="I254" i="12"/>
  <c r="S280" i="11"/>
  <c r="J108" i="14"/>
  <c r="K450" i="11"/>
  <c r="J4" i="14"/>
  <c r="S279" i="11"/>
  <c r="J131" i="14"/>
  <c r="J60" i="14"/>
  <c r="S278" i="11"/>
  <c r="K592" i="11"/>
  <c r="I47" i="12"/>
  <c r="J130" i="14"/>
  <c r="I31" i="12"/>
  <c r="K349" i="11"/>
  <c r="I258" i="12"/>
  <c r="I201" i="12"/>
  <c r="I146" i="12"/>
  <c r="K501" i="11"/>
  <c r="K290" i="11"/>
  <c r="K470" i="11"/>
  <c r="K648" i="11"/>
  <c r="K408" i="11"/>
  <c r="K616" i="11"/>
  <c r="K475" i="11"/>
  <c r="K138" i="11"/>
  <c r="I62" i="12"/>
  <c r="K124" i="11"/>
  <c r="I48" i="12"/>
  <c r="I233" i="12"/>
  <c r="K21" i="11"/>
  <c r="K157" i="11"/>
  <c r="J38" i="14"/>
  <c r="J101" i="14"/>
  <c r="J90" i="14"/>
  <c r="I169" i="12"/>
  <c r="K457" i="11"/>
  <c r="K94" i="11"/>
  <c r="K624" i="11"/>
  <c r="K644" i="11"/>
  <c r="K485" i="11"/>
  <c r="J111" i="14"/>
  <c r="K137" i="11"/>
  <c r="I171" i="12"/>
  <c r="K340" i="11"/>
  <c r="K526" i="11"/>
  <c r="K176" i="11"/>
  <c r="I13" i="12"/>
  <c r="J46" i="14"/>
  <c r="K533" i="11"/>
  <c r="K153" i="11"/>
  <c r="K139" i="11"/>
  <c r="K42" i="11"/>
  <c r="K335" i="11"/>
  <c r="I241" i="12"/>
  <c r="K178" i="11"/>
  <c r="K518" i="11"/>
  <c r="I72" i="12"/>
  <c r="K426" i="11"/>
  <c r="J133" i="14"/>
  <c r="K522" i="11"/>
  <c r="K519" i="11"/>
  <c r="I227" i="12"/>
  <c r="I228" i="12"/>
  <c r="I116" i="12"/>
  <c r="I527" i="11"/>
  <c r="J26" i="14"/>
  <c r="K490" i="11"/>
  <c r="I174" i="12"/>
  <c r="K149" i="11"/>
  <c r="I259" i="12"/>
  <c r="J116" i="14"/>
  <c r="I211" i="12"/>
  <c r="K662" i="11"/>
  <c r="K579" i="11"/>
  <c r="I360" i="10"/>
  <c r="K360" i="10" s="1"/>
  <c r="K557" i="11"/>
  <c r="K170" i="11"/>
  <c r="K338" i="11"/>
  <c r="K308" i="5"/>
  <c r="K527" i="11" s="1"/>
  <c r="J99" i="14"/>
  <c r="K506" i="11"/>
  <c r="J144" i="14"/>
  <c r="K586" i="11"/>
  <c r="I138" i="12"/>
  <c r="K590" i="11"/>
  <c r="J10" i="14"/>
  <c r="I224" i="12"/>
  <c r="K205" i="11"/>
  <c r="I126" i="12"/>
  <c r="S261" i="11"/>
  <c r="K144" i="11"/>
  <c r="K83" i="11"/>
  <c r="I46" i="12"/>
  <c r="K16" i="11"/>
  <c r="J104" i="14"/>
  <c r="K192" i="11"/>
  <c r="I158" i="12"/>
  <c r="I49" i="12"/>
  <c r="J14" i="14"/>
  <c r="K173" i="11"/>
  <c r="K594" i="11"/>
  <c r="I4" i="12"/>
  <c r="K158" i="11"/>
  <c r="J147" i="14"/>
  <c r="K354" i="11"/>
  <c r="J146" i="14"/>
  <c r="K367" i="11"/>
  <c r="I183" i="12"/>
  <c r="K118" i="11"/>
  <c r="I221" i="12"/>
  <c r="J88" i="14"/>
  <c r="K197" i="11"/>
  <c r="K286" i="11"/>
  <c r="K430" i="11"/>
  <c r="K206" i="11"/>
  <c r="I180" i="12"/>
  <c r="K551" i="11"/>
  <c r="K34" i="11"/>
  <c r="K103" i="11"/>
  <c r="J67" i="14"/>
  <c r="I56" i="12"/>
  <c r="K405" i="11"/>
  <c r="S259" i="11"/>
  <c r="I186" i="12"/>
  <c r="S233" i="11"/>
  <c r="I246" i="12"/>
  <c r="K332" i="11"/>
  <c r="I139" i="12"/>
  <c r="K569" i="11"/>
  <c r="M99" i="12"/>
  <c r="L99" i="12"/>
  <c r="L102" i="12"/>
  <c r="M102" i="12"/>
  <c r="M95" i="12"/>
  <c r="L95" i="12"/>
  <c r="L103" i="12"/>
  <c r="M103" i="12"/>
  <c r="L101" i="12"/>
  <c r="M101" i="12"/>
  <c r="K438" i="11"/>
  <c r="I262" i="12"/>
  <c r="I43" i="12"/>
  <c r="K201" i="11"/>
  <c r="K503" i="11"/>
  <c r="K582" i="11"/>
  <c r="I155" i="12"/>
  <c r="K508" i="11"/>
  <c r="I15" i="12"/>
  <c r="K306" i="11"/>
  <c r="K498" i="11"/>
  <c r="K117" i="11"/>
  <c r="K496" i="11"/>
  <c r="K399" i="11"/>
  <c r="I33" i="12"/>
  <c r="K326" i="11"/>
  <c r="I120" i="12"/>
  <c r="I219" i="12"/>
  <c r="J148" i="14"/>
  <c r="J15" i="14"/>
  <c r="K638" i="11"/>
  <c r="K529" i="11"/>
  <c r="I247" i="12"/>
  <c r="J77" i="14"/>
  <c r="K102" i="11"/>
  <c r="J112" i="14"/>
  <c r="I87" i="12"/>
  <c r="I119" i="12"/>
  <c r="I69" i="12"/>
  <c r="I32" i="12"/>
  <c r="K315" i="11"/>
  <c r="J100" i="14"/>
  <c r="K141" i="11"/>
  <c r="K166" i="11"/>
  <c r="K195" i="11"/>
  <c r="M127" i="10"/>
  <c r="N127" i="10" s="1"/>
  <c r="J12" i="14"/>
  <c r="I232" i="12"/>
  <c r="K360" i="11"/>
  <c r="K538" i="11"/>
  <c r="J73" i="14"/>
  <c r="K114" i="11"/>
  <c r="K325" i="11"/>
  <c r="K575" i="11"/>
  <c r="S248" i="11"/>
  <c r="K318" i="11"/>
  <c r="K92" i="11"/>
  <c r="K562" i="11"/>
  <c r="I202" i="12"/>
  <c r="K347" i="11"/>
  <c r="I122" i="12"/>
  <c r="K19" i="11"/>
  <c r="K171" i="11"/>
  <c r="K126" i="11"/>
  <c r="J3" i="14"/>
  <c r="K20" i="11"/>
  <c r="I161" i="12"/>
  <c r="K113" i="11"/>
  <c r="J39" i="14"/>
  <c r="K87" i="11"/>
  <c r="K268" i="11"/>
  <c r="J76" i="14"/>
  <c r="J136" i="14"/>
  <c r="J22" i="14"/>
  <c r="K442" i="11"/>
  <c r="I245" i="12"/>
  <c r="S254" i="11"/>
  <c r="K542" i="5"/>
  <c r="K627" i="11" s="1"/>
  <c r="I627" i="11"/>
  <c r="I200" i="12"/>
  <c r="I61" i="12"/>
  <c r="I66" i="12"/>
  <c r="K184" i="11"/>
  <c r="K13" i="11"/>
  <c r="K12" i="11"/>
  <c r="J24" i="14"/>
  <c r="K133" i="11"/>
  <c r="I249" i="12"/>
  <c r="I27" i="12"/>
  <c r="I3" i="12"/>
  <c r="K642" i="11"/>
  <c r="I252" i="12"/>
  <c r="I425" i="11"/>
  <c r="K495" i="5"/>
  <c r="K425" i="11" s="1"/>
  <c r="K99" i="11"/>
  <c r="J119" i="14"/>
  <c r="I205" i="12"/>
  <c r="K150" i="11"/>
  <c r="I36" i="12"/>
  <c r="I220" i="12"/>
  <c r="K492" i="11"/>
  <c r="K568" i="11"/>
  <c r="K479" i="11"/>
  <c r="J134" i="14"/>
  <c r="I89" i="12"/>
  <c r="K202" i="11"/>
  <c r="I163" i="12"/>
  <c r="K469" i="11"/>
  <c r="J98" i="14"/>
  <c r="K373" i="11"/>
  <c r="J75" i="14"/>
  <c r="K302" i="11"/>
  <c r="J56" i="14"/>
  <c r="I17" i="12"/>
  <c r="K484" i="11"/>
  <c r="J122" i="14"/>
  <c r="I244" i="12"/>
  <c r="K626" i="11"/>
  <c r="K82" i="11"/>
  <c r="J8" i="14"/>
  <c r="K525" i="11"/>
  <c r="I192" i="12"/>
  <c r="I21" i="12"/>
  <c r="K38" i="11"/>
  <c r="I7" i="12"/>
  <c r="K15" i="11"/>
  <c r="K432" i="11"/>
  <c r="I150" i="12"/>
  <c r="K523" i="11"/>
  <c r="I191" i="12"/>
  <c r="I127" i="12"/>
  <c r="K356" i="11"/>
  <c r="O225" i="5"/>
  <c r="I216" i="12"/>
  <c r="K570" i="11"/>
  <c r="K650" i="11"/>
  <c r="I257" i="12"/>
  <c r="I143" i="12"/>
  <c r="K414" i="11"/>
  <c r="I65" i="12"/>
  <c r="K183" i="11"/>
  <c r="J53" i="14"/>
  <c r="I75" i="12"/>
  <c r="J141" i="14"/>
  <c r="J135" i="14"/>
  <c r="K560" i="11"/>
  <c r="I10" i="12"/>
  <c r="K18" i="11"/>
  <c r="I96" i="12"/>
  <c r="K269" i="11"/>
  <c r="K515" i="11"/>
  <c r="J127" i="14"/>
  <c r="K196" i="11"/>
  <c r="I83" i="12"/>
  <c r="K36" i="11"/>
  <c r="I20" i="12"/>
  <c r="K329" i="11"/>
  <c r="J84" i="14"/>
  <c r="K296" i="11"/>
  <c r="I108" i="12"/>
  <c r="I203" i="12"/>
  <c r="K548" i="11"/>
  <c r="K423" i="11"/>
  <c r="I248" i="12"/>
  <c r="K634" i="11"/>
  <c r="K603" i="11"/>
  <c r="I231" i="12"/>
  <c r="K443" i="11"/>
  <c r="J115" i="14"/>
  <c r="K177" i="11"/>
  <c r="I64" i="12"/>
  <c r="I81" i="12"/>
  <c r="K131" i="11"/>
  <c r="I68" i="12"/>
  <c r="M242" i="11"/>
  <c r="N242" i="11" s="1"/>
  <c r="K444" i="11"/>
  <c r="I136" i="12"/>
  <c r="I110" i="12"/>
  <c r="K180" i="11"/>
  <c r="I67" i="12"/>
  <c r="K429" i="11"/>
  <c r="J114" i="13"/>
  <c r="K416" i="11"/>
  <c r="I145" i="12"/>
  <c r="M256" i="11"/>
  <c r="N256" i="11" s="1"/>
  <c r="K618" i="11"/>
  <c r="J143" i="14"/>
  <c r="O246" i="5"/>
  <c r="M143" i="10"/>
  <c r="O143" i="10" s="1"/>
  <c r="S243" i="11"/>
  <c r="M234" i="11"/>
  <c r="N234" i="11" s="1"/>
  <c r="M241" i="11"/>
  <c r="N241" i="11" s="1"/>
  <c r="N250" i="11"/>
  <c r="J32" i="14"/>
  <c r="K106" i="11"/>
  <c r="I237" i="12"/>
  <c r="K614" i="11"/>
  <c r="K472" i="11"/>
  <c r="I164" i="12"/>
  <c r="I222" i="12"/>
  <c r="K581" i="11"/>
  <c r="J61" i="14"/>
  <c r="K135" i="11"/>
  <c r="K406" i="11"/>
  <c r="J105" i="14"/>
  <c r="K619" i="11"/>
  <c r="I239" i="12"/>
  <c r="K428" i="11"/>
  <c r="I148" i="12"/>
  <c r="K123" i="11"/>
  <c r="I207" i="12"/>
  <c r="K554" i="11"/>
  <c r="K504" i="11"/>
  <c r="I181" i="12"/>
  <c r="K154" i="11"/>
  <c r="I35" i="12"/>
  <c r="K203" i="11"/>
  <c r="I90" i="12"/>
  <c r="K567" i="11"/>
  <c r="I213" i="12"/>
  <c r="I130" i="12"/>
  <c r="K368" i="11"/>
  <c r="K667" i="11"/>
  <c r="I264" i="12"/>
  <c r="I70" i="12"/>
  <c r="K189" i="11"/>
  <c r="J33" i="14"/>
  <c r="K107" i="11"/>
  <c r="N254" i="5"/>
  <c r="K116" i="11"/>
  <c r="J42" i="14"/>
  <c r="I86" i="12"/>
  <c r="K199" i="11"/>
  <c r="I212" i="12"/>
  <c r="K566" i="11"/>
  <c r="K151" i="11"/>
  <c r="I37" i="12"/>
  <c r="K207" i="11"/>
  <c r="I94" i="12"/>
  <c r="M144" i="10"/>
  <c r="J34" i="14"/>
  <c r="K108" i="11"/>
  <c r="K350" i="11"/>
  <c r="I124" i="12"/>
  <c r="J94" i="14"/>
  <c r="K364" i="11"/>
  <c r="K304" i="11"/>
  <c r="J74" i="14"/>
  <c r="I263" i="12"/>
  <c r="K664" i="11"/>
  <c r="J27" i="14"/>
  <c r="K109" i="11"/>
  <c r="J35" i="14"/>
  <c r="K17" i="11"/>
  <c r="I9" i="12"/>
  <c r="K371" i="11"/>
  <c r="J96" i="14"/>
  <c r="I240" i="12"/>
  <c r="K620" i="11"/>
  <c r="I14" i="12"/>
  <c r="K24" i="11"/>
  <c r="S244" i="11"/>
  <c r="K382" i="11"/>
  <c r="K93" i="11"/>
  <c r="J19" i="14"/>
  <c r="J107" i="14"/>
  <c r="K409" i="11"/>
  <c r="K439" i="11"/>
  <c r="J114" i="14"/>
  <c r="J55" i="14"/>
  <c r="K129" i="11"/>
  <c r="K163" i="11"/>
  <c r="I41" i="12"/>
  <c r="I114" i="12"/>
  <c r="K320" i="11"/>
  <c r="I235" i="12"/>
  <c r="K612" i="11"/>
  <c r="S246" i="11"/>
  <c r="K105" i="11"/>
  <c r="J31" i="14"/>
  <c r="I243" i="12"/>
  <c r="K625" i="11"/>
  <c r="I209" i="12"/>
  <c r="K559" i="11"/>
  <c r="K462" i="11"/>
  <c r="I160" i="12"/>
  <c r="O223" i="5"/>
  <c r="K383" i="11"/>
  <c r="I165" i="12"/>
  <c r="K473" i="11"/>
  <c r="J102" i="14"/>
  <c r="K393" i="11"/>
  <c r="J37" i="14"/>
  <c r="K111" i="11"/>
  <c r="I74" i="12"/>
  <c r="K187" i="11"/>
  <c r="J95" i="14"/>
  <c r="K365" i="11"/>
  <c r="K330" i="11"/>
  <c r="J85" i="14"/>
  <c r="J142" i="14"/>
  <c r="K601" i="11"/>
  <c r="I176" i="12"/>
  <c r="K491" i="11"/>
  <c r="I189" i="12"/>
  <c r="K521" i="11"/>
  <c r="J86" i="14"/>
  <c r="K336" i="11"/>
  <c r="I73" i="12"/>
  <c r="I6" i="12"/>
  <c r="K14" i="11"/>
  <c r="I16" i="12"/>
  <c r="K30" i="11"/>
  <c r="N238" i="5"/>
  <c r="K352" i="11"/>
  <c r="I125" i="12"/>
  <c r="K121" i="11"/>
  <c r="J47" i="14"/>
  <c r="K160" i="11"/>
  <c r="I39" i="12"/>
  <c r="K289" i="11"/>
  <c r="J69" i="14"/>
  <c r="I206" i="12"/>
  <c r="K553" i="11"/>
  <c r="I260" i="12"/>
  <c r="K654" i="11"/>
  <c r="K285" i="11"/>
  <c r="I105" i="12"/>
  <c r="J92" i="14"/>
  <c r="K140" i="11"/>
  <c r="K182" i="11"/>
  <c r="I59" i="12"/>
  <c r="K471" i="11"/>
  <c r="J121" i="14"/>
  <c r="I166" i="12"/>
  <c r="K474" i="11"/>
  <c r="K412" i="11"/>
  <c r="I142" i="12"/>
  <c r="K415" i="11"/>
  <c r="I144" i="12"/>
  <c r="I107" i="12"/>
  <c r="K295" i="11"/>
  <c r="J23" i="14"/>
  <c r="K97" i="11"/>
  <c r="M224" i="11"/>
  <c r="N224" i="11" s="1"/>
  <c r="O249" i="5"/>
  <c r="K300" i="11"/>
  <c r="I109" i="12"/>
  <c r="K346" i="11"/>
  <c r="I121" i="12"/>
  <c r="I128" i="12"/>
  <c r="K362" i="11"/>
  <c r="J16" i="14"/>
  <c r="K90" i="11"/>
  <c r="J30" i="14"/>
  <c r="K104" i="11"/>
  <c r="J58" i="14"/>
  <c r="K132" i="11"/>
  <c r="K589" i="11"/>
  <c r="I226" i="12"/>
  <c r="M257" i="11"/>
  <c r="N257" i="11" s="1"/>
  <c r="K613" i="11"/>
  <c r="I236" i="12"/>
  <c r="K204" i="11"/>
  <c r="I91" i="12"/>
  <c r="J51" i="14"/>
  <c r="K125" i="11"/>
  <c r="K488" i="11"/>
  <c r="J123" i="14"/>
  <c r="I217" i="12"/>
  <c r="K572" i="11"/>
  <c r="K288" i="11"/>
  <c r="J68" i="14"/>
  <c r="K539" i="11"/>
  <c r="I199" i="12"/>
  <c r="K600" i="11"/>
  <c r="I229" i="12"/>
  <c r="I85" i="12"/>
  <c r="K198" i="11"/>
  <c r="I197" i="12"/>
  <c r="K537" i="11"/>
  <c r="K115" i="11"/>
  <c r="J41" i="14"/>
  <c r="J109" i="14"/>
  <c r="K421" i="11"/>
  <c r="K647" i="11"/>
  <c r="J145" i="14"/>
  <c r="I251" i="12"/>
  <c r="K639" i="11"/>
  <c r="J97" i="14"/>
  <c r="K372" i="11"/>
  <c r="K483" i="11"/>
  <c r="I172" i="12"/>
  <c r="I106" i="12"/>
  <c r="K293" i="11"/>
  <c r="J36" i="14"/>
  <c r="K110" i="11"/>
  <c r="K148" i="11"/>
  <c r="I28" i="12"/>
  <c r="I132" i="12"/>
  <c r="K376" i="11"/>
  <c r="K385" i="11"/>
  <c r="I137" i="12"/>
  <c r="K181" i="11"/>
  <c r="I57" i="12"/>
  <c r="K437" i="11"/>
  <c r="J113" i="14"/>
  <c r="I156" i="12"/>
  <c r="K455" i="11"/>
  <c r="I177" i="12"/>
  <c r="K494" i="11"/>
  <c r="J117" i="14"/>
  <c r="K449" i="11"/>
  <c r="I152" i="12"/>
  <c r="K440" i="11"/>
  <c r="K79" i="11"/>
  <c r="J5" i="14"/>
  <c r="K128" i="11"/>
  <c r="J54" i="14"/>
  <c r="K85" i="11"/>
  <c r="J11" i="14"/>
  <c r="I40" i="12"/>
  <c r="K161" i="11"/>
  <c r="K40" i="11"/>
  <c r="I22" i="12"/>
  <c r="J120" i="14"/>
  <c r="K464" i="11"/>
  <c r="K33" i="11"/>
  <c r="I18" i="12"/>
  <c r="K509" i="11"/>
  <c r="I185" i="12"/>
  <c r="K122" i="11"/>
  <c r="J48" i="14"/>
  <c r="I131" i="12"/>
  <c r="K370" i="11"/>
  <c r="K190" i="11"/>
  <c r="I71" i="12"/>
  <c r="K155" i="11"/>
  <c r="I42" i="12"/>
  <c r="K307" i="11"/>
  <c r="I112" i="12"/>
  <c r="I80" i="12"/>
  <c r="K193" i="11"/>
  <c r="I187" i="12"/>
  <c r="K511" i="11"/>
  <c r="J80" i="14"/>
  <c r="K324" i="11"/>
  <c r="K327" i="11"/>
  <c r="J83" i="14"/>
  <c r="S225" i="11"/>
  <c r="N236" i="5"/>
  <c r="K168" i="11"/>
  <c r="I55" i="12"/>
  <c r="J62" i="14"/>
  <c r="K136" i="11"/>
  <c r="K609" i="11"/>
  <c r="I234" i="12"/>
  <c r="J71" i="14"/>
  <c r="K291" i="11"/>
  <c r="I25" i="12"/>
  <c r="K146" i="11"/>
  <c r="K532" i="11"/>
  <c r="I194" i="12"/>
  <c r="I51" i="12"/>
  <c r="K164" i="11"/>
  <c r="J21" i="14"/>
  <c r="K95" i="11"/>
  <c r="J72" i="14"/>
  <c r="K292" i="11"/>
  <c r="I196" i="12"/>
  <c r="K535" i="11"/>
  <c r="O251" i="5"/>
  <c r="O257" i="5"/>
  <c r="N248" i="5"/>
  <c r="M225" i="11"/>
  <c r="N225" i="11" s="1"/>
  <c r="S224" i="11"/>
  <c r="S276" i="11"/>
  <c r="N214" i="5"/>
  <c r="S258" i="11"/>
  <c r="O282" i="11"/>
  <c r="N244" i="5"/>
  <c r="O235" i="5"/>
  <c r="S253" i="11"/>
  <c r="M243" i="11"/>
  <c r="O243" i="11" s="1"/>
  <c r="O237" i="5"/>
  <c r="O267" i="5"/>
  <c r="O234" i="5"/>
  <c r="S234" i="11"/>
  <c r="M248" i="11"/>
  <c r="O248" i="11" s="1"/>
  <c r="N231" i="5"/>
  <c r="M233" i="11"/>
  <c r="N233" i="11" s="1"/>
  <c r="N224" i="5"/>
  <c r="N267" i="11"/>
  <c r="M261" i="11"/>
  <c r="O261" i="11" s="1"/>
  <c r="N215" i="5"/>
  <c r="O215" i="5"/>
  <c r="N239" i="5"/>
  <c r="M244" i="11"/>
  <c r="O253" i="11"/>
  <c r="N240" i="11"/>
  <c r="S241" i="11"/>
  <c r="N284" i="11"/>
  <c r="S242" i="11"/>
  <c r="S235" i="11"/>
  <c r="M254" i="11"/>
  <c r="O254" i="11" s="1"/>
  <c r="O250" i="5"/>
  <c r="S255" i="11"/>
  <c r="N264" i="5"/>
  <c r="S284" i="11"/>
  <c r="O245" i="5"/>
  <c r="N245" i="5"/>
  <c r="S257" i="11"/>
  <c r="M246" i="11"/>
  <c r="O246" i="11" s="1"/>
  <c r="S256" i="11"/>
  <c r="O266" i="11"/>
  <c r="N252" i="5"/>
  <c r="O252" i="5"/>
  <c r="N233" i="5"/>
  <c r="O233" i="5"/>
  <c r="N247" i="5"/>
  <c r="O247" i="5"/>
  <c r="M273" i="11"/>
  <c r="S273" i="11"/>
  <c r="S245" i="11"/>
  <c r="N226" i="5"/>
  <c r="O226" i="5"/>
  <c r="N232" i="5"/>
  <c r="O232" i="5"/>
  <c r="N240" i="5"/>
  <c r="O240" i="5"/>
  <c r="M249" i="11"/>
  <c r="N249" i="11" s="1"/>
  <c r="N227" i="5"/>
  <c r="O227" i="5"/>
  <c r="M259" i="11"/>
  <c r="O259" i="11" s="1"/>
  <c r="M236" i="11"/>
  <c r="N236" i="11" s="1"/>
  <c r="N245" i="11"/>
  <c r="N255" i="11"/>
  <c r="M247" i="11"/>
  <c r="S247" i="11"/>
  <c r="O243" i="5"/>
  <c r="N243" i="5"/>
  <c r="O276" i="11"/>
  <c r="N276" i="11"/>
  <c r="N235" i="11"/>
  <c r="O235" i="11"/>
  <c r="N279" i="11"/>
  <c r="O279" i="11"/>
  <c r="M239" i="11"/>
  <c r="S239" i="11"/>
  <c r="O278" i="11"/>
  <c r="N278" i="11"/>
  <c r="O230" i="5"/>
  <c r="N230" i="5"/>
  <c r="N232" i="11"/>
  <c r="O232" i="11"/>
  <c r="O258" i="5"/>
  <c r="N258" i="5"/>
  <c r="M283" i="11"/>
  <c r="S283" i="11"/>
  <c r="O253" i="5"/>
  <c r="N253" i="5"/>
  <c r="S277" i="11"/>
  <c r="M277" i="11"/>
  <c r="O258" i="11"/>
  <c r="N258" i="11"/>
  <c r="S262" i="11"/>
  <c r="M262" i="11"/>
  <c r="O270" i="5"/>
  <c r="N270" i="5"/>
  <c r="N273" i="5"/>
  <c r="O273" i="5"/>
  <c r="O228" i="5"/>
  <c r="N228" i="5"/>
  <c r="O269" i="5"/>
  <c r="N269" i="5"/>
  <c r="S237" i="11"/>
  <c r="M237" i="11"/>
  <c r="M251" i="11"/>
  <c r="S251" i="11"/>
  <c r="O280" i="11"/>
  <c r="N280" i="11"/>
  <c r="N242" i="5"/>
  <c r="O242" i="5"/>
  <c r="O272" i="5"/>
  <c r="N272" i="5"/>
  <c r="N255" i="5"/>
  <c r="O255" i="5"/>
  <c r="M265" i="11"/>
  <c r="S265" i="11"/>
  <c r="M263" i="11"/>
  <c r="S263" i="11"/>
  <c r="N260" i="11"/>
  <c r="O260" i="11"/>
  <c r="M238" i="11"/>
  <c r="S238" i="11"/>
  <c r="M264" i="11"/>
  <c r="S264" i="11"/>
  <c r="N256" i="5"/>
  <c r="O256" i="5"/>
  <c r="O241" i="5"/>
  <c r="N241" i="5"/>
  <c r="O229" i="5"/>
  <c r="N229" i="5"/>
  <c r="N271" i="5"/>
  <c r="O271" i="5"/>
  <c r="S252" i="11"/>
  <c r="M252" i="11"/>
  <c r="N2" i="20" l="1"/>
  <c r="O2" i="20" s="1"/>
  <c r="N228" i="20"/>
  <c r="P228" i="20" s="1"/>
  <c r="S189" i="20"/>
  <c r="S70" i="20"/>
  <c r="S421" i="20"/>
  <c r="N352" i="20"/>
  <c r="O352" i="20" s="1"/>
  <c r="S496" i="20"/>
  <c r="N44" i="20"/>
  <c r="P44" i="20" s="1"/>
  <c r="N351" i="20"/>
  <c r="O351" i="20" s="1"/>
  <c r="S439" i="20"/>
  <c r="S16" i="20"/>
  <c r="S498" i="20"/>
  <c r="S429" i="20"/>
  <c r="N322" i="20"/>
  <c r="P322" i="20" s="1"/>
  <c r="S193" i="20"/>
  <c r="N230" i="20"/>
  <c r="P230" i="20" s="1"/>
  <c r="N337" i="20"/>
  <c r="O337" i="20" s="1"/>
  <c r="N344" i="20"/>
  <c r="P344" i="20" s="1"/>
  <c r="S484" i="20"/>
  <c r="N438" i="20"/>
  <c r="O438" i="20" s="1"/>
  <c r="N495" i="20"/>
  <c r="P495" i="20" s="1"/>
  <c r="S437" i="20"/>
  <c r="S436" i="20"/>
  <c r="S404" i="20"/>
  <c r="S455" i="20"/>
  <c r="S497" i="20"/>
  <c r="S420" i="20"/>
  <c r="S501" i="20"/>
  <c r="S2" i="20"/>
  <c r="L365" i="10"/>
  <c r="M365" i="10" s="1"/>
  <c r="N365" i="10" s="1"/>
  <c r="L363" i="10"/>
  <c r="M363" i="10" s="1"/>
  <c r="O363" i="10" s="1"/>
  <c r="F19" i="18"/>
  <c r="L195" i="10"/>
  <c r="M195" i="10" s="1"/>
  <c r="N195" i="10" s="1"/>
  <c r="L372" i="10"/>
  <c r="M372" i="10" s="1"/>
  <c r="N372" i="10" s="1"/>
  <c r="L449" i="10"/>
  <c r="M449" i="10" s="1"/>
  <c r="N449" i="10" s="1"/>
  <c r="M100" i="12"/>
  <c r="L472" i="10"/>
  <c r="M472" i="10" s="1"/>
  <c r="O472" i="10" s="1"/>
  <c r="L498" i="10"/>
  <c r="M498" i="10" s="1"/>
  <c r="O498" i="10" s="1"/>
  <c r="L411" i="10"/>
  <c r="M411" i="10" s="1"/>
  <c r="O411" i="10" s="1"/>
  <c r="O268" i="5"/>
  <c r="S272" i="11"/>
  <c r="F183" i="18"/>
  <c r="N195" i="5"/>
  <c r="N10" i="20"/>
  <c r="S10" i="20"/>
  <c r="N490" i="20"/>
  <c r="S490" i="20"/>
  <c r="O455" i="20"/>
  <c r="P455" i="20"/>
  <c r="S488" i="20"/>
  <c r="N488" i="20"/>
  <c r="P436" i="20"/>
  <c r="O436" i="20"/>
  <c r="N380" i="20"/>
  <c r="S380" i="20"/>
  <c r="N118" i="20"/>
  <c r="S118" i="20"/>
  <c r="N183" i="20"/>
  <c r="S183" i="20"/>
  <c r="N382" i="20"/>
  <c r="S382" i="20"/>
  <c r="N442" i="20"/>
  <c r="S442" i="20"/>
  <c r="N20" i="20"/>
  <c r="S20" i="20"/>
  <c r="N120" i="20"/>
  <c r="S120" i="20"/>
  <c r="N216" i="20"/>
  <c r="S216" i="20"/>
  <c r="N345" i="20"/>
  <c r="S345" i="20"/>
  <c r="S343" i="20"/>
  <c r="N343" i="20"/>
  <c r="N47" i="20"/>
  <c r="S47" i="20"/>
  <c r="S148" i="20"/>
  <c r="N148" i="20"/>
  <c r="N383" i="20"/>
  <c r="S383" i="20"/>
  <c r="N440" i="20"/>
  <c r="S440" i="20"/>
  <c r="N425" i="20"/>
  <c r="S425" i="20"/>
  <c r="N347" i="20"/>
  <c r="S347" i="20"/>
  <c r="N338" i="20"/>
  <c r="S338" i="20"/>
  <c r="N448" i="20"/>
  <c r="S448" i="20"/>
  <c r="N159" i="20"/>
  <c r="S159" i="20"/>
  <c r="N478" i="20"/>
  <c r="S478" i="20"/>
  <c r="N254" i="20"/>
  <c r="S254" i="20"/>
  <c r="N377" i="20"/>
  <c r="S377" i="20"/>
  <c r="N346" i="20"/>
  <c r="S346" i="20"/>
  <c r="N259" i="20"/>
  <c r="S259" i="20"/>
  <c r="N267" i="20"/>
  <c r="S267" i="20"/>
  <c r="N482" i="20"/>
  <c r="S482" i="20"/>
  <c r="N358" i="20"/>
  <c r="S358" i="20"/>
  <c r="N364" i="20"/>
  <c r="S364" i="20"/>
  <c r="S22" i="20"/>
  <c r="N22" i="20"/>
  <c r="N178" i="20"/>
  <c r="S178" i="20"/>
  <c r="N405" i="20"/>
  <c r="S405" i="20"/>
  <c r="P420" i="20"/>
  <c r="O420" i="20"/>
  <c r="P439" i="20"/>
  <c r="O439" i="20"/>
  <c r="N300" i="20"/>
  <c r="S300" i="20"/>
  <c r="N329" i="20"/>
  <c r="S329" i="20"/>
  <c r="N115" i="20"/>
  <c r="S115" i="20"/>
  <c r="N468" i="20"/>
  <c r="S468" i="20"/>
  <c r="N309" i="20"/>
  <c r="S309" i="20"/>
  <c r="N68" i="20"/>
  <c r="S68" i="20"/>
  <c r="N179" i="20"/>
  <c r="S179" i="20"/>
  <c r="S238" i="20"/>
  <c r="N238" i="20"/>
  <c r="N237" i="20"/>
  <c r="S237" i="20"/>
  <c r="N384" i="20"/>
  <c r="S384" i="20"/>
  <c r="N200" i="20"/>
  <c r="S200" i="20"/>
  <c r="N164" i="20"/>
  <c r="S164" i="20"/>
  <c r="N5" i="20"/>
  <c r="S5" i="20"/>
  <c r="N177" i="20"/>
  <c r="S177" i="20"/>
  <c r="N434" i="20"/>
  <c r="S434" i="20"/>
  <c r="N36" i="20"/>
  <c r="S36" i="20"/>
  <c r="S29" i="20"/>
  <c r="N29" i="20"/>
  <c r="N107" i="20"/>
  <c r="S107" i="20"/>
  <c r="N369" i="20"/>
  <c r="S369" i="20"/>
  <c r="N319" i="20"/>
  <c r="S319" i="20"/>
  <c r="N261" i="20"/>
  <c r="S261" i="20"/>
  <c r="N431" i="20"/>
  <c r="S431" i="20"/>
  <c r="N357" i="20"/>
  <c r="S357" i="20"/>
  <c r="N32" i="20"/>
  <c r="S32" i="20"/>
  <c r="S8" i="20"/>
  <c r="N8" i="20"/>
  <c r="N58" i="20"/>
  <c r="S58" i="20"/>
  <c r="N64" i="20"/>
  <c r="S64" i="20"/>
  <c r="N411" i="20"/>
  <c r="S411" i="20"/>
  <c r="N204" i="20"/>
  <c r="S204" i="20"/>
  <c r="N433" i="20"/>
  <c r="S433" i="20"/>
  <c r="N290" i="20"/>
  <c r="S290" i="20"/>
  <c r="N476" i="20"/>
  <c r="S476" i="20"/>
  <c r="N162" i="20"/>
  <c r="S162" i="20"/>
  <c r="N134" i="20"/>
  <c r="S134" i="20"/>
  <c r="N33" i="20"/>
  <c r="S33" i="20"/>
  <c r="N306" i="20"/>
  <c r="S306" i="20"/>
  <c r="N339" i="20"/>
  <c r="S339" i="20"/>
  <c r="N55" i="20"/>
  <c r="S55" i="20"/>
  <c r="N457" i="20"/>
  <c r="S457" i="20"/>
  <c r="N34" i="20"/>
  <c r="S34" i="20"/>
  <c r="N413" i="20"/>
  <c r="S413" i="20"/>
  <c r="N390" i="20"/>
  <c r="S390" i="20"/>
  <c r="N283" i="20"/>
  <c r="S283" i="20"/>
  <c r="N167" i="20"/>
  <c r="S167" i="20"/>
  <c r="N126" i="20"/>
  <c r="S126" i="20"/>
  <c r="N217" i="20"/>
  <c r="S217" i="20"/>
  <c r="N388" i="20"/>
  <c r="S388" i="20"/>
  <c r="N386" i="20"/>
  <c r="S386" i="20"/>
  <c r="N332" i="20"/>
  <c r="S332" i="20"/>
  <c r="N246" i="20"/>
  <c r="S246" i="20"/>
  <c r="N325" i="20"/>
  <c r="S325" i="20"/>
  <c r="N324" i="20"/>
  <c r="S324" i="20"/>
  <c r="N52" i="20"/>
  <c r="S52" i="20"/>
  <c r="N109" i="20"/>
  <c r="S109" i="20"/>
  <c r="N231" i="20"/>
  <c r="S231" i="20"/>
  <c r="N395" i="20"/>
  <c r="S395" i="20"/>
  <c r="S96" i="20"/>
  <c r="N96" i="20"/>
  <c r="N471" i="20"/>
  <c r="S471" i="20"/>
  <c r="N171" i="20"/>
  <c r="S171" i="20"/>
  <c r="N80" i="20"/>
  <c r="S80" i="20"/>
  <c r="N89" i="20"/>
  <c r="S89" i="20"/>
  <c r="N15" i="20"/>
  <c r="S15" i="20"/>
  <c r="N145" i="20"/>
  <c r="S145" i="20"/>
  <c r="S241" i="20"/>
  <c r="N241" i="20"/>
  <c r="N446" i="20"/>
  <c r="S446" i="20"/>
  <c r="N326" i="20"/>
  <c r="S326" i="20"/>
  <c r="N59" i="20"/>
  <c r="S59" i="20"/>
  <c r="N149" i="20"/>
  <c r="S149" i="20"/>
  <c r="N240" i="20"/>
  <c r="S240" i="20"/>
  <c r="N353" i="20"/>
  <c r="S353" i="20"/>
  <c r="N417" i="20"/>
  <c r="S417" i="20"/>
  <c r="N505" i="20"/>
  <c r="S505" i="20"/>
  <c r="N475" i="20"/>
  <c r="S475" i="20"/>
  <c r="N119" i="20"/>
  <c r="S119" i="20"/>
  <c r="N11" i="20"/>
  <c r="S11" i="20"/>
  <c r="N81" i="20"/>
  <c r="S81" i="20"/>
  <c r="N61" i="20"/>
  <c r="S61" i="20"/>
  <c r="N170" i="20"/>
  <c r="S170" i="20"/>
  <c r="N280" i="20"/>
  <c r="S280" i="20"/>
  <c r="N372" i="20"/>
  <c r="S372" i="20"/>
  <c r="N74" i="20"/>
  <c r="S74" i="20"/>
  <c r="N359" i="20"/>
  <c r="S359" i="20"/>
  <c r="N27" i="20"/>
  <c r="S27" i="20"/>
  <c r="N250" i="20"/>
  <c r="S250" i="20"/>
  <c r="N374" i="20"/>
  <c r="S374" i="20"/>
  <c r="N76" i="20"/>
  <c r="S76" i="20"/>
  <c r="N127" i="20"/>
  <c r="S127" i="20"/>
  <c r="S494" i="20"/>
  <c r="N494" i="20"/>
  <c r="N302" i="20"/>
  <c r="S302" i="20"/>
  <c r="N308" i="20"/>
  <c r="S308" i="20"/>
  <c r="N206" i="20"/>
  <c r="S206" i="20"/>
  <c r="N49" i="20"/>
  <c r="S49" i="20"/>
  <c r="N393" i="20"/>
  <c r="S393" i="20"/>
  <c r="S73" i="20"/>
  <c r="N73" i="20"/>
  <c r="N133" i="20"/>
  <c r="S133" i="20"/>
  <c r="N209" i="20"/>
  <c r="S209" i="20"/>
  <c r="N195" i="20"/>
  <c r="S195" i="20"/>
  <c r="N396" i="20"/>
  <c r="S396" i="20"/>
  <c r="N397" i="20"/>
  <c r="S397" i="20"/>
  <c r="N208" i="20"/>
  <c r="S208" i="20"/>
  <c r="N474" i="20"/>
  <c r="S474" i="20"/>
  <c r="N233" i="20"/>
  <c r="S233" i="20"/>
  <c r="N454" i="20"/>
  <c r="S454" i="20"/>
  <c r="N19" i="20"/>
  <c r="S19" i="20"/>
  <c r="N225" i="20"/>
  <c r="S225" i="20"/>
  <c r="N282" i="20"/>
  <c r="S282" i="20"/>
  <c r="N57" i="20"/>
  <c r="S57" i="20"/>
  <c r="N294" i="20"/>
  <c r="S294" i="20"/>
  <c r="N257" i="20"/>
  <c r="S257" i="20"/>
  <c r="N147" i="20"/>
  <c r="S147" i="20"/>
  <c r="N39" i="20"/>
  <c r="S39" i="20"/>
  <c r="N152" i="20"/>
  <c r="S152" i="20"/>
  <c r="N65" i="20"/>
  <c r="S65" i="20"/>
  <c r="S348" i="20"/>
  <c r="N348" i="20"/>
  <c r="N234" i="20"/>
  <c r="S234" i="20"/>
  <c r="N175" i="20"/>
  <c r="S175" i="20"/>
  <c r="N137" i="20"/>
  <c r="S137" i="20"/>
  <c r="N31" i="20"/>
  <c r="S31" i="20"/>
  <c r="N292" i="20"/>
  <c r="S292" i="20"/>
  <c r="S201" i="20"/>
  <c r="N201" i="20"/>
  <c r="N210" i="20"/>
  <c r="S210" i="20"/>
  <c r="N443" i="20"/>
  <c r="S443" i="20"/>
  <c r="N157" i="20"/>
  <c r="S157" i="20"/>
  <c r="N500" i="20"/>
  <c r="S500" i="20"/>
  <c r="N138" i="20"/>
  <c r="S138" i="20"/>
  <c r="N245" i="20"/>
  <c r="S245" i="20"/>
  <c r="N197" i="20"/>
  <c r="S197" i="20"/>
  <c r="M100" i="20"/>
  <c r="M378" i="20"/>
  <c r="M291" i="20"/>
  <c r="N25" i="20"/>
  <c r="S25" i="20"/>
  <c r="O501" i="20"/>
  <c r="P501" i="20"/>
  <c r="N202" i="20"/>
  <c r="S202" i="20"/>
  <c r="N114" i="20"/>
  <c r="S114" i="20"/>
  <c r="N304" i="20"/>
  <c r="S304" i="20"/>
  <c r="S94" i="20"/>
  <c r="N94" i="20"/>
  <c r="N330" i="20"/>
  <c r="S330" i="20"/>
  <c r="N301" i="20"/>
  <c r="S301" i="20"/>
  <c r="N84" i="20"/>
  <c r="S84" i="20"/>
  <c r="S7" i="20"/>
  <c r="N7" i="20"/>
  <c r="N312" i="20"/>
  <c r="S312" i="20"/>
  <c r="N190" i="20"/>
  <c r="S190" i="20"/>
  <c r="N398" i="20"/>
  <c r="S398" i="20"/>
  <c r="N381" i="20"/>
  <c r="S381" i="20"/>
  <c r="N155" i="20"/>
  <c r="S155" i="20"/>
  <c r="N9" i="20"/>
  <c r="S9" i="20"/>
  <c r="N255" i="20"/>
  <c r="S255" i="20"/>
  <c r="N313" i="20"/>
  <c r="S313" i="20"/>
  <c r="N191" i="20"/>
  <c r="S191" i="20"/>
  <c r="N13" i="20"/>
  <c r="S13" i="20"/>
  <c r="N447" i="20"/>
  <c r="S447" i="20"/>
  <c r="N98" i="20"/>
  <c r="S98" i="20"/>
  <c r="N220" i="20"/>
  <c r="S220" i="20"/>
  <c r="N214" i="20"/>
  <c r="S214" i="20"/>
  <c r="N63" i="20"/>
  <c r="S63" i="20"/>
  <c r="S111" i="20"/>
  <c r="N111" i="20"/>
  <c r="N317" i="20"/>
  <c r="S317" i="20"/>
  <c r="N135" i="20"/>
  <c r="S135" i="20"/>
  <c r="N310" i="20"/>
  <c r="S310" i="20"/>
  <c r="N277" i="20"/>
  <c r="S277" i="20"/>
  <c r="N432" i="20"/>
  <c r="S432" i="20"/>
  <c r="N402" i="20"/>
  <c r="S402" i="20"/>
  <c r="N160" i="20"/>
  <c r="S160" i="20"/>
  <c r="N273" i="20"/>
  <c r="S273" i="20"/>
  <c r="N131" i="20"/>
  <c r="S131" i="20"/>
  <c r="N56" i="20"/>
  <c r="S56" i="20"/>
  <c r="N392" i="20"/>
  <c r="S392" i="20"/>
  <c r="N403" i="20"/>
  <c r="S403" i="20"/>
  <c r="N253" i="20"/>
  <c r="S253" i="20"/>
  <c r="S156" i="20"/>
  <c r="N156" i="20"/>
  <c r="N50" i="20"/>
  <c r="S50" i="20"/>
  <c r="N289" i="20"/>
  <c r="S289" i="20"/>
  <c r="N342" i="20"/>
  <c r="S342" i="20"/>
  <c r="N54" i="20"/>
  <c r="S54" i="20"/>
  <c r="N168" i="20"/>
  <c r="S168" i="20"/>
  <c r="N30" i="20"/>
  <c r="S30" i="20"/>
  <c r="S415" i="20"/>
  <c r="N415" i="20"/>
  <c r="N53" i="20"/>
  <c r="S53" i="20"/>
  <c r="N349" i="20"/>
  <c r="S349" i="20"/>
  <c r="N391" i="20"/>
  <c r="S391" i="20"/>
  <c r="N465" i="20"/>
  <c r="S465" i="20"/>
  <c r="N124" i="20"/>
  <c r="S124" i="20"/>
  <c r="N279" i="20"/>
  <c r="S279" i="20"/>
  <c r="N305" i="20"/>
  <c r="S305" i="20"/>
  <c r="N295" i="20"/>
  <c r="S295" i="20"/>
  <c r="N449" i="20"/>
  <c r="S449" i="20"/>
  <c r="N123" i="20"/>
  <c r="S123" i="20"/>
  <c r="N366" i="20"/>
  <c r="S366" i="20"/>
  <c r="N194" i="20"/>
  <c r="S194" i="20"/>
  <c r="N26" i="20"/>
  <c r="S26" i="20"/>
  <c r="N151" i="20"/>
  <c r="S151" i="20"/>
  <c r="N18" i="20"/>
  <c r="S18" i="20"/>
  <c r="N335" i="20"/>
  <c r="S335" i="20"/>
  <c r="N102" i="20"/>
  <c r="S102" i="20"/>
  <c r="N45" i="20"/>
  <c r="S45" i="20"/>
  <c r="N166" i="20"/>
  <c r="S166" i="20"/>
  <c r="N4" i="20"/>
  <c r="S4" i="20"/>
  <c r="N85" i="20"/>
  <c r="S85" i="20"/>
  <c r="N37" i="20"/>
  <c r="S37" i="20"/>
  <c r="S78" i="20"/>
  <c r="N78" i="20"/>
  <c r="N144" i="20"/>
  <c r="S144" i="20"/>
  <c r="N252" i="20"/>
  <c r="S252" i="20"/>
  <c r="N365" i="20"/>
  <c r="S365" i="20"/>
  <c r="N486" i="20"/>
  <c r="S486" i="20"/>
  <c r="N213" i="20"/>
  <c r="S213" i="20"/>
  <c r="N142" i="20"/>
  <c r="S142" i="20"/>
  <c r="N203" i="20"/>
  <c r="S203" i="20"/>
  <c r="N340" i="20"/>
  <c r="S340" i="20"/>
  <c r="N422" i="20"/>
  <c r="S422" i="20"/>
  <c r="N129" i="20"/>
  <c r="S129" i="20"/>
  <c r="N43" i="20"/>
  <c r="S43" i="20"/>
  <c r="N285" i="20"/>
  <c r="S285" i="20"/>
  <c r="N408" i="20"/>
  <c r="S408" i="20"/>
  <c r="N311" i="20"/>
  <c r="S311" i="20"/>
  <c r="N181" i="20"/>
  <c r="S181" i="20"/>
  <c r="N207" i="20"/>
  <c r="S207" i="20"/>
  <c r="N71" i="20"/>
  <c r="S71" i="20"/>
  <c r="N77" i="20"/>
  <c r="S77" i="20"/>
  <c r="S368" i="20"/>
  <c r="N368" i="20"/>
  <c r="N271" i="20"/>
  <c r="S271" i="20"/>
  <c r="N314" i="20"/>
  <c r="S314" i="20"/>
  <c r="N97" i="20"/>
  <c r="S97" i="20"/>
  <c r="N499" i="20"/>
  <c r="S499" i="20"/>
  <c r="N248" i="20"/>
  <c r="S248" i="20"/>
  <c r="N394" i="20"/>
  <c r="S394" i="20"/>
  <c r="N307" i="20"/>
  <c r="S307" i="20"/>
  <c r="N463" i="20"/>
  <c r="S463" i="20"/>
  <c r="S284" i="20"/>
  <c r="N284" i="20"/>
  <c r="N407" i="20"/>
  <c r="S407" i="20"/>
  <c r="O16" i="20"/>
  <c r="P16" i="20"/>
  <c r="N418" i="20"/>
  <c r="S418" i="20"/>
  <c r="N172" i="20"/>
  <c r="S172" i="20"/>
  <c r="N320" i="20"/>
  <c r="S320" i="20"/>
  <c r="N244" i="20"/>
  <c r="S244" i="20"/>
  <c r="N153" i="20"/>
  <c r="S153" i="20"/>
  <c r="N269" i="20"/>
  <c r="S269" i="20"/>
  <c r="N370" i="20"/>
  <c r="S370" i="20"/>
  <c r="N72" i="20"/>
  <c r="S72" i="20"/>
  <c r="N243" i="20"/>
  <c r="S243" i="20"/>
  <c r="N146" i="20"/>
  <c r="S146" i="20"/>
  <c r="N35" i="20"/>
  <c r="S35" i="20"/>
  <c r="N427" i="20"/>
  <c r="S427" i="20"/>
  <c r="N82" i="20"/>
  <c r="S82" i="20"/>
  <c r="N14" i="20"/>
  <c r="S14" i="20"/>
  <c r="N87" i="20"/>
  <c r="S87" i="20"/>
  <c r="N485" i="20"/>
  <c r="S485" i="20"/>
  <c r="S90" i="20"/>
  <c r="N90" i="20"/>
  <c r="N67" i="20"/>
  <c r="S67" i="20"/>
  <c r="N469" i="20"/>
  <c r="S469" i="20"/>
  <c r="N143" i="20"/>
  <c r="S143" i="20"/>
  <c r="N256" i="20"/>
  <c r="S256" i="20"/>
  <c r="N373" i="20"/>
  <c r="S373" i="20"/>
  <c r="N371" i="20"/>
  <c r="S371" i="20"/>
  <c r="N453" i="20"/>
  <c r="S453" i="20"/>
  <c r="N242" i="20"/>
  <c r="S242" i="20"/>
  <c r="N401" i="20"/>
  <c r="S401" i="20"/>
  <c r="N502" i="20"/>
  <c r="S502" i="20"/>
  <c r="S21" i="20"/>
  <c r="N21" i="20"/>
  <c r="N355" i="20"/>
  <c r="S355" i="20"/>
  <c r="N199" i="20"/>
  <c r="S199" i="20"/>
  <c r="N385" i="20"/>
  <c r="S385" i="20"/>
  <c r="N409" i="20"/>
  <c r="S409" i="20"/>
  <c r="N461" i="20"/>
  <c r="S461" i="20"/>
  <c r="N117" i="20"/>
  <c r="S117" i="20"/>
  <c r="N276" i="20"/>
  <c r="S276" i="20"/>
  <c r="N79" i="20"/>
  <c r="S79" i="20"/>
  <c r="N341" i="20"/>
  <c r="S341" i="20"/>
  <c r="N459" i="20"/>
  <c r="S459" i="20"/>
  <c r="N379" i="20"/>
  <c r="S379" i="20"/>
  <c r="N251" i="20"/>
  <c r="S251" i="20"/>
  <c r="N293" i="20"/>
  <c r="S293" i="20"/>
  <c r="N260" i="20"/>
  <c r="S260" i="20"/>
  <c r="N69" i="20"/>
  <c r="S69" i="20"/>
  <c r="N130" i="20"/>
  <c r="S130" i="20"/>
  <c r="S182" i="20"/>
  <c r="N182" i="20"/>
  <c r="N296" i="20"/>
  <c r="S296" i="20"/>
  <c r="N268" i="20"/>
  <c r="S268" i="20"/>
  <c r="N479" i="20"/>
  <c r="S479" i="20"/>
  <c r="N229" i="20"/>
  <c r="S229" i="20"/>
  <c r="N215" i="20"/>
  <c r="S215" i="20"/>
  <c r="N219" i="20"/>
  <c r="S219" i="20"/>
  <c r="N265" i="20"/>
  <c r="S265" i="20"/>
  <c r="N93" i="20"/>
  <c r="S93" i="20"/>
  <c r="N328" i="20"/>
  <c r="S328" i="20"/>
  <c r="N430" i="20"/>
  <c r="S430" i="20"/>
  <c r="N169" i="20"/>
  <c r="S169" i="20"/>
  <c r="N46" i="20"/>
  <c r="S46" i="20"/>
  <c r="N406" i="20"/>
  <c r="S406" i="20"/>
  <c r="N272" i="20"/>
  <c r="S272" i="20"/>
  <c r="N128" i="20"/>
  <c r="S128" i="20"/>
  <c r="N6" i="20"/>
  <c r="S6" i="20"/>
  <c r="N334" i="20"/>
  <c r="S334" i="20"/>
  <c r="N299" i="20"/>
  <c r="S299" i="20"/>
  <c r="N249" i="20"/>
  <c r="S249" i="20"/>
  <c r="O189" i="20"/>
  <c r="P189" i="20"/>
  <c r="S473" i="20"/>
  <c r="N473" i="20"/>
  <c r="O429" i="20"/>
  <c r="P429" i="20"/>
  <c r="O193" i="20"/>
  <c r="P193" i="20"/>
  <c r="N362" i="20"/>
  <c r="S362" i="20"/>
  <c r="N122" i="20"/>
  <c r="S122" i="20"/>
  <c r="N491" i="20"/>
  <c r="S491" i="20"/>
  <c r="N336" i="20"/>
  <c r="S336" i="20"/>
  <c r="N298" i="20"/>
  <c r="S298" i="20"/>
  <c r="N258" i="20"/>
  <c r="S258" i="20"/>
  <c r="N113" i="20"/>
  <c r="S113" i="20"/>
  <c r="N303" i="20"/>
  <c r="S303" i="20"/>
  <c r="N92" i="20"/>
  <c r="S92" i="20"/>
  <c r="S42" i="20"/>
  <c r="N42" i="20"/>
  <c r="N224" i="20"/>
  <c r="S224" i="20"/>
  <c r="N198" i="20"/>
  <c r="S198" i="20"/>
  <c r="N419" i="20"/>
  <c r="S419" i="20"/>
  <c r="N318" i="20"/>
  <c r="S318" i="20"/>
  <c r="N464" i="20"/>
  <c r="S464" i="20"/>
  <c r="N360" i="20"/>
  <c r="S360" i="20"/>
  <c r="N423" i="20"/>
  <c r="S423" i="20"/>
  <c r="N83" i="20"/>
  <c r="S83" i="20"/>
  <c r="N99" i="20"/>
  <c r="S99" i="20"/>
  <c r="N186" i="20"/>
  <c r="S186" i="20"/>
  <c r="N158" i="20"/>
  <c r="S158" i="20"/>
  <c r="N323" i="20"/>
  <c r="S323" i="20"/>
  <c r="N187" i="20"/>
  <c r="S187" i="20"/>
  <c r="N504" i="20"/>
  <c r="S504" i="20"/>
  <c r="N140" i="20"/>
  <c r="S140" i="20"/>
  <c r="N17" i="20"/>
  <c r="S17" i="20"/>
  <c r="N400" i="20"/>
  <c r="S400" i="20"/>
  <c r="N321" i="20"/>
  <c r="S321" i="20"/>
  <c r="N41" i="20"/>
  <c r="S41" i="20"/>
  <c r="N180" i="20"/>
  <c r="S180" i="20"/>
  <c r="N275" i="20"/>
  <c r="S275" i="20"/>
  <c r="S185" i="20"/>
  <c r="N185" i="20"/>
  <c r="S286" i="20"/>
  <c r="N286" i="20"/>
  <c r="N222" i="20"/>
  <c r="S222" i="20"/>
  <c r="N188" i="20"/>
  <c r="S188" i="20"/>
  <c r="N416" i="20"/>
  <c r="S416" i="20"/>
  <c r="N212" i="20"/>
  <c r="S212" i="20"/>
  <c r="N389" i="20"/>
  <c r="S389" i="20"/>
  <c r="N239" i="20"/>
  <c r="S239" i="20"/>
  <c r="N331" i="20"/>
  <c r="S331" i="20"/>
  <c r="N441" i="20"/>
  <c r="S441" i="20"/>
  <c r="N460" i="20"/>
  <c r="S460" i="20"/>
  <c r="N456" i="20"/>
  <c r="S456" i="20"/>
  <c r="N480" i="20"/>
  <c r="S480" i="20"/>
  <c r="N316" i="20"/>
  <c r="S316" i="20"/>
  <c r="N399" i="20"/>
  <c r="S399" i="20"/>
  <c r="N23" i="20"/>
  <c r="S23" i="20"/>
  <c r="N112" i="20"/>
  <c r="S112" i="20"/>
  <c r="N278" i="20"/>
  <c r="S278" i="20"/>
  <c r="N232" i="20"/>
  <c r="S232" i="20"/>
  <c r="N424" i="20"/>
  <c r="S424" i="20"/>
  <c r="N226" i="20"/>
  <c r="S226" i="20"/>
  <c r="N24" i="20"/>
  <c r="S24" i="20"/>
  <c r="N196" i="20"/>
  <c r="S196" i="20"/>
  <c r="N263" i="20"/>
  <c r="S263" i="20"/>
  <c r="N165" i="20"/>
  <c r="S165" i="20"/>
  <c r="N176" i="20"/>
  <c r="S176" i="20"/>
  <c r="N101" i="20"/>
  <c r="S101" i="20"/>
  <c r="S281" i="20"/>
  <c r="N281" i="20"/>
  <c r="N361" i="20"/>
  <c r="S361" i="20"/>
  <c r="N136" i="20"/>
  <c r="S136" i="20"/>
  <c r="N287" i="20"/>
  <c r="S287" i="20"/>
  <c r="N264" i="20"/>
  <c r="S264" i="20"/>
  <c r="P484" i="20"/>
  <c r="O484" i="20"/>
  <c r="O496" i="20"/>
  <c r="P496" i="20"/>
  <c r="P437" i="20"/>
  <c r="O437" i="20"/>
  <c r="N412" i="20"/>
  <c r="S412" i="20"/>
  <c r="N173" i="20"/>
  <c r="S173" i="20"/>
  <c r="N350" i="20"/>
  <c r="S350" i="20"/>
  <c r="N91" i="20"/>
  <c r="S91" i="20"/>
  <c r="N466" i="20"/>
  <c r="S466" i="20"/>
  <c r="N356" i="20"/>
  <c r="S356" i="20"/>
  <c r="N451" i="20"/>
  <c r="S451" i="20"/>
  <c r="N445" i="20"/>
  <c r="S445" i="20"/>
  <c r="N477" i="20"/>
  <c r="S477" i="20"/>
  <c r="N270" i="20"/>
  <c r="S270" i="20"/>
  <c r="S62" i="20"/>
  <c r="N62" i="20"/>
  <c r="N38" i="20"/>
  <c r="S38" i="20"/>
  <c r="N125" i="20"/>
  <c r="S125" i="20"/>
  <c r="N503" i="20"/>
  <c r="S503" i="20"/>
  <c r="N375" i="20"/>
  <c r="S375" i="20"/>
  <c r="N462" i="20"/>
  <c r="S462" i="20"/>
  <c r="S28" i="20"/>
  <c r="N28" i="20"/>
  <c r="N414" i="20"/>
  <c r="S414" i="20"/>
  <c r="N333" i="20"/>
  <c r="S333" i="20"/>
  <c r="N458" i="20"/>
  <c r="S458" i="20"/>
  <c r="N141" i="20"/>
  <c r="S141" i="20"/>
  <c r="N88" i="20"/>
  <c r="S88" i="20"/>
  <c r="N60" i="20"/>
  <c r="S60" i="20"/>
  <c r="N470" i="20"/>
  <c r="S470" i="20"/>
  <c r="N139" i="20"/>
  <c r="S139" i="20"/>
  <c r="N288" i="20"/>
  <c r="S288" i="20"/>
  <c r="N66" i="20"/>
  <c r="S66" i="20"/>
  <c r="N472" i="20"/>
  <c r="S472" i="20"/>
  <c r="N174" i="20"/>
  <c r="S174" i="20"/>
  <c r="N12" i="20"/>
  <c r="S12" i="20"/>
  <c r="N86" i="20"/>
  <c r="S86" i="20"/>
  <c r="N450" i="20"/>
  <c r="S450" i="20"/>
  <c r="N40" i="20"/>
  <c r="S40" i="20"/>
  <c r="N154" i="20"/>
  <c r="S154" i="20"/>
  <c r="N3" i="20"/>
  <c r="S3" i="20"/>
  <c r="N192" i="20"/>
  <c r="S192" i="20"/>
  <c r="N376" i="20"/>
  <c r="S376" i="20"/>
  <c r="N205" i="20"/>
  <c r="S205" i="20"/>
  <c r="N150" i="20"/>
  <c r="S150" i="20"/>
  <c r="N428" i="20"/>
  <c r="S428" i="20"/>
  <c r="N95" i="20"/>
  <c r="S95" i="20"/>
  <c r="N367" i="20"/>
  <c r="S367" i="20"/>
  <c r="N121" i="20"/>
  <c r="S121" i="20"/>
  <c r="N354" i="20"/>
  <c r="S354" i="20"/>
  <c r="N184" i="20"/>
  <c r="S184" i="20"/>
  <c r="N327" i="20"/>
  <c r="S327" i="20"/>
  <c r="N266" i="20"/>
  <c r="S266" i="20"/>
  <c r="N211" i="20"/>
  <c r="S211" i="20"/>
  <c r="N435" i="20"/>
  <c r="S435" i="20"/>
  <c r="N426" i="20"/>
  <c r="S426" i="20"/>
  <c r="N387" i="20"/>
  <c r="S387" i="20"/>
  <c r="N132" i="20"/>
  <c r="S132" i="20"/>
  <c r="N492" i="20"/>
  <c r="S492" i="20"/>
  <c r="N444" i="20"/>
  <c r="S444" i="20"/>
  <c r="N51" i="20"/>
  <c r="S51" i="20"/>
  <c r="N161" i="20"/>
  <c r="S161" i="20"/>
  <c r="N493" i="20"/>
  <c r="S493" i="20"/>
  <c r="N410" i="20"/>
  <c r="S410" i="20"/>
  <c r="N75" i="20"/>
  <c r="S75" i="20"/>
  <c r="N363" i="20"/>
  <c r="S363" i="20"/>
  <c r="N487" i="20"/>
  <c r="S487" i="20"/>
  <c r="P70" i="20"/>
  <c r="O70" i="20"/>
  <c r="N483" i="20"/>
  <c r="S483" i="20"/>
  <c r="P421" i="20"/>
  <c r="O421" i="20"/>
  <c r="O404" i="20"/>
  <c r="P404" i="20"/>
  <c r="N218" i="20"/>
  <c r="S218" i="20"/>
  <c r="P498" i="20"/>
  <c r="O498" i="20"/>
  <c r="P497" i="20"/>
  <c r="O497" i="20"/>
  <c r="N452" i="20"/>
  <c r="S452" i="20"/>
  <c r="N297" i="20"/>
  <c r="S297" i="20"/>
  <c r="S202" i="11"/>
  <c r="J91" i="12"/>
  <c r="K91" i="12" s="1"/>
  <c r="L91" i="12" s="1"/>
  <c r="L204" i="11"/>
  <c r="M204" i="11" s="1"/>
  <c r="N204" i="11" s="1"/>
  <c r="M199" i="5"/>
  <c r="O199" i="5" s="1"/>
  <c r="J94" i="12"/>
  <c r="K94" i="12" s="1"/>
  <c r="M94" i="12" s="1"/>
  <c r="M97" i="12"/>
  <c r="F219" i="18"/>
  <c r="L207" i="11"/>
  <c r="M207" i="11" s="1"/>
  <c r="O207" i="11" s="1"/>
  <c r="L271" i="11"/>
  <c r="S271" i="11" s="1"/>
  <c r="L77" i="12"/>
  <c r="M262" i="5"/>
  <c r="L104" i="12"/>
  <c r="M104" i="12"/>
  <c r="J93" i="12"/>
  <c r="K93" i="12" s="1"/>
  <c r="M93" i="12" s="1"/>
  <c r="M265" i="5"/>
  <c r="L527" i="5"/>
  <c r="L368" i="10" s="1"/>
  <c r="M368" i="10" s="1"/>
  <c r="O368" i="10" s="1"/>
  <c r="L274" i="11"/>
  <c r="M274" i="11" s="1"/>
  <c r="N274" i="11" s="1"/>
  <c r="M259" i="5"/>
  <c r="L206" i="11"/>
  <c r="M206" i="11" s="1"/>
  <c r="O206" i="11" s="1"/>
  <c r="L281" i="11"/>
  <c r="M279" i="5"/>
  <c r="M200" i="5"/>
  <c r="O200" i="5" s="1"/>
  <c r="J79" i="12"/>
  <c r="K79" i="12" s="1"/>
  <c r="L275" i="11"/>
  <c r="S275" i="11" s="1"/>
  <c r="M263" i="5"/>
  <c r="J98" i="12"/>
  <c r="K98" i="12" s="1"/>
  <c r="M98" i="12" s="1"/>
  <c r="O266" i="5"/>
  <c r="N272" i="11"/>
  <c r="M261" i="5"/>
  <c r="L270" i="11"/>
  <c r="L76" i="12"/>
  <c r="E151" i="18"/>
  <c r="L439" i="10"/>
  <c r="M439" i="10" s="1"/>
  <c r="O439" i="10" s="1"/>
  <c r="L384" i="10"/>
  <c r="M384" i="10" s="1"/>
  <c r="O384" i="10" s="1"/>
  <c r="L31" i="10"/>
  <c r="M31" i="10" s="1"/>
  <c r="N31" i="10" s="1"/>
  <c r="F38" i="18"/>
  <c r="F84" i="18"/>
  <c r="F249" i="18"/>
  <c r="F21" i="18"/>
  <c r="E46" i="18"/>
  <c r="F28" i="18"/>
  <c r="E39" i="18"/>
  <c r="F250" i="18"/>
  <c r="L432" i="10"/>
  <c r="M432" i="10" s="1"/>
  <c r="F117" i="18"/>
  <c r="E118" i="18"/>
  <c r="L445" i="10"/>
  <c r="M445" i="10" s="1"/>
  <c r="O445" i="10" s="1"/>
  <c r="M404" i="5"/>
  <c r="O404" i="5" s="1"/>
  <c r="F233" i="18"/>
  <c r="F40" i="18"/>
  <c r="E238" i="18"/>
  <c r="F238" i="18"/>
  <c r="E185" i="18"/>
  <c r="F185" i="18"/>
  <c r="E7" i="18"/>
  <c r="F7" i="18"/>
  <c r="E231" i="18"/>
  <c r="F231" i="18"/>
  <c r="E220" i="18"/>
  <c r="F220" i="18"/>
  <c r="E9" i="18"/>
  <c r="F9" i="18"/>
  <c r="E14" i="18"/>
  <c r="F14" i="18"/>
  <c r="E225" i="18"/>
  <c r="F225" i="18"/>
  <c r="E222" i="18"/>
  <c r="F222" i="18"/>
  <c r="E216" i="18"/>
  <c r="F216" i="18"/>
  <c r="E215" i="18"/>
  <c r="F215" i="18"/>
  <c r="E214" i="18"/>
  <c r="F214" i="18"/>
  <c r="E213" i="18"/>
  <c r="F213" i="18"/>
  <c r="E236" i="18"/>
  <c r="F236" i="18"/>
  <c r="E212" i="18"/>
  <c r="F212" i="18"/>
  <c r="E211" i="18"/>
  <c r="F211" i="18"/>
  <c r="E209" i="18"/>
  <c r="F209" i="18"/>
  <c r="E208" i="18"/>
  <c r="F208" i="18"/>
  <c r="E207" i="18"/>
  <c r="F207" i="18"/>
  <c r="E206" i="18"/>
  <c r="F206" i="18"/>
  <c r="E205" i="18"/>
  <c r="F205" i="18"/>
  <c r="E203" i="18"/>
  <c r="F203" i="18"/>
  <c r="E202" i="18"/>
  <c r="F202" i="18"/>
  <c r="E201" i="18"/>
  <c r="F201" i="18"/>
  <c r="E200" i="18"/>
  <c r="F200" i="18"/>
  <c r="E195" i="18"/>
  <c r="F195" i="18"/>
  <c r="E193" i="18"/>
  <c r="F193" i="18"/>
  <c r="E192" i="18"/>
  <c r="F192" i="18"/>
  <c r="E188" i="18"/>
  <c r="F188" i="18"/>
  <c r="E187" i="18"/>
  <c r="F187" i="18"/>
  <c r="E248" i="18"/>
  <c r="F248" i="18"/>
  <c r="E186" i="18"/>
  <c r="F186" i="18"/>
  <c r="E228" i="18"/>
  <c r="F228" i="18"/>
  <c r="E232" i="18"/>
  <c r="F232" i="18"/>
  <c r="E251" i="18"/>
  <c r="F251" i="18"/>
  <c r="E184" i="18"/>
  <c r="F184" i="18"/>
  <c r="E182" i="18"/>
  <c r="F182" i="18"/>
  <c r="E179" i="18"/>
  <c r="F179" i="18"/>
  <c r="E178" i="18"/>
  <c r="F178" i="18"/>
  <c r="E175" i="18"/>
  <c r="F175" i="18"/>
  <c r="E174" i="18"/>
  <c r="F174" i="18"/>
  <c r="E173" i="18"/>
  <c r="F173" i="18"/>
  <c r="E170" i="18"/>
  <c r="F170" i="18"/>
  <c r="E167" i="18"/>
  <c r="F167" i="18"/>
  <c r="E166" i="18"/>
  <c r="F166" i="18"/>
  <c r="E165" i="18"/>
  <c r="F165" i="18"/>
  <c r="E164" i="18"/>
  <c r="F164" i="18"/>
  <c r="E163" i="18"/>
  <c r="F163" i="18"/>
  <c r="E162" i="18"/>
  <c r="F162" i="18"/>
  <c r="E161" i="18"/>
  <c r="F161" i="18"/>
  <c r="E160" i="18"/>
  <c r="F160" i="18"/>
  <c r="E156" i="18"/>
  <c r="F156" i="18"/>
  <c r="E153" i="18"/>
  <c r="F153" i="18"/>
  <c r="E152" i="18"/>
  <c r="F152" i="18"/>
  <c r="E150" i="18"/>
  <c r="F150" i="18"/>
  <c r="E147" i="18"/>
  <c r="F147" i="18"/>
  <c r="E146" i="18"/>
  <c r="F146" i="18"/>
  <c r="E145" i="18"/>
  <c r="F145" i="18"/>
  <c r="E144" i="18"/>
  <c r="F144" i="18"/>
  <c r="E143" i="18"/>
  <c r="F143" i="18"/>
  <c r="E142" i="18"/>
  <c r="F142" i="18"/>
  <c r="E141" i="18"/>
  <c r="F141" i="18"/>
  <c r="E140" i="18"/>
  <c r="F140" i="18"/>
  <c r="E139" i="18"/>
  <c r="F139" i="18"/>
  <c r="E137" i="18"/>
  <c r="F137" i="18"/>
  <c r="E136" i="18"/>
  <c r="F136" i="18"/>
  <c r="E135" i="18"/>
  <c r="F135" i="18"/>
  <c r="E240" i="18"/>
  <c r="F240" i="18"/>
  <c r="E134" i="18"/>
  <c r="F134" i="18"/>
  <c r="E132" i="18"/>
  <c r="F132" i="18"/>
  <c r="E131" i="18"/>
  <c r="F131" i="18"/>
  <c r="E130" i="18"/>
  <c r="F130" i="18"/>
  <c r="E127" i="18"/>
  <c r="F127" i="18"/>
  <c r="E126" i="18"/>
  <c r="F126" i="18"/>
  <c r="E125" i="18"/>
  <c r="F125" i="18"/>
  <c r="E124" i="18"/>
  <c r="F124" i="18"/>
  <c r="E123" i="18"/>
  <c r="F123" i="18"/>
  <c r="E121" i="18"/>
  <c r="F121" i="18"/>
  <c r="E120" i="18"/>
  <c r="F120" i="18"/>
  <c r="E119" i="18"/>
  <c r="F119" i="18"/>
  <c r="E114" i="18"/>
  <c r="F114" i="18"/>
  <c r="E113" i="18"/>
  <c r="F113" i="18"/>
  <c r="E112" i="18"/>
  <c r="F112" i="18"/>
  <c r="E109" i="18"/>
  <c r="F109" i="18"/>
  <c r="E108" i="18"/>
  <c r="F108" i="18"/>
  <c r="E106" i="18"/>
  <c r="F106" i="18"/>
  <c r="E105" i="18"/>
  <c r="F105" i="18"/>
  <c r="E104" i="18"/>
  <c r="F104" i="18"/>
  <c r="E103" i="18"/>
  <c r="F103" i="18"/>
  <c r="E102" i="18"/>
  <c r="F102" i="18"/>
  <c r="E101" i="18"/>
  <c r="F101" i="18"/>
  <c r="E100" i="18"/>
  <c r="F100" i="18"/>
  <c r="E99" i="18"/>
  <c r="F99" i="18"/>
  <c r="E98" i="18"/>
  <c r="F98" i="18"/>
  <c r="E97" i="18"/>
  <c r="F97" i="18"/>
  <c r="E96" i="18"/>
  <c r="F96" i="18"/>
  <c r="E95" i="18"/>
  <c r="F95" i="18"/>
  <c r="E94" i="18"/>
  <c r="F94" i="18"/>
  <c r="E89" i="18"/>
  <c r="F89" i="18"/>
  <c r="E88" i="18"/>
  <c r="F88" i="18"/>
  <c r="E87" i="18"/>
  <c r="F87" i="18"/>
  <c r="E86" i="18"/>
  <c r="F86" i="18"/>
  <c r="E85" i="18"/>
  <c r="F85" i="18"/>
  <c r="E83" i="18"/>
  <c r="F83" i="18"/>
  <c r="E81" i="18"/>
  <c r="F81" i="18"/>
  <c r="E80" i="18"/>
  <c r="F80" i="18"/>
  <c r="E79" i="18"/>
  <c r="F79" i="18"/>
  <c r="E78" i="18"/>
  <c r="F78" i="18"/>
  <c r="E77" i="18"/>
  <c r="F77" i="18"/>
  <c r="E76" i="18"/>
  <c r="F76" i="18"/>
  <c r="E75" i="18"/>
  <c r="F75" i="18"/>
  <c r="E73" i="18"/>
  <c r="F73" i="18"/>
  <c r="E72" i="18"/>
  <c r="F72" i="18"/>
  <c r="E71" i="18"/>
  <c r="F71" i="18"/>
  <c r="E70" i="18"/>
  <c r="F70" i="18"/>
  <c r="E68" i="18"/>
  <c r="F68" i="18"/>
  <c r="E67" i="18"/>
  <c r="F67" i="18"/>
  <c r="E66" i="18"/>
  <c r="F66" i="18"/>
  <c r="E61" i="18"/>
  <c r="F61" i="18"/>
  <c r="E59" i="18"/>
  <c r="F59" i="18"/>
  <c r="E56" i="18"/>
  <c r="F56" i="18"/>
  <c r="E242" i="18"/>
  <c r="F242" i="18"/>
  <c r="E55" i="18"/>
  <c r="F55" i="18"/>
  <c r="E51" i="18"/>
  <c r="F51" i="18"/>
  <c r="E50" i="18"/>
  <c r="F50" i="18"/>
  <c r="E49" i="18"/>
  <c r="F49" i="18"/>
  <c r="E246" i="18"/>
  <c r="F246" i="18"/>
  <c r="E48" i="18"/>
  <c r="F48" i="18"/>
  <c r="E47" i="18"/>
  <c r="F47" i="18"/>
  <c r="E45" i="18"/>
  <c r="F45" i="18"/>
  <c r="E44" i="18"/>
  <c r="F44" i="18"/>
  <c r="E43" i="18"/>
  <c r="F43" i="18"/>
  <c r="E37" i="18"/>
  <c r="F37" i="18"/>
  <c r="E35" i="18"/>
  <c r="F35" i="18"/>
  <c r="E34" i="18"/>
  <c r="F34" i="18"/>
  <c r="E33" i="18"/>
  <c r="F33" i="18"/>
  <c r="E30" i="18"/>
  <c r="F30" i="18"/>
  <c r="E29" i="18"/>
  <c r="F29" i="18"/>
  <c r="E23" i="18"/>
  <c r="F23" i="18"/>
  <c r="E235" i="18"/>
  <c r="F235" i="18"/>
  <c r="L656" i="11"/>
  <c r="M656" i="11" s="1"/>
  <c r="O656" i="11" s="1"/>
  <c r="L378" i="10"/>
  <c r="M378" i="10" s="1"/>
  <c r="M276" i="10"/>
  <c r="N276" i="10" s="1"/>
  <c r="M73" i="10"/>
  <c r="O73" i="10" s="1"/>
  <c r="M520" i="10"/>
  <c r="O520" i="10" s="1"/>
  <c r="M240" i="10"/>
  <c r="N240" i="10" s="1"/>
  <c r="M32" i="10"/>
  <c r="N32" i="10" s="1"/>
  <c r="M64" i="10"/>
  <c r="O64" i="10" s="1"/>
  <c r="M296" i="10"/>
  <c r="O296" i="10" s="1"/>
  <c r="M401" i="10"/>
  <c r="N401" i="10" s="1"/>
  <c r="M61" i="10"/>
  <c r="N61" i="10" s="1"/>
  <c r="M134" i="10"/>
  <c r="O134" i="10" s="1"/>
  <c r="M341" i="10"/>
  <c r="N341" i="10" s="1"/>
  <c r="M21" i="10"/>
  <c r="O21" i="10" s="1"/>
  <c r="M436" i="10"/>
  <c r="N436" i="10" s="1"/>
  <c r="M170" i="10"/>
  <c r="O170" i="10" s="1"/>
  <c r="M304" i="10"/>
  <c r="N304" i="10" s="1"/>
  <c r="M345" i="10"/>
  <c r="N345" i="10" s="1"/>
  <c r="M255" i="10"/>
  <c r="N255" i="10" s="1"/>
  <c r="M146" i="10"/>
  <c r="N146" i="10" s="1"/>
  <c r="M171" i="10"/>
  <c r="N171" i="10" s="1"/>
  <c r="M314" i="10"/>
  <c r="N314" i="10" s="1"/>
  <c r="M366" i="10"/>
  <c r="N366" i="10" s="1"/>
  <c r="M406" i="10"/>
  <c r="N406" i="10" s="1"/>
  <c r="M192" i="10"/>
  <c r="N192" i="10" s="1"/>
  <c r="M398" i="10"/>
  <c r="N398" i="10" s="1"/>
  <c r="M360" i="10"/>
  <c r="N360" i="10" s="1"/>
  <c r="M426" i="10"/>
  <c r="O426" i="10" s="1"/>
  <c r="M277" i="10"/>
  <c r="N277" i="10" s="1"/>
  <c r="M266" i="10"/>
  <c r="N266" i="10" s="1"/>
  <c r="M421" i="10"/>
  <c r="M322" i="10"/>
  <c r="M402" i="10"/>
  <c r="M358" i="10"/>
  <c r="M340" i="10"/>
  <c r="M212" i="10"/>
  <c r="M30" i="10"/>
  <c r="M22" i="10"/>
  <c r="M448" i="10"/>
  <c r="M335" i="10"/>
  <c r="M46" i="10"/>
  <c r="M441" i="10"/>
  <c r="S77" i="11"/>
  <c r="M77" i="11"/>
  <c r="M122" i="5"/>
  <c r="O122" i="5" s="1"/>
  <c r="M87" i="10"/>
  <c r="L122" i="11"/>
  <c r="M94" i="10"/>
  <c r="K106" i="14"/>
  <c r="L106" i="14" s="1"/>
  <c r="M232" i="10"/>
  <c r="M574" i="5"/>
  <c r="M259" i="10"/>
  <c r="K97" i="14"/>
  <c r="L97" i="14" s="1"/>
  <c r="M283" i="10"/>
  <c r="K115" i="14"/>
  <c r="L115" i="14" s="1"/>
  <c r="M333" i="10"/>
  <c r="L107" i="11"/>
  <c r="M79" i="10"/>
  <c r="K93" i="14"/>
  <c r="L93" i="14" s="1"/>
  <c r="M400" i="10"/>
  <c r="L447" i="11"/>
  <c r="M382" i="10"/>
  <c r="M104" i="5"/>
  <c r="M70" i="10"/>
  <c r="K75" i="14"/>
  <c r="L75" i="14" s="1"/>
  <c r="M233" i="10"/>
  <c r="K66" i="14"/>
  <c r="L66" i="14" s="1"/>
  <c r="M63" i="10"/>
  <c r="M522" i="5"/>
  <c r="M112" i="5"/>
  <c r="M78" i="10"/>
  <c r="K110" i="14"/>
  <c r="L110" i="14" s="1"/>
  <c r="M361" i="10"/>
  <c r="K142" i="14"/>
  <c r="L142" i="14" s="1"/>
  <c r="M376" i="10"/>
  <c r="M520" i="5"/>
  <c r="M369" i="10"/>
  <c r="K143" i="14"/>
  <c r="L143" i="14" s="1"/>
  <c r="M433" i="10"/>
  <c r="K29" i="14"/>
  <c r="L29" i="14" s="1"/>
  <c r="M77" i="10"/>
  <c r="M116" i="5"/>
  <c r="M81" i="10"/>
  <c r="L130" i="11"/>
  <c r="M317" i="10"/>
  <c r="M88" i="5"/>
  <c r="M161" i="10"/>
  <c r="K127" i="14"/>
  <c r="L127" i="14" s="1"/>
  <c r="M319" i="10"/>
  <c r="M389" i="5"/>
  <c r="M263" i="10"/>
  <c r="M117" i="5"/>
  <c r="M82" i="10"/>
  <c r="L128" i="11"/>
  <c r="M97" i="10"/>
  <c r="L446" i="11"/>
  <c r="M274" i="10"/>
  <c r="L220" i="11"/>
  <c r="M139" i="10"/>
  <c r="M211" i="5"/>
  <c r="M140" i="10"/>
  <c r="M201" i="5"/>
  <c r="M132" i="10"/>
  <c r="L334" i="11"/>
  <c r="M167" i="10"/>
  <c r="L420" i="11"/>
  <c r="M460" i="10"/>
  <c r="L409" i="11"/>
  <c r="M224" i="10"/>
  <c r="M277" i="5"/>
  <c r="M57" i="10"/>
  <c r="M275" i="5"/>
  <c r="M58" i="10"/>
  <c r="M283" i="5"/>
  <c r="M172" i="10"/>
  <c r="M212" i="5"/>
  <c r="M141" i="10"/>
  <c r="L423" i="11"/>
  <c r="M473" i="10"/>
  <c r="L553" i="11"/>
  <c r="M310" i="10"/>
  <c r="J130" i="12"/>
  <c r="K130" i="12" s="1"/>
  <c r="M321" i="10"/>
  <c r="L367" i="11"/>
  <c r="M219" i="10"/>
  <c r="L416" i="11"/>
  <c r="M286" i="10"/>
  <c r="M439" i="5"/>
  <c r="M285" i="10"/>
  <c r="M11" i="5"/>
  <c r="M8" i="10"/>
  <c r="M31" i="5"/>
  <c r="M19" i="10"/>
  <c r="M145" i="5"/>
  <c r="M165" i="10"/>
  <c r="L33" i="11"/>
  <c r="M243" i="10"/>
  <c r="L34" i="11"/>
  <c r="M292" i="10"/>
  <c r="J78" i="12"/>
  <c r="K78" i="12" s="1"/>
  <c r="M519" i="10"/>
  <c r="L626" i="11"/>
  <c r="M450" i="10"/>
  <c r="J227" i="12"/>
  <c r="K227" i="12" s="1"/>
  <c r="M187" i="10"/>
  <c r="M603" i="5"/>
  <c r="M490" i="10"/>
  <c r="M652" i="5"/>
  <c r="M501" i="10"/>
  <c r="L506" i="11"/>
  <c r="M5" i="10"/>
  <c r="L186" i="11"/>
  <c r="M117" i="10"/>
  <c r="L332" i="11"/>
  <c r="M488" i="10"/>
  <c r="L293" i="11"/>
  <c r="M116" i="10"/>
  <c r="M151" i="5"/>
  <c r="M105" i="10"/>
  <c r="J123" i="12"/>
  <c r="K123" i="12" s="1"/>
  <c r="M183" i="10"/>
  <c r="M39" i="5"/>
  <c r="M34" i="10"/>
  <c r="M50" i="5"/>
  <c r="M147" i="10"/>
  <c r="L374" i="11"/>
  <c r="M462" i="10"/>
  <c r="M434" i="5"/>
  <c r="M279" i="10"/>
  <c r="L24" i="11"/>
  <c r="M176" i="10"/>
  <c r="M3" i="5"/>
  <c r="M3" i="10"/>
  <c r="M415" i="10"/>
  <c r="L387" i="11"/>
  <c r="M466" i="10"/>
  <c r="L214" i="11"/>
  <c r="M137" i="10"/>
  <c r="M575" i="5"/>
  <c r="M430" i="10"/>
  <c r="M276" i="5"/>
  <c r="M420" i="10"/>
  <c r="L500" i="11"/>
  <c r="M403" i="10"/>
  <c r="L405" i="11"/>
  <c r="M189" i="10"/>
  <c r="J204" i="12"/>
  <c r="K204" i="12" s="1"/>
  <c r="M208" i="10"/>
  <c r="M625" i="5"/>
  <c r="M476" i="10"/>
  <c r="J215" i="12"/>
  <c r="K215" i="12" s="1"/>
  <c r="M287" i="10"/>
  <c r="J264" i="12"/>
  <c r="K264" i="12" s="1"/>
  <c r="M504" i="10"/>
  <c r="M18" i="5"/>
  <c r="M13" i="10"/>
  <c r="M23" i="5"/>
  <c r="M15" i="10"/>
  <c r="L521" i="11"/>
  <c r="M284" i="10"/>
  <c r="L17" i="11"/>
  <c r="M120" i="10"/>
  <c r="M451" i="5"/>
  <c r="M294" i="10"/>
  <c r="M651" i="5"/>
  <c r="M500" i="10"/>
  <c r="J169" i="12"/>
  <c r="K169" i="12" s="1"/>
  <c r="M197" i="10"/>
  <c r="J115" i="12"/>
  <c r="K115" i="12" s="1"/>
  <c r="M309" i="10"/>
  <c r="M477" i="5"/>
  <c r="M326" i="10"/>
  <c r="M657" i="5"/>
  <c r="J80" i="12"/>
  <c r="K80" i="12" s="1"/>
  <c r="M447" i="5"/>
  <c r="O447" i="5" s="1"/>
  <c r="L425" i="11"/>
  <c r="S425" i="11" s="1"/>
  <c r="M495" i="5"/>
  <c r="L25" i="11"/>
  <c r="M25" i="11" s="1"/>
  <c r="O25" i="11" s="1"/>
  <c r="J14" i="12"/>
  <c r="K14" i="12" s="1"/>
  <c r="L14" i="12" s="1"/>
  <c r="N281" i="10"/>
  <c r="M403" i="5"/>
  <c r="O403" i="5" s="1"/>
  <c r="M552" i="5"/>
  <c r="M308" i="5"/>
  <c r="M542" i="5"/>
  <c r="M312" i="5"/>
  <c r="L115" i="11"/>
  <c r="M115" i="11" s="1"/>
  <c r="O115" i="11" s="1"/>
  <c r="K41" i="14"/>
  <c r="L41" i="14" s="1"/>
  <c r="J18" i="12"/>
  <c r="K18" i="12" s="1"/>
  <c r="M18" i="12" s="1"/>
  <c r="J15" i="12"/>
  <c r="K15" i="12" s="1"/>
  <c r="M15" i="12" s="1"/>
  <c r="M414" i="5"/>
  <c r="N435" i="10"/>
  <c r="J19" i="12"/>
  <c r="K19" i="12" s="1"/>
  <c r="M19" i="12" s="1"/>
  <c r="M415" i="5"/>
  <c r="L30" i="11"/>
  <c r="M30" i="11" s="1"/>
  <c r="O30" i="11" s="1"/>
  <c r="J16" i="12"/>
  <c r="K16" i="12" s="1"/>
  <c r="L16" i="12" s="1"/>
  <c r="L302" i="11"/>
  <c r="M302" i="11" s="1"/>
  <c r="O302" i="11" s="1"/>
  <c r="M450" i="5"/>
  <c r="L29" i="11"/>
  <c r="M29" i="11" s="1"/>
  <c r="O29" i="11" s="1"/>
  <c r="J9" i="12"/>
  <c r="K9" i="12" s="1"/>
  <c r="L9" i="12" s="1"/>
  <c r="N491" i="10"/>
  <c r="L103" i="11"/>
  <c r="S103" i="11" s="1"/>
  <c r="M111" i="5"/>
  <c r="M185" i="5"/>
  <c r="M615" i="5"/>
  <c r="L323" i="11"/>
  <c r="M323" i="11" s="1"/>
  <c r="O323" i="11" s="1"/>
  <c r="L569" i="11"/>
  <c r="M569" i="11" s="1"/>
  <c r="N569" i="11" s="1"/>
  <c r="M278" i="5"/>
  <c r="M295" i="5"/>
  <c r="O295" i="5" s="1"/>
  <c r="M627" i="5"/>
  <c r="O627" i="5" s="1"/>
  <c r="M141" i="5"/>
  <c r="O141" i="5" s="1"/>
  <c r="K86" i="14"/>
  <c r="L86" i="14" s="1"/>
  <c r="L138" i="11"/>
  <c r="S138" i="11" s="1"/>
  <c r="O387" i="10"/>
  <c r="L336" i="11"/>
  <c r="M336" i="11" s="1"/>
  <c r="O336" i="11" s="1"/>
  <c r="K30" i="14"/>
  <c r="L30" i="14" s="1"/>
  <c r="L522" i="11"/>
  <c r="M522" i="11" s="1"/>
  <c r="O522" i="11" s="1"/>
  <c r="J190" i="12"/>
  <c r="K190" i="12" s="1"/>
  <c r="M190" i="12" s="1"/>
  <c r="L372" i="11"/>
  <c r="M372" i="11" s="1"/>
  <c r="O372" i="11" s="1"/>
  <c r="N191" i="10"/>
  <c r="J202" i="12"/>
  <c r="K202" i="12" s="1"/>
  <c r="L202" i="12" s="1"/>
  <c r="L104" i="11"/>
  <c r="M104" i="11" s="1"/>
  <c r="O104" i="11" s="1"/>
  <c r="J38" i="12"/>
  <c r="K38" i="12" s="1"/>
  <c r="M38" i="12" s="1"/>
  <c r="M162" i="5"/>
  <c r="N162" i="5" s="1"/>
  <c r="N9" i="10"/>
  <c r="L591" i="11"/>
  <c r="M591" i="11" s="1"/>
  <c r="O591" i="11" s="1"/>
  <c r="N395" i="10"/>
  <c r="J57" i="12"/>
  <c r="K57" i="12" s="1"/>
  <c r="L57" i="12" s="1"/>
  <c r="M543" i="5"/>
  <c r="L181" i="11"/>
  <c r="M181" i="11" s="1"/>
  <c r="O181" i="11" s="1"/>
  <c r="L511" i="11"/>
  <c r="M511" i="11" s="1"/>
  <c r="O511" i="11" s="1"/>
  <c r="M325" i="5"/>
  <c r="J187" i="12"/>
  <c r="K187" i="12" s="1"/>
  <c r="L187" i="12" s="1"/>
  <c r="L363" i="11"/>
  <c r="M363" i="11" s="1"/>
  <c r="N363" i="11" s="1"/>
  <c r="M483" i="5"/>
  <c r="J32" i="12"/>
  <c r="K32" i="12" s="1"/>
  <c r="L32" i="12" s="1"/>
  <c r="M157" i="5"/>
  <c r="N157" i="5" s="1"/>
  <c r="J29" i="12"/>
  <c r="K29" i="12" s="1"/>
  <c r="M29" i="12" s="1"/>
  <c r="L619" i="11"/>
  <c r="M619" i="11" s="1"/>
  <c r="O619" i="11" s="1"/>
  <c r="J239" i="12"/>
  <c r="K239" i="12" s="1"/>
  <c r="L239" i="12" s="1"/>
  <c r="O188" i="10"/>
  <c r="M219" i="5"/>
  <c r="N219" i="5" s="1"/>
  <c r="M544" i="5"/>
  <c r="M210" i="5"/>
  <c r="K48" i="14"/>
  <c r="L48" i="14" s="1"/>
  <c r="M129" i="5"/>
  <c r="M534" i="5"/>
  <c r="K17" i="14"/>
  <c r="L17" i="14" s="1"/>
  <c r="J121" i="12"/>
  <c r="K121" i="12" s="1"/>
  <c r="L121" i="12" s="1"/>
  <c r="L601" i="11"/>
  <c r="M601" i="11" s="1"/>
  <c r="O601" i="11" s="1"/>
  <c r="L360" i="11"/>
  <c r="M360" i="11" s="1"/>
  <c r="N360" i="11" s="1"/>
  <c r="N150" i="10"/>
  <c r="N492" i="10"/>
  <c r="L91" i="11"/>
  <c r="M91" i="11" s="1"/>
  <c r="N91" i="11" s="1"/>
  <c r="O391" i="10"/>
  <c r="K54" i="14"/>
  <c r="L54" i="14" s="1"/>
  <c r="N389" i="10"/>
  <c r="O377" i="10"/>
  <c r="L396" i="11"/>
  <c r="S396" i="11" s="1"/>
  <c r="J217" i="12"/>
  <c r="K217" i="12" s="1"/>
  <c r="M217" i="12" s="1"/>
  <c r="L572" i="11"/>
  <c r="M572" i="11" s="1"/>
  <c r="O572" i="11" s="1"/>
  <c r="O300" i="10"/>
  <c r="L215" i="11"/>
  <c r="M215" i="11" s="1"/>
  <c r="N215" i="11" s="1"/>
  <c r="M134" i="5"/>
  <c r="M206" i="5"/>
  <c r="J168" i="12"/>
  <c r="K168" i="12" s="1"/>
  <c r="L168" i="12" s="1"/>
  <c r="L476" i="11"/>
  <c r="M476" i="11" s="1"/>
  <c r="O476" i="11" s="1"/>
  <c r="L193" i="11"/>
  <c r="M193" i="11" s="1"/>
  <c r="N193" i="11" s="1"/>
  <c r="M397" i="5"/>
  <c r="K109" i="14"/>
  <c r="L109" i="14" s="1"/>
  <c r="K22" i="14"/>
  <c r="L22" i="14" s="1"/>
  <c r="M573" i="5"/>
  <c r="M179" i="5"/>
  <c r="O371" i="10"/>
  <c r="M670" i="5"/>
  <c r="M218" i="5"/>
  <c r="N218" i="5" s="1"/>
  <c r="N4" i="10"/>
  <c r="M32" i="5"/>
  <c r="L110" i="11"/>
  <c r="M110" i="11" s="1"/>
  <c r="O110" i="11" s="1"/>
  <c r="L192" i="11"/>
  <c r="M192" i="11" s="1"/>
  <c r="O192" i="11" s="1"/>
  <c r="O451" i="10"/>
  <c r="K81" i="14"/>
  <c r="L81" i="14" s="1"/>
  <c r="K36" i="14"/>
  <c r="L36" i="14" s="1"/>
  <c r="O258" i="10"/>
  <c r="M609" i="5"/>
  <c r="L199" i="11"/>
  <c r="M199" i="11" s="1"/>
  <c r="N199" i="11" s="1"/>
  <c r="O367" i="10"/>
  <c r="L144" i="11"/>
  <c r="M144" i="11" s="1"/>
  <c r="O144" i="11" s="1"/>
  <c r="L469" i="11"/>
  <c r="M469" i="11" s="1"/>
  <c r="N469" i="11" s="1"/>
  <c r="L477" i="11"/>
  <c r="S477" i="11" s="1"/>
  <c r="M668" i="5"/>
  <c r="L421" i="11"/>
  <c r="M421" i="11" s="1"/>
  <c r="N421" i="11" s="1"/>
  <c r="J141" i="12"/>
  <c r="K141" i="12" s="1"/>
  <c r="L141" i="12" s="1"/>
  <c r="L667" i="11"/>
  <c r="M667" i="11" s="1"/>
  <c r="N667" i="11" s="1"/>
  <c r="L325" i="11"/>
  <c r="M325" i="11" s="1"/>
  <c r="N325" i="11" s="1"/>
  <c r="M331" i="5"/>
  <c r="J131" i="12"/>
  <c r="K131" i="12" s="1"/>
  <c r="M131" i="12" s="1"/>
  <c r="L368" i="11"/>
  <c r="M368" i="11" s="1"/>
  <c r="N368" i="11" s="1"/>
  <c r="J147" i="12"/>
  <c r="K147" i="12" s="1"/>
  <c r="L147" i="12" s="1"/>
  <c r="J68" i="12"/>
  <c r="K68" i="12" s="1"/>
  <c r="M68" i="12" s="1"/>
  <c r="M591" i="5"/>
  <c r="N196" i="10"/>
  <c r="M475" i="5"/>
  <c r="O180" i="10"/>
  <c r="L618" i="11"/>
  <c r="M618" i="11" s="1"/>
  <c r="N618" i="11" s="1"/>
  <c r="M9" i="5"/>
  <c r="N9" i="5" s="1"/>
  <c r="O178" i="10"/>
  <c r="L440" i="11"/>
  <c r="M440" i="11" s="1"/>
  <c r="O440" i="11" s="1"/>
  <c r="O151" i="10"/>
  <c r="M303" i="5"/>
  <c r="M67" i="5"/>
  <c r="J244" i="12"/>
  <c r="K244" i="12" s="1"/>
  <c r="L244" i="12" s="1"/>
  <c r="O482" i="10"/>
  <c r="J53" i="12"/>
  <c r="K53" i="12" s="1"/>
  <c r="M53" i="12" s="1"/>
  <c r="O18" i="10"/>
  <c r="J106" i="12"/>
  <c r="K106" i="12" s="1"/>
  <c r="L106" i="12" s="1"/>
  <c r="O250" i="10"/>
  <c r="L139" i="11"/>
  <c r="M139" i="11" s="1"/>
  <c r="N139" i="11" s="1"/>
  <c r="M622" i="5"/>
  <c r="M155" i="5"/>
  <c r="O155" i="5" s="1"/>
  <c r="L346" i="11"/>
  <c r="M346" i="11" s="1"/>
  <c r="O346" i="11" s="1"/>
  <c r="M580" i="5"/>
  <c r="N632" i="5"/>
  <c r="M360" i="5"/>
  <c r="N324" i="10"/>
  <c r="L386" i="11"/>
  <c r="M386" i="11" s="1"/>
  <c r="N386" i="11" s="1"/>
  <c r="M169" i="5"/>
  <c r="O169" i="5" s="1"/>
  <c r="L426" i="11"/>
  <c r="M426" i="11" s="1"/>
  <c r="O426" i="11" s="1"/>
  <c r="N124" i="10"/>
  <c r="N489" i="10"/>
  <c r="L208" i="11"/>
  <c r="M208" i="11" s="1"/>
  <c r="O208" i="11" s="1"/>
  <c r="J30" i="12"/>
  <c r="K30" i="12" s="1"/>
  <c r="L30" i="12" s="1"/>
  <c r="J163" i="12"/>
  <c r="K163" i="12" s="1"/>
  <c r="M163" i="12" s="1"/>
  <c r="J86" i="12"/>
  <c r="K86" i="12" s="1"/>
  <c r="L86" i="12" s="1"/>
  <c r="L109" i="11"/>
  <c r="M109" i="11" s="1"/>
  <c r="N109" i="11" s="1"/>
  <c r="L370" i="11"/>
  <c r="M370" i="11" s="1"/>
  <c r="N370" i="11" s="1"/>
  <c r="M320" i="5"/>
  <c r="M601" i="5"/>
  <c r="L644" i="11"/>
  <c r="S644" i="11" s="1"/>
  <c r="K56" i="14"/>
  <c r="L56" i="14" s="1"/>
  <c r="M443" i="5"/>
  <c r="J206" i="12"/>
  <c r="K206" i="12" s="1"/>
  <c r="L206" i="12" s="1"/>
  <c r="M4" i="5"/>
  <c r="N4" i="5" s="1"/>
  <c r="M466" i="5"/>
  <c r="L349" i="11"/>
  <c r="M349" i="11" s="1"/>
  <c r="O349" i="11" s="1"/>
  <c r="K116" i="14"/>
  <c r="L116" i="14" s="1"/>
  <c r="L221" i="11"/>
  <c r="S221" i="11" s="1"/>
  <c r="J145" i="12"/>
  <c r="K145" i="12" s="1"/>
  <c r="L145" i="12" s="1"/>
  <c r="L549" i="11"/>
  <c r="S549" i="11" s="1"/>
  <c r="M327" i="5"/>
  <c r="L408" i="11"/>
  <c r="M408" i="11" s="1"/>
  <c r="O408" i="11" s="1"/>
  <c r="M91" i="5"/>
  <c r="O164" i="10"/>
  <c r="M470" i="5"/>
  <c r="L589" i="11"/>
  <c r="M589" i="11" s="1"/>
  <c r="O589" i="11" s="1"/>
  <c r="M6" i="5"/>
  <c r="J226" i="12"/>
  <c r="K226" i="12" s="1"/>
  <c r="M226" i="12" s="1"/>
  <c r="L286" i="11"/>
  <c r="M286" i="11" s="1"/>
  <c r="N286" i="11" s="1"/>
  <c r="J152" i="12"/>
  <c r="K152" i="12" s="1"/>
  <c r="L152" i="12" s="1"/>
  <c r="J182" i="12"/>
  <c r="K182" i="12" s="1"/>
  <c r="L182" i="12" s="1"/>
  <c r="M514" i="5"/>
  <c r="M568" i="5"/>
  <c r="L515" i="11"/>
  <c r="M515" i="11" s="1"/>
  <c r="N515" i="11" s="1"/>
  <c r="L216" i="11"/>
  <c r="S216" i="11" s="1"/>
  <c r="L594" i="11"/>
  <c r="M594" i="11" s="1"/>
  <c r="O594" i="11" s="1"/>
  <c r="M114" i="5"/>
  <c r="J189" i="12"/>
  <c r="K189" i="12" s="1"/>
  <c r="M189" i="12" s="1"/>
  <c r="K35" i="14"/>
  <c r="L35" i="14" s="1"/>
  <c r="K140" i="14"/>
  <c r="L140" i="14" s="1"/>
  <c r="N486" i="10"/>
  <c r="M386" i="5"/>
  <c r="K33" i="14"/>
  <c r="L33" i="14" s="1"/>
  <c r="M349" i="5"/>
  <c r="L443" i="11"/>
  <c r="M443" i="11" s="1"/>
  <c r="N443" i="11" s="1"/>
  <c r="N270" i="10"/>
  <c r="M142" i="5"/>
  <c r="N142" i="5" s="1"/>
  <c r="J117" i="12"/>
  <c r="K117" i="12" s="1"/>
  <c r="M117" i="12" s="1"/>
  <c r="M438" i="5"/>
  <c r="O454" i="10"/>
  <c r="M641" i="5"/>
  <c r="J129" i="12"/>
  <c r="K129" i="12" s="1"/>
  <c r="M129" i="12" s="1"/>
  <c r="M454" i="5"/>
  <c r="O204" i="10"/>
  <c r="M307" i="5"/>
  <c r="N307" i="5" s="1"/>
  <c r="M405" i="5"/>
  <c r="L78" i="11"/>
  <c r="M328" i="5"/>
  <c r="L205" i="11"/>
  <c r="J92" i="12"/>
  <c r="K92" i="12" s="1"/>
  <c r="M92" i="12" s="1"/>
  <c r="M197" i="5"/>
  <c r="L203" i="11"/>
  <c r="J90" i="12"/>
  <c r="K90" i="12" s="1"/>
  <c r="M90" i="12" s="1"/>
  <c r="L516" i="11"/>
  <c r="S516" i="11" s="1"/>
  <c r="M314" i="5"/>
  <c r="M645" i="5"/>
  <c r="L640" i="11"/>
  <c r="S640" i="11" s="1"/>
  <c r="L527" i="11"/>
  <c r="S527" i="11" s="1"/>
  <c r="N202" i="11"/>
  <c r="J143" i="12"/>
  <c r="K143" i="12" s="1"/>
  <c r="M143" i="12" s="1"/>
  <c r="M384" i="5"/>
  <c r="K107" i="14"/>
  <c r="L107" i="14" s="1"/>
  <c r="L627" i="11"/>
  <c r="S627" i="11" s="1"/>
  <c r="L414" i="11"/>
  <c r="M414" i="11" s="1"/>
  <c r="N414" i="11" s="1"/>
  <c r="L611" i="11"/>
  <c r="S611" i="11" s="1"/>
  <c r="M228" i="11"/>
  <c r="O228" i="11" s="1"/>
  <c r="S229" i="11"/>
  <c r="S166" i="11"/>
  <c r="M152" i="11"/>
  <c r="O152" i="11" s="1"/>
  <c r="M464" i="5"/>
  <c r="L345" i="11"/>
  <c r="M345" i="11" s="1"/>
  <c r="O345" i="11" s="1"/>
  <c r="M300" i="5"/>
  <c r="O300" i="5" s="1"/>
  <c r="M606" i="5"/>
  <c r="L550" i="11"/>
  <c r="S550" i="11" s="1"/>
  <c r="J246" i="12"/>
  <c r="K246" i="12" s="1"/>
  <c r="M246" i="12" s="1"/>
  <c r="J250" i="12"/>
  <c r="K250" i="12" s="1"/>
  <c r="M250" i="12" s="1"/>
  <c r="L231" i="11"/>
  <c r="S231" i="11" s="1"/>
  <c r="M607" i="5"/>
  <c r="M163" i="5"/>
  <c r="M357" i="5"/>
  <c r="M187" i="5"/>
  <c r="L213" i="11"/>
  <c r="M213" i="11" s="1"/>
  <c r="O213" i="11" s="1"/>
  <c r="K67" i="14"/>
  <c r="L67" i="14" s="1"/>
  <c r="J263" i="12"/>
  <c r="K263" i="12" s="1"/>
  <c r="M263" i="12" s="1"/>
  <c r="M599" i="5"/>
  <c r="O599" i="5" s="1"/>
  <c r="L119" i="11"/>
  <c r="M119" i="11" s="1"/>
  <c r="O119" i="11" s="1"/>
  <c r="M605" i="5"/>
  <c r="K137" i="14"/>
  <c r="L137" i="14" s="1"/>
  <c r="J60" i="12"/>
  <c r="K60" i="12" s="1"/>
  <c r="M60" i="12" s="1"/>
  <c r="K61" i="14"/>
  <c r="L61" i="14" s="1"/>
  <c r="M51" i="5"/>
  <c r="M473" i="5"/>
  <c r="K10" i="14"/>
  <c r="L10" i="14" s="1"/>
  <c r="J210" i="12"/>
  <c r="K210" i="12" s="1"/>
  <c r="M210" i="12" s="1"/>
  <c r="L392" i="11"/>
  <c r="S392" i="11" s="1"/>
  <c r="L504" i="11"/>
  <c r="M504" i="11" s="1"/>
  <c r="O504" i="11" s="1"/>
  <c r="M178" i="5"/>
  <c r="N178" i="5" s="1"/>
  <c r="L548" i="11"/>
  <c r="M548" i="11" s="1"/>
  <c r="N548" i="11" s="1"/>
  <c r="M496" i="5"/>
  <c r="M366" i="5"/>
  <c r="N366" i="5" s="1"/>
  <c r="L381" i="11"/>
  <c r="M381" i="11" s="1"/>
  <c r="O381" i="11" s="1"/>
  <c r="L612" i="11"/>
  <c r="M612" i="11" s="1"/>
  <c r="N612" i="11" s="1"/>
  <c r="L646" i="11"/>
  <c r="S646" i="11" s="1"/>
  <c r="K120" i="14"/>
  <c r="L120" i="14" s="1"/>
  <c r="M220" i="5"/>
  <c r="N220" i="5" s="1"/>
  <c r="L455" i="11"/>
  <c r="M455" i="11" s="1"/>
  <c r="O455" i="11" s="1"/>
  <c r="M293" i="5"/>
  <c r="O293" i="5" s="1"/>
  <c r="K69" i="14"/>
  <c r="L69" i="14" s="1"/>
  <c r="L126" i="11"/>
  <c r="M126" i="11" s="1"/>
  <c r="N126" i="11" s="1"/>
  <c r="M343" i="5"/>
  <c r="M168" i="5"/>
  <c r="N168" i="5" s="1"/>
  <c r="J70" i="12"/>
  <c r="K70" i="12" s="1"/>
  <c r="L70" i="12" s="1"/>
  <c r="M107" i="5"/>
  <c r="L60" i="11"/>
  <c r="M60" i="11" s="1"/>
  <c r="O60" i="11" s="1"/>
  <c r="K76" i="14"/>
  <c r="L76" i="14" s="1"/>
  <c r="J157" i="12"/>
  <c r="K157" i="12" s="1"/>
  <c r="M157" i="12" s="1"/>
  <c r="J262" i="12"/>
  <c r="K262" i="12" s="1"/>
  <c r="M262" i="12" s="1"/>
  <c r="M119" i="5"/>
  <c r="L285" i="11"/>
  <c r="M285" i="11" s="1"/>
  <c r="O285" i="11" s="1"/>
  <c r="M323" i="5"/>
  <c r="M340" i="5"/>
  <c r="K88" i="14"/>
  <c r="L88" i="14" s="1"/>
  <c r="K139" i="14"/>
  <c r="L139" i="14" s="1"/>
  <c r="J127" i="12"/>
  <c r="K127" i="12" s="1"/>
  <c r="L127" i="12" s="1"/>
  <c r="M559" i="5"/>
  <c r="J198" i="12"/>
  <c r="K198" i="12" s="1"/>
  <c r="L198" i="12" s="1"/>
  <c r="K37" i="14"/>
  <c r="L37" i="14" s="1"/>
  <c r="J183" i="12"/>
  <c r="K183" i="12" s="1"/>
  <c r="M183" i="12" s="1"/>
  <c r="L602" i="11"/>
  <c r="M602" i="11" s="1"/>
  <c r="N602" i="11" s="1"/>
  <c r="L567" i="11"/>
  <c r="M567" i="11" s="1"/>
  <c r="O567" i="11" s="1"/>
  <c r="M503" i="5"/>
  <c r="K62" i="14"/>
  <c r="L62" i="14" s="1"/>
  <c r="L351" i="11"/>
  <c r="S351" i="11" s="1"/>
  <c r="J64" i="12"/>
  <c r="K64" i="12" s="1"/>
  <c r="M64" i="12" s="1"/>
  <c r="K98" i="14"/>
  <c r="L98" i="14" s="1"/>
  <c r="M202" i="5"/>
  <c r="M643" i="5"/>
  <c r="M193" i="5"/>
  <c r="N207" i="5"/>
  <c r="L652" i="11"/>
  <c r="S652" i="11" s="1"/>
  <c r="M92" i="5"/>
  <c r="K47" i="14"/>
  <c r="L47" i="14" s="1"/>
  <c r="K32" i="14"/>
  <c r="L32" i="14" s="1"/>
  <c r="L145" i="11"/>
  <c r="M145" i="11" s="1"/>
  <c r="O145" i="11" s="1"/>
  <c r="M468" i="5"/>
  <c r="L518" i="11"/>
  <c r="M518" i="11" s="1"/>
  <c r="O518" i="11" s="1"/>
  <c r="M538" i="5"/>
  <c r="L529" i="11"/>
  <c r="S529" i="11" s="1"/>
  <c r="L462" i="11"/>
  <c r="M462" i="11" s="1"/>
  <c r="N462" i="11" s="1"/>
  <c r="L170" i="11"/>
  <c r="M170" i="11" s="1"/>
  <c r="N170" i="11" s="1"/>
  <c r="M631" i="5"/>
  <c r="N631" i="5" s="1"/>
  <c r="J185" i="12"/>
  <c r="K185" i="12" s="1"/>
  <c r="M185" i="12" s="1"/>
  <c r="M64" i="5"/>
  <c r="N64" i="5" s="1"/>
  <c r="M213" i="5"/>
  <c r="J146" i="12"/>
  <c r="K146" i="12" s="1"/>
  <c r="L146" i="12" s="1"/>
  <c r="L129" i="11"/>
  <c r="M129" i="11" s="1"/>
  <c r="N129" i="11" s="1"/>
  <c r="M332" i="5"/>
  <c r="K100" i="14"/>
  <c r="L100" i="14" s="1"/>
  <c r="J42" i="12"/>
  <c r="K42" i="12" s="1"/>
  <c r="L42" i="12" s="1"/>
  <c r="L102" i="11"/>
  <c r="M102" i="11" s="1"/>
  <c r="N102" i="11" s="1"/>
  <c r="J52" i="12"/>
  <c r="K52" i="12" s="1"/>
  <c r="M52" i="12" s="1"/>
  <c r="J119" i="12"/>
  <c r="K119" i="12" s="1"/>
  <c r="L119" i="12" s="1"/>
  <c r="J223" i="12"/>
  <c r="K223" i="12" s="1"/>
  <c r="L223" i="12" s="1"/>
  <c r="M329" i="5"/>
  <c r="L419" i="11"/>
  <c r="S419" i="11" s="1"/>
  <c r="K128" i="14"/>
  <c r="L128" i="14" s="1"/>
  <c r="M560" i="5"/>
  <c r="L46" i="11"/>
  <c r="S46" i="11" s="1"/>
  <c r="J116" i="12"/>
  <c r="K116" i="12" s="1"/>
  <c r="L116" i="12" s="1"/>
  <c r="M489" i="5"/>
  <c r="L116" i="11"/>
  <c r="M116" i="11" s="1"/>
  <c r="O116" i="11" s="1"/>
  <c r="M647" i="5"/>
  <c r="M221" i="5"/>
  <c r="O221" i="5" s="1"/>
  <c r="L167" i="11"/>
  <c r="M167" i="11" s="1"/>
  <c r="N167" i="11" s="1"/>
  <c r="J132" i="12"/>
  <c r="K132" i="12" s="1"/>
  <c r="M132" i="12" s="1"/>
  <c r="M639" i="5"/>
  <c r="K12" i="14"/>
  <c r="L12" i="14" s="1"/>
  <c r="M535" i="5"/>
  <c r="M441" i="5"/>
  <c r="M203" i="5"/>
  <c r="L188" i="11"/>
  <c r="S188" i="11" s="1"/>
  <c r="L156" i="11"/>
  <c r="S156" i="11" s="1"/>
  <c r="M537" i="5"/>
  <c r="M501" i="5"/>
  <c r="M299" i="5"/>
  <c r="J216" i="12"/>
  <c r="K216" i="12" s="1"/>
  <c r="L216" i="12" s="1"/>
  <c r="L147" i="11"/>
  <c r="S147" i="11" s="1"/>
  <c r="L535" i="11"/>
  <c r="M535" i="11" s="1"/>
  <c r="O535" i="11" s="1"/>
  <c r="L201" i="11"/>
  <c r="M201" i="11" s="1"/>
  <c r="O201" i="11" s="1"/>
  <c r="M460" i="5"/>
  <c r="M286" i="5"/>
  <c r="N286" i="5" s="1"/>
  <c r="N296" i="5"/>
  <c r="M26" i="5"/>
  <c r="M190" i="5"/>
  <c r="L510" i="11"/>
  <c r="M510" i="11" s="1"/>
  <c r="N510" i="11" s="1"/>
  <c r="M504" i="5"/>
  <c r="L154" i="11"/>
  <c r="M154" i="11" s="1"/>
  <c r="N154" i="11" s="1"/>
  <c r="M292" i="5"/>
  <c r="O292" i="5" s="1"/>
  <c r="M358" i="5"/>
  <c r="J174" i="12"/>
  <c r="K174" i="12" s="1"/>
  <c r="M174" i="12" s="1"/>
  <c r="L161" i="11"/>
  <c r="M161" i="11" s="1"/>
  <c r="N161" i="11" s="1"/>
  <c r="J73" i="12"/>
  <c r="K73" i="12" s="1"/>
  <c r="L73" i="12" s="1"/>
  <c r="M664" i="5"/>
  <c r="L364" i="11"/>
  <c r="M364" i="11" s="1"/>
  <c r="N364" i="11" s="1"/>
  <c r="M309" i="5"/>
  <c r="N309" i="5" s="1"/>
  <c r="M164" i="5"/>
  <c r="M322" i="5"/>
  <c r="L306" i="11"/>
  <c r="M306" i="11" s="1"/>
  <c r="N306" i="11" s="1"/>
  <c r="M521" i="5"/>
  <c r="M553" i="5"/>
  <c r="M587" i="5"/>
  <c r="M180" i="5"/>
  <c r="M484" i="5"/>
  <c r="L303" i="11"/>
  <c r="M303" i="11" s="1"/>
  <c r="O303" i="11" s="1"/>
  <c r="L600" i="11"/>
  <c r="M600" i="11" s="1"/>
  <c r="O600" i="11" s="1"/>
  <c r="M12" i="5"/>
  <c r="J108" i="12"/>
  <c r="K108" i="12" s="1"/>
  <c r="M108" i="12" s="1"/>
  <c r="J41" i="12"/>
  <c r="K41" i="12" s="1"/>
  <c r="M41" i="12" s="1"/>
  <c r="L554" i="11"/>
  <c r="M554" i="11" s="1"/>
  <c r="N554" i="11" s="1"/>
  <c r="K25" i="14"/>
  <c r="L25" i="14" s="1"/>
  <c r="L661" i="11"/>
  <c r="M661" i="11" s="1"/>
  <c r="N661" i="11" s="1"/>
  <c r="L631" i="11"/>
  <c r="M631" i="11" s="1"/>
  <c r="N631" i="11" s="1"/>
  <c r="M148" i="5"/>
  <c r="L590" i="11"/>
  <c r="M590" i="11" s="1"/>
  <c r="N590" i="11" s="1"/>
  <c r="J151" i="12"/>
  <c r="K151" i="12" s="1"/>
  <c r="M151" i="12" s="1"/>
  <c r="L227" i="11"/>
  <c r="S227" i="11" s="1"/>
  <c r="M83" i="5"/>
  <c r="N83" i="5" s="1"/>
  <c r="L178" i="11"/>
  <c r="S178" i="11" s="1"/>
  <c r="L540" i="11"/>
  <c r="M540" i="11" s="1"/>
  <c r="O540" i="11" s="1"/>
  <c r="K59" i="14"/>
  <c r="L59" i="14" s="1"/>
  <c r="L508" i="11"/>
  <c r="M508" i="11" s="1"/>
  <c r="N508" i="11" s="1"/>
  <c r="K9" i="14"/>
  <c r="L9" i="14" s="1"/>
  <c r="L182" i="11"/>
  <c r="M182" i="11" s="1"/>
  <c r="O182" i="11" s="1"/>
  <c r="K63" i="14"/>
  <c r="L63" i="14" s="1"/>
  <c r="L545" i="11"/>
  <c r="S545" i="11" s="1"/>
  <c r="M280" i="5"/>
  <c r="L557" i="11"/>
  <c r="S557" i="11" s="1"/>
  <c r="M154" i="5"/>
  <c r="K117" i="14"/>
  <c r="L117" i="14" s="1"/>
  <c r="L382" i="11"/>
  <c r="M382" i="11" s="1"/>
  <c r="O382" i="11" s="1"/>
  <c r="J192" i="12"/>
  <c r="K192" i="12" s="1"/>
  <c r="M192" i="12" s="1"/>
  <c r="M319" i="5"/>
  <c r="L120" i="11"/>
  <c r="S120" i="11" s="1"/>
  <c r="M315" i="5"/>
  <c r="J113" i="12"/>
  <c r="K113" i="12" s="1"/>
  <c r="M113" i="12" s="1"/>
  <c r="L160" i="11"/>
  <c r="M160" i="11" s="1"/>
  <c r="O160" i="11" s="1"/>
  <c r="K5" i="14"/>
  <c r="L5" i="14" s="1"/>
  <c r="M618" i="5"/>
  <c r="J153" i="12"/>
  <c r="K153" i="12" s="1"/>
  <c r="M153" i="12" s="1"/>
  <c r="M546" i="5"/>
  <c r="K82" i="14"/>
  <c r="L82" i="14" s="1"/>
  <c r="M289" i="5"/>
  <c r="N289" i="5" s="1"/>
  <c r="M84" i="5"/>
  <c r="N84" i="5" s="1"/>
  <c r="K18" i="14"/>
  <c r="L18" i="14" s="1"/>
  <c r="L496" i="11"/>
  <c r="M496" i="11" s="1"/>
  <c r="O496" i="11" s="1"/>
  <c r="K24" i="14"/>
  <c r="L24" i="14" s="1"/>
  <c r="M310" i="5"/>
  <c r="N310" i="5" s="1"/>
  <c r="M291" i="5"/>
  <c r="N291" i="5" s="1"/>
  <c r="L114" i="11"/>
  <c r="M114" i="11" s="1"/>
  <c r="O114" i="11" s="1"/>
  <c r="M49" i="11"/>
  <c r="N49" i="11" s="1"/>
  <c r="M525" i="5"/>
  <c r="L459" i="11"/>
  <c r="M459" i="11" s="1"/>
  <c r="N459" i="11" s="1"/>
  <c r="M478" i="5"/>
  <c r="J118" i="12"/>
  <c r="K118" i="12" s="1"/>
  <c r="M118" i="12" s="1"/>
  <c r="L315" i="11"/>
  <c r="M315" i="11" s="1"/>
  <c r="N315" i="11" s="1"/>
  <c r="M442" i="5"/>
  <c r="M156" i="5"/>
  <c r="M63" i="5"/>
  <c r="N63" i="5" s="1"/>
  <c r="L100" i="11"/>
  <c r="S100" i="11" s="1"/>
  <c r="L452" i="11"/>
  <c r="M452" i="11" s="1"/>
  <c r="O452" i="11" s="1"/>
  <c r="L539" i="11"/>
  <c r="M539" i="11" s="1"/>
  <c r="O539" i="11" s="1"/>
  <c r="J112" i="12"/>
  <c r="K112" i="12" s="1"/>
  <c r="M112" i="12" s="1"/>
  <c r="M324" i="5"/>
  <c r="L318" i="11"/>
  <c r="M318" i="11" s="1"/>
  <c r="O318" i="11" s="1"/>
  <c r="M115" i="5"/>
  <c r="M86" i="5"/>
  <c r="M370" i="5"/>
  <c r="M373" i="5"/>
  <c r="K14" i="14"/>
  <c r="L14" i="14" s="1"/>
  <c r="L428" i="11"/>
  <c r="M428" i="11" s="1"/>
  <c r="O428" i="11" s="1"/>
  <c r="L533" i="11"/>
  <c r="M533" i="11" s="1"/>
  <c r="N533" i="11" s="1"/>
  <c r="J48" i="12"/>
  <c r="K48" i="12" s="1"/>
  <c r="M48" i="12" s="1"/>
  <c r="K31" i="14"/>
  <c r="L31" i="14" s="1"/>
  <c r="J209" i="12"/>
  <c r="K209" i="12" s="1"/>
  <c r="M209" i="12" s="1"/>
  <c r="J37" i="12"/>
  <c r="K37" i="12" s="1"/>
  <c r="L37" i="12" s="1"/>
  <c r="J51" i="12"/>
  <c r="K51" i="12" s="1"/>
  <c r="M51" i="12" s="1"/>
  <c r="K80" i="14"/>
  <c r="L80" i="14" s="1"/>
  <c r="L471" i="11"/>
  <c r="M471" i="11" s="1"/>
  <c r="O471" i="11" s="1"/>
  <c r="K84" i="14"/>
  <c r="L84" i="14" s="1"/>
  <c r="M655" i="5"/>
  <c r="M326" i="5"/>
  <c r="K123" i="14"/>
  <c r="L123" i="14" s="1"/>
  <c r="K11" i="14"/>
  <c r="L11" i="14" s="1"/>
  <c r="M313" i="5"/>
  <c r="M57" i="5"/>
  <c r="O57" i="5" s="1"/>
  <c r="O45" i="10"/>
  <c r="L645" i="11"/>
  <c r="S645" i="11" s="1"/>
  <c r="N229" i="11"/>
  <c r="L89" i="12"/>
  <c r="O130" i="10"/>
  <c r="L598" i="11"/>
  <c r="S598" i="11" s="1"/>
  <c r="L26" i="11"/>
  <c r="S26" i="11" s="1"/>
  <c r="M436" i="5"/>
  <c r="M339" i="5"/>
  <c r="L71" i="11"/>
  <c r="S71" i="11" s="1"/>
  <c r="L653" i="11"/>
  <c r="M653" i="11" s="1"/>
  <c r="O653" i="11" s="1"/>
  <c r="M597" i="5"/>
  <c r="L513" i="11"/>
  <c r="S513" i="11" s="1"/>
  <c r="N166" i="11"/>
  <c r="M557" i="5"/>
  <c r="N36" i="10"/>
  <c r="O36" i="10"/>
  <c r="L610" i="11"/>
  <c r="M610" i="11" s="1"/>
  <c r="O610" i="11" s="1"/>
  <c r="M81" i="5"/>
  <c r="M667" i="5"/>
  <c r="L28" i="11"/>
  <c r="L410" i="11"/>
  <c r="S410" i="11" s="1"/>
  <c r="M425" i="5"/>
  <c r="M59" i="5"/>
  <c r="N59" i="5" s="1"/>
  <c r="L468" i="11"/>
  <c r="S468" i="11" s="1"/>
  <c r="M430" i="5"/>
  <c r="O430" i="5" s="1"/>
  <c r="M73" i="5"/>
  <c r="M516" i="5"/>
  <c r="L431" i="11"/>
  <c r="M613" i="5"/>
  <c r="M60" i="5"/>
  <c r="L636" i="11"/>
  <c r="M636" i="11" s="1"/>
  <c r="O636" i="11" s="1"/>
  <c r="L74" i="11"/>
  <c r="M74" i="11" s="1"/>
  <c r="N74" i="11" s="1"/>
  <c r="M377" i="5"/>
  <c r="M56" i="5"/>
  <c r="N56" i="5" s="1"/>
  <c r="M646" i="5"/>
  <c r="L73" i="11"/>
  <c r="M73" i="11" s="1"/>
  <c r="M400" i="5"/>
  <c r="L398" i="11"/>
  <c r="M398" i="11" s="1"/>
  <c r="L445" i="11"/>
  <c r="S445" i="11" s="1"/>
  <c r="M488" i="5"/>
  <c r="M20" i="5"/>
  <c r="L435" i="11"/>
  <c r="S435" i="11" s="1"/>
  <c r="M638" i="5"/>
  <c r="O638" i="5" s="1"/>
  <c r="L344" i="11"/>
  <c r="S344" i="11" s="1"/>
  <c r="M592" i="5"/>
  <c r="L294" i="11"/>
  <c r="S294" i="11" s="1"/>
  <c r="L495" i="11"/>
  <c r="M495" i="11" s="1"/>
  <c r="N495" i="11" s="1"/>
  <c r="L22" i="11"/>
  <c r="S22" i="11" s="1"/>
  <c r="M371" i="5"/>
  <c r="O371" i="5" s="1"/>
  <c r="M665" i="5"/>
  <c r="L571" i="11"/>
  <c r="M571" i="11" s="1"/>
  <c r="N571" i="11" s="1"/>
  <c r="M75" i="5"/>
  <c r="M361" i="5"/>
  <c r="M347" i="5"/>
  <c r="L314" i="11"/>
  <c r="S314" i="11" s="1"/>
  <c r="L635" i="11"/>
  <c r="S635" i="11" s="1"/>
  <c r="L11" i="11"/>
  <c r="S11" i="11" s="1"/>
  <c r="L665" i="11"/>
  <c r="S665" i="11" s="1"/>
  <c r="M72" i="5"/>
  <c r="N72" i="5" s="1"/>
  <c r="M498" i="5"/>
  <c r="M337" i="5"/>
  <c r="M634" i="5"/>
  <c r="M80" i="5"/>
  <c r="L394" i="11"/>
  <c r="M394" i="11" s="1"/>
  <c r="O394" i="11" s="1"/>
  <c r="L35" i="11"/>
  <c r="M35" i="11" s="1"/>
  <c r="M463" i="5"/>
  <c r="M644" i="5"/>
  <c r="M494" i="5"/>
  <c r="M493" i="5"/>
  <c r="L27" i="11"/>
  <c r="M555" i="5"/>
  <c r="M364" i="5"/>
  <c r="M355" i="5"/>
  <c r="M666" i="5"/>
  <c r="L607" i="11"/>
  <c r="S607" i="11" s="1"/>
  <c r="L528" i="11"/>
  <c r="S528" i="11" s="1"/>
  <c r="M381" i="5"/>
  <c r="L312" i="11"/>
  <c r="M312" i="11" s="1"/>
  <c r="N312" i="11" s="1"/>
  <c r="L424" i="11"/>
  <c r="M424" i="11" s="1"/>
  <c r="N424" i="11" s="1"/>
  <c r="M306" i="5"/>
  <c r="L297" i="11"/>
  <c r="M297" i="11" s="1"/>
  <c r="O297" i="11" s="1"/>
  <c r="M62" i="5"/>
  <c r="L68" i="11"/>
  <c r="M68" i="11" s="1"/>
  <c r="O68" i="11" s="1"/>
  <c r="L357" i="11"/>
  <c r="S357" i="11" s="1"/>
  <c r="M541" i="5"/>
  <c r="M351" i="5"/>
  <c r="M352" i="5"/>
  <c r="M663" i="5"/>
  <c r="L573" i="11"/>
  <c r="S573" i="11" s="1"/>
  <c r="L520" i="11"/>
  <c r="S520" i="11" s="1"/>
  <c r="M61" i="5"/>
  <c r="L628" i="11"/>
  <c r="M628" i="11" s="1"/>
  <c r="O628" i="11" s="1"/>
  <c r="L543" i="11"/>
  <c r="M543" i="11" s="1"/>
  <c r="N543" i="11" s="1"/>
  <c r="L316" i="11"/>
  <c r="M316" i="11" s="1"/>
  <c r="N316" i="11" s="1"/>
  <c r="L321" i="11"/>
  <c r="M321" i="11" s="1"/>
  <c r="N321" i="11" s="1"/>
  <c r="L313" i="11"/>
  <c r="M313" i="11" s="1"/>
  <c r="N313" i="11" s="1"/>
  <c r="M453" i="5"/>
  <c r="N453" i="5" s="1"/>
  <c r="L512" i="11"/>
  <c r="M512" i="11" s="1"/>
  <c r="O512" i="11" s="1"/>
  <c r="M409" i="5"/>
  <c r="M467" i="5"/>
  <c r="L400" i="11"/>
  <c r="M400" i="11" s="1"/>
  <c r="O400" i="11" s="1"/>
  <c r="L52" i="11"/>
  <c r="L606" i="11"/>
  <c r="M606" i="11" s="1"/>
  <c r="N606" i="11" s="1"/>
  <c r="L384" i="11"/>
  <c r="S384" i="11" s="1"/>
  <c r="M452" i="5"/>
  <c r="L643" i="11"/>
  <c r="M643" i="11" s="1"/>
  <c r="N643" i="11" s="1"/>
  <c r="L622" i="11"/>
  <c r="M622" i="11" s="1"/>
  <c r="N622" i="11" s="1"/>
  <c r="L555" i="11"/>
  <c r="S555" i="11" s="1"/>
  <c r="M383" i="5"/>
  <c r="M487" i="5"/>
  <c r="M572" i="5"/>
  <c r="M374" i="5"/>
  <c r="L451" i="11"/>
  <c r="M451" i="11" s="1"/>
  <c r="N451" i="11" s="1"/>
  <c r="M490" i="5"/>
  <c r="L45" i="11"/>
  <c r="M45" i="11" s="1"/>
  <c r="N45" i="11" s="1"/>
  <c r="L72" i="11"/>
  <c r="M72" i="11" s="1"/>
  <c r="N72" i="11" s="1"/>
  <c r="L75" i="11"/>
  <c r="S75" i="11" s="1"/>
  <c r="L70" i="11"/>
  <c r="M70" i="11" s="1"/>
  <c r="N70" i="11" s="1"/>
  <c r="L341" i="11"/>
  <c r="L59" i="11"/>
  <c r="M59" i="11" s="1"/>
  <c r="N59" i="11" s="1"/>
  <c r="N199" i="10"/>
  <c r="L76" i="11"/>
  <c r="S76" i="11" s="1"/>
  <c r="L466" i="11"/>
  <c r="M466" i="11" s="1"/>
  <c r="O466" i="11" s="1"/>
  <c r="M531" i="5"/>
  <c r="M376" i="5"/>
  <c r="J176" i="12"/>
  <c r="K176" i="12" s="1"/>
  <c r="L176" i="12" s="1"/>
  <c r="M602" i="5"/>
  <c r="L561" i="11"/>
  <c r="M561" i="11" s="1"/>
  <c r="N561" i="11" s="1"/>
  <c r="L67" i="11"/>
  <c r="S67" i="11" s="1"/>
  <c r="M58" i="5"/>
  <c r="O55" i="10"/>
  <c r="L556" i="11"/>
  <c r="S556" i="11" s="1"/>
  <c r="L342" i="11"/>
  <c r="M342" i="11" s="1"/>
  <c r="N342" i="11" s="1"/>
  <c r="O236" i="10"/>
  <c r="M368" i="5"/>
  <c r="O315" i="10"/>
  <c r="L534" i="11"/>
  <c r="S534" i="11" s="1"/>
  <c r="L319" i="11"/>
  <c r="S319" i="11" s="1"/>
  <c r="M28" i="5"/>
  <c r="M378" i="5"/>
  <c r="N378" i="5" s="1"/>
  <c r="L54" i="11"/>
  <c r="M54" i="11" s="1"/>
  <c r="N54" i="11" s="1"/>
  <c r="L491" i="11"/>
  <c r="M491" i="11" s="1"/>
  <c r="N491" i="11" s="1"/>
  <c r="L378" i="11"/>
  <c r="M378" i="11" s="1"/>
  <c r="O378" i="11" s="1"/>
  <c r="N214" i="10"/>
  <c r="L411" i="11"/>
  <c r="S411" i="11" s="1"/>
  <c r="M21" i="5"/>
  <c r="M481" i="5"/>
  <c r="M390" i="5"/>
  <c r="M65" i="5"/>
  <c r="L407" i="11"/>
  <c r="S407" i="11" s="1"/>
  <c r="L311" i="11"/>
  <c r="M311" i="11" s="1"/>
  <c r="N311" i="11" s="1"/>
  <c r="M427" i="5"/>
  <c r="L417" i="11"/>
  <c r="M417" i="11" s="1"/>
  <c r="O417" i="11" s="1"/>
  <c r="N344" i="10"/>
  <c r="L583" i="11"/>
  <c r="M583" i="11" s="1"/>
  <c r="O583" i="11" s="1"/>
  <c r="L289" i="11"/>
  <c r="M289" i="11" s="1"/>
  <c r="N289" i="11" s="1"/>
  <c r="K73" i="14"/>
  <c r="L73" i="14" s="1"/>
  <c r="M93" i="5"/>
  <c r="K108" i="14"/>
  <c r="L108" i="14" s="1"/>
  <c r="M17" i="5"/>
  <c r="M85" i="5"/>
  <c r="M486" i="5"/>
  <c r="L7" i="11"/>
  <c r="M7" i="11" s="1"/>
  <c r="N7" i="11" s="1"/>
  <c r="L507" i="11"/>
  <c r="S507" i="11" s="1"/>
  <c r="N497" i="10"/>
  <c r="M205" i="5"/>
  <c r="O175" i="10"/>
  <c r="J171" i="12"/>
  <c r="K171" i="12" s="1"/>
  <c r="M171" i="12" s="1"/>
  <c r="O158" i="10"/>
  <c r="L582" i="11"/>
  <c r="M582" i="11" s="1"/>
  <c r="O582" i="11" s="1"/>
  <c r="M356" i="5"/>
  <c r="J49" i="12"/>
  <c r="K49" i="12" s="1"/>
  <c r="L49" i="12" s="1"/>
  <c r="M346" i="5"/>
  <c r="L162" i="11"/>
  <c r="S162" i="11" s="1"/>
  <c r="L53" i="11"/>
  <c r="S53" i="11" s="1"/>
  <c r="N257" i="10"/>
  <c r="M123" i="5"/>
  <c r="K42" i="14"/>
  <c r="L42" i="14" s="1"/>
  <c r="L5" i="11"/>
  <c r="M5" i="11" s="1"/>
  <c r="O5" i="11" s="1"/>
  <c r="J12" i="12"/>
  <c r="K12" i="12" s="1"/>
  <c r="L12" i="12" s="1"/>
  <c r="L4" i="11"/>
  <c r="M4" i="11" s="1"/>
  <c r="N4" i="11" s="1"/>
  <c r="L413" i="11"/>
  <c r="M413" i="11" s="1"/>
  <c r="N413" i="11" s="1"/>
  <c r="M54" i="5"/>
  <c r="J207" i="12"/>
  <c r="K207" i="12" s="1"/>
  <c r="M207" i="12" s="1"/>
  <c r="L482" i="11"/>
  <c r="S482" i="11" s="1"/>
  <c r="L177" i="11"/>
  <c r="M177" i="11" s="1"/>
  <c r="N177" i="11" s="1"/>
  <c r="N418" i="10"/>
  <c r="L383" i="11"/>
  <c r="M383" i="11" s="1"/>
  <c r="N383" i="11" s="1"/>
  <c r="L287" i="11"/>
  <c r="S287" i="11" s="1"/>
  <c r="N461" i="10"/>
  <c r="M570" i="5"/>
  <c r="L429" i="11"/>
  <c r="M429" i="11" s="1"/>
  <c r="O429" i="11" s="1"/>
  <c r="O306" i="10"/>
  <c r="K114" i="13"/>
  <c r="L114" i="13" s="1"/>
  <c r="O508" i="10"/>
  <c r="J74" i="12"/>
  <c r="K74" i="12" s="1"/>
  <c r="L74" i="12" s="1"/>
  <c r="M176" i="5"/>
  <c r="O176" i="5" s="1"/>
  <c r="M105" i="5"/>
  <c r="M336" i="5"/>
  <c r="M658" i="5"/>
  <c r="L187" i="11"/>
  <c r="M187" i="11" s="1"/>
  <c r="O187" i="11" s="1"/>
  <c r="O179" i="10"/>
  <c r="L111" i="11"/>
  <c r="M111" i="11" s="1"/>
  <c r="N111" i="11" s="1"/>
  <c r="J72" i="12"/>
  <c r="K72" i="12" s="1"/>
  <c r="M72" i="12" s="1"/>
  <c r="J135" i="12"/>
  <c r="K135" i="12" s="1"/>
  <c r="M135" i="12" s="1"/>
  <c r="L185" i="11"/>
  <c r="M185" i="11" s="1"/>
  <c r="N185" i="11" s="1"/>
  <c r="M431" i="5"/>
  <c r="J71" i="12"/>
  <c r="K71" i="12" s="1"/>
  <c r="L71" i="12" s="1"/>
  <c r="L190" i="11"/>
  <c r="M190" i="11" s="1"/>
  <c r="N190" i="11" s="1"/>
  <c r="L463" i="11"/>
  <c r="M463" i="11" s="1"/>
  <c r="N463" i="11" s="1"/>
  <c r="J213" i="12"/>
  <c r="K213" i="12" s="1"/>
  <c r="M213" i="12" s="1"/>
  <c r="L525" i="11"/>
  <c r="M525" i="11" s="1"/>
  <c r="N525" i="11" s="1"/>
  <c r="N182" i="10"/>
  <c r="L617" i="11"/>
  <c r="S617" i="11" s="1"/>
  <c r="L21" i="11"/>
  <c r="M21" i="11" s="1"/>
  <c r="N21" i="11" s="1"/>
  <c r="M469" i="5"/>
  <c r="J212" i="12"/>
  <c r="K212" i="12" s="1"/>
  <c r="L212" i="12" s="1"/>
  <c r="J158" i="12"/>
  <c r="K158" i="12" s="1"/>
  <c r="L158" i="12" s="1"/>
  <c r="O336" i="10"/>
  <c r="L442" i="11"/>
  <c r="M442" i="11" s="1"/>
  <c r="N442" i="11" s="1"/>
  <c r="M350" i="5"/>
  <c r="L595" i="11"/>
  <c r="S595" i="11" s="1"/>
  <c r="M79" i="5"/>
  <c r="J87" i="12"/>
  <c r="K87" i="12" s="1"/>
  <c r="M87" i="12" s="1"/>
  <c r="L200" i="11"/>
  <c r="S200" i="11" s="1"/>
  <c r="L292" i="11"/>
  <c r="M292" i="11" s="1"/>
  <c r="O292" i="11" s="1"/>
  <c r="N496" i="10"/>
  <c r="J4" i="12"/>
  <c r="K4" i="12" s="1"/>
  <c r="M4" i="12" s="1"/>
  <c r="L655" i="11"/>
  <c r="S655" i="11" s="1"/>
  <c r="M616" i="5"/>
  <c r="L651" i="11"/>
  <c r="S651" i="11" s="1"/>
  <c r="M127" i="5"/>
  <c r="L57" i="11"/>
  <c r="M57" i="11" s="1"/>
  <c r="O57" i="11" s="1"/>
  <c r="J156" i="12"/>
  <c r="K156" i="12" s="1"/>
  <c r="M156" i="12" s="1"/>
  <c r="K46" i="14"/>
  <c r="L46" i="14" s="1"/>
  <c r="M474" i="5"/>
  <c r="J258" i="12"/>
  <c r="K258" i="12" s="1"/>
  <c r="M258" i="12" s="1"/>
  <c r="M222" i="5"/>
  <c r="N222" i="5" s="1"/>
  <c r="M492" i="5"/>
  <c r="L94" i="11"/>
  <c r="M94" i="11" s="1"/>
  <c r="N94" i="11" s="1"/>
  <c r="M90" i="5"/>
  <c r="O90" i="5" s="1"/>
  <c r="J155" i="12"/>
  <c r="K155" i="12" s="1"/>
  <c r="M155" i="12" s="1"/>
  <c r="M465" i="5"/>
  <c r="L433" i="11"/>
  <c r="S433" i="11" s="1"/>
  <c r="K20" i="14"/>
  <c r="L20" i="14" s="1"/>
  <c r="J148" i="12"/>
  <c r="K148" i="12" s="1"/>
  <c r="L148" i="12" s="1"/>
  <c r="M281" i="5"/>
  <c r="N253" i="10"/>
  <c r="J88" i="12"/>
  <c r="K88" i="12" s="1"/>
  <c r="L88" i="12" s="1"/>
  <c r="L85" i="11"/>
  <c r="M85" i="11" s="1"/>
  <c r="O85" i="11" s="1"/>
  <c r="M194" i="5"/>
  <c r="J10" i="12"/>
  <c r="K10" i="12" s="1"/>
  <c r="M10" i="12" s="1"/>
  <c r="L478" i="11"/>
  <c r="S478" i="11" s="1"/>
  <c r="M118" i="5"/>
  <c r="O413" i="10"/>
  <c r="L172" i="11"/>
  <c r="M172" i="11" s="1"/>
  <c r="N172" i="11" s="1"/>
  <c r="L339" i="11"/>
  <c r="S339" i="11" s="1"/>
  <c r="J136" i="12"/>
  <c r="K136" i="12" s="1"/>
  <c r="L136" i="12" s="1"/>
  <c r="L458" i="11"/>
  <c r="S458" i="11" s="1"/>
  <c r="M305" i="5"/>
  <c r="N305" i="5" s="1"/>
  <c r="K134" i="14"/>
  <c r="L134" i="14" s="1"/>
  <c r="O271" i="10"/>
  <c r="K111" i="14"/>
  <c r="L111" i="14" s="1"/>
  <c r="O474" i="10"/>
  <c r="J154" i="12"/>
  <c r="K154" i="12" s="1"/>
  <c r="M154" i="12" s="1"/>
  <c r="M636" i="5"/>
  <c r="L558" i="11"/>
  <c r="M558" i="11" s="1"/>
  <c r="O558" i="11" s="1"/>
  <c r="O468" i="10"/>
  <c r="N383" i="10"/>
  <c r="L547" i="11"/>
  <c r="M547" i="11" s="1"/>
  <c r="O547" i="11" s="1"/>
  <c r="M578" i="5"/>
  <c r="J230" i="12"/>
  <c r="K230" i="12" s="1"/>
  <c r="M230" i="12" s="1"/>
  <c r="L196" i="11"/>
  <c r="M196" i="11" s="1"/>
  <c r="N196" i="11" s="1"/>
  <c r="O513" i="10"/>
  <c r="L444" i="11"/>
  <c r="M444" i="11" s="1"/>
  <c r="N444" i="11" s="1"/>
  <c r="M388" i="5"/>
  <c r="J83" i="12"/>
  <c r="K83" i="12" s="1"/>
  <c r="M83" i="12" s="1"/>
  <c r="N53" i="10"/>
  <c r="M648" i="5"/>
  <c r="N437" i="10"/>
  <c r="N156" i="10"/>
  <c r="O427" i="10"/>
  <c r="L136" i="11"/>
  <c r="M136" i="11" s="1"/>
  <c r="O136" i="11" s="1"/>
  <c r="K28" i="14"/>
  <c r="L28" i="14" s="1"/>
  <c r="M571" i="5"/>
  <c r="M110" i="5"/>
  <c r="N425" i="10"/>
  <c r="M76" i="5"/>
  <c r="N373" i="10"/>
  <c r="L175" i="11"/>
  <c r="M175" i="11" s="1"/>
  <c r="N175" i="11" s="1"/>
  <c r="M140" i="5"/>
  <c r="L366" i="11"/>
  <c r="S366" i="11" s="1"/>
  <c r="L566" i="11"/>
  <c r="M566" i="11" s="1"/>
  <c r="N566" i="11" s="1"/>
  <c r="L385" i="11"/>
  <c r="M385" i="11" s="1"/>
  <c r="O385" i="11" s="1"/>
  <c r="L634" i="11"/>
  <c r="M634" i="11" s="1"/>
  <c r="O634" i="11" s="1"/>
  <c r="K72" i="14"/>
  <c r="L72" i="14" s="1"/>
  <c r="L308" i="11"/>
  <c r="M308" i="11" s="1"/>
  <c r="O308" i="11" s="1"/>
  <c r="J248" i="12"/>
  <c r="K248" i="12" s="1"/>
  <c r="M248" i="12" s="1"/>
  <c r="O495" i="10"/>
  <c r="M619" i="5"/>
  <c r="M330" i="5"/>
  <c r="M610" i="5"/>
  <c r="J137" i="12"/>
  <c r="K137" i="12" s="1"/>
  <c r="L137" i="12" s="1"/>
  <c r="J62" i="12"/>
  <c r="K62" i="12" s="1"/>
  <c r="M62" i="12" s="1"/>
  <c r="L10" i="11"/>
  <c r="S10" i="11" s="1"/>
  <c r="K101" i="14"/>
  <c r="L101" i="14" s="1"/>
  <c r="O337" i="10"/>
  <c r="N264" i="10"/>
  <c r="O477" i="10"/>
  <c r="M7" i="5"/>
  <c r="M660" i="5"/>
  <c r="O660" i="5" s="1"/>
  <c r="K144" i="14"/>
  <c r="L144" i="14" s="1"/>
  <c r="L638" i="11"/>
  <c r="S638" i="11" s="1"/>
  <c r="J28" i="12"/>
  <c r="K28" i="12" s="1"/>
  <c r="M28" i="12" s="1"/>
  <c r="M344" i="5"/>
  <c r="L148" i="11"/>
  <c r="M148" i="11" s="1"/>
  <c r="O148" i="11" s="1"/>
  <c r="M445" i="5"/>
  <c r="J199" i="12"/>
  <c r="K199" i="12" s="1"/>
  <c r="L199" i="12" s="1"/>
  <c r="J105" i="12"/>
  <c r="K105" i="12" s="1"/>
  <c r="L105" i="12" s="1"/>
  <c r="M392" i="5"/>
  <c r="L449" i="11"/>
  <c r="M449" i="11" s="1"/>
  <c r="N449" i="11" s="1"/>
  <c r="M47" i="5"/>
  <c r="K55" i="14"/>
  <c r="L55" i="14" s="1"/>
  <c r="S149" i="11"/>
  <c r="J255" i="12"/>
  <c r="K255" i="12" s="1"/>
  <c r="L255" i="12" s="1"/>
  <c r="L605" i="11"/>
  <c r="M605" i="11" s="1"/>
  <c r="O605" i="11" s="1"/>
  <c r="J164" i="12"/>
  <c r="K164" i="12" s="1"/>
  <c r="M164" i="12" s="1"/>
  <c r="J254" i="12"/>
  <c r="K254" i="12" s="1"/>
  <c r="M254" i="12" s="1"/>
  <c r="L472" i="11"/>
  <c r="M472" i="11" s="1"/>
  <c r="O472" i="11" s="1"/>
  <c r="J197" i="12"/>
  <c r="K197" i="12" s="1"/>
  <c r="M197" i="12" s="1"/>
  <c r="M628" i="5"/>
  <c r="L376" i="11"/>
  <c r="M376" i="11" s="1"/>
  <c r="O376" i="11" s="1"/>
  <c r="J196" i="12"/>
  <c r="K196" i="12" s="1"/>
  <c r="M196" i="12" s="1"/>
  <c r="N110" i="10"/>
  <c r="M471" i="5"/>
  <c r="J188" i="12"/>
  <c r="K188" i="12" s="1"/>
  <c r="L188" i="12" s="1"/>
  <c r="L537" i="11"/>
  <c r="M537" i="11" s="1"/>
  <c r="N537" i="11" s="1"/>
  <c r="J111" i="12"/>
  <c r="K111" i="12" s="1"/>
  <c r="L111" i="12" s="1"/>
  <c r="L210" i="11"/>
  <c r="M210" i="11" s="1"/>
  <c r="N210" i="11" s="1"/>
  <c r="M650" i="5"/>
  <c r="M99" i="5"/>
  <c r="N494" i="10"/>
  <c r="M160" i="5"/>
  <c r="N307" i="10"/>
  <c r="M437" i="5"/>
  <c r="O412" i="10"/>
  <c r="O424" i="10"/>
  <c r="M35" i="5"/>
  <c r="L488" i="11"/>
  <c r="M488" i="11" s="1"/>
  <c r="N488" i="11" s="1"/>
  <c r="L155" i="11"/>
  <c r="M155" i="11" s="1"/>
  <c r="O155" i="11" s="1"/>
  <c r="O455" i="10"/>
  <c r="L340" i="11"/>
  <c r="M340" i="11" s="1"/>
  <c r="O340" i="11" s="1"/>
  <c r="M379" i="5"/>
  <c r="K89" i="14"/>
  <c r="L89" i="14" s="1"/>
  <c r="K130" i="14"/>
  <c r="L130" i="14" s="1"/>
  <c r="L173" i="11"/>
  <c r="M173" i="11" s="1"/>
  <c r="N173" i="11" s="1"/>
  <c r="M175" i="5"/>
  <c r="N175" i="5" s="1"/>
  <c r="M596" i="5"/>
  <c r="K38" i="14"/>
  <c r="L38" i="14" s="1"/>
  <c r="J203" i="12"/>
  <c r="K203" i="12" s="1"/>
  <c r="M203" i="12" s="1"/>
  <c r="L112" i="11"/>
  <c r="S112" i="11" s="1"/>
  <c r="L538" i="11"/>
  <c r="S538" i="11" s="1"/>
  <c r="L18" i="11"/>
  <c r="M18" i="11" s="1"/>
  <c r="N18" i="11" s="1"/>
  <c r="M629" i="5"/>
  <c r="J259" i="12"/>
  <c r="K259" i="12" s="1"/>
  <c r="L259" i="12" s="1"/>
  <c r="M611" i="5"/>
  <c r="L650" i="11"/>
  <c r="M650" i="11" s="1"/>
  <c r="N650" i="11" s="1"/>
  <c r="M545" i="5"/>
  <c r="N409" i="10"/>
  <c r="J257" i="12"/>
  <c r="K257" i="12" s="1"/>
  <c r="L257" i="12" s="1"/>
  <c r="L43" i="11"/>
  <c r="M43" i="11" s="1"/>
  <c r="N43" i="11" s="1"/>
  <c r="M548" i="5"/>
  <c r="M109" i="5"/>
  <c r="L55" i="11"/>
  <c r="S55" i="11" s="1"/>
  <c r="N397" i="10"/>
  <c r="K26" i="14"/>
  <c r="L26" i="14" s="1"/>
  <c r="L536" i="11"/>
  <c r="S536" i="11" s="1"/>
  <c r="K103" i="14"/>
  <c r="L103" i="14" s="1"/>
  <c r="J45" i="12"/>
  <c r="K45" i="12" s="1"/>
  <c r="L45" i="12" s="1"/>
  <c r="K131" i="14"/>
  <c r="L131" i="14" s="1"/>
  <c r="L158" i="11"/>
  <c r="M158" i="11" s="1"/>
  <c r="N158" i="11" s="1"/>
  <c r="O246" i="10"/>
  <c r="L356" i="11"/>
  <c r="M356" i="11" s="1"/>
  <c r="N356" i="11" s="1"/>
  <c r="O280" i="10"/>
  <c r="M96" i="5"/>
  <c r="L108" i="11"/>
  <c r="M108" i="11" s="1"/>
  <c r="N108" i="11" s="1"/>
  <c r="M30" i="5"/>
  <c r="L159" i="11"/>
  <c r="S159" i="11" s="1"/>
  <c r="L150" i="11"/>
  <c r="M150" i="11" s="1"/>
  <c r="O150" i="11" s="1"/>
  <c r="L562" i="11"/>
  <c r="S562" i="11" s="1"/>
  <c r="M518" i="5"/>
  <c r="N16" i="10"/>
  <c r="M539" i="5"/>
  <c r="J46" i="12"/>
  <c r="K46" i="12" s="1"/>
  <c r="L46" i="12" s="1"/>
  <c r="K138" i="14"/>
  <c r="L138" i="14" s="1"/>
  <c r="J36" i="12"/>
  <c r="K36" i="12" s="1"/>
  <c r="L36" i="12" s="1"/>
  <c r="M135" i="5"/>
  <c r="J225" i="12"/>
  <c r="K225" i="12" s="1"/>
  <c r="L225" i="12" s="1"/>
  <c r="J208" i="12"/>
  <c r="K208" i="12" s="1"/>
  <c r="M208" i="12" s="1"/>
  <c r="O447" i="10"/>
  <c r="O10" i="10"/>
  <c r="L390" i="11"/>
  <c r="S390" i="11" s="1"/>
  <c r="M617" i="5"/>
  <c r="M426" i="5"/>
  <c r="L338" i="11"/>
  <c r="M338" i="11" s="1"/>
  <c r="N338" i="11" s="1"/>
  <c r="M33" i="5"/>
  <c r="J170" i="12"/>
  <c r="K170" i="12" s="1"/>
  <c r="M170" i="12" s="1"/>
  <c r="M435" i="5"/>
  <c r="L352" i="11"/>
  <c r="M352" i="11" s="1"/>
  <c r="N352" i="11" s="1"/>
  <c r="L630" i="11"/>
  <c r="M630" i="11" s="1"/>
  <c r="N630" i="11" s="1"/>
  <c r="O267" i="10"/>
  <c r="K85" i="14"/>
  <c r="L85" i="14" s="1"/>
  <c r="M511" i="5"/>
  <c r="L467" i="11"/>
  <c r="M467" i="11" s="1"/>
  <c r="N467" i="11" s="1"/>
  <c r="L106" i="11"/>
  <c r="M106" i="11" s="1"/>
  <c r="O106" i="11" s="1"/>
  <c r="M282" i="5"/>
  <c r="M359" i="5"/>
  <c r="J142" i="12"/>
  <c r="K142" i="12" s="1"/>
  <c r="L142" i="12" s="1"/>
  <c r="L412" i="11"/>
  <c r="M412" i="11" s="1"/>
  <c r="O412" i="11" s="1"/>
  <c r="J233" i="12"/>
  <c r="K233" i="12" s="1"/>
  <c r="L233" i="12" s="1"/>
  <c r="K78" i="14"/>
  <c r="L78" i="14" s="1"/>
  <c r="L531" i="11"/>
  <c r="S531" i="11" s="1"/>
  <c r="N111" i="10"/>
  <c r="O107" i="10"/>
  <c r="N6" i="10"/>
  <c r="L579" i="11"/>
  <c r="S579" i="11" s="1"/>
  <c r="M82" i="5"/>
  <c r="O82" i="5" s="1"/>
  <c r="L479" i="11"/>
  <c r="M479" i="11" s="1"/>
  <c r="N479" i="11" s="1"/>
  <c r="M556" i="5"/>
  <c r="J47" i="12"/>
  <c r="K47" i="12" s="1"/>
  <c r="M47" i="12" s="1"/>
  <c r="J178" i="12"/>
  <c r="K178" i="12" s="1"/>
  <c r="M178" i="12" s="1"/>
  <c r="S96" i="11"/>
  <c r="J125" i="12"/>
  <c r="K125" i="12" s="1"/>
  <c r="L125" i="12" s="1"/>
  <c r="M626" i="5"/>
  <c r="L317" i="11"/>
  <c r="S317" i="11" s="1"/>
  <c r="M363" i="5"/>
  <c r="O251" i="10"/>
  <c r="L632" i="11"/>
  <c r="S632" i="11" s="1"/>
  <c r="M396" i="5"/>
  <c r="L464" i="11"/>
  <c r="M464" i="11" s="1"/>
  <c r="O464" i="11" s="1"/>
  <c r="L499" i="11"/>
  <c r="M499" i="11" s="1"/>
  <c r="O499" i="11" s="1"/>
  <c r="J120" i="12"/>
  <c r="K120" i="12" s="1"/>
  <c r="L120" i="12" s="1"/>
  <c r="L577" i="11"/>
  <c r="S577" i="11" s="1"/>
  <c r="M582" i="5"/>
  <c r="L666" i="11"/>
  <c r="S666" i="11" s="1"/>
  <c r="O442" i="10"/>
  <c r="N354" i="10"/>
  <c r="N308" i="10"/>
  <c r="N505" i="10"/>
  <c r="O465" i="10"/>
  <c r="N493" i="10"/>
  <c r="L326" i="11"/>
  <c r="S326" i="11" s="1"/>
  <c r="J240" i="12"/>
  <c r="K240" i="12" s="1"/>
  <c r="L240" i="12" s="1"/>
  <c r="J219" i="12"/>
  <c r="K219" i="12" s="1"/>
  <c r="L219" i="12" s="1"/>
  <c r="M417" i="5"/>
  <c r="L79" i="11"/>
  <c r="M79" i="11" s="1"/>
  <c r="N79" i="11" s="1"/>
  <c r="J235" i="12"/>
  <c r="K235" i="12" s="1"/>
  <c r="M235" i="12" s="1"/>
  <c r="L620" i="11"/>
  <c r="M620" i="11" s="1"/>
  <c r="O620" i="11" s="1"/>
  <c r="M40" i="5"/>
  <c r="M139" i="5"/>
  <c r="M479" i="5"/>
  <c r="L657" i="11"/>
  <c r="S657" i="11" s="1"/>
  <c r="L329" i="11"/>
  <c r="M329" i="11" s="1"/>
  <c r="O329" i="11" s="1"/>
  <c r="L586" i="11"/>
  <c r="S586" i="11" s="1"/>
  <c r="K34" i="14"/>
  <c r="L34" i="14" s="1"/>
  <c r="J159" i="12"/>
  <c r="K159" i="12" s="1"/>
  <c r="L159" i="12" s="1"/>
  <c r="L137" i="11"/>
  <c r="S137" i="11" s="1"/>
  <c r="L457" i="11"/>
  <c r="M457" i="11" s="1"/>
  <c r="N457" i="11" s="1"/>
  <c r="M433" i="5"/>
  <c r="J228" i="12"/>
  <c r="K228" i="12" s="1"/>
  <c r="M228" i="12" s="1"/>
  <c r="L663" i="11"/>
  <c r="M663" i="11" s="1"/>
  <c r="N663" i="11" s="1"/>
  <c r="L179" i="11"/>
  <c r="M179" i="11" s="1"/>
  <c r="O179" i="11" s="1"/>
  <c r="N244" i="10"/>
  <c r="L135" i="11"/>
  <c r="M135" i="11" s="1"/>
  <c r="O135" i="11" s="1"/>
  <c r="J33" i="12"/>
  <c r="K33" i="12" s="1"/>
  <c r="M33" i="12" s="1"/>
  <c r="L191" i="11"/>
  <c r="S191" i="11" s="1"/>
  <c r="M342" i="5"/>
  <c r="M354" i="5"/>
  <c r="M152" i="5"/>
  <c r="O152" i="5" s="1"/>
  <c r="L578" i="11"/>
  <c r="M578" i="11" s="1"/>
  <c r="N578" i="11" s="1"/>
  <c r="M562" i="5"/>
  <c r="J31" i="12"/>
  <c r="K31" i="12" s="1"/>
  <c r="M31" i="12" s="1"/>
  <c r="O260" i="5"/>
  <c r="L209" i="11"/>
  <c r="M209" i="11" s="1"/>
  <c r="N209" i="11" s="1"/>
  <c r="L131" i="11"/>
  <c r="M131" i="11" s="1"/>
  <c r="N131" i="11" s="1"/>
  <c r="J220" i="12"/>
  <c r="K220" i="12" s="1"/>
  <c r="L220" i="12" s="1"/>
  <c r="M588" i="5"/>
  <c r="N516" i="10"/>
  <c r="M423" i="5"/>
  <c r="L174" i="11"/>
  <c r="S174" i="11" s="1"/>
  <c r="L48" i="11"/>
  <c r="M48" i="11" s="1"/>
  <c r="N48" i="11" s="1"/>
  <c r="L362" i="11"/>
  <c r="M362" i="11" s="1"/>
  <c r="O362" i="11" s="1"/>
  <c r="K94" i="14"/>
  <c r="L94" i="14" s="1"/>
  <c r="N198" i="10"/>
  <c r="J128" i="12"/>
  <c r="K128" i="12" s="1"/>
  <c r="L128" i="12" s="1"/>
  <c r="J61" i="12"/>
  <c r="K61" i="12" s="1"/>
  <c r="L61" i="12" s="1"/>
  <c r="M407" i="5"/>
  <c r="L310" i="11"/>
  <c r="M310" i="11" s="1"/>
  <c r="N310" i="11" s="1"/>
  <c r="M14" i="5"/>
  <c r="M577" i="5"/>
  <c r="L593" i="11"/>
  <c r="S593" i="11" s="1"/>
  <c r="L592" i="11"/>
  <c r="M592" i="11" s="1"/>
  <c r="O592" i="11" s="1"/>
  <c r="L460" i="11"/>
  <c r="S460" i="11" s="1"/>
  <c r="L642" i="11"/>
  <c r="M642" i="11" s="1"/>
  <c r="O642" i="11" s="1"/>
  <c r="M170" i="5"/>
  <c r="N170" i="5" s="1"/>
  <c r="J56" i="12"/>
  <c r="K56" i="12" s="1"/>
  <c r="L56" i="12" s="1"/>
  <c r="M653" i="5"/>
  <c r="O653" i="5" s="1"/>
  <c r="N157" i="10"/>
  <c r="N414" i="10"/>
  <c r="M515" i="5"/>
  <c r="M100" i="5"/>
  <c r="K96" i="14"/>
  <c r="L96" i="14" s="1"/>
  <c r="J34" i="12"/>
  <c r="K34" i="12" s="1"/>
  <c r="M34" i="12" s="1"/>
  <c r="M158" i="5"/>
  <c r="L153" i="11"/>
  <c r="J138" i="12"/>
  <c r="K138" i="12" s="1"/>
  <c r="L138" i="12" s="1"/>
  <c r="J59" i="12"/>
  <c r="K59" i="12" s="1"/>
  <c r="M59" i="12" s="1"/>
  <c r="J75" i="12"/>
  <c r="K75" i="12" s="1"/>
  <c r="M75" i="12" s="1"/>
  <c r="L388" i="11"/>
  <c r="S388" i="11" s="1"/>
  <c r="L307" i="11"/>
  <c r="M307" i="11" s="1"/>
  <c r="N307" i="11" s="1"/>
  <c r="L399" i="11"/>
  <c r="M399" i="11" s="1"/>
  <c r="N399" i="11" s="1"/>
  <c r="L441" i="11"/>
  <c r="S441" i="11" s="1"/>
  <c r="M576" i="5"/>
  <c r="L88" i="11"/>
  <c r="M88" i="11" s="1"/>
  <c r="N88" i="11" s="1"/>
  <c r="L371" i="11"/>
  <c r="M371" i="11" s="1"/>
  <c r="N371" i="11" s="1"/>
  <c r="L268" i="11"/>
  <c r="M268" i="11" s="1"/>
  <c r="O268" i="11" s="1"/>
  <c r="K57" i="14"/>
  <c r="L57" i="14" s="1"/>
  <c r="M182" i="5"/>
  <c r="O182" i="5" s="1"/>
  <c r="M297" i="5"/>
  <c r="N115" i="10"/>
  <c r="M196" i="5"/>
  <c r="O297" i="10"/>
  <c r="O222" i="10"/>
  <c r="J229" i="12"/>
  <c r="K229" i="12" s="1"/>
  <c r="M229" i="12" s="1"/>
  <c r="M505" i="5"/>
  <c r="L330" i="11"/>
  <c r="M330" i="11" s="1"/>
  <c r="N330" i="11" s="1"/>
  <c r="M5" i="5"/>
  <c r="L418" i="11"/>
  <c r="M418" i="11" s="1"/>
  <c r="N418" i="11" s="1"/>
  <c r="J252" i="12"/>
  <c r="K252" i="12" s="1"/>
  <c r="L252" i="12" s="1"/>
  <c r="N295" i="10"/>
  <c r="L337" i="11"/>
  <c r="M337" i="11" s="1"/>
  <c r="O337" i="11" s="1"/>
  <c r="O288" i="5"/>
  <c r="O408" i="10"/>
  <c r="O478" i="10"/>
  <c r="N118" i="10"/>
  <c r="O404" i="10"/>
  <c r="N71" i="10"/>
  <c r="S157" i="11"/>
  <c r="M37" i="5"/>
  <c r="L83" i="11"/>
  <c r="S83" i="11" s="1"/>
  <c r="L519" i="11"/>
  <c r="M519" i="11" s="1"/>
  <c r="O519" i="11" s="1"/>
  <c r="O247" i="10"/>
  <c r="O467" i="10"/>
  <c r="J39" i="12"/>
  <c r="K39" i="12" s="1"/>
  <c r="M39" i="12" s="1"/>
  <c r="K40" i="14"/>
  <c r="L40" i="14" s="1"/>
  <c r="N96" i="11"/>
  <c r="N452" i="10"/>
  <c r="M8" i="5"/>
  <c r="N8" i="5" s="1"/>
  <c r="L47" i="11"/>
  <c r="S47" i="11" s="1"/>
  <c r="L253" i="12"/>
  <c r="M612" i="5"/>
  <c r="N612" i="5" s="1"/>
  <c r="L487" i="11"/>
  <c r="S487" i="11" s="1"/>
  <c r="M29" i="5"/>
  <c r="M394" i="5"/>
  <c r="M290" i="5"/>
  <c r="O290" i="5" s="1"/>
  <c r="M41" i="5"/>
  <c r="O38" i="10"/>
  <c r="K8" i="14"/>
  <c r="L8" i="14" s="1"/>
  <c r="L389" i="11"/>
  <c r="M389" i="11" s="1"/>
  <c r="N389" i="11" s="1"/>
  <c r="N241" i="10"/>
  <c r="N242" i="10"/>
  <c r="O342" i="10"/>
  <c r="M304" i="5"/>
  <c r="O304" i="5" s="1"/>
  <c r="O330" i="10"/>
  <c r="L80" i="11"/>
  <c r="S80" i="11" s="1"/>
  <c r="L82" i="11"/>
  <c r="M82" i="11" s="1"/>
  <c r="O82" i="11" s="1"/>
  <c r="M165" i="5"/>
  <c r="N165" i="5" s="1"/>
  <c r="N374" i="10"/>
  <c r="L305" i="11"/>
  <c r="M305" i="11" s="1"/>
  <c r="O305" i="11" s="1"/>
  <c r="J205" i="12"/>
  <c r="K205" i="12" s="1"/>
  <c r="L205" i="12" s="1"/>
  <c r="K6" i="14"/>
  <c r="L6" i="14" s="1"/>
  <c r="M506" i="5"/>
  <c r="N216" i="10"/>
  <c r="N362" i="10"/>
  <c r="N515" i="10"/>
  <c r="N169" i="10"/>
  <c r="N131" i="10"/>
  <c r="N125" i="10"/>
  <c r="N205" i="10"/>
  <c r="N457" i="10"/>
  <c r="N152" i="10"/>
  <c r="O177" i="10"/>
  <c r="N76" i="10"/>
  <c r="O108" i="10"/>
  <c r="O456" i="10"/>
  <c r="M569" i="5"/>
  <c r="L212" i="11"/>
  <c r="M212" i="11" s="1"/>
  <c r="O212" i="11" s="1"/>
  <c r="L331" i="11"/>
  <c r="S331" i="11" s="1"/>
  <c r="M367" i="5"/>
  <c r="K121" i="14"/>
  <c r="L121" i="14" s="1"/>
  <c r="N353" i="10"/>
  <c r="M398" i="5"/>
  <c r="L481" i="11"/>
  <c r="S481" i="11" s="1"/>
  <c r="L559" i="11"/>
  <c r="M559" i="11" s="1"/>
  <c r="O559" i="11" s="1"/>
  <c r="O155" i="10"/>
  <c r="M198" i="5"/>
  <c r="S542" i="11"/>
  <c r="L51" i="11"/>
  <c r="S51" i="11" s="1"/>
  <c r="L99" i="11"/>
  <c r="S99" i="11" s="1"/>
  <c r="M192" i="5"/>
  <c r="N192" i="5" s="1"/>
  <c r="K77" i="14"/>
  <c r="L77" i="14" s="1"/>
  <c r="J69" i="12"/>
  <c r="K69" i="12" s="1"/>
  <c r="L69" i="12" s="1"/>
  <c r="M457" i="5"/>
  <c r="O193" i="10"/>
  <c r="K90" i="14"/>
  <c r="L90" i="14" s="1"/>
  <c r="M108" i="5"/>
  <c r="O108" i="5" s="1"/>
  <c r="M669" i="5"/>
  <c r="J54" i="12"/>
  <c r="K54" i="12" s="1"/>
  <c r="M54" i="12" s="1"/>
  <c r="J175" i="12"/>
  <c r="K175" i="12" s="1"/>
  <c r="M175" i="12" s="1"/>
  <c r="N91" i="10"/>
  <c r="M508" i="5"/>
  <c r="N44" i="10"/>
  <c r="M66" i="5"/>
  <c r="O66" i="5" s="1"/>
  <c r="M302" i="5"/>
  <c r="N302" i="5" s="1"/>
  <c r="J200" i="12"/>
  <c r="K200" i="12" s="1"/>
  <c r="M200" i="12" s="1"/>
  <c r="O88" i="10"/>
  <c r="M345" i="5"/>
  <c r="L490" i="11"/>
  <c r="M490" i="11" s="1"/>
  <c r="N490" i="11" s="1"/>
  <c r="J181" i="12"/>
  <c r="K181" i="12" s="1"/>
  <c r="M181" i="12" s="1"/>
  <c r="M140" i="12"/>
  <c r="L140" i="12"/>
  <c r="L489" i="11"/>
  <c r="M489" i="11" s="1"/>
  <c r="O489" i="11" s="1"/>
  <c r="N92" i="10"/>
  <c r="L296" i="11"/>
  <c r="S296" i="11" s="1"/>
  <c r="K19" i="14"/>
  <c r="L19" i="14" s="1"/>
  <c r="K148" i="14"/>
  <c r="L148" i="14" s="1"/>
  <c r="M181" i="5"/>
  <c r="N181" i="5" s="1"/>
  <c r="M317" i="5"/>
  <c r="M549" i="5"/>
  <c r="L373" i="11"/>
  <c r="M373" i="11" s="1"/>
  <c r="N373" i="11" s="1"/>
  <c r="L570" i="11"/>
  <c r="S570" i="11" s="1"/>
  <c r="O127" i="10"/>
  <c r="L151" i="11"/>
  <c r="M151" i="11" s="1"/>
  <c r="O151" i="11" s="1"/>
  <c r="N446" i="10"/>
  <c r="M191" i="5"/>
  <c r="N229" i="10"/>
  <c r="L454" i="11"/>
  <c r="S454" i="11" s="1"/>
  <c r="N213" i="10"/>
  <c r="O380" i="10"/>
  <c r="M526" i="5"/>
  <c r="O526" i="5" s="1"/>
  <c r="K7" i="14"/>
  <c r="L7" i="14" s="1"/>
  <c r="L6" i="11"/>
  <c r="M6" i="11" s="1"/>
  <c r="O6" i="11" s="1"/>
  <c r="L86" i="11"/>
  <c r="M86" i="11" s="1"/>
  <c r="N86" i="11" s="1"/>
  <c r="M440" i="5"/>
  <c r="J50" i="12"/>
  <c r="K50" i="12" s="1"/>
  <c r="M49" i="5"/>
  <c r="O261" i="10"/>
  <c r="N149" i="10"/>
  <c r="M121" i="5"/>
  <c r="N237" i="10"/>
  <c r="L664" i="11"/>
  <c r="M664" i="11" s="1"/>
  <c r="N664" i="11" s="1"/>
  <c r="O227" i="10"/>
  <c r="L401" i="11"/>
  <c r="M401" i="11" s="1"/>
  <c r="O401" i="11" s="1"/>
  <c r="M633" i="5"/>
  <c r="O633" i="5" s="1"/>
  <c r="O242" i="11"/>
  <c r="M659" i="5"/>
  <c r="J237" i="12"/>
  <c r="K237" i="12" s="1"/>
  <c r="J134" i="12"/>
  <c r="K134" i="12" s="1"/>
  <c r="M649" i="5"/>
  <c r="N33" i="10"/>
  <c r="N74" i="10"/>
  <c r="O207" i="10"/>
  <c r="O90" i="10"/>
  <c r="O464" i="10"/>
  <c r="N357" i="10"/>
  <c r="O514" i="10"/>
  <c r="M55" i="5"/>
  <c r="O55" i="5" s="1"/>
  <c r="L81" i="11"/>
  <c r="M81" i="11" s="1"/>
  <c r="N81" i="11" s="1"/>
  <c r="K146" i="14"/>
  <c r="L146" i="14" s="1"/>
  <c r="O399" i="10"/>
  <c r="M159" i="5"/>
  <c r="N159" i="5" s="1"/>
  <c r="L222" i="11"/>
  <c r="M89" i="5"/>
  <c r="O106" i="10"/>
  <c r="K79" i="14"/>
  <c r="L79" i="14" s="1"/>
  <c r="J184" i="12"/>
  <c r="K184" i="12" s="1"/>
  <c r="M161" i="5"/>
  <c r="O181" i="10"/>
  <c r="M94" i="5"/>
  <c r="L121" i="11"/>
  <c r="M121" i="11" s="1"/>
  <c r="O121" i="11" s="1"/>
  <c r="J43" i="12"/>
  <c r="K43" i="12" s="1"/>
  <c r="N215" i="10"/>
  <c r="M385" i="5"/>
  <c r="N385" i="5" s="1"/>
  <c r="L309" i="11"/>
  <c r="S309" i="11" s="1"/>
  <c r="M301" i="5"/>
  <c r="O301" i="5" s="1"/>
  <c r="O202" i="10"/>
  <c r="J40" i="12"/>
  <c r="K40" i="12" s="1"/>
  <c r="N186" i="10"/>
  <c r="J109" i="12"/>
  <c r="K109" i="12" s="1"/>
  <c r="L223" i="11"/>
  <c r="O138" i="10"/>
  <c r="O83" i="10"/>
  <c r="M128" i="5"/>
  <c r="J35" i="12"/>
  <c r="K35" i="12" s="1"/>
  <c r="L658" i="11"/>
  <c r="M658" i="11" s="1"/>
  <c r="O658" i="11" s="1"/>
  <c r="L288" i="11"/>
  <c r="M288" i="11" s="1"/>
  <c r="O288" i="11" s="1"/>
  <c r="L23" i="11"/>
  <c r="S23" i="11" s="1"/>
  <c r="O84" i="10"/>
  <c r="J66" i="12"/>
  <c r="K66" i="12" s="1"/>
  <c r="O323" i="10"/>
  <c r="N203" i="10"/>
  <c r="O203" i="10"/>
  <c r="M287" i="5"/>
  <c r="L217" i="11"/>
  <c r="J25" i="12"/>
  <c r="K25" i="12" s="1"/>
  <c r="L146" i="11"/>
  <c r="M146" i="11" s="1"/>
  <c r="N146" i="11" s="1"/>
  <c r="J96" i="12"/>
  <c r="K96" i="12" s="1"/>
  <c r="L269" i="11"/>
  <c r="M269" i="11" s="1"/>
  <c r="N269" i="11" s="1"/>
  <c r="M528" i="5"/>
  <c r="L218" i="11"/>
  <c r="M208" i="5"/>
  <c r="L581" i="11"/>
  <c r="M581" i="11" s="1"/>
  <c r="O581" i="11" s="1"/>
  <c r="J222" i="12"/>
  <c r="K222" i="12" s="1"/>
  <c r="M391" i="5"/>
  <c r="M132" i="5"/>
  <c r="O132" i="5" s="1"/>
  <c r="O174" i="10"/>
  <c r="L375" i="11"/>
  <c r="L615" i="11"/>
  <c r="S615" i="11" s="1"/>
  <c r="L565" i="11"/>
  <c r="M432" i="5"/>
  <c r="L164" i="11"/>
  <c r="M164" i="11" s="1"/>
  <c r="N164" i="11" s="1"/>
  <c r="M167" i="5"/>
  <c r="K23" i="14"/>
  <c r="L23" i="14" s="1"/>
  <c r="M294" i="5"/>
  <c r="L97" i="11"/>
  <c r="M97" i="11" s="1"/>
  <c r="O97" i="11" s="1"/>
  <c r="L180" i="11"/>
  <c r="M180" i="11" s="1"/>
  <c r="J67" i="12"/>
  <c r="K67" i="12" s="1"/>
  <c r="M341" i="5"/>
  <c r="O209" i="10"/>
  <c r="N51" i="10"/>
  <c r="M46" i="5"/>
  <c r="N46" i="5" s="1"/>
  <c r="M623" i="5"/>
  <c r="L189" i="11"/>
  <c r="M189" i="11" s="1"/>
  <c r="O189" i="11" s="1"/>
  <c r="K135" i="14"/>
  <c r="L135" i="14" s="1"/>
  <c r="M462" i="5"/>
  <c r="L560" i="11"/>
  <c r="O238" i="10"/>
  <c r="L614" i="11"/>
  <c r="M614" i="11" s="1"/>
  <c r="N614" i="11" s="1"/>
  <c r="L230" i="11"/>
  <c r="M230" i="11" s="1"/>
  <c r="N230" i="11" s="1"/>
  <c r="M173" i="5"/>
  <c r="N173" i="5" s="1"/>
  <c r="J162" i="12"/>
  <c r="K162" i="12" s="1"/>
  <c r="M334" i="5"/>
  <c r="L563" i="11"/>
  <c r="L169" i="11"/>
  <c r="M126" i="5"/>
  <c r="K45" i="14"/>
  <c r="L45" i="14" s="1"/>
  <c r="M420" i="5"/>
  <c r="J150" i="12"/>
  <c r="K150" i="12" s="1"/>
  <c r="K122" i="14"/>
  <c r="L122" i="14" s="1"/>
  <c r="M485" i="5"/>
  <c r="L484" i="11"/>
  <c r="L219" i="11"/>
  <c r="M209" i="5"/>
  <c r="M421" i="5"/>
  <c r="L298" i="11"/>
  <c r="O339" i="10"/>
  <c r="N339" i="10"/>
  <c r="L456" i="11"/>
  <c r="M45" i="5"/>
  <c r="K119" i="14"/>
  <c r="L119" i="14" s="1"/>
  <c r="N288" i="10"/>
  <c r="L509" i="11"/>
  <c r="M509" i="11" s="1"/>
  <c r="O509" i="11" s="1"/>
  <c r="J13" i="12"/>
  <c r="K13" i="12" s="1"/>
  <c r="K104" i="14"/>
  <c r="L104" i="14" s="1"/>
  <c r="M353" i="5"/>
  <c r="N332" i="10"/>
  <c r="L470" i="11"/>
  <c r="L98" i="11"/>
  <c r="L324" i="11"/>
  <c r="M324" i="11" s="1"/>
  <c r="O324" i="11" s="1"/>
  <c r="K50" i="14"/>
  <c r="L50" i="14" s="1"/>
  <c r="L124" i="11"/>
  <c r="M130" i="5"/>
  <c r="L165" i="11"/>
  <c r="J44" i="12"/>
  <c r="K44" i="12" s="1"/>
  <c r="M513" i="5"/>
  <c r="L546" i="11"/>
  <c r="L92" i="11"/>
  <c r="M106" i="5"/>
  <c r="M177" i="5"/>
  <c r="J160" i="12"/>
  <c r="K160" i="12" s="1"/>
  <c r="J195" i="12"/>
  <c r="K195" i="12" s="1"/>
  <c r="K21" i="14"/>
  <c r="L21" i="14" s="1"/>
  <c r="K52" i="14"/>
  <c r="L52" i="14" s="1"/>
  <c r="M87" i="5"/>
  <c r="M153" i="5"/>
  <c r="M604" i="5"/>
  <c r="L3" i="11"/>
  <c r="M550" i="5"/>
  <c r="M418" i="5"/>
  <c r="N418" i="5" s="1"/>
  <c r="L453" i="11"/>
  <c r="M453" i="11" s="1"/>
  <c r="O453" i="11" s="1"/>
  <c r="L93" i="11"/>
  <c r="M93" i="11" s="1"/>
  <c r="N93" i="11" s="1"/>
  <c r="L439" i="11"/>
  <c r="M439" i="11" s="1"/>
  <c r="N439" i="11" s="1"/>
  <c r="N218" i="10"/>
  <c r="L432" i="11"/>
  <c r="M432" i="11" s="1"/>
  <c r="O432" i="11" s="1"/>
  <c r="L8" i="11"/>
  <c r="S8" i="11" s="1"/>
  <c r="L300" i="11"/>
  <c r="M300" i="11" s="1"/>
  <c r="O300" i="11" s="1"/>
  <c r="L105" i="11"/>
  <c r="M105" i="11" s="1"/>
  <c r="N105" i="11" s="1"/>
  <c r="M113" i="5"/>
  <c r="L427" i="11"/>
  <c r="M284" i="5"/>
  <c r="L143" i="11"/>
  <c r="M166" i="5"/>
  <c r="L163" i="11"/>
  <c r="M163" i="11" s="1"/>
  <c r="J186" i="12"/>
  <c r="K186" i="12" s="1"/>
  <c r="M375" i="5"/>
  <c r="M217" i="5"/>
  <c r="N217" i="5" s="1"/>
  <c r="O440" i="10"/>
  <c r="K114" i="14"/>
  <c r="L114" i="14" s="1"/>
  <c r="L95" i="11"/>
  <c r="M95" i="11" s="1"/>
  <c r="N95" i="11" s="1"/>
  <c r="K68" i="14"/>
  <c r="L68" i="14" s="1"/>
  <c r="M472" i="5"/>
  <c r="L84" i="11"/>
  <c r="S84" i="11" s="1"/>
  <c r="L133" i="11"/>
  <c r="S133" i="11" s="1"/>
  <c r="M172" i="5"/>
  <c r="O172" i="5" s="1"/>
  <c r="L56" i="11"/>
  <c r="L361" i="11"/>
  <c r="L184" i="11"/>
  <c r="M184" i="11" s="1"/>
  <c r="O184" i="11" s="1"/>
  <c r="M77" i="5"/>
  <c r="L58" i="11"/>
  <c r="M58" i="11" s="1"/>
  <c r="O58" i="11" s="1"/>
  <c r="M137" i="5"/>
  <c r="K99" i="14"/>
  <c r="L99" i="14" s="1"/>
  <c r="L551" i="11"/>
  <c r="M532" i="5"/>
  <c r="K132" i="14"/>
  <c r="L132" i="14" s="1"/>
  <c r="M311" i="5"/>
  <c r="L123" i="11"/>
  <c r="M123" i="11" s="1"/>
  <c r="O123" i="11" s="1"/>
  <c r="K49" i="14"/>
  <c r="L49" i="14" s="1"/>
  <c r="N524" i="10"/>
  <c r="O524" i="10"/>
  <c r="O256" i="11"/>
  <c r="O194" i="10"/>
  <c r="N320" i="10"/>
  <c r="O241" i="11"/>
  <c r="O234" i="11"/>
  <c r="O334" i="10"/>
  <c r="O59" i="10"/>
  <c r="O93" i="10"/>
  <c r="O217" i="10"/>
  <c r="N375" i="10"/>
  <c r="N221" i="10"/>
  <c r="N223" i="10"/>
  <c r="N69" i="10"/>
  <c r="O136" i="10"/>
  <c r="N72" i="10"/>
  <c r="O40" i="10"/>
  <c r="O65" i="10"/>
  <c r="N359" i="10"/>
  <c r="O43" i="10"/>
  <c r="O121" i="10"/>
  <c r="N62" i="10"/>
  <c r="O102" i="10"/>
  <c r="O35" i="10"/>
  <c r="N54" i="10"/>
  <c r="N507" i="10"/>
  <c r="O148" i="10"/>
  <c r="N23" i="10"/>
  <c r="N80" i="10"/>
  <c r="O206" i="10"/>
  <c r="N143" i="10"/>
  <c r="O128" i="10"/>
  <c r="O518" i="10"/>
  <c r="O347" i="10"/>
  <c r="N347" i="10"/>
  <c r="O133" i="10"/>
  <c r="N133" i="10"/>
  <c r="O305" i="10"/>
  <c r="N305" i="10"/>
  <c r="O352" i="10"/>
  <c r="N352" i="10"/>
  <c r="O225" i="11"/>
  <c r="O254" i="10"/>
  <c r="N256" i="10"/>
  <c r="N211" i="10"/>
  <c r="O211" i="10"/>
  <c r="N526" i="10"/>
  <c r="O526" i="10"/>
  <c r="K4" i="14"/>
  <c r="L4" i="14" s="1"/>
  <c r="O49" i="10"/>
  <c r="M586" i="5"/>
  <c r="N245" i="10"/>
  <c r="O245" i="10"/>
  <c r="N419" i="10"/>
  <c r="O419" i="10"/>
  <c r="M36" i="5"/>
  <c r="L369" i="11"/>
  <c r="L480" i="11"/>
  <c r="M413" i="5"/>
  <c r="L333" i="11"/>
  <c r="M406" i="5"/>
  <c r="L422" i="11"/>
  <c r="L523" i="11"/>
  <c r="M585" i="5"/>
  <c r="J191" i="12"/>
  <c r="K191" i="12" s="1"/>
  <c r="M640" i="5"/>
  <c r="L660" i="11"/>
  <c r="J261" i="12"/>
  <c r="K261" i="12" s="1"/>
  <c r="N392" i="10"/>
  <c r="O392" i="10"/>
  <c r="L63" i="11"/>
  <c r="M482" i="5"/>
  <c r="O25" i="10"/>
  <c r="N25" i="10"/>
  <c r="L62" i="11"/>
  <c r="M69" i="5"/>
  <c r="L197" i="11"/>
  <c r="M189" i="5"/>
  <c r="J84" i="12"/>
  <c r="K84" i="12" s="1"/>
  <c r="O163" i="10"/>
  <c r="N163" i="10"/>
  <c r="L498" i="11"/>
  <c r="M558" i="5"/>
  <c r="J179" i="12"/>
  <c r="K179" i="12" s="1"/>
  <c r="L380" i="11"/>
  <c r="M25" i="5"/>
  <c r="O24" i="10"/>
  <c r="N24" i="10"/>
  <c r="M70" i="5"/>
  <c r="L64" i="11"/>
  <c r="M583" i="5"/>
  <c r="L448" i="11"/>
  <c r="N522" i="10"/>
  <c r="O522" i="10"/>
  <c r="L168" i="11"/>
  <c r="M168" i="11" s="1"/>
  <c r="J55" i="12"/>
  <c r="K55" i="12" s="1"/>
  <c r="M171" i="5"/>
  <c r="M48" i="5"/>
  <c r="L505" i="11"/>
  <c r="O521" i="10"/>
  <c r="N521" i="10"/>
  <c r="O42" i="10"/>
  <c r="N42" i="10"/>
  <c r="M372" i="5"/>
  <c r="L355" i="11"/>
  <c r="J8" i="12"/>
  <c r="K8" i="12" s="1"/>
  <c r="M416" i="5"/>
  <c r="L16" i="11"/>
  <c r="N239" i="10"/>
  <c r="O239" i="10"/>
  <c r="O200" i="10"/>
  <c r="N200" i="10"/>
  <c r="M621" i="5"/>
  <c r="K145" i="14"/>
  <c r="L145" i="14" s="1"/>
  <c r="L647" i="11"/>
  <c r="M647" i="11" s="1"/>
  <c r="N647" i="11" s="1"/>
  <c r="M42" i="5"/>
  <c r="L483" i="11"/>
  <c r="M483" i="11" s="1"/>
  <c r="J172" i="12"/>
  <c r="K172" i="12" s="1"/>
  <c r="L50" i="11"/>
  <c r="M52" i="5"/>
  <c r="L290" i="11"/>
  <c r="K70" i="14"/>
  <c r="L70" i="14" s="1"/>
  <c r="M448" i="5"/>
  <c r="M147" i="5"/>
  <c r="L430" i="11"/>
  <c r="J149" i="12"/>
  <c r="K149" i="12" s="1"/>
  <c r="M382" i="5"/>
  <c r="J22" i="12"/>
  <c r="K22" i="12" s="1"/>
  <c r="L40" i="11"/>
  <c r="M40" i="11" s="1"/>
  <c r="N40" i="11" s="1"/>
  <c r="M412" i="5"/>
  <c r="L42" i="11"/>
  <c r="J23" i="12"/>
  <c r="K23" i="12" s="1"/>
  <c r="N386" i="10"/>
  <c r="O386" i="10"/>
  <c r="L624" i="11"/>
  <c r="J242" i="12"/>
  <c r="K242" i="12" s="1"/>
  <c r="M335" i="5"/>
  <c r="N483" i="10"/>
  <c r="O483" i="10"/>
  <c r="N390" i="10"/>
  <c r="O390" i="10"/>
  <c r="L501" i="11"/>
  <c r="K125" i="14"/>
  <c r="L125" i="14" s="1"/>
  <c r="M561" i="5"/>
  <c r="L359" i="11"/>
  <c r="M53" i="5"/>
  <c r="L493" i="11"/>
  <c r="M455" i="5"/>
  <c r="O355" i="10"/>
  <c r="N355" i="10"/>
  <c r="M547" i="5"/>
  <c r="L544" i="11"/>
  <c r="K44" i="14"/>
  <c r="L44" i="14" s="1"/>
  <c r="L118" i="11"/>
  <c r="M125" i="5"/>
  <c r="N385" i="10"/>
  <c r="O385" i="10"/>
  <c r="N509" i="10"/>
  <c r="O509" i="10"/>
  <c r="L659" i="11"/>
  <c r="K147" i="14"/>
  <c r="L147" i="14" s="1"/>
  <c r="M642" i="5"/>
  <c r="N220" i="10"/>
  <c r="O220" i="10"/>
  <c r="L36" i="11"/>
  <c r="J20" i="12"/>
  <c r="K20" i="12" s="1"/>
  <c r="M144" i="5"/>
  <c r="O104" i="10"/>
  <c r="O248" i="10"/>
  <c r="N325" i="10"/>
  <c r="O325" i="10"/>
  <c r="L295" i="11"/>
  <c r="M295" i="11" s="1"/>
  <c r="O295" i="11" s="1"/>
  <c r="M512" i="5"/>
  <c r="J107" i="12"/>
  <c r="K107" i="12" s="1"/>
  <c r="M19" i="5"/>
  <c r="J231" i="12"/>
  <c r="K231" i="12" s="1"/>
  <c r="L603" i="11"/>
  <c r="M510" i="5"/>
  <c r="L517" i="11"/>
  <c r="L140" i="11"/>
  <c r="M140" i="11" s="1"/>
  <c r="J24" i="12"/>
  <c r="K24" i="12" s="1"/>
  <c r="M540" i="5"/>
  <c r="O17" i="10"/>
  <c r="N17" i="10"/>
  <c r="L354" i="11"/>
  <c r="M338" i="5"/>
  <c r="K91" i="14"/>
  <c r="L91" i="14" s="1"/>
  <c r="N458" i="10"/>
  <c r="O458" i="10"/>
  <c r="J85" i="12"/>
  <c r="K85" i="12" s="1"/>
  <c r="L198" i="11"/>
  <c r="M198" i="11" s="1"/>
  <c r="O198" i="11" s="1"/>
  <c r="M624" i="5"/>
  <c r="J194" i="12"/>
  <c r="K194" i="12" s="1"/>
  <c r="M476" i="5"/>
  <c r="L532" i="11"/>
  <c r="M532" i="11" s="1"/>
  <c r="N532" i="11" s="1"/>
  <c r="M22" i="5"/>
  <c r="L65" i="11"/>
  <c r="O60" i="10"/>
  <c r="N60" i="10"/>
  <c r="O153" i="10"/>
  <c r="N153" i="10"/>
  <c r="M318" i="5"/>
  <c r="L608" i="11"/>
  <c r="M16" i="5"/>
  <c r="L397" i="11"/>
  <c r="M446" i="5"/>
  <c r="J114" i="12"/>
  <c r="K114" i="12" s="1"/>
  <c r="L320" i="11"/>
  <c r="N312" i="10"/>
  <c r="O312" i="10"/>
  <c r="N149" i="11"/>
  <c r="O422" i="10"/>
  <c r="N422" i="10"/>
  <c r="N469" i="10"/>
  <c r="O469" i="10"/>
  <c r="M98" i="5"/>
  <c r="L365" i="11"/>
  <c r="M365" i="11" s="1"/>
  <c r="N365" i="11" s="1"/>
  <c r="K95" i="14"/>
  <c r="L95" i="14" s="1"/>
  <c r="J124" i="12"/>
  <c r="K124" i="12" s="1"/>
  <c r="M146" i="5"/>
  <c r="L350" i="11"/>
  <c r="M350" i="11" s="1"/>
  <c r="N350" i="11" s="1"/>
  <c r="N438" i="10"/>
  <c r="O438" i="10"/>
  <c r="O453" i="10"/>
  <c r="N453" i="10"/>
  <c r="L575" i="11"/>
  <c r="J218" i="12"/>
  <c r="K218" i="12" s="1"/>
  <c r="M566" i="5"/>
  <c r="L616" i="11"/>
  <c r="M348" i="5"/>
  <c r="J238" i="12"/>
  <c r="K238" i="12" s="1"/>
  <c r="N39" i="10"/>
  <c r="O39" i="10"/>
  <c r="M380" i="5"/>
  <c r="L20" i="11"/>
  <c r="K3" i="14"/>
  <c r="L3" i="14" s="1"/>
  <c r="L226" i="11"/>
  <c r="M216" i="5"/>
  <c r="L37" i="11"/>
  <c r="S37" i="11" s="1"/>
  <c r="O298" i="10"/>
  <c r="M74" i="5"/>
  <c r="L69" i="11"/>
  <c r="K141" i="14"/>
  <c r="L141" i="14" s="1"/>
  <c r="L597" i="11"/>
  <c r="M567" i="5"/>
  <c r="M614" i="5"/>
  <c r="L514" i="11"/>
  <c r="N235" i="10"/>
  <c r="O235" i="10"/>
  <c r="J65" i="12"/>
  <c r="K65" i="12" s="1"/>
  <c r="M298" i="5"/>
  <c r="L183" i="11"/>
  <c r="M594" i="5"/>
  <c r="L621" i="11"/>
  <c r="O348" i="10"/>
  <c r="N348" i="10"/>
  <c r="L587" i="11"/>
  <c r="M593" i="5"/>
  <c r="L38" i="11"/>
  <c r="M551" i="5"/>
  <c r="J21" i="12"/>
  <c r="K21" i="12" s="1"/>
  <c r="N249" i="10"/>
  <c r="N252" i="10"/>
  <c r="O523" i="10"/>
  <c r="N523" i="10"/>
  <c r="O388" i="10"/>
  <c r="N388" i="10"/>
  <c r="J241" i="12"/>
  <c r="K241" i="12" s="1"/>
  <c r="L623" i="11"/>
  <c r="M519" i="5"/>
  <c r="L348" i="11"/>
  <c r="M24" i="5"/>
  <c r="O525" i="10"/>
  <c r="N525" i="10"/>
  <c r="L580" i="11"/>
  <c r="M502" i="5"/>
  <c r="J221" i="12"/>
  <c r="K221" i="12" s="1"/>
  <c r="N370" i="10"/>
  <c r="L584" i="11"/>
  <c r="M579" i="5"/>
  <c r="L211" i="11"/>
  <c r="M204" i="5"/>
  <c r="L524" i="11"/>
  <c r="M530" i="5"/>
  <c r="N396" i="10"/>
  <c r="O396" i="10"/>
  <c r="O431" i="10"/>
  <c r="N431" i="10"/>
  <c r="N487" i="10"/>
  <c r="O487" i="10"/>
  <c r="O26" i="10"/>
  <c r="N26" i="10"/>
  <c r="M533" i="5"/>
  <c r="J260" i="12"/>
  <c r="K260" i="12" s="1"/>
  <c r="L654" i="11"/>
  <c r="M654" i="11" s="1"/>
  <c r="O654" i="11" s="1"/>
  <c r="O85" i="10"/>
  <c r="N85" i="10"/>
  <c r="M188" i="5"/>
  <c r="L415" i="11"/>
  <c r="J144" i="12"/>
  <c r="K144" i="12" s="1"/>
  <c r="L299" i="11"/>
  <c r="M458" i="5"/>
  <c r="K105" i="14"/>
  <c r="L105" i="14" s="1"/>
  <c r="L406" i="11"/>
  <c r="M395" i="5"/>
  <c r="J193" i="12"/>
  <c r="K193" i="12" s="1"/>
  <c r="L526" i="11"/>
  <c r="M365" i="5"/>
  <c r="J251" i="12"/>
  <c r="K251" i="12" s="1"/>
  <c r="M393" i="5"/>
  <c r="L639" i="11"/>
  <c r="M639" i="11" s="1"/>
  <c r="N485" i="10"/>
  <c r="O485" i="10"/>
  <c r="M387" i="5"/>
  <c r="L403" i="11"/>
  <c r="M635" i="5"/>
  <c r="J81" i="12"/>
  <c r="K81" i="12" s="1"/>
  <c r="L194" i="11"/>
  <c r="M124" i="5"/>
  <c r="L117" i="11"/>
  <c r="K43" i="14"/>
  <c r="L43" i="14" s="1"/>
  <c r="K39" i="14"/>
  <c r="L39" i="14" s="1"/>
  <c r="L113" i="11"/>
  <c r="M120" i="5"/>
  <c r="O470" i="10"/>
  <c r="N470" i="10"/>
  <c r="O184" i="10"/>
  <c r="N184" i="10"/>
  <c r="N289" i="10"/>
  <c r="O289" i="10"/>
  <c r="J249" i="12"/>
  <c r="K249" i="12" s="1"/>
  <c r="M637" i="5"/>
  <c r="L637" i="11"/>
  <c r="O417" i="10"/>
  <c r="N417" i="10"/>
  <c r="N47" i="10"/>
  <c r="O47" i="10"/>
  <c r="N338" i="10"/>
  <c r="O338" i="10"/>
  <c r="M149" i="5"/>
  <c r="J26" i="12"/>
  <c r="K26" i="12" s="1"/>
  <c r="L141" i="11"/>
  <c r="O479" i="10"/>
  <c r="N479" i="10"/>
  <c r="L648" i="11"/>
  <c r="J256" i="12"/>
  <c r="K256" i="12" s="1"/>
  <c r="M620" i="5"/>
  <c r="M321" i="5"/>
  <c r="J167" i="12"/>
  <c r="K167" i="12" s="1"/>
  <c r="L475" i="11"/>
  <c r="M136" i="5"/>
  <c r="L132" i="11"/>
  <c r="K58" i="14"/>
  <c r="L58" i="14" s="1"/>
  <c r="M429" i="5"/>
  <c r="L404" i="11"/>
  <c r="L576" i="11"/>
  <c r="M563" i="5"/>
  <c r="K136" i="14"/>
  <c r="L136" i="14" s="1"/>
  <c r="M68" i="5"/>
  <c r="L61" i="11"/>
  <c r="L530" i="11"/>
  <c r="M401" i="5"/>
  <c r="M103" i="5"/>
  <c r="L90" i="11"/>
  <c r="K16" i="14"/>
  <c r="L16" i="14" s="1"/>
  <c r="J166" i="12"/>
  <c r="K166" i="12" s="1"/>
  <c r="L474" i="11"/>
  <c r="M497" i="5"/>
  <c r="N471" i="10"/>
  <c r="O471" i="10"/>
  <c r="O394" i="10"/>
  <c r="N394" i="10"/>
  <c r="L473" i="11"/>
  <c r="J165" i="12"/>
  <c r="K165" i="12" s="1"/>
  <c r="M630" i="5"/>
  <c r="O12" i="10"/>
  <c r="N12" i="10"/>
  <c r="N511" i="10"/>
  <c r="O511" i="10"/>
  <c r="N503" i="10"/>
  <c r="O503" i="10"/>
  <c r="N185" i="10"/>
  <c r="O185" i="10"/>
  <c r="O166" i="10"/>
  <c r="N166" i="10"/>
  <c r="N313" i="10"/>
  <c r="O313" i="10"/>
  <c r="L434" i="11"/>
  <c r="M595" i="5"/>
  <c r="M529" i="5"/>
  <c r="J201" i="12"/>
  <c r="K201" i="12" s="1"/>
  <c r="L541" i="11"/>
  <c r="L402" i="11"/>
  <c r="M362" i="5"/>
  <c r="L176" i="11"/>
  <c r="M15" i="5"/>
  <c r="J63" i="12"/>
  <c r="K63" i="12" s="1"/>
  <c r="L41" i="11"/>
  <c r="M402" i="5"/>
  <c r="M661" i="5"/>
  <c r="L649" i="11"/>
  <c r="N407" i="10"/>
  <c r="O407" i="10"/>
  <c r="K133" i="14"/>
  <c r="L133" i="14" s="1"/>
  <c r="L552" i="11"/>
  <c r="M517" i="5"/>
  <c r="M316" i="5"/>
  <c r="L15" i="11"/>
  <c r="J7" i="12"/>
  <c r="K7" i="12" s="1"/>
  <c r="M285" i="5"/>
  <c r="J126" i="12"/>
  <c r="K126" i="12" s="1"/>
  <c r="L353" i="11"/>
  <c r="L494" i="11"/>
  <c r="M494" i="11" s="1"/>
  <c r="M424" i="5"/>
  <c r="J177" i="12"/>
  <c r="K177" i="12" s="1"/>
  <c r="O291" i="10"/>
  <c r="N291" i="10"/>
  <c r="L609" i="11"/>
  <c r="M609" i="11" s="1"/>
  <c r="M608" i="5"/>
  <c r="J234" i="12"/>
  <c r="K234" i="12" s="1"/>
  <c r="M399" i="5"/>
  <c r="K71" i="14"/>
  <c r="L71" i="14" s="1"/>
  <c r="L291" i="11"/>
  <c r="M291" i="11" s="1"/>
  <c r="O291" i="11" s="1"/>
  <c r="N329" i="10"/>
  <c r="O329" i="10"/>
  <c r="O428" i="10"/>
  <c r="N428" i="10"/>
  <c r="M422" i="5"/>
  <c r="L461" i="11"/>
  <c r="O302" i="10"/>
  <c r="N302" i="10"/>
  <c r="N201" i="10"/>
  <c r="O201" i="10"/>
  <c r="O68" i="10"/>
  <c r="N68" i="10"/>
  <c r="M554" i="5"/>
  <c r="L322" i="11"/>
  <c r="L485" i="11"/>
  <c r="J173" i="12"/>
  <c r="K173" i="12" s="1"/>
  <c r="M38" i="5"/>
  <c r="O444" i="10"/>
  <c r="N444" i="10"/>
  <c r="N405" i="10"/>
  <c r="O405" i="10"/>
  <c r="O159" i="10"/>
  <c r="N159" i="10"/>
  <c r="O364" i="10"/>
  <c r="N364" i="10"/>
  <c r="M459" i="5"/>
  <c r="L596" i="11"/>
  <c r="N299" i="10"/>
  <c r="O299" i="10"/>
  <c r="L437" i="11"/>
  <c r="M437" i="11" s="1"/>
  <c r="K113" i="14"/>
  <c r="L113" i="14" s="1"/>
  <c r="M480" i="5"/>
  <c r="K126" i="14"/>
  <c r="L126" i="14" s="1"/>
  <c r="M589" i="5"/>
  <c r="L503" i="11"/>
  <c r="O293" i="10"/>
  <c r="N293" i="10"/>
  <c r="M444" i="5"/>
  <c r="L377" i="11"/>
  <c r="M524" i="5"/>
  <c r="K92" i="14"/>
  <c r="L92" i="14" s="1"/>
  <c r="L358" i="11"/>
  <c r="L89" i="11"/>
  <c r="K15" i="14"/>
  <c r="L15" i="14" s="1"/>
  <c r="M101" i="5"/>
  <c r="N327" i="10"/>
  <c r="O327" i="10"/>
  <c r="N20" i="10"/>
  <c r="O20" i="10"/>
  <c r="M598" i="5"/>
  <c r="L641" i="11"/>
  <c r="L588" i="11"/>
  <c r="M564" i="5"/>
  <c r="M143" i="5"/>
  <c r="L662" i="11"/>
  <c r="K149" i="14"/>
  <c r="L149" i="14" s="1"/>
  <c r="O7" i="10"/>
  <c r="N7" i="10"/>
  <c r="M500" i="5"/>
  <c r="L395" i="11"/>
  <c r="J139" i="12"/>
  <c r="K139" i="12" s="1"/>
  <c r="L343" i="11"/>
  <c r="M369" i="5"/>
  <c r="N510" i="10"/>
  <c r="O510" i="10"/>
  <c r="M456" i="5"/>
  <c r="L19" i="11"/>
  <c r="J11" i="12"/>
  <c r="K11" i="12" s="1"/>
  <c r="N290" i="10"/>
  <c r="O290" i="10"/>
  <c r="N275" i="10"/>
  <c r="O275" i="10"/>
  <c r="O231" i="10"/>
  <c r="N231" i="10"/>
  <c r="M183" i="5"/>
  <c r="J110" i="12"/>
  <c r="K110" i="12" s="1"/>
  <c r="L301" i="11"/>
  <c r="M43" i="5"/>
  <c r="L574" i="11"/>
  <c r="N416" i="10"/>
  <c r="O416" i="10"/>
  <c r="N506" i="10"/>
  <c r="O506" i="10"/>
  <c r="M10" i="5"/>
  <c r="L31" i="11"/>
  <c r="J17" i="12"/>
  <c r="K17" i="12" s="1"/>
  <c r="O11" i="10"/>
  <c r="N11" i="10"/>
  <c r="O27" i="10"/>
  <c r="N262" i="10"/>
  <c r="O262" i="10"/>
  <c r="M590" i="5"/>
  <c r="L32" i="11"/>
  <c r="J243" i="12"/>
  <c r="K243" i="12" s="1"/>
  <c r="M662" i="5"/>
  <c r="L625" i="11"/>
  <c r="N50" i="10"/>
  <c r="O50" i="10"/>
  <c r="K112" i="14"/>
  <c r="L112" i="14" s="1"/>
  <c r="M411" i="5"/>
  <c r="L436" i="11"/>
  <c r="M449" i="5"/>
  <c r="L465" i="11"/>
  <c r="J161" i="12"/>
  <c r="K161" i="12" s="1"/>
  <c r="M333" i="5"/>
  <c r="L328" i="11"/>
  <c r="L379" i="11"/>
  <c r="M408" i="5"/>
  <c r="J133" i="12"/>
  <c r="K133" i="12" s="1"/>
  <c r="M78" i="5"/>
  <c r="L44" i="11"/>
  <c r="M581" i="5"/>
  <c r="J224" i="12"/>
  <c r="K224" i="12" s="1"/>
  <c r="L585" i="11"/>
  <c r="N346" i="10"/>
  <c r="O346" i="10"/>
  <c r="M656" i="5"/>
  <c r="L613" i="11"/>
  <c r="J236" i="12"/>
  <c r="K236" i="12" s="1"/>
  <c r="J122" i="12"/>
  <c r="K122" i="12" s="1"/>
  <c r="M13" i="5"/>
  <c r="L347" i="11"/>
  <c r="M419" i="5"/>
  <c r="L486" i="11"/>
  <c r="M95" i="5"/>
  <c r="K129" i="14"/>
  <c r="L129" i="14" s="1"/>
  <c r="L66" i="11"/>
  <c r="M71" i="5"/>
  <c r="O100" i="10"/>
  <c r="N100" i="10"/>
  <c r="N37" i="10"/>
  <c r="O37" i="10"/>
  <c r="O512" i="10"/>
  <c r="N512" i="10"/>
  <c r="N96" i="10"/>
  <c r="O96" i="10"/>
  <c r="K102" i="14"/>
  <c r="L102" i="14" s="1"/>
  <c r="L393" i="11"/>
  <c r="M393" i="11" s="1"/>
  <c r="O393" i="11" s="1"/>
  <c r="M102" i="5"/>
  <c r="J5" i="12"/>
  <c r="K5" i="12" s="1"/>
  <c r="L13" i="11"/>
  <c r="L12" i="11"/>
  <c r="N434" i="10"/>
  <c r="O434" i="10"/>
  <c r="O154" i="10"/>
  <c r="N154" i="10"/>
  <c r="M138" i="5"/>
  <c r="K60" i="14"/>
  <c r="L60" i="14" s="1"/>
  <c r="L134" i="11"/>
  <c r="M131" i="5"/>
  <c r="K51" i="14"/>
  <c r="L51" i="14" s="1"/>
  <c r="L125" i="11"/>
  <c r="M125" i="11" s="1"/>
  <c r="M44" i="5"/>
  <c r="K27" i="14"/>
  <c r="L27" i="14" s="1"/>
  <c r="L101" i="11"/>
  <c r="J3" i="12"/>
  <c r="K3" i="12" s="1"/>
  <c r="M184" i="5"/>
  <c r="L9" i="11"/>
  <c r="J214" i="12"/>
  <c r="K214" i="12" s="1"/>
  <c r="M600" i="5"/>
  <c r="L568" i="11"/>
  <c r="L127" i="11"/>
  <c r="M133" i="5"/>
  <c r="K53" i="14"/>
  <c r="L53" i="14" s="1"/>
  <c r="N379" i="10"/>
  <c r="O379" i="10"/>
  <c r="M186" i="5"/>
  <c r="L195" i="11"/>
  <c r="J82" i="12"/>
  <c r="K82" i="12" s="1"/>
  <c r="O480" i="10"/>
  <c r="N480" i="10"/>
  <c r="L304" i="11"/>
  <c r="M584" i="5"/>
  <c r="K74" i="14"/>
  <c r="L74" i="14" s="1"/>
  <c r="K83" i="14"/>
  <c r="L83" i="14" s="1"/>
  <c r="L327" i="11"/>
  <c r="M327" i="11" s="1"/>
  <c r="L171" i="11"/>
  <c r="M174" i="5"/>
  <c r="J58" i="12"/>
  <c r="K58" i="12" s="1"/>
  <c r="O230" i="10"/>
  <c r="N230" i="10"/>
  <c r="N278" i="10"/>
  <c r="O278" i="10"/>
  <c r="O410" i="10"/>
  <c r="N410" i="10"/>
  <c r="O350" i="10"/>
  <c r="N350" i="10"/>
  <c r="M536" i="5"/>
  <c r="L497" i="11"/>
  <c r="J245" i="12"/>
  <c r="K245" i="12" s="1"/>
  <c r="L629" i="11"/>
  <c r="M523" i="5"/>
  <c r="O502" i="10"/>
  <c r="N502" i="10"/>
  <c r="L335" i="11"/>
  <c r="K87" i="14"/>
  <c r="L87" i="14" s="1"/>
  <c r="M499" i="5"/>
  <c r="K118" i="14"/>
  <c r="L118" i="14" s="1"/>
  <c r="M410" i="5"/>
  <c r="L450" i="11"/>
  <c r="M461" i="5"/>
  <c r="L14" i="11"/>
  <c r="M14" i="11" s="1"/>
  <c r="O14" i="11" s="1"/>
  <c r="J6" i="12"/>
  <c r="K6" i="12" s="1"/>
  <c r="L39" i="11"/>
  <c r="M27" i="5"/>
  <c r="M565" i="5"/>
  <c r="L502" i="11"/>
  <c r="J180" i="12"/>
  <c r="K180" i="12" s="1"/>
  <c r="M509" i="5"/>
  <c r="J232" i="12"/>
  <c r="K232" i="12" s="1"/>
  <c r="L604" i="11"/>
  <c r="J27" i="12"/>
  <c r="K27" i="12" s="1"/>
  <c r="M150" i="5"/>
  <c r="L142" i="11"/>
  <c r="M428" i="5"/>
  <c r="L438" i="11"/>
  <c r="N356" i="10"/>
  <c r="O356" i="10"/>
  <c r="L599" i="11"/>
  <c r="M507" i="5"/>
  <c r="O260" i="10"/>
  <c r="N66" i="10"/>
  <c r="O301" i="10"/>
  <c r="L391" i="11"/>
  <c r="M34" i="5"/>
  <c r="N429" i="10"/>
  <c r="O429" i="10"/>
  <c r="L564" i="11"/>
  <c r="M654" i="5"/>
  <c r="J211" i="12"/>
  <c r="K211" i="12" s="1"/>
  <c r="O162" i="10"/>
  <c r="N162" i="10"/>
  <c r="O210" i="10"/>
  <c r="N210" i="10"/>
  <c r="N226" i="10"/>
  <c r="O226" i="10"/>
  <c r="L87" i="11"/>
  <c r="M97" i="5"/>
  <c r="K13" i="14"/>
  <c r="L13" i="14" s="1"/>
  <c r="O272" i="10"/>
  <c r="N272" i="10"/>
  <c r="N481" i="10"/>
  <c r="O481" i="10"/>
  <c r="K124" i="14"/>
  <c r="L124" i="14" s="1"/>
  <c r="L492" i="11"/>
  <c r="M491" i="5"/>
  <c r="N113" i="10"/>
  <c r="O113" i="10"/>
  <c r="O224" i="11"/>
  <c r="N303" i="10"/>
  <c r="O303" i="10"/>
  <c r="N122" i="10"/>
  <c r="O122" i="10"/>
  <c r="O56" i="10"/>
  <c r="N56" i="10"/>
  <c r="O89" i="10"/>
  <c r="N89" i="10"/>
  <c r="N123" i="10"/>
  <c r="O123" i="10"/>
  <c r="O103" i="10"/>
  <c r="N103" i="10"/>
  <c r="O423" i="10"/>
  <c r="N423" i="10"/>
  <c r="O228" i="10"/>
  <c r="N228" i="10"/>
  <c r="O52" i="10"/>
  <c r="N52" i="10"/>
  <c r="N269" i="10"/>
  <c r="O269" i="10"/>
  <c r="N168" i="10"/>
  <c r="O168" i="10"/>
  <c r="O190" i="10"/>
  <c r="N190" i="10"/>
  <c r="O86" i="10"/>
  <c r="N86" i="10"/>
  <c r="O265" i="10"/>
  <c r="N265" i="10"/>
  <c r="N145" i="10"/>
  <c r="O145" i="10"/>
  <c r="O114" i="10"/>
  <c r="N114" i="10"/>
  <c r="O160" i="10"/>
  <c r="N160" i="10"/>
  <c r="O129" i="10"/>
  <c r="N129" i="10"/>
  <c r="O144" i="10"/>
  <c r="N144" i="10"/>
  <c r="O225" i="10"/>
  <c r="N225" i="10"/>
  <c r="N29" i="10"/>
  <c r="O29" i="10"/>
  <c r="O318" i="10"/>
  <c r="N318" i="10"/>
  <c r="N273" i="10"/>
  <c r="O273" i="10"/>
  <c r="N135" i="10"/>
  <c r="O135" i="10"/>
  <c r="O459" i="10"/>
  <c r="N459" i="10"/>
  <c r="N234" i="10"/>
  <c r="O234" i="10"/>
  <c r="N316" i="10"/>
  <c r="O316" i="10"/>
  <c r="O257" i="11"/>
  <c r="O119" i="10"/>
  <c r="N119" i="10"/>
  <c r="N14" i="10"/>
  <c r="O14" i="10"/>
  <c r="N98" i="10"/>
  <c r="O98" i="10"/>
  <c r="O351" i="10"/>
  <c r="N351" i="10"/>
  <c r="O381" i="10"/>
  <c r="N381" i="10"/>
  <c r="O126" i="10"/>
  <c r="O282" i="10"/>
  <c r="N282" i="10"/>
  <c r="O311" i="10"/>
  <c r="N311" i="10"/>
  <c r="O331" i="10"/>
  <c r="N331" i="10"/>
  <c r="N75" i="10"/>
  <c r="O75" i="10"/>
  <c r="O173" i="10"/>
  <c r="N173" i="10"/>
  <c r="O233" i="11"/>
  <c r="O95" i="10"/>
  <c r="N95" i="10"/>
  <c r="N343" i="10"/>
  <c r="O343" i="10"/>
  <c r="N112" i="10"/>
  <c r="O112" i="10"/>
  <c r="O443" i="10"/>
  <c r="N443" i="10"/>
  <c r="N484" i="10"/>
  <c r="O484" i="10"/>
  <c r="O328" i="10"/>
  <c r="N328" i="10"/>
  <c r="N48" i="10"/>
  <c r="O48" i="10"/>
  <c r="N101" i="10"/>
  <c r="O101" i="10"/>
  <c r="O499" i="10"/>
  <c r="N499" i="10"/>
  <c r="O67" i="10"/>
  <c r="N67" i="10"/>
  <c r="N349" i="10"/>
  <c r="O349" i="10"/>
  <c r="N393" i="10"/>
  <c r="O393" i="10"/>
  <c r="O268" i="10"/>
  <c r="N268" i="10"/>
  <c r="O517" i="10"/>
  <c r="N517" i="10"/>
  <c r="O463" i="10"/>
  <c r="N463" i="10"/>
  <c r="N99" i="10"/>
  <c r="O99" i="10"/>
  <c r="O28" i="10"/>
  <c r="N28" i="10"/>
  <c r="N142" i="10"/>
  <c r="O142" i="10"/>
  <c r="N41" i="10"/>
  <c r="O41" i="10"/>
  <c r="O109" i="10"/>
  <c r="N109" i="10"/>
  <c r="O475" i="10"/>
  <c r="N475" i="10"/>
  <c r="N261" i="11"/>
  <c r="N243" i="11"/>
  <c r="N248" i="11"/>
  <c r="N254" i="11"/>
  <c r="O236" i="11"/>
  <c r="O249" i="11"/>
  <c r="N244" i="11"/>
  <c r="O244" i="11"/>
  <c r="N246" i="11"/>
  <c r="N542" i="11"/>
  <c r="O542" i="11"/>
  <c r="O157" i="11"/>
  <c r="N157" i="11"/>
  <c r="N259" i="11"/>
  <c r="N273" i="11"/>
  <c r="O273" i="11"/>
  <c r="O283" i="11"/>
  <c r="N283" i="11"/>
  <c r="O239" i="11"/>
  <c r="N239" i="11"/>
  <c r="N237" i="11"/>
  <c r="O237" i="11"/>
  <c r="O252" i="11"/>
  <c r="N252" i="11"/>
  <c r="N264" i="11"/>
  <c r="O264" i="11"/>
  <c r="O238" i="11"/>
  <c r="N238" i="11"/>
  <c r="N262" i="11"/>
  <c r="O262" i="11"/>
  <c r="O265" i="11"/>
  <c r="N265" i="11"/>
  <c r="O277" i="11"/>
  <c r="N277" i="11"/>
  <c r="N247" i="11"/>
  <c r="O247" i="11"/>
  <c r="O251" i="11"/>
  <c r="N251" i="11"/>
  <c r="N263" i="11"/>
  <c r="O263" i="11"/>
  <c r="P2" i="20" l="1"/>
  <c r="O228" i="20"/>
  <c r="P351" i="20"/>
  <c r="O44" i="20"/>
  <c r="P352" i="20"/>
  <c r="P438" i="20"/>
  <c r="O322" i="20"/>
  <c r="P337" i="20"/>
  <c r="O230" i="20"/>
  <c r="O344" i="20"/>
  <c r="O495" i="20"/>
  <c r="N207" i="11"/>
  <c r="L94" i="12"/>
  <c r="P487" i="20"/>
  <c r="O487" i="20"/>
  <c r="O444" i="20"/>
  <c r="P444" i="20"/>
  <c r="O266" i="20"/>
  <c r="P266" i="20"/>
  <c r="O428" i="20"/>
  <c r="P428" i="20"/>
  <c r="O40" i="20"/>
  <c r="P40" i="20"/>
  <c r="P288" i="20"/>
  <c r="O288" i="20"/>
  <c r="O333" i="20"/>
  <c r="P333" i="20"/>
  <c r="O38" i="20"/>
  <c r="P38" i="20"/>
  <c r="O466" i="20"/>
  <c r="P466" i="20"/>
  <c r="P272" i="20"/>
  <c r="O272" i="20"/>
  <c r="O265" i="20"/>
  <c r="P265" i="20"/>
  <c r="P459" i="20"/>
  <c r="O459" i="20"/>
  <c r="P385" i="20"/>
  <c r="O385" i="20"/>
  <c r="O453" i="20"/>
  <c r="P453" i="20"/>
  <c r="P146" i="20"/>
  <c r="O146" i="20"/>
  <c r="O320" i="20"/>
  <c r="P320" i="20"/>
  <c r="O394" i="20"/>
  <c r="P394" i="20"/>
  <c r="O77" i="20"/>
  <c r="P77" i="20"/>
  <c r="O43" i="20"/>
  <c r="P43" i="20"/>
  <c r="P486" i="20"/>
  <c r="O486" i="20"/>
  <c r="P4" i="20"/>
  <c r="O4" i="20"/>
  <c r="O26" i="20"/>
  <c r="P26" i="20"/>
  <c r="O279" i="20"/>
  <c r="P279" i="20"/>
  <c r="O50" i="20"/>
  <c r="P50" i="20"/>
  <c r="O273" i="20"/>
  <c r="P273" i="20"/>
  <c r="O317" i="20"/>
  <c r="P317" i="20"/>
  <c r="O13" i="20"/>
  <c r="P13" i="20"/>
  <c r="O398" i="20"/>
  <c r="P398" i="20"/>
  <c r="N291" i="20"/>
  <c r="S291" i="20"/>
  <c r="P175" i="20"/>
  <c r="O175" i="20"/>
  <c r="P257" i="20"/>
  <c r="O257" i="20"/>
  <c r="P233" i="20"/>
  <c r="O233" i="20"/>
  <c r="P133" i="20"/>
  <c r="O133" i="20"/>
  <c r="P74" i="20"/>
  <c r="O74" i="20"/>
  <c r="P119" i="20"/>
  <c r="O119" i="20"/>
  <c r="P59" i="20"/>
  <c r="O59" i="20"/>
  <c r="O80" i="20"/>
  <c r="P80" i="20"/>
  <c r="O52" i="20"/>
  <c r="P52" i="20"/>
  <c r="O217" i="20"/>
  <c r="P217" i="20"/>
  <c r="P457" i="20"/>
  <c r="O457" i="20"/>
  <c r="P450" i="20"/>
  <c r="O450" i="20"/>
  <c r="P62" i="20"/>
  <c r="O62" i="20"/>
  <c r="P101" i="20"/>
  <c r="O101" i="20"/>
  <c r="O424" i="20"/>
  <c r="P424" i="20"/>
  <c r="O480" i="20"/>
  <c r="P480" i="20"/>
  <c r="O212" i="20"/>
  <c r="P212" i="20"/>
  <c r="O180" i="20"/>
  <c r="P180" i="20"/>
  <c r="O187" i="20"/>
  <c r="P187" i="20"/>
  <c r="O360" i="20"/>
  <c r="P360" i="20"/>
  <c r="O92" i="20"/>
  <c r="P92" i="20"/>
  <c r="O122" i="20"/>
  <c r="P122" i="20"/>
  <c r="P415" i="20"/>
  <c r="O415" i="20"/>
  <c r="P156" i="20"/>
  <c r="O156" i="20"/>
  <c r="O111" i="20"/>
  <c r="P111" i="20"/>
  <c r="N378" i="20"/>
  <c r="S378" i="20"/>
  <c r="O73" i="20"/>
  <c r="P73" i="20"/>
  <c r="O162" i="20"/>
  <c r="P162" i="20"/>
  <c r="O58" i="20"/>
  <c r="P58" i="20"/>
  <c r="O369" i="20"/>
  <c r="P369" i="20"/>
  <c r="O164" i="20"/>
  <c r="P164" i="20"/>
  <c r="O309" i="20"/>
  <c r="P309" i="20"/>
  <c r="P364" i="20"/>
  <c r="O364" i="20"/>
  <c r="P254" i="20"/>
  <c r="O254" i="20"/>
  <c r="O440" i="20"/>
  <c r="P440" i="20"/>
  <c r="O120" i="20"/>
  <c r="P120" i="20"/>
  <c r="O218" i="20"/>
  <c r="P218" i="20"/>
  <c r="P363" i="20"/>
  <c r="O363" i="20"/>
  <c r="O406" i="20"/>
  <c r="P406" i="20"/>
  <c r="O219" i="20"/>
  <c r="P219" i="20"/>
  <c r="P130" i="20"/>
  <c r="O130" i="20"/>
  <c r="P341" i="20"/>
  <c r="O341" i="20"/>
  <c r="O199" i="20"/>
  <c r="P199" i="20"/>
  <c r="O371" i="20"/>
  <c r="P371" i="20"/>
  <c r="P485" i="20"/>
  <c r="O485" i="20"/>
  <c r="P243" i="20"/>
  <c r="O243" i="20"/>
  <c r="P172" i="20"/>
  <c r="O172" i="20"/>
  <c r="P407" i="20"/>
  <c r="O407" i="20"/>
  <c r="O248" i="20"/>
  <c r="P248" i="20"/>
  <c r="P71" i="20"/>
  <c r="O71" i="20"/>
  <c r="P129" i="20"/>
  <c r="O129" i="20"/>
  <c r="O365" i="20"/>
  <c r="P365" i="20"/>
  <c r="O166" i="20"/>
  <c r="P166" i="20"/>
  <c r="P194" i="20"/>
  <c r="O194" i="20"/>
  <c r="O124" i="20"/>
  <c r="P124" i="20"/>
  <c r="P160" i="20"/>
  <c r="O160" i="20"/>
  <c r="P191" i="20"/>
  <c r="O191" i="20"/>
  <c r="O190" i="20"/>
  <c r="P190" i="20"/>
  <c r="P304" i="20"/>
  <c r="O304" i="20"/>
  <c r="N100" i="20"/>
  <c r="S100" i="20"/>
  <c r="P443" i="20"/>
  <c r="O443" i="20"/>
  <c r="O234" i="20"/>
  <c r="P234" i="20"/>
  <c r="P294" i="20"/>
  <c r="O294" i="20"/>
  <c r="O474" i="20"/>
  <c r="P474" i="20"/>
  <c r="O127" i="20"/>
  <c r="P127" i="20"/>
  <c r="O372" i="20"/>
  <c r="P372" i="20"/>
  <c r="O475" i="20"/>
  <c r="P475" i="20"/>
  <c r="O326" i="20"/>
  <c r="P326" i="20"/>
  <c r="P171" i="20"/>
  <c r="O171" i="20"/>
  <c r="O324" i="20"/>
  <c r="P324" i="20"/>
  <c r="O126" i="20"/>
  <c r="P126" i="20"/>
  <c r="O55" i="20"/>
  <c r="P55" i="20"/>
  <c r="O8" i="20"/>
  <c r="P8" i="20"/>
  <c r="O488" i="20"/>
  <c r="P488" i="20"/>
  <c r="P476" i="20"/>
  <c r="O476" i="20"/>
  <c r="O107" i="20"/>
  <c r="P107" i="20"/>
  <c r="P200" i="20"/>
  <c r="O200" i="20"/>
  <c r="O468" i="20"/>
  <c r="P468" i="20"/>
  <c r="P358" i="20"/>
  <c r="O358" i="20"/>
  <c r="O478" i="20"/>
  <c r="P478" i="20"/>
  <c r="P383" i="20"/>
  <c r="O383" i="20"/>
  <c r="P20" i="20"/>
  <c r="O20" i="20"/>
  <c r="O456" i="20"/>
  <c r="P456" i="20"/>
  <c r="O75" i="20"/>
  <c r="P75" i="20"/>
  <c r="P132" i="20"/>
  <c r="O132" i="20"/>
  <c r="O184" i="20"/>
  <c r="P184" i="20"/>
  <c r="O205" i="20"/>
  <c r="P205" i="20"/>
  <c r="O86" i="20"/>
  <c r="P86" i="20"/>
  <c r="O470" i="20"/>
  <c r="P470" i="20"/>
  <c r="P270" i="20"/>
  <c r="O270" i="20"/>
  <c r="O350" i="20"/>
  <c r="P350" i="20"/>
  <c r="O249" i="20"/>
  <c r="P249" i="20"/>
  <c r="P46" i="20"/>
  <c r="O46" i="20"/>
  <c r="O215" i="20"/>
  <c r="P215" i="20"/>
  <c r="O69" i="20"/>
  <c r="P69" i="20"/>
  <c r="P79" i="20"/>
  <c r="O79" i="20"/>
  <c r="O355" i="20"/>
  <c r="P355" i="20"/>
  <c r="O373" i="20"/>
  <c r="P373" i="20"/>
  <c r="O87" i="20"/>
  <c r="P87" i="20"/>
  <c r="P72" i="20"/>
  <c r="O72" i="20"/>
  <c r="O499" i="20"/>
  <c r="P499" i="20"/>
  <c r="O207" i="20"/>
  <c r="P207" i="20"/>
  <c r="O422" i="20"/>
  <c r="P422" i="20"/>
  <c r="O252" i="20"/>
  <c r="P252" i="20"/>
  <c r="P45" i="20"/>
  <c r="O45" i="20"/>
  <c r="O366" i="20"/>
  <c r="P366" i="20"/>
  <c r="O465" i="20"/>
  <c r="P465" i="20"/>
  <c r="O30" i="20"/>
  <c r="P30" i="20"/>
  <c r="O253" i="20"/>
  <c r="P253" i="20"/>
  <c r="P402" i="20"/>
  <c r="O402" i="20"/>
  <c r="O63" i="20"/>
  <c r="P63" i="20"/>
  <c r="O313" i="20"/>
  <c r="P313" i="20"/>
  <c r="O312" i="20"/>
  <c r="P312" i="20"/>
  <c r="O114" i="20"/>
  <c r="P114" i="20"/>
  <c r="P197" i="20"/>
  <c r="O197" i="20"/>
  <c r="O210" i="20"/>
  <c r="P210" i="20"/>
  <c r="O57" i="20"/>
  <c r="P57" i="20"/>
  <c r="O208" i="20"/>
  <c r="P208" i="20"/>
  <c r="P393" i="20"/>
  <c r="O393" i="20"/>
  <c r="O76" i="20"/>
  <c r="P76" i="20"/>
  <c r="O280" i="20"/>
  <c r="P280" i="20"/>
  <c r="P505" i="20"/>
  <c r="O505" i="20"/>
  <c r="O446" i="20"/>
  <c r="P446" i="20"/>
  <c r="P471" i="20"/>
  <c r="O471" i="20"/>
  <c r="O325" i="20"/>
  <c r="P325" i="20"/>
  <c r="O167" i="20"/>
  <c r="P167" i="20"/>
  <c r="P339" i="20"/>
  <c r="O339" i="20"/>
  <c r="O29" i="20"/>
  <c r="P29" i="20"/>
  <c r="O148" i="20"/>
  <c r="P148" i="20"/>
  <c r="O264" i="20"/>
  <c r="P264" i="20"/>
  <c r="O165" i="20"/>
  <c r="P165" i="20"/>
  <c r="O278" i="20"/>
  <c r="P278" i="20"/>
  <c r="P460" i="20"/>
  <c r="O460" i="20"/>
  <c r="P188" i="20"/>
  <c r="O188" i="20"/>
  <c r="P321" i="20"/>
  <c r="O321" i="20"/>
  <c r="P158" i="20"/>
  <c r="O158" i="20"/>
  <c r="O318" i="20"/>
  <c r="P318" i="20"/>
  <c r="O113" i="20"/>
  <c r="P113" i="20"/>
  <c r="P362" i="20"/>
  <c r="O362" i="20"/>
  <c r="O21" i="20"/>
  <c r="P21" i="20"/>
  <c r="P7" i="20"/>
  <c r="O7" i="20"/>
  <c r="P201" i="20"/>
  <c r="O201" i="20"/>
  <c r="O241" i="20"/>
  <c r="P241" i="20"/>
  <c r="P96" i="20"/>
  <c r="O96" i="20"/>
  <c r="O290" i="20"/>
  <c r="P290" i="20"/>
  <c r="P32" i="20"/>
  <c r="O32" i="20"/>
  <c r="P384" i="20"/>
  <c r="O384" i="20"/>
  <c r="P115" i="20"/>
  <c r="O115" i="20"/>
  <c r="P482" i="20"/>
  <c r="O482" i="20"/>
  <c r="P159" i="20"/>
  <c r="O159" i="20"/>
  <c r="O442" i="20"/>
  <c r="P442" i="20"/>
  <c r="P139" i="20"/>
  <c r="O139" i="20"/>
  <c r="O410" i="20"/>
  <c r="P410" i="20"/>
  <c r="P387" i="20"/>
  <c r="O387" i="20"/>
  <c r="O354" i="20"/>
  <c r="P354" i="20"/>
  <c r="P376" i="20"/>
  <c r="O376" i="20"/>
  <c r="O12" i="20"/>
  <c r="P12" i="20"/>
  <c r="P60" i="20"/>
  <c r="O60" i="20"/>
  <c r="O462" i="20"/>
  <c r="P462" i="20"/>
  <c r="O477" i="20"/>
  <c r="P477" i="20"/>
  <c r="P173" i="20"/>
  <c r="O173" i="20"/>
  <c r="P412" i="20"/>
  <c r="O412" i="20"/>
  <c r="P299" i="20"/>
  <c r="O299" i="20"/>
  <c r="O169" i="20"/>
  <c r="P169" i="20"/>
  <c r="P229" i="20"/>
  <c r="O229" i="20"/>
  <c r="O260" i="20"/>
  <c r="P260" i="20"/>
  <c r="O276" i="20"/>
  <c r="P276" i="20"/>
  <c r="O256" i="20"/>
  <c r="P256" i="20"/>
  <c r="P14" i="20"/>
  <c r="O14" i="20"/>
  <c r="O370" i="20"/>
  <c r="P370" i="20"/>
  <c r="O97" i="20"/>
  <c r="P97" i="20"/>
  <c r="O181" i="20"/>
  <c r="P181" i="20"/>
  <c r="P340" i="20"/>
  <c r="O340" i="20"/>
  <c r="P144" i="20"/>
  <c r="O144" i="20"/>
  <c r="O102" i="20"/>
  <c r="P102" i="20"/>
  <c r="O123" i="20"/>
  <c r="P123" i="20"/>
  <c r="O168" i="20"/>
  <c r="P168" i="20"/>
  <c r="O403" i="20"/>
  <c r="P403" i="20"/>
  <c r="O432" i="20"/>
  <c r="P432" i="20"/>
  <c r="P214" i="20"/>
  <c r="O214" i="20"/>
  <c r="P255" i="20"/>
  <c r="O255" i="20"/>
  <c r="P202" i="20"/>
  <c r="O202" i="20"/>
  <c r="O245" i="20"/>
  <c r="P245" i="20"/>
  <c r="P65" i="20"/>
  <c r="O65" i="20"/>
  <c r="P282" i="20"/>
  <c r="O282" i="20"/>
  <c r="P397" i="20"/>
  <c r="O397" i="20"/>
  <c r="P49" i="20"/>
  <c r="O49" i="20"/>
  <c r="P374" i="20"/>
  <c r="O374" i="20"/>
  <c r="P170" i="20"/>
  <c r="O170" i="20"/>
  <c r="P417" i="20"/>
  <c r="O417" i="20"/>
  <c r="O246" i="20"/>
  <c r="P246" i="20"/>
  <c r="P283" i="20"/>
  <c r="O283" i="20"/>
  <c r="P306" i="20"/>
  <c r="O306" i="20"/>
  <c r="P287" i="20"/>
  <c r="O287" i="20"/>
  <c r="O263" i="20"/>
  <c r="P263" i="20"/>
  <c r="O112" i="20"/>
  <c r="P112" i="20"/>
  <c r="O441" i="20"/>
  <c r="P441" i="20"/>
  <c r="O222" i="20"/>
  <c r="P222" i="20"/>
  <c r="O400" i="20"/>
  <c r="P400" i="20"/>
  <c r="P186" i="20"/>
  <c r="O186" i="20"/>
  <c r="O419" i="20"/>
  <c r="P419" i="20"/>
  <c r="P258" i="20"/>
  <c r="O258" i="20"/>
  <c r="P78" i="20"/>
  <c r="O78" i="20"/>
  <c r="O433" i="20"/>
  <c r="P433" i="20"/>
  <c r="O357" i="20"/>
  <c r="P357" i="20"/>
  <c r="O36" i="20"/>
  <c r="P36" i="20"/>
  <c r="O237" i="20"/>
  <c r="P237" i="20"/>
  <c r="P329" i="20"/>
  <c r="O329" i="20"/>
  <c r="O267" i="20"/>
  <c r="P267" i="20"/>
  <c r="O448" i="20"/>
  <c r="P448" i="20"/>
  <c r="P47" i="20"/>
  <c r="O47" i="20"/>
  <c r="O382" i="20"/>
  <c r="P382" i="20"/>
  <c r="O492" i="20"/>
  <c r="P492" i="20"/>
  <c r="P323" i="20"/>
  <c r="O323" i="20"/>
  <c r="O297" i="20"/>
  <c r="P297" i="20"/>
  <c r="O493" i="20"/>
  <c r="P493" i="20"/>
  <c r="O426" i="20"/>
  <c r="P426" i="20"/>
  <c r="O121" i="20"/>
  <c r="P121" i="20"/>
  <c r="P192" i="20"/>
  <c r="O192" i="20"/>
  <c r="P174" i="20"/>
  <c r="O174" i="20"/>
  <c r="P88" i="20"/>
  <c r="O88" i="20"/>
  <c r="O375" i="20"/>
  <c r="P375" i="20"/>
  <c r="O445" i="20"/>
  <c r="P445" i="20"/>
  <c r="O286" i="20"/>
  <c r="P286" i="20"/>
  <c r="P334" i="20"/>
  <c r="O334" i="20"/>
  <c r="P430" i="20"/>
  <c r="O430" i="20"/>
  <c r="P479" i="20"/>
  <c r="O479" i="20"/>
  <c r="P293" i="20"/>
  <c r="O293" i="20"/>
  <c r="P117" i="20"/>
  <c r="O117" i="20"/>
  <c r="O502" i="20"/>
  <c r="P502" i="20"/>
  <c r="P143" i="20"/>
  <c r="O143" i="20"/>
  <c r="O82" i="20"/>
  <c r="P82" i="20"/>
  <c r="P269" i="20"/>
  <c r="O269" i="20"/>
  <c r="O314" i="20"/>
  <c r="P314" i="20"/>
  <c r="P311" i="20"/>
  <c r="O311" i="20"/>
  <c r="P203" i="20"/>
  <c r="O203" i="20"/>
  <c r="O335" i="20"/>
  <c r="P335" i="20"/>
  <c r="P449" i="20"/>
  <c r="O449" i="20"/>
  <c r="P391" i="20"/>
  <c r="O391" i="20"/>
  <c r="O54" i="20"/>
  <c r="P54" i="20"/>
  <c r="P392" i="20"/>
  <c r="O392" i="20"/>
  <c r="O277" i="20"/>
  <c r="P277" i="20"/>
  <c r="O220" i="20"/>
  <c r="P220" i="20"/>
  <c r="O9" i="20"/>
  <c r="P9" i="20"/>
  <c r="P84" i="20"/>
  <c r="O84" i="20"/>
  <c r="O138" i="20"/>
  <c r="P138" i="20"/>
  <c r="O292" i="20"/>
  <c r="P292" i="20"/>
  <c r="O152" i="20"/>
  <c r="P152" i="20"/>
  <c r="O225" i="20"/>
  <c r="P225" i="20"/>
  <c r="O396" i="20"/>
  <c r="P396" i="20"/>
  <c r="O206" i="20"/>
  <c r="P206" i="20"/>
  <c r="O250" i="20"/>
  <c r="P250" i="20"/>
  <c r="P61" i="20"/>
  <c r="O61" i="20"/>
  <c r="O353" i="20"/>
  <c r="P353" i="20"/>
  <c r="P145" i="20"/>
  <c r="O145" i="20"/>
  <c r="O395" i="20"/>
  <c r="P395" i="20"/>
  <c r="P332" i="20"/>
  <c r="O332" i="20"/>
  <c r="P390" i="20"/>
  <c r="O390" i="20"/>
  <c r="P33" i="20"/>
  <c r="O33" i="20"/>
  <c r="P238" i="20"/>
  <c r="O238" i="20"/>
  <c r="P343" i="20"/>
  <c r="O343" i="20"/>
  <c r="O136" i="20"/>
  <c r="P136" i="20"/>
  <c r="O196" i="20"/>
  <c r="P196" i="20"/>
  <c r="O23" i="20"/>
  <c r="P23" i="20"/>
  <c r="P331" i="20"/>
  <c r="O331" i="20"/>
  <c r="P17" i="20"/>
  <c r="O17" i="20"/>
  <c r="O99" i="20"/>
  <c r="P99" i="20"/>
  <c r="O198" i="20"/>
  <c r="P198" i="20"/>
  <c r="P298" i="20"/>
  <c r="O298" i="20"/>
  <c r="P204" i="20"/>
  <c r="O204" i="20"/>
  <c r="O431" i="20"/>
  <c r="P431" i="20"/>
  <c r="O434" i="20"/>
  <c r="P434" i="20"/>
  <c r="P300" i="20"/>
  <c r="O300" i="20"/>
  <c r="O405" i="20"/>
  <c r="P405" i="20"/>
  <c r="O259" i="20"/>
  <c r="P259" i="20"/>
  <c r="P338" i="20"/>
  <c r="O338" i="20"/>
  <c r="O183" i="20"/>
  <c r="P183" i="20"/>
  <c r="P414" i="20"/>
  <c r="O414" i="20"/>
  <c r="O452" i="20"/>
  <c r="P452" i="20"/>
  <c r="P483" i="20"/>
  <c r="O483" i="20"/>
  <c r="P161" i="20"/>
  <c r="O161" i="20"/>
  <c r="O435" i="20"/>
  <c r="P435" i="20"/>
  <c r="O367" i="20"/>
  <c r="P367" i="20"/>
  <c r="P3" i="20"/>
  <c r="O3" i="20"/>
  <c r="P472" i="20"/>
  <c r="O472" i="20"/>
  <c r="O141" i="20"/>
  <c r="P141" i="20"/>
  <c r="P503" i="20"/>
  <c r="O503" i="20"/>
  <c r="O451" i="20"/>
  <c r="P451" i="20"/>
  <c r="O185" i="20"/>
  <c r="P185" i="20"/>
  <c r="P473" i="20"/>
  <c r="O473" i="20"/>
  <c r="P6" i="20"/>
  <c r="O6" i="20"/>
  <c r="P328" i="20"/>
  <c r="O328" i="20"/>
  <c r="P268" i="20"/>
  <c r="O268" i="20"/>
  <c r="P251" i="20"/>
  <c r="O251" i="20"/>
  <c r="O461" i="20"/>
  <c r="P461" i="20"/>
  <c r="P401" i="20"/>
  <c r="O401" i="20"/>
  <c r="P469" i="20"/>
  <c r="O469" i="20"/>
  <c r="P427" i="20"/>
  <c r="O427" i="20"/>
  <c r="O153" i="20"/>
  <c r="P153" i="20"/>
  <c r="O463" i="20"/>
  <c r="P463" i="20"/>
  <c r="P271" i="20"/>
  <c r="O271" i="20"/>
  <c r="O408" i="20"/>
  <c r="P408" i="20"/>
  <c r="O142" i="20"/>
  <c r="P142" i="20"/>
  <c r="O37" i="20"/>
  <c r="P37" i="20"/>
  <c r="P18" i="20"/>
  <c r="O18" i="20"/>
  <c r="O295" i="20"/>
  <c r="P295" i="20"/>
  <c r="O349" i="20"/>
  <c r="P349" i="20"/>
  <c r="P342" i="20"/>
  <c r="O342" i="20"/>
  <c r="O56" i="20"/>
  <c r="P56" i="20"/>
  <c r="O310" i="20"/>
  <c r="P310" i="20"/>
  <c r="P98" i="20"/>
  <c r="O98" i="20"/>
  <c r="O155" i="20"/>
  <c r="P155" i="20"/>
  <c r="O301" i="20"/>
  <c r="P301" i="20"/>
  <c r="O25" i="20"/>
  <c r="P25" i="20"/>
  <c r="O500" i="20"/>
  <c r="P500" i="20"/>
  <c r="P31" i="20"/>
  <c r="O31" i="20"/>
  <c r="O39" i="20"/>
  <c r="P39" i="20"/>
  <c r="P19" i="20"/>
  <c r="O19" i="20"/>
  <c r="O195" i="20"/>
  <c r="P195" i="20"/>
  <c r="P308" i="20"/>
  <c r="O308" i="20"/>
  <c r="O27" i="20"/>
  <c r="P27" i="20"/>
  <c r="P81" i="20"/>
  <c r="O81" i="20"/>
  <c r="P240" i="20"/>
  <c r="O240" i="20"/>
  <c r="O15" i="20"/>
  <c r="P15" i="20"/>
  <c r="O231" i="20"/>
  <c r="P231" i="20"/>
  <c r="P386" i="20"/>
  <c r="O386" i="20"/>
  <c r="P413" i="20"/>
  <c r="O413" i="20"/>
  <c r="O134" i="20"/>
  <c r="P134" i="20"/>
  <c r="O150" i="20"/>
  <c r="P150" i="20"/>
  <c r="P361" i="20"/>
  <c r="O361" i="20"/>
  <c r="O24" i="20"/>
  <c r="P24" i="20"/>
  <c r="O399" i="20"/>
  <c r="P399" i="20"/>
  <c r="O239" i="20"/>
  <c r="P239" i="20"/>
  <c r="O140" i="20"/>
  <c r="P140" i="20"/>
  <c r="P83" i="20"/>
  <c r="O83" i="20"/>
  <c r="O224" i="20"/>
  <c r="P224" i="20"/>
  <c r="O336" i="20"/>
  <c r="P336" i="20"/>
  <c r="O368" i="20"/>
  <c r="P368" i="20"/>
  <c r="O411" i="20"/>
  <c r="P411" i="20"/>
  <c r="O261" i="20"/>
  <c r="P261" i="20"/>
  <c r="O177" i="20"/>
  <c r="P177" i="20"/>
  <c r="O179" i="20"/>
  <c r="P179" i="20"/>
  <c r="O178" i="20"/>
  <c r="P178" i="20"/>
  <c r="O346" i="20"/>
  <c r="P346" i="20"/>
  <c r="P347" i="20"/>
  <c r="O347" i="20"/>
  <c r="O345" i="20"/>
  <c r="P345" i="20"/>
  <c r="P118" i="20"/>
  <c r="O118" i="20"/>
  <c r="P490" i="20"/>
  <c r="O490" i="20"/>
  <c r="P91" i="20"/>
  <c r="O91" i="20"/>
  <c r="O41" i="20"/>
  <c r="P41" i="20"/>
  <c r="O204" i="11"/>
  <c r="O51" i="20"/>
  <c r="P51" i="20"/>
  <c r="O211" i="20"/>
  <c r="P211" i="20"/>
  <c r="O95" i="20"/>
  <c r="P95" i="20"/>
  <c r="O154" i="20"/>
  <c r="P154" i="20"/>
  <c r="O66" i="20"/>
  <c r="P66" i="20"/>
  <c r="P458" i="20"/>
  <c r="O458" i="20"/>
  <c r="O125" i="20"/>
  <c r="P125" i="20"/>
  <c r="O356" i="20"/>
  <c r="P356" i="20"/>
  <c r="O281" i="20"/>
  <c r="P281" i="20"/>
  <c r="P42" i="20"/>
  <c r="O42" i="20"/>
  <c r="O128" i="20"/>
  <c r="P128" i="20"/>
  <c r="P93" i="20"/>
  <c r="O93" i="20"/>
  <c r="O296" i="20"/>
  <c r="P296" i="20"/>
  <c r="P379" i="20"/>
  <c r="O379" i="20"/>
  <c r="O409" i="20"/>
  <c r="P409" i="20"/>
  <c r="P242" i="20"/>
  <c r="O242" i="20"/>
  <c r="P67" i="20"/>
  <c r="O67" i="20"/>
  <c r="P35" i="20"/>
  <c r="O35" i="20"/>
  <c r="P244" i="20"/>
  <c r="O244" i="20"/>
  <c r="P418" i="20"/>
  <c r="O418" i="20"/>
  <c r="P307" i="20"/>
  <c r="O307" i="20"/>
  <c r="O285" i="20"/>
  <c r="P285" i="20"/>
  <c r="O213" i="20"/>
  <c r="P213" i="20"/>
  <c r="O85" i="20"/>
  <c r="P85" i="20"/>
  <c r="O151" i="20"/>
  <c r="P151" i="20"/>
  <c r="O305" i="20"/>
  <c r="P305" i="20"/>
  <c r="O53" i="20"/>
  <c r="P53" i="20"/>
  <c r="P289" i="20"/>
  <c r="O289" i="20"/>
  <c r="P131" i="20"/>
  <c r="O131" i="20"/>
  <c r="O135" i="20"/>
  <c r="P135" i="20"/>
  <c r="O447" i="20"/>
  <c r="P447" i="20"/>
  <c r="O381" i="20"/>
  <c r="P381" i="20"/>
  <c r="P330" i="20"/>
  <c r="O330" i="20"/>
  <c r="P157" i="20"/>
  <c r="O157" i="20"/>
  <c r="O137" i="20"/>
  <c r="P137" i="20"/>
  <c r="P147" i="20"/>
  <c r="O147" i="20"/>
  <c r="O454" i="20"/>
  <c r="P454" i="20"/>
  <c r="O209" i="20"/>
  <c r="P209" i="20"/>
  <c r="P302" i="20"/>
  <c r="O302" i="20"/>
  <c r="O359" i="20"/>
  <c r="P359" i="20"/>
  <c r="O11" i="20"/>
  <c r="P11" i="20"/>
  <c r="O149" i="20"/>
  <c r="P149" i="20"/>
  <c r="O89" i="20"/>
  <c r="P89" i="20"/>
  <c r="O109" i="20"/>
  <c r="P109" i="20"/>
  <c r="P388" i="20"/>
  <c r="O388" i="20"/>
  <c r="P34" i="20"/>
  <c r="O34" i="20"/>
  <c r="O22" i="20"/>
  <c r="P22" i="20"/>
  <c r="O327" i="20"/>
  <c r="P327" i="20"/>
  <c r="O28" i="20"/>
  <c r="P28" i="20"/>
  <c r="O176" i="20"/>
  <c r="P176" i="20"/>
  <c r="O232" i="20"/>
  <c r="P232" i="20"/>
  <c r="O416" i="20"/>
  <c r="P416" i="20"/>
  <c r="O464" i="20"/>
  <c r="P464" i="20"/>
  <c r="O303" i="20"/>
  <c r="P303" i="20"/>
  <c r="O284" i="20"/>
  <c r="P284" i="20"/>
  <c r="O348" i="20"/>
  <c r="P348" i="20"/>
  <c r="O274" i="10"/>
  <c r="N274" i="10"/>
  <c r="P226" i="20"/>
  <c r="O226" i="20"/>
  <c r="O316" i="20"/>
  <c r="P316" i="20"/>
  <c r="P389" i="20"/>
  <c r="O389" i="20"/>
  <c r="O275" i="20"/>
  <c r="P275" i="20"/>
  <c r="O504" i="20"/>
  <c r="P504" i="20"/>
  <c r="O423" i="20"/>
  <c r="P423" i="20"/>
  <c r="O491" i="20"/>
  <c r="P491" i="20"/>
  <c r="O182" i="20"/>
  <c r="P182" i="20"/>
  <c r="O90" i="20"/>
  <c r="P90" i="20"/>
  <c r="O94" i="20"/>
  <c r="P94" i="20"/>
  <c r="O494" i="20"/>
  <c r="P494" i="20"/>
  <c r="O64" i="20"/>
  <c r="P64" i="20"/>
  <c r="O319" i="20"/>
  <c r="P319" i="20"/>
  <c r="P5" i="20"/>
  <c r="O5" i="20"/>
  <c r="P68" i="20"/>
  <c r="O68" i="20"/>
  <c r="P377" i="20"/>
  <c r="O377" i="20"/>
  <c r="P425" i="20"/>
  <c r="O425" i="20"/>
  <c r="P216" i="20"/>
  <c r="O216" i="20"/>
  <c r="O380" i="20"/>
  <c r="P380" i="20"/>
  <c r="O10" i="20"/>
  <c r="P10" i="20"/>
  <c r="M91" i="12"/>
  <c r="L98" i="12"/>
  <c r="S204" i="11"/>
  <c r="N199" i="5"/>
  <c r="L633" i="11"/>
  <c r="M633" i="11" s="1"/>
  <c r="N368" i="10"/>
  <c r="J247" i="12"/>
  <c r="K247" i="12" s="1"/>
  <c r="L247" i="12" s="1"/>
  <c r="M527" i="5"/>
  <c r="O527" i="5" s="1"/>
  <c r="S207" i="11"/>
  <c r="M271" i="11"/>
  <c r="L93" i="12"/>
  <c r="N200" i="5"/>
  <c r="M275" i="11"/>
  <c r="N262" i="5"/>
  <c r="O262" i="5"/>
  <c r="O259" i="5"/>
  <c r="N259" i="5"/>
  <c r="O263" i="5"/>
  <c r="N263" i="5"/>
  <c r="N206" i="11"/>
  <c r="S270" i="11"/>
  <c r="M270" i="11"/>
  <c r="O265" i="5"/>
  <c r="N265" i="5"/>
  <c r="N261" i="5"/>
  <c r="O261" i="5"/>
  <c r="L79" i="12"/>
  <c r="M79" i="12"/>
  <c r="S206" i="11"/>
  <c r="N279" i="5"/>
  <c r="O279" i="5"/>
  <c r="S274" i="11"/>
  <c r="S281" i="11"/>
  <c r="M281" i="11"/>
  <c r="O274" i="11"/>
  <c r="N445" i="10"/>
  <c r="N404" i="5"/>
  <c r="S656" i="11"/>
  <c r="N656" i="11"/>
  <c r="N73" i="10"/>
  <c r="O345" i="10"/>
  <c r="O276" i="10"/>
  <c r="O171" i="10"/>
  <c r="O32" i="10"/>
  <c r="O61" i="10"/>
  <c r="O365" i="10"/>
  <c r="N21" i="10"/>
  <c r="O401" i="10"/>
  <c r="N170" i="10"/>
  <c r="O341" i="10"/>
  <c r="N296" i="10"/>
  <c r="O146" i="10"/>
  <c r="O240" i="10"/>
  <c r="O436" i="10"/>
  <c r="N64" i="10"/>
  <c r="N134" i="10"/>
  <c r="N520" i="10"/>
  <c r="O255" i="10"/>
  <c r="O304" i="10"/>
  <c r="O372" i="10"/>
  <c r="O314" i="10"/>
  <c r="N384" i="10"/>
  <c r="O366" i="10"/>
  <c r="O192" i="10"/>
  <c r="N363" i="10"/>
  <c r="O406" i="10"/>
  <c r="N472" i="10"/>
  <c r="O398" i="10"/>
  <c r="O449" i="10"/>
  <c r="N122" i="5"/>
  <c r="N498" i="10"/>
  <c r="O31" i="10"/>
  <c r="O277" i="10"/>
  <c r="O195" i="10"/>
  <c r="N439" i="10"/>
  <c r="O266" i="10"/>
  <c r="N411" i="10"/>
  <c r="N426" i="10"/>
  <c r="N212" i="10"/>
  <c r="O212" i="10"/>
  <c r="O421" i="10"/>
  <c r="N421" i="10"/>
  <c r="O358" i="10"/>
  <c r="N358" i="10"/>
  <c r="N46" i="10"/>
  <c r="O46" i="10"/>
  <c r="N322" i="10"/>
  <c r="O322" i="10"/>
  <c r="O402" i="10"/>
  <c r="N402" i="10"/>
  <c r="N340" i="10"/>
  <c r="O340" i="10"/>
  <c r="O30" i="10"/>
  <c r="N30" i="10"/>
  <c r="O22" i="10"/>
  <c r="N22" i="10"/>
  <c r="N448" i="10"/>
  <c r="O448" i="10"/>
  <c r="O335" i="10"/>
  <c r="N335" i="10"/>
  <c r="O441" i="10"/>
  <c r="N441" i="10"/>
  <c r="N77" i="11"/>
  <c r="O77" i="11"/>
  <c r="O651" i="5"/>
  <c r="N651" i="5"/>
  <c r="N477" i="5"/>
  <c r="O477" i="5"/>
  <c r="O574" i="5"/>
  <c r="N574" i="5"/>
  <c r="N104" i="5"/>
  <c r="O104" i="5"/>
  <c r="N112" i="5"/>
  <c r="O112" i="5"/>
  <c r="N520" i="5"/>
  <c r="O520" i="5"/>
  <c r="N116" i="5"/>
  <c r="O116" i="5"/>
  <c r="N88" i="5"/>
  <c r="O88" i="5"/>
  <c r="O389" i="5"/>
  <c r="N389" i="5"/>
  <c r="N117" i="5"/>
  <c r="O117" i="5"/>
  <c r="N211" i="5"/>
  <c r="O211" i="5"/>
  <c r="N201" i="5"/>
  <c r="O201" i="5"/>
  <c r="O212" i="5"/>
  <c r="N212" i="5"/>
  <c r="O439" i="5"/>
  <c r="N439" i="5"/>
  <c r="O11" i="5"/>
  <c r="N11" i="5"/>
  <c r="N31" i="5"/>
  <c r="O31" i="5"/>
  <c r="O145" i="5"/>
  <c r="N145" i="5"/>
  <c r="O603" i="5"/>
  <c r="N603" i="5"/>
  <c r="O652" i="5"/>
  <c r="N652" i="5"/>
  <c r="O151" i="5"/>
  <c r="N151" i="5"/>
  <c r="N39" i="5"/>
  <c r="O39" i="5"/>
  <c r="N50" i="5"/>
  <c r="O50" i="5"/>
  <c r="N434" i="5"/>
  <c r="O434" i="5"/>
  <c r="N3" i="5"/>
  <c r="O3" i="5"/>
  <c r="N625" i="5"/>
  <c r="O625" i="5"/>
  <c r="O18" i="5"/>
  <c r="N18" i="5"/>
  <c r="N23" i="5"/>
  <c r="O23" i="5"/>
  <c r="M122" i="11"/>
  <c r="S122" i="11"/>
  <c r="N15" i="10"/>
  <c r="O15" i="10"/>
  <c r="N451" i="5"/>
  <c r="O451" i="5"/>
  <c r="N197" i="10"/>
  <c r="O197" i="10"/>
  <c r="M115" i="12"/>
  <c r="L115" i="12"/>
  <c r="M107" i="11"/>
  <c r="S107" i="11"/>
  <c r="S447" i="11"/>
  <c r="M447" i="11"/>
  <c r="N376" i="10"/>
  <c r="O376" i="10"/>
  <c r="N369" i="10"/>
  <c r="O369" i="10"/>
  <c r="O433" i="10"/>
  <c r="N433" i="10"/>
  <c r="M130" i="11"/>
  <c r="O130" i="11" s="1"/>
  <c r="S130" i="11"/>
  <c r="O319" i="10"/>
  <c r="N319" i="10"/>
  <c r="M446" i="11"/>
  <c r="S446" i="11"/>
  <c r="M334" i="11"/>
  <c r="O334" i="11" s="1"/>
  <c r="S334" i="11"/>
  <c r="M420" i="11"/>
  <c r="N420" i="11" s="1"/>
  <c r="S420" i="11"/>
  <c r="M409" i="11"/>
  <c r="S409" i="11"/>
  <c r="N277" i="5"/>
  <c r="O277" i="5"/>
  <c r="O57" i="10"/>
  <c r="N57" i="10"/>
  <c r="N275" i="5"/>
  <c r="O275" i="5"/>
  <c r="N58" i="10"/>
  <c r="O58" i="10"/>
  <c r="N283" i="5"/>
  <c r="O283" i="5"/>
  <c r="N172" i="10"/>
  <c r="O172" i="10"/>
  <c r="M423" i="11"/>
  <c r="S423" i="11"/>
  <c r="M553" i="11"/>
  <c r="S553" i="11"/>
  <c r="M130" i="12"/>
  <c r="L130" i="12"/>
  <c r="M367" i="11"/>
  <c r="S367" i="11"/>
  <c r="N219" i="10"/>
  <c r="O219" i="10"/>
  <c r="N286" i="10"/>
  <c r="O286" i="10"/>
  <c r="O165" i="10"/>
  <c r="N165" i="10"/>
  <c r="M33" i="11"/>
  <c r="S33" i="11"/>
  <c r="M34" i="11"/>
  <c r="S34" i="11"/>
  <c r="M78" i="12"/>
  <c r="L78" i="12"/>
  <c r="N519" i="10"/>
  <c r="O519" i="10"/>
  <c r="M626" i="11"/>
  <c r="S626" i="11"/>
  <c r="N450" i="10"/>
  <c r="O450" i="10"/>
  <c r="M227" i="12"/>
  <c r="L227" i="12"/>
  <c r="N501" i="10"/>
  <c r="O501" i="10"/>
  <c r="S506" i="11"/>
  <c r="M506" i="11"/>
  <c r="N5" i="10"/>
  <c r="O5" i="10"/>
  <c r="S186" i="11"/>
  <c r="M186" i="11"/>
  <c r="M332" i="11"/>
  <c r="S332" i="11"/>
  <c r="M293" i="11"/>
  <c r="S293" i="11"/>
  <c r="L123" i="12"/>
  <c r="M123" i="12"/>
  <c r="M374" i="11"/>
  <c r="S374" i="11"/>
  <c r="M387" i="11"/>
  <c r="S387" i="11"/>
  <c r="M214" i="11"/>
  <c r="S214" i="11"/>
  <c r="O575" i="5"/>
  <c r="N575" i="5"/>
  <c r="O430" i="10"/>
  <c r="N430" i="10"/>
  <c r="O276" i="5"/>
  <c r="N276" i="5"/>
  <c r="M500" i="11"/>
  <c r="S500" i="11"/>
  <c r="N403" i="10"/>
  <c r="O403" i="10"/>
  <c r="M405" i="11"/>
  <c r="S405" i="11"/>
  <c r="L204" i="12"/>
  <c r="M204" i="12"/>
  <c r="L215" i="12"/>
  <c r="M215" i="12"/>
  <c r="L264" i="12"/>
  <c r="M264" i="12"/>
  <c r="M17" i="11"/>
  <c r="S17" i="11"/>
  <c r="L169" i="12"/>
  <c r="M169" i="12"/>
  <c r="N326" i="10"/>
  <c r="O326" i="10"/>
  <c r="M128" i="11"/>
  <c r="S128" i="11"/>
  <c r="M220" i="11"/>
  <c r="S220" i="11"/>
  <c r="S416" i="11"/>
  <c r="M416" i="11"/>
  <c r="M24" i="11"/>
  <c r="S24" i="11"/>
  <c r="O420" i="10"/>
  <c r="N420" i="10"/>
  <c r="M521" i="11"/>
  <c r="S521" i="11"/>
  <c r="O87" i="10"/>
  <c r="N87" i="10"/>
  <c r="O94" i="10"/>
  <c r="N94" i="10"/>
  <c r="N232" i="10"/>
  <c r="O232" i="10"/>
  <c r="N259" i="10"/>
  <c r="O259" i="10"/>
  <c r="N283" i="10"/>
  <c r="O283" i="10"/>
  <c r="N333" i="10"/>
  <c r="O333" i="10"/>
  <c r="O79" i="10"/>
  <c r="N79" i="10"/>
  <c r="O400" i="10"/>
  <c r="N400" i="10"/>
  <c r="O382" i="10"/>
  <c r="N382" i="10"/>
  <c r="O70" i="10"/>
  <c r="N70" i="10"/>
  <c r="O233" i="10"/>
  <c r="N233" i="10"/>
  <c r="N63" i="10"/>
  <c r="O63" i="10"/>
  <c r="N378" i="10"/>
  <c r="O378" i="10"/>
  <c r="N78" i="10"/>
  <c r="O78" i="10"/>
  <c r="O361" i="10"/>
  <c r="N361" i="10"/>
  <c r="N77" i="10"/>
  <c r="O77" i="10"/>
  <c r="O81" i="10"/>
  <c r="N81" i="10"/>
  <c r="N317" i="10"/>
  <c r="O317" i="10"/>
  <c r="N161" i="10"/>
  <c r="O161" i="10"/>
  <c r="N263" i="10"/>
  <c r="O263" i="10"/>
  <c r="O82" i="10"/>
  <c r="N82" i="10"/>
  <c r="N97" i="10"/>
  <c r="O97" i="10"/>
  <c r="N139" i="10"/>
  <c r="O139" i="10"/>
  <c r="N140" i="10"/>
  <c r="O140" i="10"/>
  <c r="O132" i="10"/>
  <c r="N132" i="10"/>
  <c r="N167" i="10"/>
  <c r="O167" i="10"/>
  <c r="O460" i="10"/>
  <c r="N460" i="10"/>
  <c r="N224" i="10"/>
  <c r="O224" i="10"/>
  <c r="O141" i="10"/>
  <c r="N141" i="10"/>
  <c r="O473" i="10"/>
  <c r="N473" i="10"/>
  <c r="N310" i="10"/>
  <c r="O310" i="10"/>
  <c r="N321" i="10"/>
  <c r="O321" i="10"/>
  <c r="O285" i="10"/>
  <c r="N285" i="10"/>
  <c r="N8" i="10"/>
  <c r="O8" i="10"/>
  <c r="N19" i="10"/>
  <c r="O19" i="10"/>
  <c r="N243" i="10"/>
  <c r="O243" i="10"/>
  <c r="O292" i="10"/>
  <c r="N292" i="10"/>
  <c r="O187" i="10"/>
  <c r="N187" i="10"/>
  <c r="N490" i="10"/>
  <c r="O490" i="10"/>
  <c r="N117" i="10"/>
  <c r="O117" i="10"/>
  <c r="N488" i="10"/>
  <c r="O488" i="10"/>
  <c r="N116" i="10"/>
  <c r="O116" i="10"/>
  <c r="N105" i="10"/>
  <c r="O105" i="10"/>
  <c r="O183" i="10"/>
  <c r="N183" i="10"/>
  <c r="N34" i="10"/>
  <c r="O34" i="10"/>
  <c r="O147" i="10"/>
  <c r="N147" i="10"/>
  <c r="O462" i="10"/>
  <c r="N462" i="10"/>
  <c r="O279" i="10"/>
  <c r="N279" i="10"/>
  <c r="O176" i="10"/>
  <c r="N176" i="10"/>
  <c r="O3" i="10"/>
  <c r="N3" i="10"/>
  <c r="N432" i="10"/>
  <c r="O432" i="10"/>
  <c r="N415" i="10"/>
  <c r="O415" i="10"/>
  <c r="O466" i="10"/>
  <c r="N466" i="10"/>
  <c r="N137" i="10"/>
  <c r="O137" i="10"/>
  <c r="N189" i="10"/>
  <c r="O189" i="10"/>
  <c r="N208" i="10"/>
  <c r="O208" i="10"/>
  <c r="O476" i="10"/>
  <c r="N476" i="10"/>
  <c r="N287" i="10"/>
  <c r="O287" i="10"/>
  <c r="O504" i="10"/>
  <c r="N504" i="10"/>
  <c r="N13" i="10"/>
  <c r="O13" i="10"/>
  <c r="O284" i="10"/>
  <c r="N284" i="10"/>
  <c r="O120" i="10"/>
  <c r="N120" i="10"/>
  <c r="O294" i="10"/>
  <c r="N294" i="10"/>
  <c r="N500" i="10"/>
  <c r="O500" i="10"/>
  <c r="N309" i="10"/>
  <c r="O309" i="10"/>
  <c r="M80" i="12"/>
  <c r="L80" i="12"/>
  <c r="M425" i="11"/>
  <c r="O425" i="11" s="1"/>
  <c r="O414" i="5"/>
  <c r="O495" i="5"/>
  <c r="N495" i="5"/>
  <c r="L19" i="12"/>
  <c r="S115" i="11"/>
  <c r="M14" i="12"/>
  <c r="N30" i="11"/>
  <c r="N25" i="11"/>
  <c r="N403" i="5"/>
  <c r="S25" i="11"/>
  <c r="L18" i="12"/>
  <c r="N115" i="11"/>
  <c r="N312" i="5"/>
  <c r="L15" i="12"/>
  <c r="O312" i="5"/>
  <c r="N542" i="5"/>
  <c r="O542" i="5"/>
  <c r="O552" i="5"/>
  <c r="O308" i="5"/>
  <c r="N615" i="5"/>
  <c r="N552" i="5"/>
  <c r="N308" i="5"/>
  <c r="N111" i="5"/>
  <c r="M16" i="12"/>
  <c r="N414" i="5"/>
  <c r="S302" i="11"/>
  <c r="N29" i="11"/>
  <c r="S30" i="11"/>
  <c r="S29" i="11"/>
  <c r="N415" i="5"/>
  <c r="O415" i="5"/>
  <c r="N302" i="11"/>
  <c r="M9" i="12"/>
  <c r="O111" i="5"/>
  <c r="S569" i="11"/>
  <c r="N450" i="5"/>
  <c r="O450" i="5"/>
  <c r="N185" i="5"/>
  <c r="S323" i="11"/>
  <c r="O615" i="5"/>
  <c r="N323" i="11"/>
  <c r="O569" i="11"/>
  <c r="M103" i="11"/>
  <c r="N103" i="11" s="1"/>
  <c r="O185" i="5"/>
  <c r="N295" i="5"/>
  <c r="N41" i="5"/>
  <c r="O128" i="5"/>
  <c r="N602" i="5"/>
  <c r="N490" i="5"/>
  <c r="O467" i="5"/>
  <c r="O352" i="5"/>
  <c r="N436" i="5"/>
  <c r="N193" i="5"/>
  <c r="N343" i="5"/>
  <c r="N334" i="5"/>
  <c r="O508" i="5"/>
  <c r="O569" i="5"/>
  <c r="N577" i="5"/>
  <c r="O479" i="5"/>
  <c r="O582" i="5"/>
  <c r="O518" i="5"/>
  <c r="O336" i="5"/>
  <c r="N486" i="5"/>
  <c r="N28" i="5"/>
  <c r="N351" i="5"/>
  <c r="N364" i="5"/>
  <c r="O315" i="5"/>
  <c r="N329" i="5"/>
  <c r="N643" i="5"/>
  <c r="O514" i="5"/>
  <c r="O94" i="5"/>
  <c r="O29" i="5"/>
  <c r="N379" i="5"/>
  <c r="N592" i="5"/>
  <c r="O535" i="5"/>
  <c r="O568" i="5"/>
  <c r="O161" i="5"/>
  <c r="N191" i="5"/>
  <c r="N14" i="5"/>
  <c r="O588" i="5"/>
  <c r="N139" i="5"/>
  <c r="N556" i="5"/>
  <c r="O359" i="5"/>
  <c r="O426" i="5"/>
  <c r="N629" i="5"/>
  <c r="O610" i="5"/>
  <c r="N388" i="5"/>
  <c r="O474" i="5"/>
  <c r="N105" i="5"/>
  <c r="O85" i="5"/>
  <c r="O374" i="5"/>
  <c r="O409" i="5"/>
  <c r="O541" i="5"/>
  <c r="O555" i="5"/>
  <c r="O664" i="5"/>
  <c r="O460" i="5"/>
  <c r="O202" i="5"/>
  <c r="O187" i="5"/>
  <c r="N622" i="5"/>
  <c r="O32" i="5"/>
  <c r="N206" i="5"/>
  <c r="O626" i="5"/>
  <c r="O33" i="5"/>
  <c r="N194" i="5"/>
  <c r="N658" i="5"/>
  <c r="N530" i="5"/>
  <c r="O40" i="5"/>
  <c r="O282" i="5"/>
  <c r="N617" i="5"/>
  <c r="N330" i="5"/>
  <c r="N76" i="5"/>
  <c r="O79" i="5"/>
  <c r="O346" i="5"/>
  <c r="N17" i="5"/>
  <c r="N65" i="5"/>
  <c r="O376" i="5"/>
  <c r="N557" i="5"/>
  <c r="O319" i="5"/>
  <c r="N12" i="5"/>
  <c r="O639" i="5"/>
  <c r="N340" i="5"/>
  <c r="N357" i="5"/>
  <c r="O384" i="5"/>
  <c r="N349" i="5"/>
  <c r="O668" i="5"/>
  <c r="O134" i="5"/>
  <c r="O278" i="5"/>
  <c r="N375" i="5"/>
  <c r="N576" i="5"/>
  <c r="N100" i="5"/>
  <c r="N407" i="5"/>
  <c r="N471" i="5"/>
  <c r="N47" i="5"/>
  <c r="N619" i="5"/>
  <c r="N281" i="5"/>
  <c r="O390" i="5"/>
  <c r="N531" i="5"/>
  <c r="N487" i="5"/>
  <c r="N20" i="5"/>
  <c r="O516" i="5"/>
  <c r="N313" i="5"/>
  <c r="O323" i="5"/>
  <c r="O163" i="5"/>
  <c r="N466" i="5"/>
  <c r="O475" i="5"/>
  <c r="N483" i="5"/>
  <c r="N177" i="5"/>
  <c r="O669" i="5"/>
  <c r="N506" i="5"/>
  <c r="N515" i="5"/>
  <c r="O30" i="5"/>
  <c r="N109" i="5"/>
  <c r="O35" i="5"/>
  <c r="O7" i="5"/>
  <c r="O110" i="5"/>
  <c r="O356" i="5"/>
  <c r="O93" i="5"/>
  <c r="O481" i="5"/>
  <c r="O368" i="5"/>
  <c r="N383" i="5"/>
  <c r="N62" i="5"/>
  <c r="N494" i="5"/>
  <c r="O347" i="5"/>
  <c r="O488" i="5"/>
  <c r="N73" i="5"/>
  <c r="N156" i="5"/>
  <c r="N538" i="5"/>
  <c r="O473" i="5"/>
  <c r="N607" i="5"/>
  <c r="N386" i="5"/>
  <c r="O670" i="5"/>
  <c r="N121" i="5"/>
  <c r="O396" i="5"/>
  <c r="N548" i="5"/>
  <c r="O392" i="5"/>
  <c r="O571" i="5"/>
  <c r="N127" i="5"/>
  <c r="N350" i="5"/>
  <c r="O54" i="5"/>
  <c r="N21" i="5"/>
  <c r="N644" i="5"/>
  <c r="O361" i="5"/>
  <c r="O442" i="5"/>
  <c r="O484" i="5"/>
  <c r="N358" i="5"/>
  <c r="N119" i="5"/>
  <c r="N51" i="5"/>
  <c r="O6" i="5"/>
  <c r="O591" i="5"/>
  <c r="N534" i="5"/>
  <c r="N89" i="5"/>
  <c r="N345" i="5"/>
  <c r="O196" i="5"/>
  <c r="N433" i="5"/>
  <c r="N511" i="5"/>
  <c r="O96" i="5"/>
  <c r="N578" i="5"/>
  <c r="N431" i="5"/>
  <c r="N306" i="5"/>
  <c r="O463" i="5"/>
  <c r="N75" i="5"/>
  <c r="N597" i="5"/>
  <c r="N326" i="5"/>
  <c r="N154" i="5"/>
  <c r="O180" i="5"/>
  <c r="N299" i="5"/>
  <c r="N647" i="5"/>
  <c r="O468" i="5"/>
  <c r="N503" i="5"/>
  <c r="O443" i="5"/>
  <c r="O179" i="5"/>
  <c r="N129" i="5"/>
  <c r="N325" i="5"/>
  <c r="N417" i="5"/>
  <c r="O596" i="5"/>
  <c r="O437" i="5"/>
  <c r="O465" i="5"/>
  <c r="N616" i="5"/>
  <c r="O400" i="5"/>
  <c r="N655" i="5"/>
  <c r="O373" i="5"/>
  <c r="N148" i="5"/>
  <c r="N587" i="5"/>
  <c r="N501" i="5"/>
  <c r="O332" i="5"/>
  <c r="O454" i="5"/>
  <c r="N470" i="5"/>
  <c r="N573" i="5"/>
  <c r="O649" i="5"/>
  <c r="O549" i="5"/>
  <c r="N398" i="5"/>
  <c r="N37" i="5"/>
  <c r="N297" i="5"/>
  <c r="N562" i="5"/>
  <c r="O363" i="5"/>
  <c r="N135" i="5"/>
  <c r="O628" i="5"/>
  <c r="O452" i="5"/>
  <c r="N665" i="5"/>
  <c r="O370" i="5"/>
  <c r="O478" i="5"/>
  <c r="O546" i="5"/>
  <c r="N280" i="5"/>
  <c r="N553" i="5"/>
  <c r="O504" i="5"/>
  <c r="O537" i="5"/>
  <c r="N489" i="5"/>
  <c r="N645" i="5"/>
  <c r="O609" i="5"/>
  <c r="O210" i="5"/>
  <c r="N457" i="5"/>
  <c r="N5" i="5"/>
  <c r="O160" i="5"/>
  <c r="O445" i="5"/>
  <c r="O570" i="5"/>
  <c r="O61" i="5"/>
  <c r="O381" i="5"/>
  <c r="O80" i="5"/>
  <c r="O646" i="5"/>
  <c r="N86" i="5"/>
  <c r="N521" i="5"/>
  <c r="O605" i="5"/>
  <c r="O606" i="5"/>
  <c r="O314" i="5"/>
  <c r="O641" i="5"/>
  <c r="N114" i="5"/>
  <c r="N91" i="5"/>
  <c r="O601" i="5"/>
  <c r="O67" i="5"/>
  <c r="N544" i="5"/>
  <c r="N543" i="5"/>
  <c r="N118" i="5"/>
  <c r="N469" i="5"/>
  <c r="N205" i="5"/>
  <c r="N58" i="5"/>
  <c r="N634" i="5"/>
  <c r="O115" i="5"/>
  <c r="O525" i="5"/>
  <c r="O618" i="5"/>
  <c r="N190" i="5"/>
  <c r="O213" i="5"/>
  <c r="O92" i="5"/>
  <c r="O107" i="5"/>
  <c r="N320" i="5"/>
  <c r="N360" i="5"/>
  <c r="O303" i="5"/>
  <c r="N397" i="5"/>
  <c r="N87" i="5"/>
  <c r="O126" i="5"/>
  <c r="O659" i="5"/>
  <c r="O367" i="5"/>
  <c r="O505" i="5"/>
  <c r="N354" i="5"/>
  <c r="O435" i="5"/>
  <c r="N99" i="5"/>
  <c r="N344" i="5"/>
  <c r="N636" i="5"/>
  <c r="N492" i="5"/>
  <c r="O337" i="5"/>
  <c r="N377" i="5"/>
  <c r="N339" i="5"/>
  <c r="N322" i="5"/>
  <c r="O26" i="5"/>
  <c r="O203" i="5"/>
  <c r="O560" i="5"/>
  <c r="N496" i="5"/>
  <c r="O438" i="5"/>
  <c r="O327" i="5"/>
  <c r="O331" i="5"/>
  <c r="O657" i="5"/>
  <c r="N394" i="5"/>
  <c r="O423" i="5"/>
  <c r="N342" i="5"/>
  <c r="N539" i="5"/>
  <c r="N611" i="5"/>
  <c r="N650" i="5"/>
  <c r="O140" i="5"/>
  <c r="O648" i="5"/>
  <c r="N123" i="5"/>
  <c r="N427" i="5"/>
  <c r="N663" i="5"/>
  <c r="N666" i="5"/>
  <c r="N498" i="5"/>
  <c r="O81" i="5"/>
  <c r="N324" i="5"/>
  <c r="N164" i="5"/>
  <c r="O441" i="5"/>
  <c r="N559" i="5"/>
  <c r="N464" i="5"/>
  <c r="O580" i="5"/>
  <c r="N278" i="5"/>
  <c r="N627" i="5"/>
  <c r="N141" i="5"/>
  <c r="M138" i="11"/>
  <c r="N138" i="11" s="1"/>
  <c r="M57" i="12"/>
  <c r="N336" i="11"/>
  <c r="N104" i="11"/>
  <c r="N372" i="11"/>
  <c r="O363" i="11"/>
  <c r="M187" i="12"/>
  <c r="S336" i="11"/>
  <c r="S372" i="11"/>
  <c r="M202" i="12"/>
  <c r="O162" i="5"/>
  <c r="M32" i="12"/>
  <c r="S363" i="11"/>
  <c r="N591" i="11"/>
  <c r="L190" i="12"/>
  <c r="L38" i="12"/>
  <c r="O157" i="5"/>
  <c r="M239" i="12"/>
  <c r="O360" i="11"/>
  <c r="S522" i="11"/>
  <c r="N522" i="11"/>
  <c r="S511" i="11"/>
  <c r="O325" i="5"/>
  <c r="L29" i="12"/>
  <c r="N181" i="11"/>
  <c r="S104" i="11"/>
  <c r="N511" i="11"/>
  <c r="S591" i="11"/>
  <c r="S181" i="11"/>
  <c r="O483" i="5"/>
  <c r="O543" i="5"/>
  <c r="O91" i="11"/>
  <c r="N619" i="11"/>
  <c r="O368" i="11"/>
  <c r="S619" i="11"/>
  <c r="O199" i="11"/>
  <c r="O219" i="5"/>
  <c r="S386" i="11"/>
  <c r="N572" i="11"/>
  <c r="O573" i="5"/>
  <c r="O534" i="5"/>
  <c r="S572" i="11"/>
  <c r="N591" i="5"/>
  <c r="M396" i="11"/>
  <c r="O396" i="11" s="1"/>
  <c r="N144" i="11"/>
  <c r="O544" i="5"/>
  <c r="S144" i="11"/>
  <c r="M121" i="12"/>
  <c r="N601" i="11"/>
  <c r="N192" i="11"/>
  <c r="O386" i="11"/>
  <c r="M244" i="12"/>
  <c r="S91" i="11"/>
  <c r="N210" i="5"/>
  <c r="O129" i="5"/>
  <c r="O142" i="5"/>
  <c r="O218" i="5"/>
  <c r="O91" i="5"/>
  <c r="N657" i="5"/>
  <c r="O667" i="11"/>
  <c r="O397" i="5"/>
  <c r="S192" i="11"/>
  <c r="N408" i="11"/>
  <c r="O139" i="11"/>
  <c r="S360" i="11"/>
  <c r="N641" i="5"/>
  <c r="S349" i="11"/>
  <c r="L131" i="12"/>
  <c r="S601" i="11"/>
  <c r="N514" i="5"/>
  <c r="M30" i="12"/>
  <c r="M168" i="12"/>
  <c r="N670" i="5"/>
  <c r="M106" i="12"/>
  <c r="O206" i="5"/>
  <c r="N349" i="11"/>
  <c r="O215" i="11"/>
  <c r="N110" i="11"/>
  <c r="O443" i="11"/>
  <c r="O109" i="11"/>
  <c r="S215" i="11"/>
  <c r="L217" i="12"/>
  <c r="N179" i="5"/>
  <c r="L68" i="12"/>
  <c r="S667" i="11"/>
  <c r="N476" i="11"/>
  <c r="S110" i="11"/>
  <c r="S476" i="11"/>
  <c r="O193" i="11"/>
  <c r="N134" i="5"/>
  <c r="S193" i="11"/>
  <c r="N668" i="5"/>
  <c r="M152" i="12"/>
  <c r="O421" i="11"/>
  <c r="O622" i="5"/>
  <c r="O618" i="11"/>
  <c r="L92" i="12"/>
  <c r="S421" i="11"/>
  <c r="N32" i="5"/>
  <c r="M644" i="11"/>
  <c r="O644" i="11" s="1"/>
  <c r="M141" i="12"/>
  <c r="M147" i="12"/>
  <c r="N426" i="11"/>
  <c r="L53" i="12"/>
  <c r="N589" i="11"/>
  <c r="M182" i="12"/>
  <c r="S426" i="11"/>
  <c r="O9" i="5"/>
  <c r="O114" i="5"/>
  <c r="L189" i="12"/>
  <c r="M206" i="12"/>
  <c r="L226" i="12"/>
  <c r="O349" i="5"/>
  <c r="O307" i="5"/>
  <c r="M477" i="11"/>
  <c r="O477" i="11" s="1"/>
  <c r="N6" i="5"/>
  <c r="S139" i="11"/>
  <c r="N67" i="5"/>
  <c r="N327" i="5"/>
  <c r="S325" i="11"/>
  <c r="M145" i="12"/>
  <c r="O469" i="11"/>
  <c r="S370" i="11"/>
  <c r="S469" i="11"/>
  <c r="M86" i="12"/>
  <c r="L117" i="12"/>
  <c r="N169" i="5"/>
  <c r="N208" i="11"/>
  <c r="N609" i="5"/>
  <c r="N331" i="5"/>
  <c r="N346" i="11"/>
  <c r="N475" i="5"/>
  <c r="O286" i="11"/>
  <c r="S286" i="11"/>
  <c r="S199" i="11"/>
  <c r="O466" i="5"/>
  <c r="S443" i="11"/>
  <c r="O4" i="5"/>
  <c r="S368" i="11"/>
  <c r="O325" i="11"/>
  <c r="O386" i="5"/>
  <c r="N155" i="5"/>
  <c r="S346" i="11"/>
  <c r="S618" i="11"/>
  <c r="S515" i="11"/>
  <c r="N303" i="5"/>
  <c r="O320" i="5"/>
  <c r="S440" i="11"/>
  <c r="M549" i="11"/>
  <c r="O549" i="11" s="1"/>
  <c r="S594" i="11"/>
  <c r="L163" i="12"/>
  <c r="N440" i="11"/>
  <c r="O515" i="11"/>
  <c r="S589" i="11"/>
  <c r="O370" i="11"/>
  <c r="S109" i="11"/>
  <c r="O360" i="5"/>
  <c r="N454" i="5"/>
  <c r="O470" i="5"/>
  <c r="N601" i="5"/>
  <c r="N580" i="5"/>
  <c r="S208" i="11"/>
  <c r="S408" i="11"/>
  <c r="M216" i="11"/>
  <c r="N216" i="11" s="1"/>
  <c r="N443" i="5"/>
  <c r="L129" i="12"/>
  <c r="N568" i="5"/>
  <c r="M221" i="11"/>
  <c r="O221" i="11" s="1"/>
  <c r="N438" i="5"/>
  <c r="L90" i="12"/>
  <c r="M78" i="11"/>
  <c r="S78" i="11"/>
  <c r="N405" i="5"/>
  <c r="O405" i="5"/>
  <c r="M203" i="11"/>
  <c r="S203" i="11"/>
  <c r="O197" i="5"/>
  <c r="N197" i="5"/>
  <c r="M205" i="11"/>
  <c r="S205" i="11"/>
  <c r="N328" i="5"/>
  <c r="O328" i="5"/>
  <c r="M516" i="11"/>
  <c r="N516" i="11" s="1"/>
  <c r="O645" i="5"/>
  <c r="M640" i="11"/>
  <c r="O640" i="11" s="1"/>
  <c r="N384" i="5"/>
  <c r="N314" i="5"/>
  <c r="M527" i="11"/>
  <c r="N527" i="11" s="1"/>
  <c r="S414" i="11"/>
  <c r="N152" i="11"/>
  <c r="L143" i="12"/>
  <c r="N606" i="5"/>
  <c r="M231" i="11"/>
  <c r="N231" i="11" s="1"/>
  <c r="M70" i="12"/>
  <c r="O554" i="11"/>
  <c r="N599" i="5"/>
  <c r="N382" i="11"/>
  <c r="M227" i="11"/>
  <c r="O227" i="11" s="1"/>
  <c r="N539" i="11"/>
  <c r="M627" i="11"/>
  <c r="O627" i="11" s="1"/>
  <c r="S462" i="11"/>
  <c r="M392" i="11"/>
  <c r="N392" i="11" s="1"/>
  <c r="M119" i="12"/>
  <c r="N202" i="5"/>
  <c r="N567" i="11"/>
  <c r="S170" i="11"/>
  <c r="N546" i="5"/>
  <c r="M611" i="11"/>
  <c r="N611" i="11" s="1"/>
  <c r="N116" i="11"/>
  <c r="N145" i="11"/>
  <c r="L246" i="12"/>
  <c r="S539" i="11"/>
  <c r="L263" i="12"/>
  <c r="N345" i="11"/>
  <c r="O280" i="5"/>
  <c r="O286" i="5"/>
  <c r="M216" i="12"/>
  <c r="N455" i="11"/>
  <c r="L183" i="12"/>
  <c r="N473" i="5"/>
  <c r="O167" i="11"/>
  <c r="O538" i="5"/>
  <c r="O170" i="11"/>
  <c r="N213" i="11"/>
  <c r="N428" i="11"/>
  <c r="S504" i="11"/>
  <c r="N228" i="11"/>
  <c r="M46" i="11"/>
  <c r="N46" i="11" s="1"/>
  <c r="O315" i="11"/>
  <c r="O51" i="5"/>
  <c r="L250" i="12"/>
  <c r="S345" i="11"/>
  <c r="S535" i="11"/>
  <c r="O590" i="11"/>
  <c r="M22" i="11"/>
  <c r="N22" i="11" s="1"/>
  <c r="O178" i="5"/>
  <c r="N639" i="5"/>
  <c r="O501" i="5"/>
  <c r="M37" i="12"/>
  <c r="L52" i="12"/>
  <c r="N496" i="11"/>
  <c r="N605" i="5"/>
  <c r="N213" i="5"/>
  <c r="O329" i="5"/>
  <c r="S145" i="11"/>
  <c r="L118" i="12"/>
  <c r="O548" i="11"/>
  <c r="O360" i="10"/>
  <c r="L113" i="12"/>
  <c r="N381" i="11"/>
  <c r="O358" i="5"/>
  <c r="N504" i="11"/>
  <c r="S590" i="11"/>
  <c r="O102" i="11"/>
  <c r="N285" i="11"/>
  <c r="M646" i="11"/>
  <c r="N646" i="11" s="1"/>
  <c r="N182" i="11"/>
  <c r="O661" i="11"/>
  <c r="S510" i="11"/>
  <c r="M198" i="12"/>
  <c r="S182" i="11"/>
  <c r="S119" i="11"/>
  <c r="N300" i="5"/>
  <c r="N618" i="5"/>
  <c r="N537" i="5"/>
  <c r="N163" i="5"/>
  <c r="O631" i="5"/>
  <c r="S508" i="11"/>
  <c r="O510" i="11"/>
  <c r="O553" i="5"/>
  <c r="N114" i="11"/>
  <c r="S114" i="11"/>
  <c r="S548" i="11"/>
  <c r="O84" i="5"/>
  <c r="N92" i="5"/>
  <c r="S213" i="11"/>
  <c r="O154" i="11"/>
  <c r="N292" i="5"/>
  <c r="L209" i="12"/>
  <c r="O291" i="5"/>
  <c r="S167" i="11"/>
  <c r="S315" i="11"/>
  <c r="L108" i="12"/>
  <c r="N525" i="5"/>
  <c r="N518" i="11"/>
  <c r="N303" i="11"/>
  <c r="S459" i="11"/>
  <c r="S540" i="11"/>
  <c r="M73" i="12"/>
  <c r="O459" i="11"/>
  <c r="O340" i="5"/>
  <c r="M178" i="11"/>
  <c r="O178" i="11" s="1"/>
  <c r="N373" i="5"/>
  <c r="N323" i="5"/>
  <c r="M146" i="12"/>
  <c r="N664" i="5"/>
  <c r="N187" i="5"/>
  <c r="L51" i="12"/>
  <c r="L157" i="12"/>
  <c r="S60" i="11"/>
  <c r="N535" i="11"/>
  <c r="M652" i="11"/>
  <c r="N652" i="11" s="1"/>
  <c r="N60" i="11"/>
  <c r="O357" i="5"/>
  <c r="N540" i="11"/>
  <c r="O119" i="5"/>
  <c r="S102" i="11"/>
  <c r="N26" i="5"/>
  <c r="N201" i="11"/>
  <c r="O83" i="5"/>
  <c r="O559" i="5"/>
  <c r="M550" i="11"/>
  <c r="O550" i="11" s="1"/>
  <c r="S381" i="11"/>
  <c r="O489" i="5"/>
  <c r="M147" i="11"/>
  <c r="N147" i="11" s="1"/>
  <c r="N115" i="5"/>
  <c r="S201" i="11"/>
  <c r="S364" i="11"/>
  <c r="N180" i="5"/>
  <c r="M529" i="11"/>
  <c r="O529" i="11" s="1"/>
  <c r="N471" i="11"/>
  <c r="N452" i="11"/>
  <c r="O190" i="5"/>
  <c r="O86" i="5"/>
  <c r="M557" i="11"/>
  <c r="O557" i="11" s="1"/>
  <c r="S631" i="11"/>
  <c r="L64" i="12"/>
  <c r="O631" i="11"/>
  <c r="O612" i="11"/>
  <c r="L151" i="12"/>
  <c r="O313" i="5"/>
  <c r="S116" i="11"/>
  <c r="N160" i="11"/>
  <c r="L41" i="12"/>
  <c r="L192" i="12"/>
  <c r="S452" i="11"/>
  <c r="L153" i="12"/>
  <c r="L174" i="12"/>
  <c r="M156" i="11"/>
  <c r="N156" i="11" s="1"/>
  <c r="N468" i="5"/>
  <c r="O322" i="5"/>
  <c r="S382" i="11"/>
  <c r="O364" i="5"/>
  <c r="N442" i="5"/>
  <c r="S303" i="11"/>
  <c r="L112" i="12"/>
  <c r="O220" i="5"/>
  <c r="M545" i="11"/>
  <c r="O545" i="11" s="1"/>
  <c r="N560" i="5"/>
  <c r="O521" i="5"/>
  <c r="L262" i="12"/>
  <c r="O306" i="11"/>
  <c r="O193" i="5"/>
  <c r="O533" i="11"/>
  <c r="S154" i="11"/>
  <c r="L48" i="12"/>
  <c r="S612" i="11"/>
  <c r="S496" i="11"/>
  <c r="M100" i="11"/>
  <c r="O100" i="11" s="1"/>
  <c r="O326" i="5"/>
  <c r="N504" i="5"/>
  <c r="S661" i="11"/>
  <c r="M120" i="11"/>
  <c r="N120" i="11" s="1"/>
  <c r="L210" i="12"/>
  <c r="O655" i="5"/>
  <c r="O309" i="5"/>
  <c r="N57" i="5"/>
  <c r="N535" i="5"/>
  <c r="N119" i="11"/>
  <c r="O364" i="11"/>
  <c r="S518" i="11"/>
  <c r="N319" i="5"/>
  <c r="S428" i="11"/>
  <c r="S567" i="11"/>
  <c r="S533" i="11"/>
  <c r="O49" i="11"/>
  <c r="O12" i="5"/>
  <c r="O503" i="5"/>
  <c r="S455" i="11"/>
  <c r="O587" i="5"/>
  <c r="N332" i="5"/>
  <c r="O161" i="11"/>
  <c r="L185" i="12"/>
  <c r="M116" i="12"/>
  <c r="M188" i="11"/>
  <c r="O188" i="11" s="1"/>
  <c r="N460" i="5"/>
  <c r="O496" i="5"/>
  <c r="N478" i="5"/>
  <c r="O464" i="5"/>
  <c r="S126" i="11"/>
  <c r="O64" i="5"/>
  <c r="M127" i="12"/>
  <c r="S160" i="11"/>
  <c r="N441" i="5"/>
  <c r="L60" i="12"/>
  <c r="N318" i="11"/>
  <c r="O126" i="11"/>
  <c r="O607" i="5"/>
  <c r="O148" i="5"/>
  <c r="O63" i="5"/>
  <c r="O129" i="11"/>
  <c r="O168" i="5"/>
  <c r="N221" i="5"/>
  <c r="O154" i="5"/>
  <c r="M419" i="11"/>
  <c r="N419" i="11" s="1"/>
  <c r="L132" i="12"/>
  <c r="M42" i="12"/>
  <c r="S129" i="11"/>
  <c r="N203" i="5"/>
  <c r="O164" i="5"/>
  <c r="M223" i="12"/>
  <c r="N315" i="5"/>
  <c r="S318" i="11"/>
  <c r="O602" i="11"/>
  <c r="N107" i="5"/>
  <c r="O289" i="5"/>
  <c r="O343" i="5"/>
  <c r="S554" i="11"/>
  <c r="S600" i="11"/>
  <c r="N370" i="5"/>
  <c r="S306" i="11"/>
  <c r="O324" i="5"/>
  <c r="N293" i="5"/>
  <c r="N484" i="5"/>
  <c r="O647" i="5"/>
  <c r="O643" i="5"/>
  <c r="N600" i="11"/>
  <c r="M351" i="11"/>
  <c r="O351" i="11" s="1"/>
  <c r="O310" i="5"/>
  <c r="S285" i="11"/>
  <c r="O299" i="5"/>
  <c r="S471" i="11"/>
  <c r="O508" i="11"/>
  <c r="S161" i="11"/>
  <c r="O156" i="5"/>
  <c r="S602" i="11"/>
  <c r="O366" i="5"/>
  <c r="M645" i="11"/>
  <c r="N645" i="11" s="1"/>
  <c r="M598" i="11"/>
  <c r="O598" i="11" s="1"/>
  <c r="O557" i="5"/>
  <c r="O606" i="11"/>
  <c r="O54" i="11"/>
  <c r="O56" i="5"/>
  <c r="S561" i="11"/>
  <c r="M26" i="11"/>
  <c r="N26" i="11" s="1"/>
  <c r="O59" i="11"/>
  <c r="S543" i="11"/>
  <c r="O70" i="11"/>
  <c r="N646" i="5"/>
  <c r="O643" i="11"/>
  <c r="N371" i="5"/>
  <c r="N417" i="11"/>
  <c r="N400" i="5"/>
  <c r="O543" i="11"/>
  <c r="O289" i="11"/>
  <c r="O571" i="11"/>
  <c r="O313" i="11"/>
  <c r="N628" i="11"/>
  <c r="M71" i="11"/>
  <c r="O71" i="11" s="1"/>
  <c r="N68" i="11"/>
  <c r="O342" i="11"/>
  <c r="S628" i="11"/>
  <c r="M411" i="11"/>
  <c r="O411" i="11" s="1"/>
  <c r="S297" i="11"/>
  <c r="S73" i="11"/>
  <c r="O436" i="5"/>
  <c r="S466" i="11"/>
  <c r="N430" i="5"/>
  <c r="M357" i="11"/>
  <c r="O357" i="11" s="1"/>
  <c r="S653" i="11"/>
  <c r="N653" i="11"/>
  <c r="S610" i="11"/>
  <c r="O531" i="5"/>
  <c r="O339" i="5"/>
  <c r="O602" i="5"/>
  <c r="S451" i="11"/>
  <c r="M665" i="11"/>
  <c r="N665" i="11" s="1"/>
  <c r="M534" i="11"/>
  <c r="N534" i="11" s="1"/>
  <c r="N447" i="5"/>
  <c r="O62" i="5"/>
  <c r="M513" i="11"/>
  <c r="N513" i="11" s="1"/>
  <c r="O597" i="5"/>
  <c r="S495" i="11"/>
  <c r="N488" i="5"/>
  <c r="O495" i="11"/>
  <c r="O28" i="5"/>
  <c r="S313" i="11"/>
  <c r="O377" i="5"/>
  <c r="N347" i="5"/>
  <c r="O73" i="5"/>
  <c r="O424" i="11"/>
  <c r="S571" i="11"/>
  <c r="M410" i="11"/>
  <c r="N410" i="11" s="1"/>
  <c r="S316" i="11"/>
  <c r="N368" i="5"/>
  <c r="N467" i="5"/>
  <c r="S398" i="11"/>
  <c r="O494" i="5"/>
  <c r="N466" i="11"/>
  <c r="N610" i="11"/>
  <c r="S35" i="11"/>
  <c r="O427" i="5"/>
  <c r="O453" i="5"/>
  <c r="M520" i="11"/>
  <c r="O520" i="11" s="1"/>
  <c r="N541" i="5"/>
  <c r="S417" i="11"/>
  <c r="O58" i="5"/>
  <c r="S54" i="11"/>
  <c r="O378" i="5"/>
  <c r="N337" i="5"/>
  <c r="N381" i="5"/>
  <c r="O306" i="5"/>
  <c r="O491" i="11"/>
  <c r="N638" i="5"/>
  <c r="O20" i="5"/>
  <c r="M528" i="11"/>
  <c r="O528" i="11" s="1"/>
  <c r="O72" i="5"/>
  <c r="O75" i="5"/>
  <c r="N516" i="5"/>
  <c r="S636" i="11"/>
  <c r="O634" i="5"/>
  <c r="N636" i="11"/>
  <c r="O644" i="5"/>
  <c r="N463" i="5"/>
  <c r="M468" i="11"/>
  <c r="N468" i="11" s="1"/>
  <c r="O622" i="11"/>
  <c r="M607" i="11"/>
  <c r="N607" i="11" s="1"/>
  <c r="O665" i="5"/>
  <c r="M344" i="11"/>
  <c r="O344" i="11" s="1"/>
  <c r="S72" i="11"/>
  <c r="O74" i="11"/>
  <c r="S512" i="11"/>
  <c r="N81" i="5"/>
  <c r="S74" i="11"/>
  <c r="N512" i="11"/>
  <c r="N376" i="5"/>
  <c r="N361" i="5"/>
  <c r="M556" i="11"/>
  <c r="O556" i="11" s="1"/>
  <c r="O321" i="11"/>
  <c r="S45" i="11"/>
  <c r="O666" i="5"/>
  <c r="M319" i="11"/>
  <c r="N319" i="11" s="1"/>
  <c r="N481" i="5"/>
  <c r="M573" i="11"/>
  <c r="N573" i="11" s="1"/>
  <c r="N61" i="5"/>
  <c r="O383" i="5"/>
  <c r="M294" i="11"/>
  <c r="N294" i="11" s="1"/>
  <c r="M445" i="11"/>
  <c r="N445" i="11" s="1"/>
  <c r="O592" i="5"/>
  <c r="O498" i="5"/>
  <c r="N400" i="11"/>
  <c r="O72" i="11"/>
  <c r="M75" i="11"/>
  <c r="N75" i="11" s="1"/>
  <c r="N297" i="11"/>
  <c r="S289" i="11"/>
  <c r="S59" i="11"/>
  <c r="S606" i="11"/>
  <c r="M555" i="11"/>
  <c r="O555" i="11" s="1"/>
  <c r="O355" i="5"/>
  <c r="N355" i="5"/>
  <c r="O45" i="11"/>
  <c r="O663" i="5"/>
  <c r="N60" i="5"/>
  <c r="O60" i="5"/>
  <c r="S622" i="11"/>
  <c r="S400" i="11"/>
  <c r="N613" i="5"/>
  <c r="O613" i="5"/>
  <c r="N425" i="5"/>
  <c r="O425" i="5"/>
  <c r="M341" i="11"/>
  <c r="S341" i="11"/>
  <c r="S378" i="11"/>
  <c r="M27" i="11"/>
  <c r="S27" i="11"/>
  <c r="S431" i="11"/>
  <c r="M431" i="11"/>
  <c r="M11" i="11"/>
  <c r="O572" i="5"/>
  <c r="N572" i="5"/>
  <c r="O490" i="5"/>
  <c r="S583" i="11"/>
  <c r="S70" i="11"/>
  <c r="O487" i="5"/>
  <c r="M435" i="11"/>
  <c r="N493" i="5"/>
  <c r="O493" i="5"/>
  <c r="S28" i="11"/>
  <c r="M28" i="11"/>
  <c r="N583" i="11"/>
  <c r="N394" i="11"/>
  <c r="N409" i="5"/>
  <c r="M407" i="11"/>
  <c r="N407" i="11" s="1"/>
  <c r="M384" i="11"/>
  <c r="O384" i="11" s="1"/>
  <c r="O451" i="11"/>
  <c r="M635" i="11"/>
  <c r="N667" i="5"/>
  <c r="O667" i="5"/>
  <c r="N378" i="11"/>
  <c r="O316" i="11"/>
  <c r="N80" i="5"/>
  <c r="S321" i="11"/>
  <c r="M176" i="12"/>
  <c r="N452" i="5"/>
  <c r="S491" i="11"/>
  <c r="S68" i="11"/>
  <c r="N374" i="5"/>
  <c r="S643" i="11"/>
  <c r="O351" i="5"/>
  <c r="N352" i="5"/>
  <c r="S312" i="11"/>
  <c r="M314" i="11"/>
  <c r="S424" i="11"/>
  <c r="M52" i="11"/>
  <c r="S52" i="11"/>
  <c r="N555" i="5"/>
  <c r="O312" i="11"/>
  <c r="M76" i="11"/>
  <c r="O76" i="11" s="1"/>
  <c r="S394" i="11"/>
  <c r="O59" i="5"/>
  <c r="S342" i="11"/>
  <c r="S311" i="11"/>
  <c r="O311" i="11"/>
  <c r="M67" i="11"/>
  <c r="O67" i="11" s="1"/>
  <c r="O561" i="11"/>
  <c r="N93" i="5"/>
  <c r="N390" i="5"/>
  <c r="O21" i="5"/>
  <c r="O65" i="5"/>
  <c r="O17" i="5"/>
  <c r="O486" i="5"/>
  <c r="O7" i="11"/>
  <c r="N85" i="5"/>
  <c r="M507" i="11"/>
  <c r="O507" i="11" s="1"/>
  <c r="S7" i="11"/>
  <c r="N346" i="5"/>
  <c r="L171" i="12"/>
  <c r="O205" i="5"/>
  <c r="M53" i="11"/>
  <c r="O53" i="11" s="1"/>
  <c r="N356" i="5"/>
  <c r="M162" i="11"/>
  <c r="O162" i="11" s="1"/>
  <c r="S5" i="11"/>
  <c r="O525" i="11"/>
  <c r="O444" i="11"/>
  <c r="S444" i="11"/>
  <c r="M136" i="12"/>
  <c r="N582" i="11"/>
  <c r="S111" i="11"/>
  <c r="S582" i="11"/>
  <c r="M49" i="12"/>
  <c r="L207" i="12"/>
  <c r="S413" i="11"/>
  <c r="O413" i="11"/>
  <c r="O383" i="11"/>
  <c r="O190" i="11"/>
  <c r="M482" i="11"/>
  <c r="O482" i="11" s="1"/>
  <c r="N292" i="11"/>
  <c r="O123" i="5"/>
  <c r="O185" i="11"/>
  <c r="M71" i="12"/>
  <c r="N429" i="11"/>
  <c r="N336" i="5"/>
  <c r="O105" i="5"/>
  <c r="S429" i="11"/>
  <c r="N54" i="5"/>
  <c r="S4" i="11"/>
  <c r="O177" i="11"/>
  <c r="O4" i="11"/>
  <c r="N140" i="5"/>
  <c r="N570" i="5"/>
  <c r="S383" i="11"/>
  <c r="M12" i="12"/>
  <c r="O463" i="11"/>
  <c r="N5" i="11"/>
  <c r="L155" i="12"/>
  <c r="S185" i="11"/>
  <c r="S190" i="11"/>
  <c r="N648" i="5"/>
  <c r="O196" i="11"/>
  <c r="S196" i="11"/>
  <c r="O636" i="5"/>
  <c r="S21" i="11"/>
  <c r="M287" i="11"/>
  <c r="O287" i="11" s="1"/>
  <c r="M74" i="12"/>
  <c r="N187" i="11"/>
  <c r="M617" i="11"/>
  <c r="N617" i="11" s="1"/>
  <c r="S177" i="11"/>
  <c r="S187" i="11"/>
  <c r="N176" i="5"/>
  <c r="L135" i="12"/>
  <c r="O111" i="11"/>
  <c r="O658" i="5"/>
  <c r="L72" i="12"/>
  <c r="M200" i="11"/>
  <c r="N200" i="11" s="1"/>
  <c r="L87" i="12"/>
  <c r="M651" i="11"/>
  <c r="O651" i="11" s="1"/>
  <c r="S292" i="11"/>
  <c r="M158" i="12"/>
  <c r="N57" i="11"/>
  <c r="O431" i="5"/>
  <c r="N85" i="11"/>
  <c r="S547" i="11"/>
  <c r="O350" i="5"/>
  <c r="O21" i="11"/>
  <c r="S442" i="11"/>
  <c r="L213" i="12"/>
  <c r="M212" i="12"/>
  <c r="S525" i="11"/>
  <c r="N90" i="5"/>
  <c r="N308" i="11"/>
  <c r="S463" i="11"/>
  <c r="M458" i="11"/>
  <c r="O458" i="11" s="1"/>
  <c r="M88" i="12"/>
  <c r="O127" i="5"/>
  <c r="L83" i="12"/>
  <c r="N558" i="11"/>
  <c r="O469" i="5"/>
  <c r="L4" i="12"/>
  <c r="N445" i="5"/>
  <c r="S558" i="11"/>
  <c r="O619" i="5"/>
  <c r="N79" i="5"/>
  <c r="M595" i="11"/>
  <c r="N595" i="11" s="1"/>
  <c r="O388" i="5"/>
  <c r="N474" i="5"/>
  <c r="S57" i="11"/>
  <c r="L154" i="12"/>
  <c r="L230" i="12"/>
  <c r="S85" i="11"/>
  <c r="O616" i="5"/>
  <c r="M655" i="11"/>
  <c r="O655" i="11" s="1"/>
  <c r="O566" i="11"/>
  <c r="L258" i="12"/>
  <c r="M148" i="12"/>
  <c r="O194" i="5"/>
  <c r="S94" i="11"/>
  <c r="S172" i="11"/>
  <c r="O492" i="5"/>
  <c r="M339" i="11"/>
  <c r="N339" i="11" s="1"/>
  <c r="O118" i="5"/>
  <c r="O94" i="11"/>
  <c r="L10" i="12"/>
  <c r="O281" i="5"/>
  <c r="O578" i="5"/>
  <c r="N465" i="5"/>
  <c r="O172" i="11"/>
  <c r="O449" i="11"/>
  <c r="L156" i="12"/>
  <c r="O222" i="5"/>
  <c r="O330" i="5"/>
  <c r="O210" i="11"/>
  <c r="M137" i="12"/>
  <c r="O76" i="5"/>
  <c r="M433" i="11"/>
  <c r="N433" i="11" s="1"/>
  <c r="N340" i="11"/>
  <c r="N547" i="11"/>
  <c r="M478" i="11"/>
  <c r="O478" i="11" s="1"/>
  <c r="O305" i="5"/>
  <c r="S634" i="11"/>
  <c r="N7" i="5"/>
  <c r="N110" i="5"/>
  <c r="N610" i="5"/>
  <c r="O43" i="11"/>
  <c r="M105" i="12"/>
  <c r="S385" i="11"/>
  <c r="O650" i="11"/>
  <c r="S566" i="11"/>
  <c r="S136" i="11"/>
  <c r="N136" i="11"/>
  <c r="N634" i="11"/>
  <c r="O488" i="11"/>
  <c r="O175" i="11"/>
  <c r="N385" i="11"/>
  <c r="N642" i="11"/>
  <c r="N571" i="5"/>
  <c r="N148" i="11"/>
  <c r="N605" i="11"/>
  <c r="L28" i="12"/>
  <c r="L62" i="12"/>
  <c r="M366" i="11"/>
  <c r="O366" i="11" s="1"/>
  <c r="M199" i="12"/>
  <c r="S175" i="11"/>
  <c r="L248" i="12"/>
  <c r="M538" i="11"/>
  <c r="N538" i="11" s="1"/>
  <c r="S308" i="11"/>
  <c r="M10" i="11"/>
  <c r="N10" i="11" s="1"/>
  <c r="S148" i="11"/>
  <c r="M188" i="12"/>
  <c r="M120" i="12"/>
  <c r="L254" i="12"/>
  <c r="N464" i="11"/>
  <c r="O630" i="11"/>
  <c r="O173" i="11"/>
  <c r="O108" i="11"/>
  <c r="N35" i="5"/>
  <c r="O47" i="5"/>
  <c r="M46" i="12"/>
  <c r="M638" i="11"/>
  <c r="O638" i="11" s="1"/>
  <c r="S173" i="11"/>
  <c r="O511" i="5"/>
  <c r="M142" i="12"/>
  <c r="O37" i="5"/>
  <c r="N660" i="5"/>
  <c r="N592" i="11"/>
  <c r="S449" i="11"/>
  <c r="L197" i="12"/>
  <c r="M111" i="12"/>
  <c r="L164" i="12"/>
  <c r="S605" i="11"/>
  <c r="S650" i="11"/>
  <c r="O629" i="5"/>
  <c r="N628" i="5"/>
  <c r="O650" i="5"/>
  <c r="O617" i="5"/>
  <c r="M255" i="12"/>
  <c r="O379" i="5"/>
  <c r="S472" i="11"/>
  <c r="O99" i="5"/>
  <c r="L196" i="12"/>
  <c r="O109" i="5"/>
  <c r="N472" i="11"/>
  <c r="N392" i="5"/>
  <c r="O417" i="5"/>
  <c r="S376" i="11"/>
  <c r="N376" i="11"/>
  <c r="N437" i="5"/>
  <c r="O471" i="5"/>
  <c r="S340" i="11"/>
  <c r="S630" i="11"/>
  <c r="N82" i="5"/>
  <c r="O344" i="5"/>
  <c r="N596" i="5"/>
  <c r="O175" i="5"/>
  <c r="L170" i="12"/>
  <c r="O8" i="5"/>
  <c r="N160" i="5"/>
  <c r="N96" i="5"/>
  <c r="S43" i="11"/>
  <c r="S537" i="11"/>
  <c r="M257" i="12"/>
  <c r="O18" i="11"/>
  <c r="O537" i="11"/>
  <c r="S108" i="11"/>
  <c r="S356" i="11"/>
  <c r="O338" i="11"/>
  <c r="O479" i="11"/>
  <c r="S488" i="11"/>
  <c r="S155" i="11"/>
  <c r="S338" i="11"/>
  <c r="N155" i="11"/>
  <c r="N412" i="11"/>
  <c r="M536" i="11"/>
  <c r="N536" i="11" s="1"/>
  <c r="S210" i="11"/>
  <c r="M562" i="11"/>
  <c r="N562" i="11" s="1"/>
  <c r="S150" i="11"/>
  <c r="S18" i="11"/>
  <c r="M531" i="11"/>
  <c r="N531" i="11" s="1"/>
  <c r="N135" i="11"/>
  <c r="M317" i="11"/>
  <c r="N317" i="11" s="1"/>
  <c r="M159" i="11"/>
  <c r="N159" i="11" s="1"/>
  <c r="M112" i="11"/>
  <c r="N112" i="11" s="1"/>
  <c r="N30" i="5"/>
  <c r="L178" i="12"/>
  <c r="O539" i="5"/>
  <c r="O135" i="5"/>
  <c r="S158" i="11"/>
  <c r="M45" i="12"/>
  <c r="O307" i="11"/>
  <c r="N182" i="5"/>
  <c r="M55" i="11"/>
  <c r="N55" i="11" s="1"/>
  <c r="O352" i="11"/>
  <c r="O158" i="11"/>
  <c r="N106" i="11"/>
  <c r="O611" i="5"/>
  <c r="M233" i="12"/>
  <c r="N150" i="11"/>
  <c r="N426" i="5"/>
  <c r="N33" i="5"/>
  <c r="S106" i="11"/>
  <c r="M259" i="12"/>
  <c r="O79" i="11"/>
  <c r="N620" i="11"/>
  <c r="L203" i="12"/>
  <c r="N359" i="5"/>
  <c r="O545" i="5"/>
  <c r="N545" i="5"/>
  <c r="M225" i="12"/>
  <c r="L208" i="12"/>
  <c r="N518" i="5"/>
  <c r="N282" i="5"/>
  <c r="M36" i="12"/>
  <c r="O548" i="5"/>
  <c r="N435" i="5"/>
  <c r="N582" i="5"/>
  <c r="O100" i="5"/>
  <c r="M390" i="11"/>
  <c r="O390" i="11" s="1"/>
  <c r="S467" i="11"/>
  <c r="S412" i="11"/>
  <c r="O556" i="5"/>
  <c r="O139" i="5"/>
  <c r="S352" i="11"/>
  <c r="M586" i="11"/>
  <c r="O586" i="11" s="1"/>
  <c r="M579" i="11"/>
  <c r="N579" i="11" s="1"/>
  <c r="L47" i="12"/>
  <c r="O170" i="5"/>
  <c r="O467" i="11"/>
  <c r="N40" i="5"/>
  <c r="N626" i="5"/>
  <c r="S464" i="11"/>
  <c r="O131" i="11"/>
  <c r="M125" i="12"/>
  <c r="M632" i="11"/>
  <c r="N632" i="11" s="1"/>
  <c r="N329" i="11"/>
  <c r="O663" i="11"/>
  <c r="S329" i="11"/>
  <c r="M326" i="11"/>
  <c r="O326" i="11" s="1"/>
  <c r="N268" i="11"/>
  <c r="S479" i="11"/>
  <c r="O433" i="5"/>
  <c r="L33" i="12"/>
  <c r="S499" i="11"/>
  <c r="S663" i="11"/>
  <c r="N479" i="5"/>
  <c r="O354" i="5"/>
  <c r="S79" i="11"/>
  <c r="M577" i="11"/>
  <c r="N577" i="11" s="1"/>
  <c r="N396" i="5"/>
  <c r="N499" i="11"/>
  <c r="S457" i="11"/>
  <c r="O457" i="11"/>
  <c r="N363" i="5"/>
  <c r="M666" i="11"/>
  <c r="N666" i="11" s="1"/>
  <c r="L235" i="12"/>
  <c r="L228" i="12"/>
  <c r="M240" i="12"/>
  <c r="S179" i="11"/>
  <c r="N179" i="11"/>
  <c r="M174" i="11"/>
  <c r="N174" i="11" s="1"/>
  <c r="O88" i="11"/>
  <c r="M137" i="11"/>
  <c r="O137" i="11" s="1"/>
  <c r="S310" i="11"/>
  <c r="S371" i="11"/>
  <c r="S88" i="11"/>
  <c r="O310" i="11"/>
  <c r="O48" i="11"/>
  <c r="M191" i="11"/>
  <c r="N191" i="11" s="1"/>
  <c r="O371" i="11"/>
  <c r="M219" i="12"/>
  <c r="S135" i="11"/>
  <c r="S620" i="11"/>
  <c r="O342" i="5"/>
  <c r="N423" i="5"/>
  <c r="O14" i="5"/>
  <c r="O297" i="5"/>
  <c r="O515" i="5"/>
  <c r="M657" i="11"/>
  <c r="N657" i="11" s="1"/>
  <c r="N588" i="5"/>
  <c r="M159" i="12"/>
  <c r="O562" i="5"/>
  <c r="O330" i="11"/>
  <c r="O576" i="5"/>
  <c r="O577" i="5"/>
  <c r="M138" i="12"/>
  <c r="N362" i="11"/>
  <c r="S268" i="11"/>
  <c r="L31" i="12"/>
  <c r="O209" i="11"/>
  <c r="M56" i="12"/>
  <c r="S48" i="11"/>
  <c r="L75" i="12"/>
  <c r="M61" i="12"/>
  <c r="S578" i="11"/>
  <c r="M388" i="11"/>
  <c r="N388" i="11" s="1"/>
  <c r="M220" i="12"/>
  <c r="L34" i="12"/>
  <c r="S362" i="11"/>
  <c r="S209" i="11"/>
  <c r="O578" i="11"/>
  <c r="O399" i="11"/>
  <c r="M460" i="11"/>
  <c r="O460" i="11" s="1"/>
  <c r="S131" i="11"/>
  <c r="N152" i="5"/>
  <c r="M128" i="12"/>
  <c r="S642" i="11"/>
  <c r="O407" i="5"/>
  <c r="M593" i="11"/>
  <c r="N593" i="11" s="1"/>
  <c r="S307" i="11"/>
  <c r="S592" i="11"/>
  <c r="L59" i="12"/>
  <c r="M441" i="11"/>
  <c r="O441" i="11" s="1"/>
  <c r="S153" i="11"/>
  <c r="M153" i="11"/>
  <c r="N158" i="5"/>
  <c r="O158" i="5"/>
  <c r="N196" i="5"/>
  <c r="O5" i="5"/>
  <c r="S399" i="11"/>
  <c r="N653" i="5"/>
  <c r="O41" i="5"/>
  <c r="L229" i="12"/>
  <c r="O418" i="11"/>
  <c r="M252" i="12"/>
  <c r="N337" i="11"/>
  <c r="S330" i="11"/>
  <c r="S337" i="11"/>
  <c r="S418" i="11"/>
  <c r="N505" i="5"/>
  <c r="M83" i="11"/>
  <c r="N83" i="11" s="1"/>
  <c r="N305" i="11"/>
  <c r="M570" i="11"/>
  <c r="N570" i="11" s="1"/>
  <c r="S519" i="11"/>
  <c r="N519" i="11"/>
  <c r="O389" i="11"/>
  <c r="L39" i="12"/>
  <c r="M47" i="11"/>
  <c r="N47" i="11" s="1"/>
  <c r="N581" i="11"/>
  <c r="N508" i="5"/>
  <c r="N367" i="5"/>
  <c r="O87" i="5"/>
  <c r="O165" i="5"/>
  <c r="O394" i="5"/>
  <c r="N29" i="5"/>
  <c r="M487" i="11"/>
  <c r="N487" i="11" s="1"/>
  <c r="O612" i="5"/>
  <c r="N569" i="5"/>
  <c r="O191" i="5"/>
  <c r="M481" i="11"/>
  <c r="O481" i="11" s="1"/>
  <c r="N290" i="5"/>
  <c r="O181" i="5"/>
  <c r="O217" i="5"/>
  <c r="M331" i="11"/>
  <c r="O331" i="11" s="1"/>
  <c r="N559" i="11"/>
  <c r="S664" i="11"/>
  <c r="N669" i="5"/>
  <c r="S389" i="11"/>
  <c r="O506" i="5"/>
  <c r="O457" i="5"/>
  <c r="N55" i="5"/>
  <c r="N633" i="5"/>
  <c r="O398" i="5"/>
  <c r="N304" i="5"/>
  <c r="S305" i="11"/>
  <c r="M80" i="11"/>
  <c r="N80" i="11" s="1"/>
  <c r="N82" i="11"/>
  <c r="S82" i="11"/>
  <c r="N97" i="11"/>
  <c r="S509" i="11"/>
  <c r="M69" i="12"/>
  <c r="M205" i="12"/>
  <c r="M296" i="11"/>
  <c r="N296" i="11" s="1"/>
  <c r="O173" i="5"/>
  <c r="M454" i="11"/>
  <c r="N454" i="11" s="1"/>
  <c r="O192" i="5"/>
  <c r="N549" i="5"/>
  <c r="L54" i="12"/>
  <c r="S86" i="11"/>
  <c r="N401" i="11"/>
  <c r="M51" i="11"/>
  <c r="N51" i="11" s="1"/>
  <c r="L181" i="12"/>
  <c r="L200" i="12"/>
  <c r="S212" i="11"/>
  <c r="N212" i="11"/>
  <c r="N453" i="11"/>
  <c r="O86" i="11"/>
  <c r="O373" i="11"/>
  <c r="S121" i="11"/>
  <c r="O490" i="11"/>
  <c r="O95" i="11"/>
  <c r="S489" i="11"/>
  <c r="O664" i="11"/>
  <c r="N108" i="5"/>
  <c r="N6" i="11"/>
  <c r="N489" i="11"/>
  <c r="S490" i="11"/>
  <c r="S373" i="11"/>
  <c r="S269" i="11"/>
  <c r="M99" i="11"/>
  <c r="N99" i="11" s="1"/>
  <c r="N189" i="11"/>
  <c r="O345" i="5"/>
  <c r="S6" i="11"/>
  <c r="L175" i="12"/>
  <c r="O302" i="5"/>
  <c r="N66" i="5"/>
  <c r="N649" i="5"/>
  <c r="S559" i="11"/>
  <c r="O198" i="5"/>
  <c r="N198" i="5"/>
  <c r="M162" i="12"/>
  <c r="L162" i="12"/>
  <c r="L25" i="12"/>
  <c r="M25" i="12"/>
  <c r="M172" i="12"/>
  <c r="L172" i="12"/>
  <c r="L238" i="12"/>
  <c r="M238" i="12"/>
  <c r="L134" i="12"/>
  <c r="M134" i="12"/>
  <c r="M50" i="12"/>
  <c r="L50" i="12"/>
  <c r="L214" i="12"/>
  <c r="M214" i="12"/>
  <c r="L110" i="12"/>
  <c r="M110" i="12"/>
  <c r="M177" i="12"/>
  <c r="L177" i="12"/>
  <c r="M144" i="12"/>
  <c r="L144" i="12"/>
  <c r="M65" i="12"/>
  <c r="L65" i="12"/>
  <c r="M242" i="12"/>
  <c r="L242" i="12"/>
  <c r="L67" i="12"/>
  <c r="M67" i="12"/>
  <c r="L40" i="12"/>
  <c r="M40" i="12"/>
  <c r="M43" i="12"/>
  <c r="L43" i="12"/>
  <c r="M237" i="12"/>
  <c r="L237" i="12"/>
  <c r="L222" i="12"/>
  <c r="M222" i="12"/>
  <c r="M126" i="12"/>
  <c r="L126" i="12"/>
  <c r="L260" i="12"/>
  <c r="M260" i="12"/>
  <c r="L13" i="12"/>
  <c r="M13" i="12"/>
  <c r="M133" i="12"/>
  <c r="L133" i="12"/>
  <c r="M193" i="12"/>
  <c r="L193" i="12"/>
  <c r="L8" i="12"/>
  <c r="M8" i="12"/>
  <c r="M66" i="12"/>
  <c r="L66" i="12"/>
  <c r="M243" i="12"/>
  <c r="L243" i="12"/>
  <c r="M249" i="12"/>
  <c r="L249" i="12"/>
  <c r="L22" i="12"/>
  <c r="M22" i="12"/>
  <c r="M107" i="12"/>
  <c r="L107" i="12"/>
  <c r="M232" i="12"/>
  <c r="L232" i="12"/>
  <c r="M149" i="12"/>
  <c r="L149" i="12"/>
  <c r="M236" i="12"/>
  <c r="L236" i="12"/>
  <c r="M201" i="12"/>
  <c r="L201" i="12"/>
  <c r="L124" i="12"/>
  <c r="M124" i="12"/>
  <c r="L109" i="12"/>
  <c r="M109" i="12"/>
  <c r="M180" i="12"/>
  <c r="L180" i="12"/>
  <c r="M241" i="12"/>
  <c r="L241" i="12"/>
  <c r="M165" i="12"/>
  <c r="L165" i="12"/>
  <c r="M194" i="12"/>
  <c r="L194" i="12"/>
  <c r="M191" i="12"/>
  <c r="L191" i="12"/>
  <c r="L3" i="12"/>
  <c r="M3" i="12"/>
  <c r="M24" i="12"/>
  <c r="L24" i="12"/>
  <c r="M58" i="12"/>
  <c r="L58" i="12"/>
  <c r="L17" i="12"/>
  <c r="M17" i="12"/>
  <c r="L173" i="12"/>
  <c r="M173" i="12"/>
  <c r="L256" i="12"/>
  <c r="M256" i="12"/>
  <c r="L221" i="12"/>
  <c r="M221" i="12"/>
  <c r="L218" i="12"/>
  <c r="M218" i="12"/>
  <c r="M85" i="12"/>
  <c r="L85" i="12"/>
  <c r="M20" i="12"/>
  <c r="L20" i="12"/>
  <c r="L23" i="12"/>
  <c r="M23" i="12"/>
  <c r="L55" i="12"/>
  <c r="M55" i="12"/>
  <c r="M150" i="12"/>
  <c r="L150" i="12"/>
  <c r="L35" i="12"/>
  <c r="M35" i="12"/>
  <c r="M63" i="12"/>
  <c r="L63" i="12"/>
  <c r="M195" i="12"/>
  <c r="L195" i="12"/>
  <c r="L245" i="12"/>
  <c r="M245" i="12"/>
  <c r="L160" i="12"/>
  <c r="M160" i="12"/>
  <c r="M11" i="12"/>
  <c r="L11" i="12"/>
  <c r="L7" i="12"/>
  <c r="M7" i="12"/>
  <c r="L231" i="12"/>
  <c r="M231" i="12"/>
  <c r="L179" i="12"/>
  <c r="M179" i="12"/>
  <c r="M186" i="12"/>
  <c r="L186" i="12"/>
  <c r="M27" i="12"/>
  <c r="L27" i="12"/>
  <c r="L234" i="12"/>
  <c r="M234" i="12"/>
  <c r="M166" i="12"/>
  <c r="L166" i="12"/>
  <c r="M26" i="12"/>
  <c r="L26" i="12"/>
  <c r="L184" i="12"/>
  <c r="M184" i="12"/>
  <c r="L122" i="12"/>
  <c r="M122" i="12"/>
  <c r="L81" i="12"/>
  <c r="M81" i="12"/>
  <c r="M261" i="12"/>
  <c r="L261" i="12"/>
  <c r="L211" i="12"/>
  <c r="M211" i="12"/>
  <c r="L161" i="12"/>
  <c r="M161" i="12"/>
  <c r="M84" i="12"/>
  <c r="L84" i="12"/>
  <c r="L139" i="12"/>
  <c r="M139" i="12"/>
  <c r="M167" i="12"/>
  <c r="L167" i="12"/>
  <c r="L114" i="12"/>
  <c r="M114" i="12"/>
  <c r="L44" i="12"/>
  <c r="M44" i="12"/>
  <c r="L21" i="12"/>
  <c r="M21" i="12"/>
  <c r="L96" i="12"/>
  <c r="M96" i="12"/>
  <c r="L6" i="12"/>
  <c r="M6" i="12"/>
  <c r="M82" i="12"/>
  <c r="L82" i="12"/>
  <c r="M224" i="12"/>
  <c r="L224" i="12"/>
  <c r="M5" i="12"/>
  <c r="L5" i="12"/>
  <c r="M251" i="12"/>
  <c r="L251" i="12"/>
  <c r="O121" i="5"/>
  <c r="S151" i="11"/>
  <c r="S432" i="11"/>
  <c r="O317" i="5"/>
  <c r="N317" i="5"/>
  <c r="N94" i="5"/>
  <c r="O439" i="11"/>
  <c r="N151" i="11"/>
  <c r="N172" i="5"/>
  <c r="N659" i="5"/>
  <c r="N301" i="5"/>
  <c r="S58" i="11"/>
  <c r="N440" i="5"/>
  <c r="O440" i="5"/>
  <c r="N58" i="11"/>
  <c r="S401" i="11"/>
  <c r="O418" i="5"/>
  <c r="S95" i="11"/>
  <c r="N526" i="5"/>
  <c r="N49" i="5"/>
  <c r="O49" i="5"/>
  <c r="N432" i="11"/>
  <c r="M84" i="11"/>
  <c r="O84" i="11" s="1"/>
  <c r="M309" i="11"/>
  <c r="O309" i="11" s="1"/>
  <c r="S105" i="11"/>
  <c r="N324" i="11"/>
  <c r="O146" i="11"/>
  <c r="O269" i="11"/>
  <c r="S146" i="11"/>
  <c r="N288" i="11"/>
  <c r="S288" i="11"/>
  <c r="S81" i="11"/>
  <c r="O81" i="11"/>
  <c r="O105" i="11"/>
  <c r="N121" i="11"/>
  <c r="M23" i="11"/>
  <c r="N23" i="11" s="1"/>
  <c r="O177" i="5"/>
  <c r="S223" i="11"/>
  <c r="M223" i="11"/>
  <c r="N509" i="11"/>
  <c r="O230" i="11"/>
  <c r="S230" i="11"/>
  <c r="S164" i="11"/>
  <c r="N658" i="11"/>
  <c r="N128" i="5"/>
  <c r="S222" i="11"/>
  <c r="M222" i="11"/>
  <c r="S658" i="11"/>
  <c r="S324" i="11"/>
  <c r="S614" i="11"/>
  <c r="S97" i="11"/>
  <c r="O614" i="11"/>
  <c r="N161" i="5"/>
  <c r="O385" i="5"/>
  <c r="O159" i="5"/>
  <c r="O93" i="11"/>
  <c r="N132" i="5"/>
  <c r="O164" i="11"/>
  <c r="O46" i="5"/>
  <c r="O334" i="5"/>
  <c r="O89" i="5"/>
  <c r="M615" i="11"/>
  <c r="M546" i="11"/>
  <c r="S546" i="11"/>
  <c r="S470" i="11"/>
  <c r="M470" i="11"/>
  <c r="S581" i="11"/>
  <c r="O163" i="11"/>
  <c r="N163" i="11"/>
  <c r="N284" i="5"/>
  <c r="O284" i="5"/>
  <c r="O513" i="5"/>
  <c r="N513" i="5"/>
  <c r="S484" i="11"/>
  <c r="M484" i="11"/>
  <c r="N123" i="11"/>
  <c r="S439" i="11"/>
  <c r="O166" i="5"/>
  <c r="N166" i="5"/>
  <c r="S427" i="11"/>
  <c r="M427" i="11"/>
  <c r="O550" i="5"/>
  <c r="N550" i="5"/>
  <c r="O485" i="5"/>
  <c r="N485" i="5"/>
  <c r="S189" i="11"/>
  <c r="M3" i="11"/>
  <c r="S3" i="11"/>
  <c r="S165" i="11"/>
  <c r="M165" i="11"/>
  <c r="S163" i="11"/>
  <c r="N137" i="5"/>
  <c r="O137" i="5"/>
  <c r="O375" i="5"/>
  <c r="M133" i="11"/>
  <c r="N133" i="11" s="1"/>
  <c r="S361" i="11"/>
  <c r="M361" i="11"/>
  <c r="N130" i="5"/>
  <c r="O130" i="5"/>
  <c r="N167" i="5"/>
  <c r="O167" i="5"/>
  <c r="O432" i="5"/>
  <c r="N432" i="5"/>
  <c r="S453" i="11"/>
  <c r="M8" i="11"/>
  <c r="O77" i="5"/>
  <c r="N77" i="5"/>
  <c r="M56" i="11"/>
  <c r="S56" i="11"/>
  <c r="S123" i="11"/>
  <c r="S124" i="11"/>
  <c r="M124" i="11"/>
  <c r="S565" i="11"/>
  <c r="M565" i="11"/>
  <c r="S217" i="11"/>
  <c r="M217" i="11"/>
  <c r="O353" i="5"/>
  <c r="N353" i="5"/>
  <c r="O341" i="5"/>
  <c r="N341" i="5"/>
  <c r="O294" i="5"/>
  <c r="N294" i="5"/>
  <c r="N73" i="11"/>
  <c r="O73" i="11"/>
  <c r="N287" i="5"/>
  <c r="O287" i="5"/>
  <c r="O45" i="5"/>
  <c r="N45" i="5"/>
  <c r="N420" i="5"/>
  <c r="O420" i="5"/>
  <c r="S456" i="11"/>
  <c r="M456" i="11"/>
  <c r="M560" i="11"/>
  <c r="S560" i="11"/>
  <c r="N180" i="11"/>
  <c r="O180" i="11"/>
  <c r="O391" i="5"/>
  <c r="N391" i="5"/>
  <c r="N528" i="5"/>
  <c r="O528" i="5"/>
  <c r="S143" i="11"/>
  <c r="M143" i="11"/>
  <c r="S180" i="11"/>
  <c r="M169" i="11"/>
  <c r="S169" i="11"/>
  <c r="O462" i="5"/>
  <c r="N462" i="5"/>
  <c r="N623" i="5"/>
  <c r="O623" i="5"/>
  <c r="N208" i="5"/>
  <c r="O208" i="5"/>
  <c r="M298" i="11"/>
  <c r="S298" i="11"/>
  <c r="M563" i="11"/>
  <c r="S563" i="11"/>
  <c r="S218" i="11"/>
  <c r="M218" i="11"/>
  <c r="S93" i="11"/>
  <c r="S184" i="11"/>
  <c r="N126" i="5"/>
  <c r="S300" i="11"/>
  <c r="O113" i="5"/>
  <c r="N113" i="5"/>
  <c r="N604" i="5"/>
  <c r="O604" i="5"/>
  <c r="N421" i="5"/>
  <c r="O421" i="5"/>
  <c r="O532" i="5"/>
  <c r="N532" i="5"/>
  <c r="O153" i="5"/>
  <c r="N153" i="5"/>
  <c r="N106" i="5"/>
  <c r="O106" i="5"/>
  <c r="S98" i="11"/>
  <c r="M98" i="11"/>
  <c r="O209" i="5"/>
  <c r="N209" i="5"/>
  <c r="N311" i="5"/>
  <c r="O311" i="5"/>
  <c r="O472" i="5"/>
  <c r="N472" i="5"/>
  <c r="N300" i="11"/>
  <c r="N184" i="11"/>
  <c r="M551" i="11"/>
  <c r="S551" i="11"/>
  <c r="S92" i="11"/>
  <c r="M92" i="11"/>
  <c r="S219" i="11"/>
  <c r="M219" i="11"/>
  <c r="M375" i="11"/>
  <c r="S375" i="11"/>
  <c r="O442" i="11"/>
  <c r="O462" i="11"/>
  <c r="S365" i="11"/>
  <c r="N594" i="11"/>
  <c r="N198" i="11"/>
  <c r="N654" i="11"/>
  <c r="O365" i="11"/>
  <c r="O356" i="11"/>
  <c r="N295" i="11"/>
  <c r="O40" i="11"/>
  <c r="S350" i="11"/>
  <c r="O414" i="11"/>
  <c r="S168" i="11"/>
  <c r="S654" i="11"/>
  <c r="S393" i="11"/>
  <c r="N14" i="11"/>
  <c r="S125" i="11"/>
  <c r="S483" i="11"/>
  <c r="S609" i="11"/>
  <c r="S639" i="11"/>
  <c r="S140" i="11"/>
  <c r="O350" i="11"/>
  <c r="S532" i="11"/>
  <c r="S38" i="11"/>
  <c r="M38" i="11"/>
  <c r="O566" i="5"/>
  <c r="N566" i="5"/>
  <c r="O22" i="5"/>
  <c r="N22" i="5"/>
  <c r="S359" i="11"/>
  <c r="M359" i="11"/>
  <c r="O25" i="5"/>
  <c r="N25" i="5"/>
  <c r="N416" i="5"/>
  <c r="O416" i="5"/>
  <c r="N216" i="5"/>
  <c r="O216" i="5"/>
  <c r="O406" i="5"/>
  <c r="N406" i="5"/>
  <c r="O593" i="5"/>
  <c r="N593" i="5"/>
  <c r="S597" i="11"/>
  <c r="M597" i="11"/>
  <c r="M226" i="11"/>
  <c r="S226" i="11"/>
  <c r="N483" i="11"/>
  <c r="O483" i="11"/>
  <c r="M355" i="11"/>
  <c r="S355" i="11"/>
  <c r="M380" i="11"/>
  <c r="S380" i="11"/>
  <c r="S333" i="11"/>
  <c r="M333" i="11"/>
  <c r="M16" i="11"/>
  <c r="S16" i="11"/>
  <c r="S659" i="11"/>
  <c r="M659" i="11"/>
  <c r="N24" i="5"/>
  <c r="O24" i="5"/>
  <c r="M587" i="11"/>
  <c r="S587" i="11"/>
  <c r="S575" i="11"/>
  <c r="M575" i="11"/>
  <c r="S320" i="11"/>
  <c r="M320" i="11"/>
  <c r="N476" i="5"/>
  <c r="O476" i="5"/>
  <c r="O382" i="5"/>
  <c r="N382" i="5"/>
  <c r="N42" i="5"/>
  <c r="O42" i="5"/>
  <c r="N372" i="5"/>
  <c r="O372" i="5"/>
  <c r="M448" i="11"/>
  <c r="S448" i="11"/>
  <c r="O482" i="5"/>
  <c r="N482" i="5"/>
  <c r="O413" i="5"/>
  <c r="N413" i="5"/>
  <c r="M211" i="11"/>
  <c r="S211" i="11"/>
  <c r="N35" i="11"/>
  <c r="O35" i="11"/>
  <c r="O579" i="5"/>
  <c r="N579" i="5"/>
  <c r="M348" i="11"/>
  <c r="S348" i="11"/>
  <c r="S69" i="11"/>
  <c r="M69" i="11"/>
  <c r="M20" i="11"/>
  <c r="S20" i="11"/>
  <c r="O398" i="11"/>
  <c r="N398" i="11"/>
  <c r="N335" i="5"/>
  <c r="O335" i="5"/>
  <c r="O583" i="5"/>
  <c r="N583" i="5"/>
  <c r="N558" i="5"/>
  <c r="O558" i="5"/>
  <c r="M63" i="11"/>
  <c r="S63" i="11"/>
  <c r="M480" i="11"/>
  <c r="S480" i="11"/>
  <c r="M498" i="11"/>
  <c r="S498" i="11"/>
  <c r="N522" i="5"/>
  <c r="O522" i="5"/>
  <c r="O53" i="5"/>
  <c r="N53" i="5"/>
  <c r="M623" i="11"/>
  <c r="S623" i="11"/>
  <c r="M621" i="11"/>
  <c r="S621" i="11"/>
  <c r="S397" i="11"/>
  <c r="M397" i="11"/>
  <c r="S118" i="11"/>
  <c r="M118" i="11"/>
  <c r="M624" i="11"/>
  <c r="S624" i="11"/>
  <c r="N147" i="5"/>
  <c r="O147" i="5"/>
  <c r="N621" i="5"/>
  <c r="O621" i="5"/>
  <c r="O70" i="5"/>
  <c r="N70" i="5"/>
  <c r="S369" i="11"/>
  <c r="M369" i="11"/>
  <c r="S40" i="11"/>
  <c r="S514" i="11"/>
  <c r="M514" i="11"/>
  <c r="N551" i="5"/>
  <c r="O551" i="5"/>
  <c r="M422" i="11"/>
  <c r="S422" i="11"/>
  <c r="N519" i="5"/>
  <c r="O519" i="5"/>
  <c r="O74" i="5"/>
  <c r="N74" i="5"/>
  <c r="O380" i="5"/>
  <c r="N380" i="5"/>
  <c r="O624" i="5"/>
  <c r="N624" i="5"/>
  <c r="N125" i="5"/>
  <c r="O125" i="5"/>
  <c r="M37" i="11"/>
  <c r="N594" i="5"/>
  <c r="O594" i="5"/>
  <c r="N16" i="5"/>
  <c r="O16" i="5"/>
  <c r="O140" i="11"/>
  <c r="N140" i="11"/>
  <c r="N144" i="5"/>
  <c r="O144" i="5"/>
  <c r="N36" i="5"/>
  <c r="O36" i="5"/>
  <c r="S493" i="11"/>
  <c r="M493" i="11"/>
  <c r="M580" i="11"/>
  <c r="S580" i="11"/>
  <c r="M183" i="11"/>
  <c r="S183" i="11"/>
  <c r="S647" i="11"/>
  <c r="M608" i="11"/>
  <c r="S608" i="11"/>
  <c r="M517" i="11"/>
  <c r="S517" i="11"/>
  <c r="M544" i="11"/>
  <c r="S544" i="11"/>
  <c r="M505" i="11"/>
  <c r="S505" i="11"/>
  <c r="M660" i="11"/>
  <c r="S660" i="11"/>
  <c r="N502" i="5"/>
  <c r="O502" i="5"/>
  <c r="O69" i="5"/>
  <c r="N69" i="5"/>
  <c r="S65" i="11"/>
  <c r="M65" i="11"/>
  <c r="O512" i="5"/>
  <c r="N512" i="5"/>
  <c r="O540" i="5"/>
  <c r="N540" i="5"/>
  <c r="S64" i="11"/>
  <c r="M64" i="11"/>
  <c r="N298" i="5"/>
  <c r="O298" i="5"/>
  <c r="O146" i="5"/>
  <c r="N146" i="5"/>
  <c r="N510" i="5"/>
  <c r="O510" i="5"/>
  <c r="M36" i="11"/>
  <c r="S36" i="11"/>
  <c r="N547" i="5"/>
  <c r="O547" i="5"/>
  <c r="O561" i="5"/>
  <c r="N561" i="5"/>
  <c r="N48" i="5"/>
  <c r="O48" i="5"/>
  <c r="N189" i="5"/>
  <c r="O189" i="5"/>
  <c r="N640" i="5"/>
  <c r="O640" i="5"/>
  <c r="N52" i="5"/>
  <c r="O52" i="5"/>
  <c r="M50" i="11"/>
  <c r="S50" i="11"/>
  <c r="S430" i="11"/>
  <c r="M430" i="11"/>
  <c r="M354" i="11"/>
  <c r="S354" i="11"/>
  <c r="M584" i="11"/>
  <c r="S584" i="11"/>
  <c r="O647" i="11"/>
  <c r="O204" i="5"/>
  <c r="N204" i="5"/>
  <c r="O98" i="5"/>
  <c r="N98" i="5"/>
  <c r="N338" i="5"/>
  <c r="O338" i="5"/>
  <c r="N614" i="5"/>
  <c r="O614" i="5"/>
  <c r="M62" i="11"/>
  <c r="S62" i="11"/>
  <c r="N567" i="5"/>
  <c r="O567" i="5"/>
  <c r="N446" i="5"/>
  <c r="O446" i="5"/>
  <c r="O318" i="5"/>
  <c r="N318" i="5"/>
  <c r="M603" i="11"/>
  <c r="S603" i="11"/>
  <c r="M42" i="11"/>
  <c r="S42" i="11"/>
  <c r="N448" i="5"/>
  <c r="O448" i="5"/>
  <c r="N171" i="5"/>
  <c r="O171" i="5"/>
  <c r="S197" i="11"/>
  <c r="M197" i="11"/>
  <c r="O532" i="11"/>
  <c r="O530" i="5"/>
  <c r="O348" i="5"/>
  <c r="N348" i="5"/>
  <c r="S198" i="11"/>
  <c r="M501" i="11"/>
  <c r="S501" i="11"/>
  <c r="N412" i="5"/>
  <c r="O412" i="5"/>
  <c r="O585" i="5"/>
  <c r="N585" i="5"/>
  <c r="N291" i="11"/>
  <c r="S524" i="11"/>
  <c r="M524" i="11"/>
  <c r="S295" i="11"/>
  <c r="S616" i="11"/>
  <c r="M616" i="11"/>
  <c r="N19" i="5"/>
  <c r="O19" i="5"/>
  <c r="N642" i="5"/>
  <c r="O642" i="5"/>
  <c r="N455" i="5"/>
  <c r="O455" i="5"/>
  <c r="M290" i="11"/>
  <c r="S290" i="11"/>
  <c r="O168" i="11"/>
  <c r="N168" i="11"/>
  <c r="S523" i="11"/>
  <c r="M523" i="11"/>
  <c r="N586" i="5"/>
  <c r="O586" i="5"/>
  <c r="N581" i="5"/>
  <c r="O581" i="5"/>
  <c r="N393" i="11"/>
  <c r="S492" i="11"/>
  <c r="M492" i="11"/>
  <c r="M497" i="11"/>
  <c r="S497" i="11"/>
  <c r="S66" i="11"/>
  <c r="M66" i="11"/>
  <c r="S585" i="11"/>
  <c r="M585" i="11"/>
  <c r="N411" i="5"/>
  <c r="O411" i="5"/>
  <c r="O500" i="5"/>
  <c r="N500" i="5"/>
  <c r="N101" i="5"/>
  <c r="O101" i="5"/>
  <c r="N422" i="5"/>
  <c r="O422" i="5"/>
  <c r="O424" i="5"/>
  <c r="N424" i="5"/>
  <c r="O529" i="5"/>
  <c r="N529" i="5"/>
  <c r="S194" i="11"/>
  <c r="M194" i="11"/>
  <c r="M406" i="11"/>
  <c r="S406" i="11"/>
  <c r="S604" i="11"/>
  <c r="M604" i="11"/>
  <c r="O654" i="5"/>
  <c r="N654" i="5"/>
  <c r="O387" i="5"/>
  <c r="N387" i="5"/>
  <c r="M502" i="11"/>
  <c r="S502" i="11"/>
  <c r="S415" i="11"/>
  <c r="M415" i="11"/>
  <c r="N437" i="11"/>
  <c r="O437" i="11"/>
  <c r="O584" i="5"/>
  <c r="N584" i="5"/>
  <c r="O38" i="5"/>
  <c r="N38" i="5"/>
  <c r="O507" i="5"/>
  <c r="N507" i="5"/>
  <c r="N10" i="5"/>
  <c r="O10" i="5"/>
  <c r="S649" i="11"/>
  <c r="M649" i="11"/>
  <c r="S625" i="11"/>
  <c r="M625" i="11"/>
  <c r="S596" i="11"/>
  <c r="M596" i="11"/>
  <c r="M564" i="11"/>
  <c r="S564" i="11"/>
  <c r="O143" i="5"/>
  <c r="N143" i="5"/>
  <c r="O524" i="5"/>
  <c r="N524" i="5"/>
  <c r="N459" i="5"/>
  <c r="O459" i="5"/>
  <c r="N565" i="5"/>
  <c r="O565" i="5"/>
  <c r="S347" i="11"/>
  <c r="M347" i="11"/>
  <c r="O408" i="5"/>
  <c r="N408" i="5"/>
  <c r="S19" i="11"/>
  <c r="M19" i="11"/>
  <c r="O564" i="5"/>
  <c r="N564" i="5"/>
  <c r="S377" i="11"/>
  <c r="M377" i="11"/>
  <c r="S437" i="11"/>
  <c r="O554" i="5"/>
  <c r="N554" i="5"/>
  <c r="S353" i="11"/>
  <c r="M353" i="11"/>
  <c r="M41" i="11"/>
  <c r="S41" i="11"/>
  <c r="O620" i="5"/>
  <c r="N620" i="5"/>
  <c r="O120" i="5"/>
  <c r="N120" i="5"/>
  <c r="N188" i="5"/>
  <c r="O188" i="5"/>
  <c r="O131" i="5"/>
  <c r="N131" i="5"/>
  <c r="N494" i="11"/>
  <c r="O494" i="11"/>
  <c r="S134" i="11"/>
  <c r="M134" i="11"/>
  <c r="N458" i="5"/>
  <c r="O458" i="5"/>
  <c r="S335" i="11"/>
  <c r="M335" i="11"/>
  <c r="M358" i="11"/>
  <c r="S358" i="11"/>
  <c r="S299" i="11"/>
  <c r="M299" i="11"/>
  <c r="O419" i="5"/>
  <c r="N419" i="5"/>
  <c r="N661" i="5"/>
  <c r="O661" i="5"/>
  <c r="S473" i="11"/>
  <c r="M473" i="11"/>
  <c r="M530" i="11"/>
  <c r="S530" i="11"/>
  <c r="O600" i="5"/>
  <c r="N600" i="5"/>
  <c r="S14" i="11"/>
  <c r="N662" i="5"/>
  <c r="O662" i="5"/>
  <c r="S322" i="11"/>
  <c r="M322" i="11"/>
  <c r="N402" i="5"/>
  <c r="O402" i="5"/>
  <c r="S291" i="11"/>
  <c r="O321" i="5"/>
  <c r="N321" i="5"/>
  <c r="N97" i="5"/>
  <c r="O97" i="5"/>
  <c r="N27" i="5"/>
  <c r="O27" i="5"/>
  <c r="S9" i="11"/>
  <c r="M9" i="11"/>
  <c r="N13" i="5"/>
  <c r="O13" i="5"/>
  <c r="S379" i="11"/>
  <c r="M379" i="11"/>
  <c r="M32" i="11"/>
  <c r="S32" i="11"/>
  <c r="N456" i="5"/>
  <c r="O456" i="5"/>
  <c r="M588" i="11"/>
  <c r="S588" i="11"/>
  <c r="N444" i="5"/>
  <c r="O444" i="5"/>
  <c r="S327" i="11"/>
  <c r="O399" i="5"/>
  <c r="N399" i="5"/>
  <c r="S61" i="11"/>
  <c r="M61" i="11"/>
  <c r="M113" i="11"/>
  <c r="S113" i="11"/>
  <c r="N639" i="11"/>
  <c r="O639" i="11"/>
  <c r="O499" i="5"/>
  <c r="N499" i="5"/>
  <c r="M132" i="11"/>
  <c r="S132" i="11"/>
  <c r="S31" i="11"/>
  <c r="M31" i="11"/>
  <c r="M44" i="11"/>
  <c r="S44" i="11"/>
  <c r="M599" i="11"/>
  <c r="S599" i="11"/>
  <c r="O138" i="5"/>
  <c r="N138" i="5"/>
  <c r="M662" i="11"/>
  <c r="S662" i="11"/>
  <c r="M87" i="11"/>
  <c r="S87" i="11"/>
  <c r="O34" i="5"/>
  <c r="N34" i="5"/>
  <c r="M39" i="11"/>
  <c r="S39" i="11"/>
  <c r="O184" i="5"/>
  <c r="N184" i="5"/>
  <c r="M328" i="11"/>
  <c r="S328" i="11"/>
  <c r="N590" i="5"/>
  <c r="O590" i="5"/>
  <c r="M574" i="11"/>
  <c r="S574" i="11"/>
  <c r="M641" i="11"/>
  <c r="S641" i="11"/>
  <c r="N285" i="5"/>
  <c r="O285" i="5"/>
  <c r="N15" i="5"/>
  <c r="O15" i="5"/>
  <c r="O68" i="5"/>
  <c r="N68" i="5"/>
  <c r="S648" i="11"/>
  <c r="M648" i="11"/>
  <c r="O393" i="5"/>
  <c r="N393" i="5"/>
  <c r="N136" i="5"/>
  <c r="O136" i="5"/>
  <c r="S304" i="11"/>
  <c r="M304" i="11"/>
  <c r="N401" i="5"/>
  <c r="O401" i="5"/>
  <c r="M568" i="11"/>
  <c r="S568" i="11"/>
  <c r="N78" i="5"/>
  <c r="O78" i="5"/>
  <c r="S485" i="11"/>
  <c r="M485" i="11"/>
  <c r="S391" i="11"/>
  <c r="M391" i="11"/>
  <c r="S438" i="11"/>
  <c r="M438" i="11"/>
  <c r="O333" i="5"/>
  <c r="N333" i="5"/>
  <c r="N43" i="5"/>
  <c r="O43" i="5"/>
  <c r="N598" i="5"/>
  <c r="O598" i="5"/>
  <c r="N608" i="5"/>
  <c r="O608" i="5"/>
  <c r="M176" i="11"/>
  <c r="S176" i="11"/>
  <c r="O497" i="5"/>
  <c r="N497" i="5"/>
  <c r="S434" i="11"/>
  <c r="M434" i="11"/>
  <c r="S127" i="11"/>
  <c r="M127" i="11"/>
  <c r="M101" i="11"/>
  <c r="S101" i="11"/>
  <c r="S494" i="11"/>
  <c r="M613" i="11"/>
  <c r="S613" i="11"/>
  <c r="M301" i="11"/>
  <c r="S301" i="11"/>
  <c r="N369" i="5"/>
  <c r="O369" i="5"/>
  <c r="S503" i="11"/>
  <c r="M503" i="11"/>
  <c r="O609" i="11"/>
  <c r="N609" i="11"/>
  <c r="S15" i="11"/>
  <c r="M15" i="11"/>
  <c r="O362" i="5"/>
  <c r="N362" i="5"/>
  <c r="M474" i="11"/>
  <c r="S474" i="11"/>
  <c r="O563" i="5"/>
  <c r="N563" i="5"/>
  <c r="M117" i="11"/>
  <c r="S117" i="11"/>
  <c r="O365" i="5"/>
  <c r="N365" i="5"/>
  <c r="O536" i="5"/>
  <c r="N536" i="5"/>
  <c r="S90" i="11"/>
  <c r="M90" i="11"/>
  <c r="N102" i="5"/>
  <c r="O102" i="5"/>
  <c r="O103" i="5"/>
  <c r="N103" i="5"/>
  <c r="N509" i="5"/>
  <c r="O509" i="5"/>
  <c r="M486" i="11"/>
  <c r="S486" i="11"/>
  <c r="O428" i="5"/>
  <c r="N428" i="5"/>
  <c r="O461" i="5"/>
  <c r="N461" i="5"/>
  <c r="N523" i="5"/>
  <c r="O523" i="5"/>
  <c r="O174" i="5"/>
  <c r="N174" i="5"/>
  <c r="S195" i="11"/>
  <c r="M195" i="11"/>
  <c r="N656" i="5"/>
  <c r="O656" i="5"/>
  <c r="S465" i="11"/>
  <c r="M465" i="11"/>
  <c r="N589" i="5"/>
  <c r="O589" i="5"/>
  <c r="N316" i="5"/>
  <c r="O316" i="5"/>
  <c r="S576" i="11"/>
  <c r="M576" i="11"/>
  <c r="M141" i="11"/>
  <c r="S141" i="11"/>
  <c r="S637" i="11"/>
  <c r="M637" i="11"/>
  <c r="O124" i="5"/>
  <c r="N124" i="5"/>
  <c r="M526" i="11"/>
  <c r="S526" i="11"/>
  <c r="O533" i="5"/>
  <c r="N533" i="5"/>
  <c r="N133" i="5"/>
  <c r="O133" i="5"/>
  <c r="M89" i="11"/>
  <c r="S89" i="11"/>
  <c r="O635" i="5"/>
  <c r="N635" i="5"/>
  <c r="M403" i="11"/>
  <c r="S403" i="11"/>
  <c r="M12" i="11"/>
  <c r="S12" i="11"/>
  <c r="S343" i="11"/>
  <c r="M343" i="11"/>
  <c r="M402" i="11"/>
  <c r="S402" i="11"/>
  <c r="S142" i="11"/>
  <c r="M142" i="11"/>
  <c r="S450" i="11"/>
  <c r="M450" i="11"/>
  <c r="M629" i="11"/>
  <c r="S629" i="11"/>
  <c r="M171" i="11"/>
  <c r="S171" i="11"/>
  <c r="O186" i="5"/>
  <c r="N186" i="5"/>
  <c r="O44" i="5"/>
  <c r="N44" i="5"/>
  <c r="O449" i="5"/>
  <c r="N449" i="5"/>
  <c r="N183" i="5"/>
  <c r="O183" i="5"/>
  <c r="O517" i="5"/>
  <c r="N517" i="5"/>
  <c r="M541" i="11"/>
  <c r="S541" i="11"/>
  <c r="M404" i="11"/>
  <c r="S404" i="11"/>
  <c r="O637" i="5"/>
  <c r="N637" i="5"/>
  <c r="N595" i="5"/>
  <c r="O595" i="5"/>
  <c r="N95" i="5"/>
  <c r="O95" i="5"/>
  <c r="N630" i="5"/>
  <c r="O630" i="5"/>
  <c r="M475" i="11"/>
  <c r="S475" i="11"/>
  <c r="O491" i="5"/>
  <c r="N491" i="5"/>
  <c r="N150" i="5"/>
  <c r="O150" i="5"/>
  <c r="O410" i="5"/>
  <c r="N410" i="5"/>
  <c r="O327" i="11"/>
  <c r="N327" i="11"/>
  <c r="O125" i="11"/>
  <c r="N125" i="11"/>
  <c r="S13" i="11"/>
  <c r="M13" i="11"/>
  <c r="N71" i="5"/>
  <c r="O71" i="5"/>
  <c r="M436" i="11"/>
  <c r="S436" i="11"/>
  <c r="M395" i="11"/>
  <c r="S395" i="11"/>
  <c r="N480" i="5"/>
  <c r="O480" i="5"/>
  <c r="M461" i="11"/>
  <c r="S461" i="11"/>
  <c r="M552" i="11"/>
  <c r="S552" i="11"/>
  <c r="O429" i="5"/>
  <c r="N429" i="5"/>
  <c r="O149" i="5"/>
  <c r="N149" i="5"/>
  <c r="N395" i="5"/>
  <c r="O395" i="5"/>
  <c r="O378" i="20" l="1"/>
  <c r="P378" i="20"/>
  <c r="P100" i="20"/>
  <c r="O100" i="20"/>
  <c r="P291" i="20"/>
  <c r="O291" i="20"/>
  <c r="N527" i="5"/>
  <c r="S633" i="11"/>
  <c r="B3" i="15" s="1"/>
  <c r="B4" i="15" s="1"/>
  <c r="M247" i="12"/>
  <c r="N271" i="11"/>
  <c r="O271" i="11"/>
  <c r="N275" i="11"/>
  <c r="O275" i="11"/>
  <c r="N281" i="11"/>
  <c r="O281" i="11"/>
  <c r="N270" i="11"/>
  <c r="O270" i="11"/>
  <c r="N130" i="11"/>
  <c r="N334" i="11"/>
  <c r="O420" i="11"/>
  <c r="N409" i="11"/>
  <c r="O409" i="11"/>
  <c r="N423" i="11"/>
  <c r="O423" i="11"/>
  <c r="N553" i="11"/>
  <c r="O553" i="11"/>
  <c r="O367" i="11"/>
  <c r="N367" i="11"/>
  <c r="N33" i="11"/>
  <c r="O33" i="11"/>
  <c r="O626" i="11"/>
  <c r="N626" i="11"/>
  <c r="O374" i="11"/>
  <c r="N374" i="11"/>
  <c r="N387" i="11"/>
  <c r="O387" i="11"/>
  <c r="N500" i="11"/>
  <c r="O500" i="11"/>
  <c r="N122" i="11"/>
  <c r="O122" i="11"/>
  <c r="O506" i="11"/>
  <c r="N506" i="11"/>
  <c r="O332" i="11"/>
  <c r="N332" i="11"/>
  <c r="O405" i="11"/>
  <c r="N405" i="11"/>
  <c r="N17" i="11"/>
  <c r="O17" i="11"/>
  <c r="N107" i="11"/>
  <c r="O107" i="11"/>
  <c r="N446" i="11"/>
  <c r="O446" i="11"/>
  <c r="O34" i="11"/>
  <c r="N34" i="11"/>
  <c r="N293" i="11"/>
  <c r="O293" i="11"/>
  <c r="O214" i="11"/>
  <c r="N214" i="11"/>
  <c r="O447" i="11"/>
  <c r="N447" i="11"/>
  <c r="N186" i="11"/>
  <c r="O186" i="11"/>
  <c r="O416" i="11"/>
  <c r="N416" i="11"/>
  <c r="O128" i="11"/>
  <c r="N128" i="11"/>
  <c r="O220" i="11"/>
  <c r="N220" i="11"/>
  <c r="N24" i="11"/>
  <c r="O24" i="11"/>
  <c r="N521" i="11"/>
  <c r="O521" i="11"/>
  <c r="N425" i="11"/>
  <c r="O103" i="11"/>
  <c r="O138" i="11"/>
  <c r="N396" i="11"/>
  <c r="N477" i="11"/>
  <c r="N644" i="11"/>
  <c r="N549" i="11"/>
  <c r="O216" i="11"/>
  <c r="N221" i="11"/>
  <c r="N78" i="11"/>
  <c r="O78" i="11"/>
  <c r="N205" i="11"/>
  <c r="O205" i="11"/>
  <c r="N203" i="11"/>
  <c r="O203" i="11"/>
  <c r="O516" i="11"/>
  <c r="O527" i="11"/>
  <c r="N640" i="11"/>
  <c r="O392" i="11"/>
  <c r="O231" i="11"/>
  <c r="N227" i="11"/>
  <c r="N627" i="11"/>
  <c r="O611" i="11"/>
  <c r="O22" i="11"/>
  <c r="N178" i="11"/>
  <c r="O46" i="11"/>
  <c r="O652" i="11"/>
  <c r="O646" i="11"/>
  <c r="N550" i="11"/>
  <c r="N529" i="11"/>
  <c r="O147" i="11"/>
  <c r="O156" i="11"/>
  <c r="N100" i="11"/>
  <c r="N351" i="11"/>
  <c r="O419" i="11"/>
  <c r="N557" i="11"/>
  <c r="O120" i="11"/>
  <c r="N545" i="11"/>
  <c r="N188" i="11"/>
  <c r="O645" i="11"/>
  <c r="N71" i="11"/>
  <c r="N598" i="11"/>
  <c r="O26" i="11"/>
  <c r="N357" i="11"/>
  <c r="N411" i="11"/>
  <c r="O534" i="11"/>
  <c r="O468" i="11"/>
  <c r="O665" i="11"/>
  <c r="O75" i="11"/>
  <c r="O410" i="11"/>
  <c r="O513" i="11"/>
  <c r="O607" i="11"/>
  <c r="N528" i="11"/>
  <c r="N555" i="11"/>
  <c r="N344" i="11"/>
  <c r="O573" i="11"/>
  <c r="O319" i="11"/>
  <c r="N520" i="11"/>
  <c r="O445" i="11"/>
  <c r="O294" i="11"/>
  <c r="N556" i="11"/>
  <c r="N76" i="11"/>
  <c r="N435" i="11"/>
  <c r="O435" i="11"/>
  <c r="O341" i="11"/>
  <c r="N341" i="11"/>
  <c r="O314" i="11"/>
  <c r="N314" i="11"/>
  <c r="O407" i="11"/>
  <c r="N635" i="11"/>
  <c r="O635" i="11"/>
  <c r="O11" i="11"/>
  <c r="N11" i="11"/>
  <c r="O431" i="11"/>
  <c r="N431" i="11"/>
  <c r="N28" i="11"/>
  <c r="O28" i="11"/>
  <c r="N384" i="11"/>
  <c r="O27" i="11"/>
  <c r="N27" i="11"/>
  <c r="N67" i="11"/>
  <c r="O52" i="11"/>
  <c r="N52" i="11"/>
  <c r="N507" i="11"/>
  <c r="N53" i="11"/>
  <c r="N162" i="11"/>
  <c r="O617" i="11"/>
  <c r="N482" i="11"/>
  <c r="N287" i="11"/>
  <c r="O200" i="11"/>
  <c r="N651" i="11"/>
  <c r="N458" i="11"/>
  <c r="O433" i="11"/>
  <c r="O339" i="11"/>
  <c r="O595" i="11"/>
  <c r="N366" i="11"/>
  <c r="N655" i="11"/>
  <c r="N478" i="11"/>
  <c r="O538" i="11"/>
  <c r="O10" i="11"/>
  <c r="N638" i="11"/>
  <c r="O317" i="11"/>
  <c r="O112" i="11"/>
  <c r="O159" i="11"/>
  <c r="O562" i="11"/>
  <c r="O536" i="11"/>
  <c r="O531" i="11"/>
  <c r="O55" i="11"/>
  <c r="N586" i="11"/>
  <c r="N390" i="11"/>
  <c r="O579" i="11"/>
  <c r="O632" i="11"/>
  <c r="N326" i="11"/>
  <c r="O577" i="11"/>
  <c r="O666" i="11"/>
  <c r="O174" i="11"/>
  <c r="O657" i="11"/>
  <c r="N137" i="11"/>
  <c r="O191" i="11"/>
  <c r="O388" i="11"/>
  <c r="N460" i="11"/>
  <c r="O593" i="11"/>
  <c r="N441" i="11"/>
  <c r="N153" i="11"/>
  <c r="O153" i="11"/>
  <c r="O83" i="11"/>
  <c r="O570" i="11"/>
  <c r="O47" i="11"/>
  <c r="O487" i="11"/>
  <c r="O454" i="11"/>
  <c r="O296" i="11"/>
  <c r="N331" i="11"/>
  <c r="N481" i="11"/>
  <c r="O51" i="11"/>
  <c r="O80" i="11"/>
  <c r="O99" i="11"/>
  <c r="N309" i="11"/>
  <c r="O23" i="11"/>
  <c r="O133" i="11"/>
  <c r="N84" i="11"/>
  <c r="O222" i="11"/>
  <c r="N222" i="11"/>
  <c r="N615" i="11"/>
  <c r="O615" i="11"/>
  <c r="O223" i="11"/>
  <c r="N223" i="11"/>
  <c r="O3" i="11"/>
  <c r="N3" i="11"/>
  <c r="O551" i="11"/>
  <c r="N551" i="11"/>
  <c r="N218" i="11"/>
  <c r="O218" i="11"/>
  <c r="N143" i="11"/>
  <c r="O143" i="11"/>
  <c r="N565" i="11"/>
  <c r="O565" i="11"/>
  <c r="O298" i="11"/>
  <c r="N298" i="11"/>
  <c r="N217" i="11"/>
  <c r="O217" i="11"/>
  <c r="N427" i="11"/>
  <c r="O427" i="11"/>
  <c r="N92" i="11"/>
  <c r="O92" i="11"/>
  <c r="O165" i="11"/>
  <c r="N165" i="11"/>
  <c r="O484" i="11"/>
  <c r="N484" i="11"/>
  <c r="N361" i="11"/>
  <c r="O361" i="11"/>
  <c r="O375" i="11"/>
  <c r="N375" i="11"/>
  <c r="N456" i="11"/>
  <c r="O456" i="11"/>
  <c r="N169" i="11"/>
  <c r="O169" i="11"/>
  <c r="O563" i="11"/>
  <c r="N563" i="11"/>
  <c r="N124" i="11"/>
  <c r="O124" i="11"/>
  <c r="O56" i="11"/>
  <c r="N56" i="11"/>
  <c r="N470" i="11"/>
  <c r="O470" i="11"/>
  <c r="N219" i="11"/>
  <c r="O219" i="11"/>
  <c r="N98" i="11"/>
  <c r="O98" i="11"/>
  <c r="N560" i="11"/>
  <c r="O560" i="11"/>
  <c r="O8" i="11"/>
  <c r="N8" i="11"/>
  <c r="O546" i="11"/>
  <c r="N546" i="11"/>
  <c r="N524" i="11"/>
  <c r="O524" i="11"/>
  <c r="N501" i="11"/>
  <c r="O501" i="11"/>
  <c r="N42" i="11"/>
  <c r="O42" i="11"/>
  <c r="O50" i="11"/>
  <c r="N50" i="11"/>
  <c r="O544" i="11"/>
  <c r="N544" i="11"/>
  <c r="N397" i="11"/>
  <c r="O397" i="11"/>
  <c r="N36" i="11"/>
  <c r="O36" i="11"/>
  <c r="O517" i="11"/>
  <c r="N517" i="11"/>
  <c r="O369" i="11"/>
  <c r="N369" i="11"/>
  <c r="O633" i="11"/>
  <c r="N633" i="11"/>
  <c r="N65" i="11"/>
  <c r="O65" i="11"/>
  <c r="O621" i="11"/>
  <c r="N621" i="11"/>
  <c r="N348" i="11"/>
  <c r="O348" i="11"/>
  <c r="N523" i="11"/>
  <c r="O523" i="11"/>
  <c r="O608" i="11"/>
  <c r="N608" i="11"/>
  <c r="N659" i="11"/>
  <c r="O659" i="11"/>
  <c r="N616" i="11"/>
  <c r="O616" i="11"/>
  <c r="O623" i="11"/>
  <c r="N623" i="11"/>
  <c r="O226" i="11"/>
  <c r="N226" i="11"/>
  <c r="N597" i="11"/>
  <c r="O597" i="11"/>
  <c r="N359" i="11"/>
  <c r="O359" i="11"/>
  <c r="O197" i="11"/>
  <c r="N197" i="11"/>
  <c r="N63" i="11"/>
  <c r="O63" i="11"/>
  <c r="O603" i="11"/>
  <c r="N603" i="11"/>
  <c r="O211" i="11"/>
  <c r="N211" i="11"/>
  <c r="O290" i="11"/>
  <c r="N290" i="11"/>
  <c r="O575" i="11"/>
  <c r="N575" i="11"/>
  <c r="O430" i="11"/>
  <c r="N430" i="11"/>
  <c r="O16" i="11"/>
  <c r="N16" i="11"/>
  <c r="O320" i="11"/>
  <c r="N320" i="11"/>
  <c r="N64" i="11"/>
  <c r="O64" i="11"/>
  <c r="O354" i="11"/>
  <c r="N354" i="11"/>
  <c r="O62" i="11"/>
  <c r="N62" i="11"/>
  <c r="O580" i="11"/>
  <c r="N580" i="11"/>
  <c r="N380" i="11"/>
  <c r="O380" i="11"/>
  <c r="O183" i="11"/>
  <c r="N183" i="11"/>
  <c r="O584" i="11"/>
  <c r="N584" i="11"/>
  <c r="N333" i="11"/>
  <c r="O333" i="11"/>
  <c r="O660" i="11"/>
  <c r="N660" i="11"/>
  <c r="N422" i="11"/>
  <c r="O422" i="11"/>
  <c r="O624" i="11"/>
  <c r="N624" i="11"/>
  <c r="N498" i="11"/>
  <c r="O498" i="11"/>
  <c r="N20" i="11"/>
  <c r="O20" i="11"/>
  <c r="O505" i="11"/>
  <c r="N505" i="11"/>
  <c r="O493" i="11"/>
  <c r="N493" i="11"/>
  <c r="N37" i="11"/>
  <c r="O37" i="11"/>
  <c r="O118" i="11"/>
  <c r="N118" i="11"/>
  <c r="N69" i="11"/>
  <c r="O69" i="11"/>
  <c r="O38" i="11"/>
  <c r="N38" i="11"/>
  <c r="N514" i="11"/>
  <c r="O514" i="11"/>
  <c r="O480" i="11"/>
  <c r="N480" i="11"/>
  <c r="N448" i="11"/>
  <c r="O448" i="11"/>
  <c r="N587" i="11"/>
  <c r="O587" i="11"/>
  <c r="N355" i="11"/>
  <c r="O355" i="11"/>
  <c r="O576" i="11"/>
  <c r="N576" i="11"/>
  <c r="N89" i="11"/>
  <c r="O89" i="11"/>
  <c r="O90" i="11"/>
  <c r="N90" i="11"/>
  <c r="N101" i="11"/>
  <c r="O101" i="11"/>
  <c r="O641" i="11"/>
  <c r="N641" i="11"/>
  <c r="N473" i="11"/>
  <c r="O473" i="11"/>
  <c r="N134" i="11"/>
  <c r="O134" i="11"/>
  <c r="N564" i="11"/>
  <c r="O564" i="11"/>
  <c r="O461" i="11"/>
  <c r="N461" i="11"/>
  <c r="O434" i="11"/>
  <c r="N434" i="11"/>
  <c r="N41" i="11"/>
  <c r="O41" i="11"/>
  <c r="O596" i="11"/>
  <c r="N596" i="11"/>
  <c r="O585" i="11"/>
  <c r="N585" i="11"/>
  <c r="N503" i="11"/>
  <c r="O503" i="11"/>
  <c r="O574" i="11"/>
  <c r="N574" i="11"/>
  <c r="O353" i="11"/>
  <c r="N353" i="11"/>
  <c r="N402" i="11"/>
  <c r="O402" i="11"/>
  <c r="O391" i="11"/>
  <c r="N391" i="11"/>
  <c r="O625" i="11"/>
  <c r="N625" i="11"/>
  <c r="N66" i="11"/>
  <c r="O66" i="11"/>
  <c r="N343" i="11"/>
  <c r="O343" i="11"/>
  <c r="O465" i="11"/>
  <c r="N465" i="11"/>
  <c r="N113" i="11"/>
  <c r="O113" i="11"/>
  <c r="O379" i="11"/>
  <c r="N379" i="11"/>
  <c r="O395" i="11"/>
  <c r="N395" i="11"/>
  <c r="N526" i="11"/>
  <c r="O526" i="11"/>
  <c r="N486" i="11"/>
  <c r="O486" i="11"/>
  <c r="O485" i="11"/>
  <c r="N485" i="11"/>
  <c r="O648" i="11"/>
  <c r="N648" i="11"/>
  <c r="O61" i="11"/>
  <c r="N61" i="11"/>
  <c r="O322" i="11"/>
  <c r="N322" i="11"/>
  <c r="O649" i="11"/>
  <c r="N649" i="11"/>
  <c r="N176" i="11"/>
  <c r="O176" i="11"/>
  <c r="N328" i="11"/>
  <c r="O328" i="11"/>
  <c r="N599" i="11"/>
  <c r="O599" i="11"/>
  <c r="O299" i="11"/>
  <c r="N299" i="11"/>
  <c r="N502" i="11"/>
  <c r="O502" i="11"/>
  <c r="O497" i="11"/>
  <c r="N497" i="11"/>
  <c r="O436" i="11"/>
  <c r="N436" i="11"/>
  <c r="N404" i="11"/>
  <c r="O404" i="11"/>
  <c r="O12" i="11"/>
  <c r="N12" i="11"/>
  <c r="O301" i="11"/>
  <c r="N301" i="11"/>
  <c r="N377" i="11"/>
  <c r="O377" i="11"/>
  <c r="N492" i="11"/>
  <c r="O492" i="11"/>
  <c r="O637" i="11"/>
  <c r="N637" i="11"/>
  <c r="O195" i="11"/>
  <c r="N195" i="11"/>
  <c r="N44" i="11"/>
  <c r="O44" i="11"/>
  <c r="O9" i="11"/>
  <c r="N9" i="11"/>
  <c r="N475" i="11"/>
  <c r="O475" i="11"/>
  <c r="O541" i="11"/>
  <c r="N541" i="11"/>
  <c r="O171" i="11"/>
  <c r="N171" i="11"/>
  <c r="N403" i="11"/>
  <c r="O403" i="11"/>
  <c r="O474" i="11"/>
  <c r="N474" i="11"/>
  <c r="N613" i="11"/>
  <c r="O613" i="11"/>
  <c r="N31" i="11"/>
  <c r="O31" i="11"/>
  <c r="N358" i="11"/>
  <c r="O358" i="11"/>
  <c r="N450" i="11"/>
  <c r="O450" i="11"/>
  <c r="O15" i="11"/>
  <c r="N15" i="11"/>
  <c r="O87" i="11"/>
  <c r="N87" i="11"/>
  <c r="N132" i="11"/>
  <c r="O132" i="11"/>
  <c r="N552" i="11"/>
  <c r="O552" i="11"/>
  <c r="N127" i="11"/>
  <c r="O127" i="11"/>
  <c r="N304" i="11"/>
  <c r="O304" i="11"/>
  <c r="N588" i="11"/>
  <c r="O588" i="11"/>
  <c r="O530" i="11"/>
  <c r="N530" i="11"/>
  <c r="N142" i="11"/>
  <c r="O142" i="11"/>
  <c r="N406" i="11"/>
  <c r="O406" i="11"/>
  <c r="O438" i="11"/>
  <c r="N438" i="11"/>
  <c r="N347" i="11"/>
  <c r="O347" i="11"/>
  <c r="N194" i="11"/>
  <c r="O194" i="11"/>
  <c r="O662" i="11"/>
  <c r="N662" i="11"/>
  <c r="N32" i="11"/>
  <c r="O32" i="11"/>
  <c r="O415" i="11"/>
  <c r="N415" i="11"/>
  <c r="N117" i="11"/>
  <c r="O117" i="11"/>
  <c r="N13" i="11"/>
  <c r="O13" i="11"/>
  <c r="O568" i="11"/>
  <c r="N568" i="11"/>
  <c r="O39" i="11"/>
  <c r="N39" i="11"/>
  <c r="O335" i="11"/>
  <c r="N335" i="11"/>
  <c r="O629" i="11"/>
  <c r="N629" i="11"/>
  <c r="N141" i="11"/>
  <c r="O141" i="11"/>
  <c r="N19" i="11"/>
  <c r="O19" i="11"/>
  <c r="N604" i="11"/>
  <c r="O604" i="11"/>
  <c r="S668" i="11" l="1"/>
  <c r="S669" i="11" s="1"/>
  <c r="S447" i="5"/>
  <c r="S195" i="5"/>
  <c r="S194" i="5"/>
  <c r="S193" i="5"/>
  <c r="S178" i="5"/>
  <c r="S124" i="5"/>
  <c r="S196" i="5"/>
  <c r="S29" i="5" l="1"/>
  <c r="S36" i="5"/>
  <c r="S63" i="5"/>
  <c r="S70" i="5"/>
  <c r="S255" i="5"/>
  <c r="S95" i="5"/>
  <c r="S96" i="5"/>
  <c r="S106" i="5"/>
  <c r="S267" i="5"/>
  <c r="S153" i="5"/>
  <c r="S262" i="5"/>
  <c r="S278" i="5"/>
  <c r="S274" i="5"/>
  <c r="S275" i="5"/>
  <c r="S35" i="5"/>
  <c r="S284" i="5"/>
  <c r="S283" i="5"/>
  <c r="S285" i="5"/>
  <c r="S289" i="5"/>
  <c r="S439" i="5"/>
  <c r="S286" i="5"/>
  <c r="S297" i="5"/>
  <c r="S290" i="5"/>
  <c r="S380" i="5"/>
  <c r="S420" i="5"/>
  <c r="S460" i="5"/>
  <c r="S549" i="5"/>
  <c r="S552" i="5"/>
  <c r="S584" i="5"/>
  <c r="S648" i="5"/>
  <c r="S621" i="5" l="1"/>
  <c r="S396" i="5"/>
  <c r="S408" i="5"/>
  <c r="S661" i="5"/>
  <c r="S599" i="5"/>
  <c r="S664" i="5"/>
  <c r="S150" i="5"/>
  <c r="S149" i="5"/>
  <c r="S38" i="5"/>
  <c r="S532" i="5"/>
  <c r="S518" i="5"/>
  <c r="S134" i="5"/>
  <c r="S98" i="5"/>
  <c r="S97" i="5"/>
  <c r="S80" i="5"/>
  <c r="S636" i="5"/>
  <c r="S180" i="5"/>
  <c r="S293" i="5"/>
  <c r="S291" i="5"/>
  <c r="S336" i="5"/>
  <c r="S228" i="5"/>
  <c r="S164" i="5"/>
  <c r="S212" i="5"/>
  <c r="S340" i="5"/>
  <c r="S295" i="5"/>
  <c r="S615" i="5"/>
  <c r="S176" i="5"/>
  <c r="S163" i="5"/>
  <c r="S34" i="5"/>
  <c r="S72" i="5"/>
  <c r="S28" i="5"/>
  <c r="S175" i="5"/>
  <c r="S225" i="5"/>
  <c r="S49" i="5"/>
  <c r="S139" i="5"/>
  <c r="S69" i="5"/>
  <c r="S73" i="5"/>
  <c r="S281" i="5"/>
  <c r="S173" i="5"/>
  <c r="S160" i="5"/>
  <c r="S138" i="5"/>
  <c r="S288" i="5"/>
  <c r="S240" i="5"/>
  <c r="S172" i="5"/>
  <c r="S287" i="5"/>
  <c r="S44" i="5"/>
  <c r="S364" i="5"/>
  <c r="S241" i="5"/>
  <c r="S99" i="5"/>
  <c r="S43" i="5"/>
  <c r="S276" i="5"/>
  <c r="S170" i="5"/>
  <c r="S168" i="5"/>
  <c r="S32" i="5"/>
  <c r="S94" i="5"/>
  <c r="S646" i="5"/>
  <c r="S612" i="5"/>
  <c r="S277" i="5"/>
  <c r="S609" i="5"/>
  <c r="S520" i="5"/>
  <c r="S292" i="5"/>
  <c r="S282" i="5"/>
  <c r="S132" i="5"/>
  <c r="S157" i="5"/>
  <c r="S475" i="5"/>
  <c r="S188" i="5"/>
  <c r="S169" i="5"/>
  <c r="S155" i="5"/>
  <c r="S156" i="5"/>
  <c r="S296" i="5"/>
  <c r="S280" i="5"/>
  <c r="S127" i="5"/>
  <c r="S503" i="5"/>
  <c r="S279" i="5"/>
  <c r="S71" i="5"/>
  <c r="S166" i="5"/>
  <c r="S125" i="5"/>
  <c r="S146" i="5"/>
  <c r="S177" i="5" l="1"/>
  <c r="S179" i="5"/>
  <c r="S315" i="5" l="1"/>
  <c r="S647" i="5"/>
  <c r="S603" i="5"/>
  <c r="S668" i="5"/>
  <c r="S632" i="5"/>
  <c r="S324" i="5"/>
  <c r="S540" i="5"/>
  <c r="S566" i="5"/>
  <c r="S459" i="5"/>
  <c r="S490" i="5"/>
  <c r="S443" i="5"/>
  <c r="S388" i="5"/>
  <c r="S431" i="5"/>
  <c r="S317" i="5"/>
  <c r="S366" i="5"/>
  <c r="S666" i="5"/>
  <c r="S649" i="5"/>
  <c r="S627" i="5"/>
  <c r="S622" i="5"/>
  <c r="S604" i="5"/>
  <c r="S586" i="5"/>
  <c r="S548" i="5"/>
  <c r="S539" i="5"/>
  <c r="S322" i="5"/>
  <c r="S533" i="5"/>
  <c r="S485" i="5"/>
  <c r="S399" i="5"/>
  <c r="S452" i="5"/>
  <c r="S391" i="5"/>
  <c r="S403" i="5"/>
  <c r="S427" i="5"/>
  <c r="S426" i="5"/>
  <c r="S351" i="5"/>
  <c r="S387" i="5"/>
  <c r="S6" i="5"/>
  <c r="S22" i="5"/>
  <c r="S626" i="5"/>
  <c r="S550" i="5"/>
  <c r="S651" i="5"/>
  <c r="S624" i="5"/>
  <c r="S570" i="5"/>
  <c r="S205" i="5"/>
  <c r="S482" i="5"/>
  <c r="S397" i="5"/>
  <c r="S457" i="5"/>
  <c r="S379" i="5"/>
  <c r="S655" i="5"/>
  <c r="S645" i="5"/>
  <c r="S633" i="5"/>
  <c r="S619" i="5"/>
  <c r="S579" i="5"/>
  <c r="S493" i="5"/>
  <c r="S569" i="5"/>
  <c r="S325" i="5"/>
  <c r="S476" i="5"/>
  <c r="S505" i="5"/>
  <c r="S318" i="5"/>
  <c r="S507" i="5"/>
  <c r="S445" i="5"/>
  <c r="S430" i="5"/>
  <c r="S448" i="5"/>
  <c r="S410" i="5"/>
  <c r="S416" i="5"/>
  <c r="S303" i="5"/>
  <c r="S386" i="5"/>
  <c r="S384" i="5"/>
  <c r="S411" i="5"/>
  <c r="S204" i="5"/>
  <c r="S483" i="5"/>
  <c r="S572" i="5"/>
  <c r="S456" i="5"/>
  <c r="S438" i="5"/>
  <c r="S500" i="5"/>
  <c r="S589" i="5"/>
  <c r="S665" i="5"/>
  <c r="S605" i="5"/>
  <c r="S558" i="5"/>
  <c r="S536" i="5"/>
  <c r="S525" i="5"/>
  <c r="S530" i="5"/>
  <c r="S517" i="5"/>
  <c r="S451" i="5"/>
  <c r="S442" i="5"/>
  <c r="S441" i="5"/>
  <c r="S580" i="5"/>
  <c r="S389" i="5"/>
  <c r="S375" i="5"/>
  <c r="S424" i="5"/>
  <c r="S402" i="5"/>
  <c r="S314" i="5"/>
  <c r="S20" i="5"/>
  <c r="S367" i="5"/>
  <c r="S141" i="5"/>
  <c r="S341" i="5"/>
  <c r="S37" i="5"/>
  <c r="S189" i="5"/>
  <c r="S223" i="5"/>
  <c r="S662" i="5"/>
  <c r="S643" i="5"/>
  <c r="S631" i="5"/>
  <c r="S617" i="5"/>
  <c r="S581" i="5"/>
  <c r="S512" i="5"/>
  <c r="S560" i="5"/>
  <c r="S495" i="5"/>
  <c r="S553" i="5"/>
  <c r="S17" i="5"/>
  <c r="S377" i="5"/>
  <c r="S401" i="5"/>
  <c r="S510" i="5"/>
  <c r="S11" i="5"/>
  <c r="S365" i="5"/>
  <c r="S304" i="5"/>
  <c r="S328" i="5"/>
  <c r="S198" i="5"/>
  <c r="S90" i="5"/>
  <c r="S222" i="5"/>
  <c r="S203" i="5"/>
  <c r="S200" i="5"/>
  <c r="S642" i="5"/>
  <c r="S620" i="5"/>
  <c r="S616" i="5"/>
  <c r="S585" i="5"/>
  <c r="S588" i="5"/>
  <c r="S567" i="5"/>
  <c r="S494" i="5"/>
  <c r="S531" i="5"/>
  <c r="S504" i="5"/>
  <c r="S467" i="5"/>
  <c r="S496" i="5"/>
  <c r="S545" i="5"/>
  <c r="S394" i="5"/>
  <c r="S667" i="5"/>
  <c r="S559" i="5"/>
  <c r="S429" i="5"/>
  <c r="S575" i="5"/>
  <c r="S423" i="5"/>
  <c r="S541" i="5"/>
  <c r="S21" i="5"/>
  <c r="S362" i="5"/>
  <c r="S515" i="5"/>
  <c r="S327" i="5"/>
  <c r="S597" i="5"/>
  <c r="S363" i="5"/>
  <c r="S221" i="5"/>
  <c r="S663" i="5"/>
  <c r="S657" i="5"/>
  <c r="S644" i="5"/>
  <c r="S630" i="5"/>
  <c r="S614" i="5"/>
  <c r="S596" i="5"/>
  <c r="S587" i="5"/>
  <c r="S534" i="5"/>
  <c r="S561" i="5"/>
  <c r="S462" i="5"/>
  <c r="S509" i="5"/>
  <c r="S466" i="5"/>
  <c r="S497" i="5"/>
  <c r="S320" i="5"/>
  <c r="S463" i="5"/>
  <c r="S450" i="5"/>
  <c r="S440" i="5"/>
  <c r="S376" i="5"/>
  <c r="S382" i="5"/>
  <c r="S400" i="5"/>
  <c r="S385" i="5"/>
  <c r="S310" i="5"/>
  <c r="S407" i="5"/>
  <c r="S326" i="5"/>
  <c r="S334" i="5"/>
  <c r="S209" i="5"/>
  <c r="S656" i="5"/>
  <c r="S641" i="5"/>
  <c r="S623" i="5"/>
  <c r="S602" i="5"/>
  <c r="S601" i="5"/>
  <c r="S571" i="5"/>
  <c r="S576" i="5"/>
  <c r="S582" i="5"/>
  <c r="S508" i="5"/>
  <c r="S524" i="5"/>
  <c r="S487" i="5"/>
  <c r="S471" i="5"/>
  <c r="S319" i="5"/>
  <c r="S418" i="5"/>
  <c r="S353" i="5"/>
  <c r="S425" i="5"/>
  <c r="S335" i="5"/>
  <c r="S398" i="5"/>
  <c r="S311" i="5"/>
  <c r="S369" i="5"/>
  <c r="S372" i="5"/>
  <c r="S381" i="5"/>
  <c r="S354" i="5"/>
  <c r="S333" i="5"/>
  <c r="S199" i="5"/>
  <c r="S238" i="5"/>
  <c r="S660" i="5"/>
  <c r="S637" i="5"/>
  <c r="S607" i="5"/>
  <c r="S610" i="5"/>
  <c r="S595" i="5"/>
  <c r="S306" i="5"/>
  <c r="S547" i="5"/>
  <c r="S514" i="5"/>
  <c r="S511" i="5"/>
  <c r="S523" i="5"/>
  <c r="S428" i="5"/>
  <c r="S492" i="5"/>
  <c r="S481" i="5"/>
  <c r="S458" i="5"/>
  <c r="S313" i="5"/>
  <c r="S378" i="5"/>
  <c r="S309" i="5"/>
  <c r="S413" i="5"/>
  <c r="S592" i="5"/>
  <c r="S30" i="5"/>
  <c r="S349" i="5"/>
  <c r="S538" i="5"/>
  <c r="S516" i="5"/>
  <c r="S344" i="5"/>
  <c r="S190" i="5"/>
  <c r="S237" i="5"/>
  <c r="S218" i="5"/>
  <c r="S9" i="5"/>
  <c r="S159" i="5"/>
  <c r="S659" i="5"/>
  <c r="S640" i="5"/>
  <c r="S629" i="5"/>
  <c r="S608" i="5"/>
  <c r="S600" i="5"/>
  <c r="S574" i="5"/>
  <c r="S564" i="5"/>
  <c r="S542" i="5"/>
  <c r="S528" i="5"/>
  <c r="S506" i="5"/>
  <c r="S465" i="5"/>
  <c r="S455" i="5"/>
  <c r="S480" i="5"/>
  <c r="S565" i="5"/>
  <c r="S404" i="5"/>
  <c r="S395" i="5"/>
  <c r="S412" i="5"/>
  <c r="S555" i="5"/>
  <c r="S352" i="5"/>
  <c r="S371" i="5"/>
  <c r="S356" i="5"/>
  <c r="S345" i="5"/>
  <c r="S329" i="5"/>
  <c r="S4" i="5"/>
  <c r="S658" i="5"/>
  <c r="S639" i="5"/>
  <c r="S628" i="5"/>
  <c r="S554" i="5"/>
  <c r="S594" i="5"/>
  <c r="S573" i="5"/>
  <c r="S527" i="5"/>
  <c r="S543" i="5"/>
  <c r="S544" i="5"/>
  <c r="S499" i="5"/>
  <c r="S472" i="5"/>
  <c r="S502" i="5"/>
  <c r="S478" i="5"/>
  <c r="S405" i="5"/>
  <c r="S316" i="5"/>
  <c r="S435" i="5"/>
  <c r="S489" i="5"/>
  <c r="S301" i="5"/>
  <c r="S373" i="5"/>
  <c r="S299" i="5"/>
  <c r="S529" i="5"/>
  <c r="S653" i="5"/>
  <c r="S638" i="5"/>
  <c r="S618" i="5"/>
  <c r="S590" i="5"/>
  <c r="S593" i="5"/>
  <c r="S577" i="5"/>
  <c r="S563" i="5"/>
  <c r="S551" i="5"/>
  <c r="S321" i="5"/>
  <c r="S469" i="5"/>
  <c r="S498" i="5"/>
  <c r="S454" i="5"/>
  <c r="S477" i="5"/>
  <c r="S436" i="5"/>
  <c r="S417" i="5"/>
  <c r="S434" i="5"/>
  <c r="S421" i="5"/>
  <c r="S58" i="5"/>
  <c r="S392" i="5"/>
  <c r="S338" i="5"/>
  <c r="S360" i="5"/>
  <c r="S358" i="5"/>
  <c r="S207" i="5"/>
  <c r="S74" i="5"/>
  <c r="S234" i="5"/>
  <c r="S215" i="5"/>
  <c r="S670" i="5"/>
  <c r="S652" i="5"/>
  <c r="S634" i="5"/>
  <c r="S613" i="5"/>
  <c r="S606" i="5"/>
  <c r="S578" i="5"/>
  <c r="S562" i="5"/>
  <c r="S323" i="5"/>
  <c r="S557" i="5"/>
  <c r="S537" i="5"/>
  <c r="S521" i="5"/>
  <c r="S409" i="5"/>
  <c r="S461" i="5"/>
  <c r="S474" i="5"/>
  <c r="S414" i="5"/>
  <c r="S383" i="5"/>
  <c r="S433" i="5"/>
  <c r="S374" i="5"/>
  <c r="S453" i="5"/>
  <c r="S473" i="5"/>
  <c r="S337" i="5"/>
  <c r="S307" i="5"/>
  <c r="S522" i="5"/>
  <c r="S298" i="5"/>
  <c r="S46" i="5"/>
  <c r="S669" i="5"/>
  <c r="S650" i="5"/>
  <c r="S635" i="5"/>
  <c r="S625" i="5"/>
  <c r="S611" i="5"/>
  <c r="S583" i="5"/>
  <c r="S331" i="5"/>
  <c r="S568" i="5"/>
  <c r="S519" i="5"/>
  <c r="S535" i="5"/>
  <c r="S488" i="5"/>
  <c r="S468" i="5"/>
  <c r="S415" i="5"/>
  <c r="S355" i="5"/>
  <c r="S406" i="5"/>
  <c r="S444" i="5"/>
  <c r="S432" i="5"/>
  <c r="S419" i="5"/>
  <c r="S470" i="5"/>
  <c r="S393" i="5"/>
  <c r="S308" i="5"/>
  <c r="S370" i="5"/>
  <c r="S342" i="5"/>
  <c r="S339" i="5"/>
  <c r="S501" i="5"/>
  <c r="S75" i="5"/>
  <c r="S232" i="5"/>
  <c r="S213" i="5"/>
  <c r="S305" i="5"/>
  <c r="S312" i="5"/>
  <c r="S123" i="5"/>
  <c r="S109" i="5"/>
  <c r="S85" i="5"/>
  <c r="S347" i="5"/>
  <c r="S31" i="5"/>
  <c r="S8" i="5"/>
  <c r="S202" i="5"/>
  <c r="S53" i="5"/>
  <c r="S350" i="5"/>
  <c r="S60" i="5"/>
  <c r="S556" i="5"/>
  <c r="S102" i="5"/>
  <c r="S227" i="5"/>
  <c r="S211" i="5"/>
  <c r="S361" i="5"/>
  <c r="S147" i="5"/>
  <c r="S122" i="5"/>
  <c r="S108" i="5"/>
  <c r="S84" i="5"/>
  <c r="S59" i="5"/>
  <c r="S27" i="5"/>
  <c r="S486" i="5"/>
  <c r="S422" i="5"/>
  <c r="S437" i="5"/>
  <c r="S343" i="5"/>
  <c r="S92" i="5"/>
  <c r="S81" i="5"/>
  <c r="S226" i="5"/>
  <c r="S210" i="5"/>
  <c r="S145" i="5"/>
  <c r="S121" i="5"/>
  <c r="S107" i="5"/>
  <c r="S79" i="5"/>
  <c r="S57" i="5"/>
  <c r="S491" i="5"/>
  <c r="S143" i="5"/>
  <c r="S13" i="5"/>
  <c r="S368" i="5"/>
  <c r="S591" i="5"/>
  <c r="S23" i="5"/>
  <c r="S83" i="5"/>
  <c r="S52" i="5"/>
  <c r="S224" i="5"/>
  <c r="S206" i="5"/>
  <c r="S174" i="5"/>
  <c r="S144" i="5"/>
  <c r="S120" i="5"/>
  <c r="S105" i="5"/>
  <c r="S77" i="5"/>
  <c r="S56" i="5"/>
  <c r="S24" i="5"/>
  <c r="S235" i="5"/>
  <c r="S142" i="5"/>
  <c r="S171" i="5"/>
  <c r="S140" i="5"/>
  <c r="S119" i="5"/>
  <c r="S104" i="5"/>
  <c r="S76" i="5"/>
  <c r="S55" i="5"/>
  <c r="S348" i="5"/>
  <c r="S47" i="5"/>
  <c r="S26" i="5"/>
  <c r="S167" i="5"/>
  <c r="S137" i="5"/>
  <c r="S118" i="5"/>
  <c r="S103" i="5"/>
  <c r="S68" i="5"/>
  <c r="S54" i="5"/>
  <c r="S19" i="5"/>
  <c r="S484" i="5"/>
  <c r="S16" i="5"/>
  <c r="S165" i="5"/>
  <c r="S136" i="5"/>
  <c r="S117" i="5"/>
  <c r="S101" i="5"/>
  <c r="S67" i="5"/>
  <c r="S51" i="5"/>
  <c r="S14" i="5"/>
  <c r="S464" i="5"/>
  <c r="S208" i="5"/>
  <c r="S239" i="5"/>
  <c r="S220" i="5"/>
  <c r="S201" i="5"/>
  <c r="S162" i="5"/>
  <c r="S135" i="5"/>
  <c r="S116" i="5"/>
  <c r="S100" i="5"/>
  <c r="S66" i="5"/>
  <c r="S50" i="5"/>
  <c r="S12" i="5"/>
  <c r="S546" i="5"/>
  <c r="S3" i="5"/>
  <c r="S219" i="5"/>
  <c r="S197" i="5"/>
  <c r="S161" i="5"/>
  <c r="S133" i="5"/>
  <c r="S115" i="5"/>
  <c r="S93" i="5"/>
  <c r="S64" i="5"/>
  <c r="S48" i="5"/>
  <c r="S25" i="5"/>
  <c r="S18" i="5"/>
  <c r="S65" i="5"/>
  <c r="S131" i="5"/>
  <c r="S114" i="5"/>
  <c r="S91" i="5"/>
  <c r="S15" i="5"/>
  <c r="S42" i="5"/>
  <c r="S346" i="5"/>
  <c r="S332" i="5"/>
  <c r="S654" i="5"/>
  <c r="S187" i="5"/>
  <c r="S236" i="5"/>
  <c r="S217" i="5"/>
  <c r="S192" i="5"/>
  <c r="S158" i="5"/>
  <c r="S130" i="5"/>
  <c r="S113" i="5"/>
  <c r="S89" i="5"/>
  <c r="S62" i="5"/>
  <c r="S41" i="5"/>
  <c r="S148" i="5"/>
  <c r="S5" i="5"/>
  <c r="S151" i="5"/>
  <c r="S357" i="5"/>
  <c r="S300" i="5"/>
  <c r="S302" i="5"/>
  <c r="S82" i="5"/>
  <c r="S598" i="5"/>
  <c r="S216" i="5"/>
  <c r="S191" i="5"/>
  <c r="S449" i="5"/>
  <c r="S129" i="5"/>
  <c r="S112" i="5"/>
  <c r="S88" i="5"/>
  <c r="S330" i="5"/>
  <c r="S40" i="5"/>
  <c r="S45" i="5"/>
  <c r="S390" i="5"/>
  <c r="S186" i="5"/>
  <c r="S154" i="5"/>
  <c r="S128" i="5"/>
  <c r="S111" i="5"/>
  <c r="S87" i="5"/>
  <c r="S446" i="5"/>
  <c r="S39" i="5"/>
  <c r="S10" i="5"/>
  <c r="S7" i="5"/>
  <c r="S78" i="5"/>
  <c r="S233" i="5"/>
  <c r="S214" i="5"/>
  <c r="S479" i="5"/>
  <c r="S152" i="5"/>
  <c r="S126" i="5"/>
  <c r="S110" i="5"/>
  <c r="S86" i="5"/>
  <c r="S61" i="5"/>
  <c r="S33" i="5"/>
  <c r="S526" i="5"/>
  <c r="S359" i="5"/>
  <c r="Q149" i="10" l="1"/>
  <c r="Q147" i="10"/>
  <c r="Q363" i="10"/>
  <c r="Q120" i="10"/>
  <c r="Q146" i="10"/>
  <c r="Q181" i="10"/>
  <c r="Q148" i="10"/>
  <c r="Q207" i="10"/>
  <c r="Q122" i="10"/>
  <c r="Q12" i="10"/>
  <c r="Q65" i="10"/>
  <c r="Q202" i="10"/>
  <c r="Q457" i="10"/>
  <c r="Q49" i="10"/>
  <c r="Q418" i="10"/>
  <c r="Q61" i="10"/>
  <c r="Q129" i="10"/>
  <c r="Q114" i="10"/>
  <c r="Q26" i="10"/>
  <c r="Q130" i="10"/>
  <c r="Q110" i="10"/>
  <c r="Q117" i="10"/>
  <c r="Q36" i="10"/>
  <c r="Q173" i="10"/>
  <c r="Q44" i="10"/>
  <c r="Q351" i="10"/>
  <c r="Q116" i="10"/>
  <c r="Q190" i="10"/>
  <c r="Q185" i="10"/>
  <c r="Q504" i="10"/>
  <c r="Q43" i="10"/>
  <c r="Q466" i="10"/>
  <c r="Q33" i="10"/>
  <c r="Q14" i="10"/>
  <c r="Q119" i="10"/>
  <c r="Q67" i="10"/>
  <c r="Q66" i="10"/>
  <c r="Q59" i="10"/>
  <c r="Q112" i="10"/>
  <c r="Q30" i="10"/>
  <c r="Q279" i="10"/>
  <c r="Q121" i="10"/>
  <c r="Q80" i="10"/>
  <c r="Q83" i="10"/>
  <c r="Q171" i="10"/>
  <c r="Q79" i="10"/>
  <c r="Q484" i="10"/>
  <c r="Q132" i="10"/>
  <c r="Q113" i="10"/>
  <c r="Q352" i="10"/>
  <c r="Q128" i="10"/>
  <c r="Q230" i="10"/>
  <c r="Q8" i="10"/>
  <c r="Q242" i="10"/>
  <c r="Q428" i="10"/>
  <c r="Q76" i="10"/>
  <c r="Q4" i="10"/>
  <c r="Q211" i="10"/>
  <c r="Q260" i="10"/>
  <c r="Q238" i="10"/>
  <c r="Q32" i="10"/>
  <c r="Q134" i="10"/>
  <c r="Q296" i="10"/>
  <c r="Q247" i="10"/>
  <c r="Q299" i="10"/>
  <c r="Q153" i="10"/>
  <c r="Q97" i="10"/>
  <c r="Q387" i="10"/>
  <c r="Q317" i="10"/>
  <c r="Q445" i="10"/>
  <c r="Q35" i="10"/>
  <c r="Q42" i="10"/>
  <c r="Q56" i="10"/>
  <c r="Q268" i="10"/>
  <c r="Q53" i="10"/>
  <c r="Q102" i="10"/>
  <c r="Q481" i="10"/>
  <c r="Q194" i="10"/>
  <c r="Q390" i="10"/>
  <c r="Q217" i="10"/>
  <c r="Q371" i="10"/>
  <c r="Q252" i="10"/>
  <c r="Q220" i="10"/>
  <c r="Q105" i="10"/>
  <c r="Q96" i="10"/>
  <c r="Q93" i="10"/>
  <c r="Q133" i="10"/>
  <c r="Q142" i="10"/>
  <c r="Q54" i="10"/>
  <c r="Q138" i="10"/>
  <c r="Q259" i="10"/>
  <c r="Q443" i="10"/>
  <c r="Q115" i="10"/>
  <c r="Q370" i="10"/>
  <c r="Q254" i="10"/>
  <c r="Q459" i="10"/>
  <c r="Q60" i="10"/>
  <c r="Q73" i="10"/>
  <c r="Q483" i="10"/>
  <c r="Q234" i="10"/>
  <c r="Q261" i="10"/>
  <c r="Q322" i="10"/>
  <c r="Q427" i="10"/>
  <c r="Q169" i="10"/>
  <c r="Q244" i="10"/>
  <c r="Q480" i="10"/>
  <c r="Q141" i="10"/>
  <c r="Q143" i="10"/>
  <c r="Q456" i="10"/>
  <c r="Q328" i="10"/>
  <c r="Q40" i="10"/>
  <c r="Q345" i="10"/>
  <c r="Q517" i="10"/>
  <c r="Q229" i="10"/>
  <c r="Q48" i="10"/>
  <c r="Q7" i="10"/>
  <c r="Q502" i="10"/>
  <c r="Q218" i="10"/>
  <c r="Q381" i="10"/>
  <c r="Q362" i="10"/>
  <c r="Q243" i="10"/>
  <c r="Q75" i="10"/>
  <c r="Q183" i="10"/>
  <c r="Q68" i="10"/>
  <c r="Q108" i="10"/>
  <c r="Q41" i="10"/>
  <c r="Q360" i="10"/>
  <c r="Q31" i="10"/>
  <c r="Q499" i="10"/>
  <c r="Q74" i="10"/>
  <c r="Q162" i="10"/>
  <c r="Q334" i="10"/>
  <c r="Q245" i="10"/>
  <c r="Q160" i="10"/>
  <c r="Q273" i="10"/>
  <c r="Q100" i="10"/>
  <c r="Q331" i="10"/>
  <c r="Q135" i="10"/>
  <c r="Q223" i="10"/>
  <c r="Q71" i="10"/>
  <c r="Q291" i="10"/>
  <c r="Q189" i="10"/>
  <c r="Q232" i="10"/>
  <c r="Q95" i="10"/>
  <c r="Q111" i="10"/>
  <c r="Q90" i="10"/>
  <c r="Q323" i="10"/>
  <c r="Q177" i="10"/>
  <c r="Q94" i="10"/>
  <c r="Q399" i="10"/>
  <c r="Q464" i="10"/>
  <c r="Q86" i="10"/>
  <c r="Q507" i="10"/>
  <c r="Q248" i="10"/>
  <c r="Q109" i="10"/>
  <c r="Q342" i="10"/>
  <c r="Q249" i="10"/>
  <c r="Q471" i="10"/>
  <c r="Q311" i="10"/>
  <c r="Q131" i="10"/>
  <c r="Q303" i="10"/>
  <c r="Q276" i="10"/>
  <c r="Q275" i="10"/>
  <c r="Q365" i="10"/>
  <c r="Q21" i="10"/>
  <c r="Q302" i="10"/>
  <c r="Q423" i="10"/>
  <c r="Q125" i="10"/>
  <c r="Q256" i="10"/>
  <c r="Q364" i="10"/>
  <c r="Q228" i="10"/>
  <c r="Q477" i="10"/>
  <c r="Q416" i="10"/>
  <c r="Q368" i="10"/>
  <c r="Q284" i="10"/>
  <c r="Q101" i="10"/>
  <c r="Q205" i="10"/>
  <c r="Q85" i="10"/>
  <c r="Q82" i="10"/>
  <c r="Q193" i="10"/>
  <c r="Q519" i="10"/>
  <c r="Q298" i="10"/>
  <c r="Q518" i="10"/>
  <c r="Q460" i="10"/>
  <c r="Q400" i="10"/>
  <c r="Q152" i="10"/>
  <c r="Q330" i="10"/>
  <c r="Q216" i="10"/>
  <c r="Q255" i="10"/>
  <c r="Q144" i="10"/>
  <c r="Q145" i="10"/>
  <c r="Q91" i="10"/>
  <c r="Q88" i="10"/>
  <c r="Q104" i="10"/>
  <c r="Q78" i="10"/>
  <c r="Q225" i="10"/>
  <c r="Q123" i="10"/>
  <c r="Q321" i="10"/>
  <c r="Q92" i="10"/>
  <c r="Q89" i="10"/>
  <c r="Q257" i="10"/>
  <c r="Q72" i="10"/>
  <c r="Q69" i="10"/>
  <c r="Q46" i="10"/>
  <c r="Q45" i="10"/>
  <c r="Q27" i="10"/>
  <c r="Q241" i="10"/>
  <c r="Q203" i="10"/>
  <c r="Q347" i="10"/>
  <c r="Q84" i="10"/>
  <c r="Q81" i="10"/>
  <c r="Q29" i="10"/>
  <c r="Q77" i="10"/>
  <c r="Q38" i="10"/>
  <c r="Q23" i="10"/>
  <c r="Q434" i="10"/>
  <c r="Q70" i="10"/>
  <c r="Q515" i="10"/>
  <c r="Q467" i="10"/>
  <c r="Q288" i="10"/>
  <c r="Q126" i="10"/>
  <c r="Q127" i="10"/>
  <c r="Q488" i="10"/>
  <c r="Q349" i="10"/>
  <c r="Q161" i="10"/>
  <c r="Q192" i="10"/>
  <c r="Q39" i="10"/>
  <c r="Q337" i="10"/>
  <c r="Q201" i="10"/>
  <c r="Q103" i="10"/>
  <c r="Q24" i="10"/>
  <c r="Q265" i="10"/>
  <c r="Q139" i="10"/>
  <c r="Q140" i="10"/>
  <c r="Q107" i="10"/>
  <c r="Q106" i="10"/>
  <c r="Q87" i="10"/>
  <c r="Q285" i="10"/>
  <c r="Q385" i="10"/>
  <c r="Q475" i="10"/>
  <c r="Q476" i="10"/>
  <c r="Q407" i="10"/>
  <c r="Q186" i="10"/>
  <c r="Q16" i="10"/>
  <c r="Q19" i="10"/>
  <c r="Q378" i="10"/>
  <c r="Q227" i="10"/>
  <c r="Q99" i="10"/>
  <c r="Q98" i="10"/>
  <c r="Q167" i="10"/>
  <c r="Q380" i="10"/>
  <c r="Q446" i="10"/>
  <c r="Q50" i="10"/>
  <c r="Q47" i="10"/>
  <c r="Q52" i="10"/>
  <c r="Q343" i="10"/>
  <c r="Q22" i="10"/>
  <c r="Q64" i="10"/>
  <c r="Q62" i="10"/>
  <c r="Q304" i="10"/>
  <c r="Q63" i="10"/>
  <c r="Q353" i="10"/>
  <c r="Q51" i="10"/>
  <c r="Q136" i="10"/>
  <c r="Q137" i="10"/>
  <c r="Q514" i="10"/>
  <c r="S513" i="5"/>
  <c r="Q355" i="10" s="1"/>
  <c r="Q374" i="10" l="1"/>
  <c r="Q301" i="10"/>
  <c r="Q118" i="10"/>
  <c r="Q320" i="10"/>
  <c r="Q359" i="10"/>
  <c r="Q215" i="10"/>
  <c r="Q375" i="10"/>
  <c r="Q221" i="10"/>
  <c r="Q340" i="10"/>
  <c r="Q357" i="10"/>
  <c r="V7" i="20" l="1"/>
  <c r="W5" i="20"/>
  <c r="V5" i="20"/>
  <c r="W2" i="20"/>
  <c r="W3" i="20"/>
  <c r="V3" i="20"/>
  <c r="W4" i="20"/>
  <c r="V4" i="20"/>
  <c r="W6" i="20"/>
  <c r="V6" i="20"/>
  <c r="W7" i="20"/>
  <c r="V2" i="20"/>
  <c r="W15" i="20"/>
  <c r="Y6" i="20" l="1"/>
  <c r="X6" i="20"/>
  <c r="Y2" i="20"/>
  <c r="X2" i="20"/>
  <c r="Y4" i="20"/>
  <c r="X4" i="20"/>
  <c r="Y3" i="20"/>
  <c r="X3" i="20"/>
  <c r="Y5" i="20"/>
  <c r="X5" i="20"/>
  <c r="Y7" i="20"/>
  <c r="X7" i="20"/>
  <c r="V496" i="20"/>
  <c r="V278" i="20"/>
  <c r="V51" i="20"/>
  <c r="V495" i="20"/>
  <c r="V302" i="20"/>
  <c r="V432" i="20"/>
  <c r="W37" i="20"/>
  <c r="V324" i="20"/>
  <c r="V381" i="20"/>
  <c r="W76" i="20"/>
  <c r="V128" i="20"/>
  <c r="W118" i="20"/>
  <c r="V233" i="20"/>
  <c r="V160" i="20"/>
  <c r="W158" i="20"/>
  <c r="V88" i="20"/>
  <c r="V194" i="20"/>
  <c r="V436" i="20"/>
  <c r="V222" i="20"/>
  <c r="V270" i="20"/>
  <c r="V42" i="20"/>
  <c r="V403" i="20"/>
  <c r="V392" i="20"/>
  <c r="W69" i="20"/>
  <c r="V355" i="20"/>
  <c r="V138" i="20"/>
  <c r="W130" i="20"/>
  <c r="V86" i="20"/>
  <c r="V311" i="20"/>
  <c r="V337" i="20"/>
  <c r="V468" i="20"/>
  <c r="V264" i="20"/>
  <c r="V37" i="20"/>
  <c r="V497" i="20"/>
  <c r="V315" i="20"/>
  <c r="V69" i="20"/>
  <c r="W39" i="20"/>
  <c r="V423" i="20"/>
  <c r="V148" i="20"/>
  <c r="V269" i="20"/>
  <c r="V385" i="20"/>
  <c r="W138" i="20"/>
  <c r="W298" i="20"/>
  <c r="V466" i="20"/>
  <c r="V262" i="20"/>
  <c r="V34" i="20"/>
  <c r="V480" i="20"/>
  <c r="V277" i="20"/>
  <c r="V49" i="20"/>
  <c r="W17" i="20"/>
  <c r="V320" i="20"/>
  <c r="V408" i="20"/>
  <c r="W55" i="20"/>
  <c r="V396" i="20"/>
  <c r="V112" i="20"/>
  <c r="W381" i="20"/>
  <c r="V360" i="20"/>
  <c r="V143" i="20"/>
  <c r="W136" i="20"/>
  <c r="V84" i="20"/>
  <c r="V175" i="20"/>
  <c r="V294" i="20"/>
  <c r="V208" i="20"/>
  <c r="V459" i="20"/>
  <c r="V253" i="20"/>
  <c r="V26" i="20"/>
  <c r="V285" i="20"/>
  <c r="V388" i="20"/>
  <c r="V62" i="20"/>
  <c r="W49" i="20"/>
  <c r="V400" i="20"/>
  <c r="V122" i="20"/>
  <c r="W109" i="20"/>
  <c r="V290" i="20"/>
  <c r="V169" i="20"/>
  <c r="V438" i="20"/>
  <c r="V216" i="20"/>
  <c r="V455" i="20"/>
  <c r="V248" i="20"/>
  <c r="V19" i="20"/>
  <c r="V482" i="20"/>
  <c r="V279" i="20"/>
  <c r="V52" i="20"/>
  <c r="W20" i="20"/>
  <c r="V348" i="20"/>
  <c r="V134" i="20"/>
  <c r="V255" i="20"/>
  <c r="V60" i="20"/>
  <c r="W122" i="20"/>
  <c r="W47" i="20"/>
  <c r="V16" i="20"/>
  <c r="V465" i="20"/>
  <c r="V261" i="20"/>
  <c r="V33" i="20"/>
  <c r="V494" i="20"/>
  <c r="V502" i="20"/>
  <c r="V366" i="20"/>
  <c r="W36" i="20"/>
  <c r="V333" i="20"/>
  <c r="V370" i="20"/>
  <c r="W61" i="20"/>
  <c r="V404" i="20"/>
  <c r="V127" i="20"/>
  <c r="W116" i="20"/>
  <c r="V368" i="20"/>
  <c r="V159" i="20"/>
  <c r="W156" i="20"/>
  <c r="V93" i="20"/>
  <c r="V345" i="20"/>
  <c r="V237" i="20"/>
  <c r="V8" i="20"/>
  <c r="V387" i="20"/>
  <c r="V57" i="20"/>
  <c r="W27" i="20"/>
  <c r="W384" i="20"/>
  <c r="V372" i="20"/>
  <c r="V153" i="20"/>
  <c r="W149" i="20"/>
  <c r="V202" i="20"/>
  <c r="V501" i="20"/>
  <c r="V232" i="20"/>
  <c r="V263" i="20"/>
  <c r="V35" i="20"/>
  <c r="V424" i="20"/>
  <c r="V120" i="20"/>
  <c r="V241" i="20"/>
  <c r="W106" i="20"/>
  <c r="W33" i="20"/>
  <c r="V352" i="20"/>
  <c r="V322" i="20"/>
  <c r="V244" i="20"/>
  <c r="V15" i="20"/>
  <c r="V479" i="20"/>
  <c r="V276" i="20"/>
  <c r="V48" i="20"/>
  <c r="W16" i="20"/>
  <c r="V405" i="20"/>
  <c r="V371" i="20"/>
  <c r="W54" i="20"/>
  <c r="V310" i="20"/>
  <c r="V111" i="20"/>
  <c r="W370" i="20"/>
  <c r="V359" i="20"/>
  <c r="V142" i="20"/>
  <c r="W135" i="20"/>
  <c r="V398" i="20"/>
  <c r="V174" i="20"/>
  <c r="V328" i="20"/>
  <c r="V268" i="20"/>
  <c r="V41" i="20"/>
  <c r="V407" i="20"/>
  <c r="W369" i="20"/>
  <c r="V354" i="20"/>
  <c r="V137" i="20"/>
  <c r="W129" i="20"/>
  <c r="V416" i="20"/>
  <c r="V411" i="20"/>
  <c r="V182" i="20"/>
  <c r="V449" i="20"/>
  <c r="V247" i="20"/>
  <c r="V18" i="20"/>
  <c r="V292" i="20"/>
  <c r="V106" i="20"/>
  <c r="W157" i="20"/>
  <c r="V227" i="20"/>
  <c r="V32" i="20"/>
  <c r="W392" i="20"/>
  <c r="W19" i="20"/>
  <c r="W155" i="20"/>
  <c r="V326" i="20"/>
  <c r="V214" i="20"/>
  <c r="V334" i="20"/>
  <c r="V228" i="20"/>
  <c r="V464" i="20"/>
  <c r="V260" i="20"/>
  <c r="V31" i="20"/>
  <c r="V493" i="20"/>
  <c r="V319" i="20"/>
  <c r="V98" i="20"/>
  <c r="W35" i="20"/>
  <c r="V433" i="20"/>
  <c r="V442" i="20"/>
  <c r="W385" i="20"/>
  <c r="V417" i="20"/>
  <c r="V126" i="20"/>
  <c r="W115" i="20"/>
  <c r="V336" i="20"/>
  <c r="V157" i="20"/>
  <c r="W153" i="20"/>
  <c r="V188" i="20"/>
  <c r="V207" i="20"/>
  <c r="V252" i="20"/>
  <c r="V323" i="20"/>
  <c r="V101" i="20"/>
  <c r="V367" i="20"/>
  <c r="W48" i="20"/>
  <c r="V429" i="20"/>
  <c r="V121" i="20"/>
  <c r="W107" i="20"/>
  <c r="V189" i="20"/>
  <c r="V168" i="20"/>
  <c r="V92" i="20"/>
  <c r="V200" i="20"/>
  <c r="V395" i="20"/>
  <c r="V230" i="20"/>
  <c r="V474" i="20"/>
  <c r="V312" i="20"/>
  <c r="W160" i="20"/>
  <c r="W140" i="20"/>
  <c r="V506" i="20"/>
  <c r="V17" i="20"/>
  <c r="W62" i="20"/>
  <c r="W141" i="20"/>
  <c r="V187" i="20"/>
  <c r="V198" i="20"/>
  <c r="V439" i="20"/>
  <c r="V213" i="20"/>
  <c r="V243" i="20"/>
  <c r="V14" i="20"/>
  <c r="V478" i="20"/>
  <c r="V275" i="20"/>
  <c r="V47" i="20"/>
  <c r="W14" i="20"/>
  <c r="V318" i="20"/>
  <c r="V76" i="20"/>
  <c r="W53" i="20"/>
  <c r="V340" i="20"/>
  <c r="W442" i="20"/>
  <c r="V358" i="20"/>
  <c r="V141" i="20"/>
  <c r="W134" i="20"/>
  <c r="V95" i="20"/>
  <c r="V413" i="20"/>
  <c r="V347" i="20"/>
  <c r="V236" i="20"/>
  <c r="V486" i="20"/>
  <c r="V420" i="20"/>
  <c r="V56" i="20"/>
  <c r="W25" i="20"/>
  <c r="V78" i="20"/>
  <c r="V104" i="20"/>
  <c r="W346" i="20"/>
  <c r="V99" i="20"/>
  <c r="V152" i="20"/>
  <c r="W148" i="20"/>
  <c r="V365" i="20"/>
  <c r="V448" i="20"/>
  <c r="V447" i="20"/>
  <c r="V461" i="20"/>
  <c r="V273" i="20"/>
  <c r="V373" i="20"/>
  <c r="W143" i="20"/>
  <c r="W124" i="20"/>
  <c r="V201" i="20"/>
  <c r="W56" i="20"/>
  <c r="V21" i="20"/>
  <c r="W127" i="20"/>
  <c r="V286" i="20"/>
  <c r="V181" i="20"/>
  <c r="V97" i="20"/>
  <c r="V197" i="20"/>
  <c r="V435" i="20"/>
  <c r="V226" i="20"/>
  <c r="V463" i="20"/>
  <c r="V258" i="20"/>
  <c r="V30" i="20"/>
  <c r="V492" i="20"/>
  <c r="V301" i="20"/>
  <c r="V386" i="20"/>
  <c r="W34" i="20"/>
  <c r="V309" i="20"/>
  <c r="V415" i="20"/>
  <c r="W367" i="20"/>
  <c r="V399" i="20"/>
  <c r="V125" i="20"/>
  <c r="W114" i="20"/>
  <c r="V87" i="20"/>
  <c r="V173" i="20"/>
  <c r="V299" i="20"/>
  <c r="V220" i="20"/>
  <c r="V471" i="20"/>
  <c r="V267" i="20"/>
  <c r="V40" i="20"/>
  <c r="V341" i="20"/>
  <c r="V384" i="20"/>
  <c r="W432" i="20"/>
  <c r="V353" i="20"/>
  <c r="V136" i="20"/>
  <c r="W128" i="20"/>
  <c r="V64" i="20"/>
  <c r="V167" i="20"/>
  <c r="V89" i="20"/>
  <c r="V199" i="20"/>
  <c r="V259" i="20"/>
  <c r="V406" i="20"/>
  <c r="W126" i="20"/>
  <c r="W108" i="20"/>
  <c r="V430" i="20"/>
  <c r="W40" i="20"/>
  <c r="W113" i="20"/>
  <c r="V421" i="20"/>
  <c r="V165" i="20"/>
  <c r="W144" i="20"/>
  <c r="V67" i="20"/>
  <c r="V180" i="20"/>
  <c r="V434" i="20"/>
  <c r="V212" i="20"/>
  <c r="V77" i="20"/>
  <c r="V242" i="20"/>
  <c r="V13" i="20"/>
  <c r="V477" i="20"/>
  <c r="V45" i="20"/>
  <c r="W13" i="20"/>
  <c r="V418" i="20"/>
  <c r="V61" i="20"/>
  <c r="W52" i="20"/>
  <c r="V331" i="20"/>
  <c r="V109" i="20"/>
  <c r="W382" i="20"/>
  <c r="V389" i="20"/>
  <c r="V156" i="20"/>
  <c r="W152" i="20"/>
  <c r="V73" i="20"/>
  <c r="V206" i="20"/>
  <c r="V458" i="20"/>
  <c r="V251" i="20"/>
  <c r="V24" i="20"/>
  <c r="V500" i="20"/>
  <c r="V308" i="20"/>
  <c r="V80" i="20"/>
  <c r="W46" i="20"/>
  <c r="V431" i="20"/>
  <c r="V119" i="20"/>
  <c r="W105" i="20"/>
  <c r="V349" i="20"/>
  <c r="V151" i="20"/>
  <c r="W147" i="20"/>
  <c r="V446" i="20"/>
  <c r="V193" i="20"/>
  <c r="V245" i="20"/>
  <c r="V50" i="20"/>
  <c r="W110" i="20"/>
  <c r="V172" i="20"/>
  <c r="W24" i="20"/>
  <c r="W159" i="20"/>
  <c r="W394" i="20"/>
  <c r="V364" i="20"/>
  <c r="V149" i="20"/>
  <c r="W121" i="20"/>
  <c r="V377" i="20"/>
  <c r="V164" i="20"/>
  <c r="V91" i="20"/>
  <c r="V196" i="20"/>
  <c r="V419" i="20"/>
  <c r="V225" i="20"/>
  <c r="V462" i="20"/>
  <c r="V257" i="20"/>
  <c r="V29" i="20"/>
  <c r="V491" i="20"/>
  <c r="V314" i="20"/>
  <c r="V298" i="20"/>
  <c r="W32" i="20"/>
  <c r="V63" i="20"/>
  <c r="V382" i="20"/>
  <c r="W375" i="20"/>
  <c r="V357" i="20"/>
  <c r="V140" i="20"/>
  <c r="W133" i="20"/>
  <c r="V215" i="20"/>
  <c r="V79" i="20"/>
  <c r="V485" i="20"/>
  <c r="V282" i="20"/>
  <c r="V55" i="20"/>
  <c r="W23" i="20"/>
  <c r="V339" i="20"/>
  <c r="V103" i="20"/>
  <c r="W185" i="20"/>
  <c r="V307" i="20"/>
  <c r="V135" i="20"/>
  <c r="W125" i="20"/>
  <c r="V303" i="20"/>
  <c r="V166" i="20"/>
  <c r="V325" i="20"/>
  <c r="V231" i="20"/>
  <c r="V36" i="20"/>
  <c r="W415" i="20"/>
  <c r="W379" i="20"/>
  <c r="V158" i="20"/>
  <c r="W8" i="20"/>
  <c r="W145" i="20"/>
  <c r="W184" i="20"/>
  <c r="V330" i="20"/>
  <c r="V132" i="20"/>
  <c r="W393" i="20"/>
  <c r="V363" i="20"/>
  <c r="V147" i="20"/>
  <c r="W142" i="20"/>
  <c r="V288" i="20"/>
  <c r="V179" i="20"/>
  <c r="V351" i="20"/>
  <c r="V211" i="20"/>
  <c r="V72" i="20"/>
  <c r="V240" i="20"/>
  <c r="V12" i="20"/>
  <c r="V476" i="20"/>
  <c r="V272" i="20"/>
  <c r="V44" i="20"/>
  <c r="W11" i="20"/>
  <c r="V317" i="20"/>
  <c r="V379" i="20"/>
  <c r="W51" i="20"/>
  <c r="V441" i="20"/>
  <c r="V124" i="20"/>
  <c r="W112" i="20"/>
  <c r="V183" i="20"/>
  <c r="V171" i="20"/>
  <c r="V437" i="20"/>
  <c r="V219" i="20"/>
  <c r="V470" i="20"/>
  <c r="V266" i="20"/>
  <c r="V39" i="20"/>
  <c r="V401" i="20"/>
  <c r="V346" i="20"/>
  <c r="W366" i="20"/>
  <c r="V374" i="20"/>
  <c r="V118" i="20"/>
  <c r="W104" i="20"/>
  <c r="V443" i="20"/>
  <c r="V150" i="20"/>
  <c r="W146" i="20"/>
  <c r="V85" i="20"/>
  <c r="V217" i="20"/>
  <c r="V22" i="20"/>
  <c r="W373" i="20"/>
  <c r="W59" i="20"/>
  <c r="V144" i="20"/>
  <c r="V11" i="20"/>
  <c r="W131" i="20"/>
  <c r="W80" i="20"/>
  <c r="V293" i="20"/>
  <c r="V115" i="20"/>
  <c r="W408" i="20"/>
  <c r="V329" i="20"/>
  <c r="V131" i="20"/>
  <c r="W120" i="20"/>
  <c r="V65" i="20"/>
  <c r="V163" i="20"/>
  <c r="V390" i="20"/>
  <c r="V195" i="20"/>
  <c r="V224" i="20"/>
  <c r="V504" i="20"/>
  <c r="V256" i="20"/>
  <c r="V28" i="20"/>
  <c r="V313" i="20"/>
  <c r="V59" i="20"/>
  <c r="W31" i="20"/>
  <c r="V304" i="20"/>
  <c r="V108" i="20"/>
  <c r="W425" i="20"/>
  <c r="V422" i="20"/>
  <c r="V155" i="20"/>
  <c r="W151" i="20"/>
  <c r="V75" i="20"/>
  <c r="V204" i="20"/>
  <c r="V457" i="20"/>
  <c r="V250" i="20"/>
  <c r="V23" i="20"/>
  <c r="V499" i="20"/>
  <c r="V306" i="20"/>
  <c r="V375" i="20"/>
  <c r="W44" i="20"/>
  <c r="V343" i="20"/>
  <c r="V393" i="20"/>
  <c r="W414" i="20"/>
  <c r="V391" i="20"/>
  <c r="V133" i="20"/>
  <c r="W123" i="20"/>
  <c r="V96" i="20"/>
  <c r="V205" i="20"/>
  <c r="W386" i="20"/>
  <c r="W42" i="20"/>
  <c r="V130" i="20"/>
  <c r="W117" i="20"/>
  <c r="W57" i="20"/>
  <c r="V394" i="20"/>
  <c r="W60" i="20"/>
  <c r="V300" i="20"/>
  <c r="V114" i="20"/>
  <c r="W445" i="20"/>
  <c r="V146" i="20"/>
  <c r="W139" i="20"/>
  <c r="V287" i="20"/>
  <c r="V178" i="20"/>
  <c r="V229" i="20"/>
  <c r="V210" i="20"/>
  <c r="V503" i="20"/>
  <c r="V239" i="20"/>
  <c r="V10" i="20"/>
  <c r="V475" i="20"/>
  <c r="V271" i="20"/>
  <c r="V43" i="20"/>
  <c r="W9" i="20"/>
  <c r="V409" i="20"/>
  <c r="V425" i="20"/>
  <c r="W190" i="20"/>
  <c r="V356" i="20"/>
  <c r="V139" i="20"/>
  <c r="W132" i="20"/>
  <c r="V83" i="20"/>
  <c r="V450" i="20"/>
  <c r="V484" i="20"/>
  <c r="V281" i="20"/>
  <c r="V54" i="20"/>
  <c r="W22" i="20"/>
  <c r="V376" i="20"/>
  <c r="V184" i="20"/>
  <c r="W406" i="20"/>
  <c r="V70" i="20"/>
  <c r="V117" i="20"/>
  <c r="W102" i="20"/>
  <c r="V380" i="20"/>
  <c r="V410" i="20"/>
  <c r="W45" i="20"/>
  <c r="W26" i="20"/>
  <c r="V116" i="20"/>
  <c r="W103" i="20"/>
  <c r="W43" i="20"/>
  <c r="V444" i="20"/>
  <c r="W38" i="20"/>
  <c r="V82" i="20"/>
  <c r="V186" i="20"/>
  <c r="W371" i="20"/>
  <c r="V81" i="20"/>
  <c r="V129" i="20"/>
  <c r="W119" i="20"/>
  <c r="V321" i="20"/>
  <c r="V161" i="20"/>
  <c r="W161" i="20"/>
  <c r="V90" i="20"/>
  <c r="V344" i="20"/>
  <c r="V191" i="20"/>
  <c r="V223" i="20"/>
  <c r="V460" i="20"/>
  <c r="V254" i="20"/>
  <c r="V27" i="20"/>
  <c r="V316" i="20"/>
  <c r="V68" i="20"/>
  <c r="W50" i="20"/>
  <c r="V426" i="20"/>
  <c r="V123" i="20"/>
  <c r="W111" i="20"/>
  <c r="V66" i="20"/>
  <c r="V170" i="20"/>
  <c r="V332" i="20"/>
  <c r="V469" i="20"/>
  <c r="V265" i="20"/>
  <c r="V38" i="20"/>
  <c r="V498" i="20"/>
  <c r="V305" i="20"/>
  <c r="V190" i="20"/>
  <c r="W41" i="20"/>
  <c r="V338" i="20"/>
  <c r="V445" i="20"/>
  <c r="W327" i="20"/>
  <c r="V440" i="20"/>
  <c r="V176" i="20"/>
  <c r="W28" i="20"/>
  <c r="W10" i="20"/>
  <c r="V102" i="20"/>
  <c r="W29" i="20"/>
  <c r="V295" i="20"/>
  <c r="V369" i="20"/>
  <c r="W18" i="20"/>
  <c r="V94" i="20"/>
  <c r="V327" i="20"/>
  <c r="W58" i="20"/>
  <c r="V427" i="20"/>
  <c r="V113" i="20"/>
  <c r="W186" i="20"/>
  <c r="V145" i="20"/>
  <c r="W137" i="20"/>
  <c r="V71" i="20"/>
  <c r="V177" i="20"/>
  <c r="V209" i="20"/>
  <c r="V402" i="20"/>
  <c r="V238" i="20"/>
  <c r="V9" i="20"/>
  <c r="V489" i="20"/>
  <c r="V397" i="20"/>
  <c r="V58" i="20"/>
  <c r="W30" i="20"/>
  <c r="V335" i="20"/>
  <c r="V107" i="20"/>
  <c r="W289" i="20"/>
  <c r="V296" i="20"/>
  <c r="V154" i="20"/>
  <c r="W150" i="20"/>
  <c r="V74" i="20"/>
  <c r="V203" i="20"/>
  <c r="V456" i="20"/>
  <c r="V249" i="20"/>
  <c r="V20" i="20"/>
  <c r="V280" i="20"/>
  <c r="V53" i="20"/>
  <c r="W21" i="20"/>
  <c r="V383" i="20"/>
  <c r="V185" i="20"/>
  <c r="W98" i="20"/>
  <c r="V428" i="20"/>
  <c r="V162" i="20"/>
  <c r="W12" i="20"/>
  <c r="V283" i="20"/>
  <c r="V289" i="20"/>
  <c r="W154" i="20"/>
  <c r="W68" i="20"/>
  <c r="Y93" i="20" l="1"/>
  <c r="X93" i="20"/>
  <c r="Y52" i="20"/>
  <c r="X52" i="20"/>
  <c r="Y290" i="20"/>
  <c r="X290" i="20"/>
  <c r="Y112" i="20"/>
  <c r="X112" i="20"/>
  <c r="Y466" i="20"/>
  <c r="X466" i="20"/>
  <c r="Y423" i="20"/>
  <c r="X423" i="20"/>
  <c r="Y278" i="20"/>
  <c r="X278" i="20"/>
  <c r="Y82" i="20"/>
  <c r="X82" i="20"/>
  <c r="Y485" i="20"/>
  <c r="X485" i="20"/>
  <c r="Y382" i="20"/>
  <c r="X382" i="20"/>
  <c r="Y389" i="20"/>
  <c r="X389" i="20"/>
  <c r="Y492" i="20"/>
  <c r="X492" i="20"/>
  <c r="Y152" i="20"/>
  <c r="X152" i="20"/>
  <c r="Y76" i="20"/>
  <c r="X76" i="20"/>
  <c r="Y32" i="20"/>
  <c r="X32" i="20"/>
  <c r="Y142" i="20"/>
  <c r="X142" i="20"/>
  <c r="Y397" i="20"/>
  <c r="X397" i="20"/>
  <c r="Y369" i="20"/>
  <c r="X369" i="20"/>
  <c r="Y344" i="20"/>
  <c r="X344" i="20"/>
  <c r="Y114" i="20"/>
  <c r="X114" i="20"/>
  <c r="Y256" i="20"/>
  <c r="X256" i="20"/>
  <c r="Y179" i="20"/>
  <c r="X179" i="20"/>
  <c r="Y63" i="20"/>
  <c r="X63" i="20"/>
  <c r="Y87" i="20"/>
  <c r="X87" i="20"/>
  <c r="Y373" i="20"/>
  <c r="X373" i="20"/>
  <c r="Y318" i="20"/>
  <c r="X318" i="20"/>
  <c r="Y228" i="20"/>
  <c r="X228" i="20"/>
  <c r="Y227" i="20"/>
  <c r="X227" i="20"/>
  <c r="Y182" i="20"/>
  <c r="X182" i="20"/>
  <c r="Y41" i="20"/>
  <c r="X41" i="20"/>
  <c r="Y359" i="20"/>
  <c r="X359" i="20"/>
  <c r="V297" i="20"/>
  <c r="V192" i="20"/>
  <c r="Y366" i="20"/>
  <c r="X366" i="20"/>
  <c r="Y279" i="20"/>
  <c r="X279" i="20"/>
  <c r="Y396" i="20"/>
  <c r="X396" i="20"/>
  <c r="Y311" i="20"/>
  <c r="X311" i="20"/>
  <c r="Y128" i="20"/>
  <c r="X128" i="20"/>
  <c r="Y496" i="20"/>
  <c r="X496" i="20"/>
  <c r="Y469" i="20"/>
  <c r="X469" i="20"/>
  <c r="Y90" i="20"/>
  <c r="X90" i="20"/>
  <c r="Y54" i="20"/>
  <c r="X54" i="20"/>
  <c r="Y300" i="20"/>
  <c r="X300" i="20"/>
  <c r="Y155" i="20"/>
  <c r="X155" i="20"/>
  <c r="Y504" i="20"/>
  <c r="X504" i="20"/>
  <c r="Y118" i="20"/>
  <c r="X118" i="20"/>
  <c r="Y44" i="20"/>
  <c r="X44" i="20"/>
  <c r="Y288" i="20"/>
  <c r="X288" i="20"/>
  <c r="V467" i="20"/>
  <c r="V235" i="20"/>
  <c r="V361" i="20"/>
  <c r="V412" i="20"/>
  <c r="Y500" i="20"/>
  <c r="X500" i="20"/>
  <c r="Y242" i="20"/>
  <c r="X242" i="20"/>
  <c r="Y384" i="20"/>
  <c r="X384" i="20"/>
  <c r="Y30" i="20"/>
  <c r="X30" i="20"/>
  <c r="Y286" i="20"/>
  <c r="X286" i="20"/>
  <c r="Y273" i="20"/>
  <c r="X273" i="20"/>
  <c r="Y413" i="20"/>
  <c r="X413" i="20"/>
  <c r="Y189" i="20"/>
  <c r="X189" i="20"/>
  <c r="Y442" i="20"/>
  <c r="X442" i="20"/>
  <c r="Y334" i="20"/>
  <c r="X334" i="20"/>
  <c r="Y268" i="20"/>
  <c r="X268" i="20"/>
  <c r="Y15" i="20"/>
  <c r="X15" i="20"/>
  <c r="V46" i="20"/>
  <c r="V362" i="20"/>
  <c r="Y232" i="20"/>
  <c r="X232" i="20"/>
  <c r="Y502" i="20"/>
  <c r="X502" i="20"/>
  <c r="Y482" i="20"/>
  <c r="X482" i="20"/>
  <c r="Y208" i="20"/>
  <c r="X208" i="20"/>
  <c r="Y86" i="20"/>
  <c r="X86" i="20"/>
  <c r="Y505" i="20"/>
  <c r="X505" i="20"/>
  <c r="Y489" i="20"/>
  <c r="X489" i="20"/>
  <c r="Y176" i="20"/>
  <c r="X176" i="20"/>
  <c r="Y185" i="20"/>
  <c r="X185" i="20"/>
  <c r="Y74" i="20"/>
  <c r="X74" i="20"/>
  <c r="Y145" i="20"/>
  <c r="X145" i="20"/>
  <c r="Y440" i="20"/>
  <c r="X440" i="20"/>
  <c r="Y68" i="20"/>
  <c r="X68" i="20"/>
  <c r="V414" i="20"/>
  <c r="V218" i="20"/>
  <c r="Y281" i="20"/>
  <c r="X281" i="20"/>
  <c r="Y210" i="20"/>
  <c r="X210" i="20"/>
  <c r="Y375" i="20"/>
  <c r="X375" i="20"/>
  <c r="Y422" i="20"/>
  <c r="X422" i="20"/>
  <c r="Y131" i="20"/>
  <c r="X131" i="20"/>
  <c r="Y144" i="20"/>
  <c r="X144" i="20"/>
  <c r="Y374" i="20"/>
  <c r="X374" i="20"/>
  <c r="Y272" i="20"/>
  <c r="X272" i="20"/>
  <c r="Y196" i="20"/>
  <c r="X196" i="20"/>
  <c r="Y446" i="20"/>
  <c r="X446" i="20"/>
  <c r="Y109" i="20"/>
  <c r="X109" i="20"/>
  <c r="Y77" i="20"/>
  <c r="X77" i="20"/>
  <c r="Y341" i="20"/>
  <c r="X341" i="20"/>
  <c r="Y258" i="20"/>
  <c r="X258" i="20"/>
  <c r="Y461" i="20"/>
  <c r="X461" i="20"/>
  <c r="Y95" i="20"/>
  <c r="X95" i="20"/>
  <c r="Y198" i="20"/>
  <c r="X198" i="20"/>
  <c r="Y312" i="20"/>
  <c r="X312" i="20"/>
  <c r="Y433" i="20"/>
  <c r="X433" i="20"/>
  <c r="Y244" i="20"/>
  <c r="X244" i="20"/>
  <c r="Y241" i="20"/>
  <c r="X241" i="20"/>
  <c r="Y501" i="20"/>
  <c r="X501" i="20"/>
  <c r="Y159" i="20"/>
  <c r="X159" i="20"/>
  <c r="Y494" i="20"/>
  <c r="X494" i="20"/>
  <c r="Y122" i="20"/>
  <c r="X122" i="20"/>
  <c r="Y294" i="20"/>
  <c r="X294" i="20"/>
  <c r="Y69" i="20"/>
  <c r="X69" i="20"/>
  <c r="Y222" i="20"/>
  <c r="X222" i="20"/>
  <c r="Y58" i="20"/>
  <c r="X58" i="20"/>
  <c r="Y38" i="20"/>
  <c r="X38" i="20"/>
  <c r="Y11" i="20"/>
  <c r="X11" i="20"/>
  <c r="Y219" i="20"/>
  <c r="X219" i="20"/>
  <c r="Y166" i="20"/>
  <c r="X166" i="20"/>
  <c r="Y419" i="20"/>
  <c r="X419" i="20"/>
  <c r="Y80" i="20"/>
  <c r="X80" i="20"/>
  <c r="Y165" i="20"/>
  <c r="X165" i="20"/>
  <c r="Y259" i="20"/>
  <c r="X259" i="20"/>
  <c r="Y173" i="20"/>
  <c r="X173" i="20"/>
  <c r="Y439" i="20"/>
  <c r="X439" i="20"/>
  <c r="Y252" i="20"/>
  <c r="X252" i="20"/>
  <c r="Y449" i="20"/>
  <c r="X449" i="20"/>
  <c r="Y479" i="20"/>
  <c r="X479" i="20"/>
  <c r="Y265" i="20"/>
  <c r="X265" i="20"/>
  <c r="Y356" i="20"/>
  <c r="X356" i="20"/>
  <c r="Y130" i="20"/>
  <c r="X130" i="20"/>
  <c r="Y437" i="20"/>
  <c r="X437" i="20"/>
  <c r="Y303" i="20"/>
  <c r="X303" i="20"/>
  <c r="Y308" i="20"/>
  <c r="X308" i="20"/>
  <c r="Y13" i="20"/>
  <c r="X13" i="20"/>
  <c r="Y421" i="20"/>
  <c r="X421" i="20"/>
  <c r="Y181" i="20"/>
  <c r="X181" i="20"/>
  <c r="Y99" i="20"/>
  <c r="X99" i="20"/>
  <c r="Y168" i="20"/>
  <c r="X168" i="20"/>
  <c r="Y203" i="20"/>
  <c r="X203" i="20"/>
  <c r="Y295" i="20"/>
  <c r="X295" i="20"/>
  <c r="Y383" i="20"/>
  <c r="X383" i="20"/>
  <c r="Y9" i="20"/>
  <c r="X9" i="20"/>
  <c r="Y316" i="20"/>
  <c r="X316" i="20"/>
  <c r="Y444" i="20"/>
  <c r="X444" i="20"/>
  <c r="Y410" i="20"/>
  <c r="X410" i="20"/>
  <c r="Y484" i="20"/>
  <c r="X484" i="20"/>
  <c r="Y425" i="20"/>
  <c r="X425" i="20"/>
  <c r="Y229" i="20"/>
  <c r="X229" i="20"/>
  <c r="Y306" i="20"/>
  <c r="X306" i="20"/>
  <c r="Y329" i="20"/>
  <c r="X329" i="20"/>
  <c r="Y171" i="20"/>
  <c r="X171" i="20"/>
  <c r="Y476" i="20"/>
  <c r="X476" i="20"/>
  <c r="Y135" i="20"/>
  <c r="X135" i="20"/>
  <c r="Y298" i="20"/>
  <c r="X298" i="20"/>
  <c r="Y91" i="20"/>
  <c r="X91" i="20"/>
  <c r="Y24" i="20"/>
  <c r="X24" i="20"/>
  <c r="Y331" i="20"/>
  <c r="X331" i="20"/>
  <c r="Y199" i="20"/>
  <c r="X199" i="20"/>
  <c r="Y125" i="20"/>
  <c r="X125" i="20"/>
  <c r="Y463" i="20"/>
  <c r="X463" i="20"/>
  <c r="Y104" i="20"/>
  <c r="X104" i="20"/>
  <c r="Y47" i="20"/>
  <c r="X47" i="20"/>
  <c r="Y187" i="20"/>
  <c r="X187" i="20"/>
  <c r="Y474" i="20"/>
  <c r="X474" i="20"/>
  <c r="Y207" i="20"/>
  <c r="X207" i="20"/>
  <c r="Y411" i="20"/>
  <c r="X411" i="20"/>
  <c r="Y111" i="20"/>
  <c r="X111" i="20"/>
  <c r="V452" i="20"/>
  <c r="V472" i="20"/>
  <c r="Y57" i="20"/>
  <c r="X57" i="20"/>
  <c r="Y368" i="20"/>
  <c r="X368" i="20"/>
  <c r="Y19" i="20"/>
  <c r="X19" i="20"/>
  <c r="Y400" i="20"/>
  <c r="X400" i="20"/>
  <c r="Y408" i="20"/>
  <c r="X408" i="20"/>
  <c r="Y315" i="20"/>
  <c r="X315" i="20"/>
  <c r="Y436" i="20"/>
  <c r="X436" i="20"/>
  <c r="Y238" i="20"/>
  <c r="X238" i="20"/>
  <c r="Y161" i="20"/>
  <c r="X161" i="20"/>
  <c r="Y380" i="20"/>
  <c r="X380" i="20"/>
  <c r="Y409" i="20"/>
  <c r="X409" i="20"/>
  <c r="Y394" i="20"/>
  <c r="X394" i="20"/>
  <c r="Y205" i="20"/>
  <c r="X205" i="20"/>
  <c r="Y499" i="20"/>
  <c r="X499" i="20"/>
  <c r="Y224" i="20"/>
  <c r="X224" i="20"/>
  <c r="Y183" i="20"/>
  <c r="X183" i="20"/>
  <c r="Y147" i="20"/>
  <c r="X147" i="20"/>
  <c r="Y158" i="20"/>
  <c r="X158" i="20"/>
  <c r="Y307" i="20"/>
  <c r="X307" i="20"/>
  <c r="Y314" i="20"/>
  <c r="X314" i="20"/>
  <c r="Y251" i="20"/>
  <c r="X251" i="20"/>
  <c r="Y89" i="20"/>
  <c r="X89" i="20"/>
  <c r="Y40" i="20"/>
  <c r="X40" i="20"/>
  <c r="Y399" i="20"/>
  <c r="X399" i="20"/>
  <c r="Y21" i="20"/>
  <c r="X21" i="20"/>
  <c r="Y78" i="20"/>
  <c r="X78" i="20"/>
  <c r="Y275" i="20"/>
  <c r="X275" i="20"/>
  <c r="Y121" i="20"/>
  <c r="X121" i="20"/>
  <c r="Y188" i="20"/>
  <c r="X188" i="20"/>
  <c r="Y214" i="20"/>
  <c r="X214" i="20"/>
  <c r="Y106" i="20"/>
  <c r="X106" i="20"/>
  <c r="Y416" i="20"/>
  <c r="X416" i="20"/>
  <c r="Y310" i="20"/>
  <c r="X310" i="20"/>
  <c r="Y387" i="20"/>
  <c r="X387" i="20"/>
  <c r="Y33" i="20"/>
  <c r="X33" i="20"/>
  <c r="Y60" i="20"/>
  <c r="X60" i="20"/>
  <c r="Y248" i="20"/>
  <c r="X248" i="20"/>
  <c r="Y320" i="20"/>
  <c r="X320" i="20"/>
  <c r="Y497" i="20"/>
  <c r="X497" i="20"/>
  <c r="Y138" i="20"/>
  <c r="X138" i="20"/>
  <c r="Y381" i="20"/>
  <c r="X381" i="20"/>
  <c r="Y65" i="20"/>
  <c r="X65" i="20"/>
  <c r="Y154" i="20"/>
  <c r="X154" i="20"/>
  <c r="Y402" i="20"/>
  <c r="X402" i="20"/>
  <c r="W291" i="20"/>
  <c r="W378" i="20"/>
  <c r="Y445" i="20"/>
  <c r="X445" i="20"/>
  <c r="Y332" i="20"/>
  <c r="X332" i="20"/>
  <c r="Y27" i="20"/>
  <c r="X27" i="20"/>
  <c r="Y321" i="20"/>
  <c r="X321" i="20"/>
  <c r="V234" i="20"/>
  <c r="V488" i="20"/>
  <c r="V342" i="20"/>
  <c r="V284" i="20"/>
  <c r="Y96" i="20"/>
  <c r="X96" i="20"/>
  <c r="Y108" i="20"/>
  <c r="X108" i="20"/>
  <c r="Y346" i="20"/>
  <c r="X346" i="20"/>
  <c r="Y12" i="20"/>
  <c r="X12" i="20"/>
  <c r="Y363" i="20"/>
  <c r="X363" i="20"/>
  <c r="Y79" i="20"/>
  <c r="X79" i="20"/>
  <c r="Y491" i="20"/>
  <c r="X491" i="20"/>
  <c r="Y151" i="20"/>
  <c r="X151" i="20"/>
  <c r="Y458" i="20"/>
  <c r="X458" i="20"/>
  <c r="Y212" i="20"/>
  <c r="X212" i="20"/>
  <c r="Y267" i="20"/>
  <c r="X267" i="20"/>
  <c r="V507" i="20"/>
  <c r="V221" i="20"/>
  <c r="Y141" i="20"/>
  <c r="X141" i="20"/>
  <c r="Y478" i="20"/>
  <c r="X478" i="20"/>
  <c r="Y429" i="20"/>
  <c r="X429" i="20"/>
  <c r="Y98" i="20"/>
  <c r="X98" i="20"/>
  <c r="Y326" i="20"/>
  <c r="X326" i="20"/>
  <c r="Y292" i="20"/>
  <c r="X292" i="20"/>
  <c r="Y202" i="20"/>
  <c r="X202" i="20"/>
  <c r="Y261" i="20"/>
  <c r="X261" i="20"/>
  <c r="Y255" i="20"/>
  <c r="X255" i="20"/>
  <c r="Y455" i="20"/>
  <c r="X455" i="20"/>
  <c r="Y175" i="20"/>
  <c r="X175" i="20"/>
  <c r="Y355" i="20"/>
  <c r="X355" i="20"/>
  <c r="Y324" i="20"/>
  <c r="X324" i="20"/>
  <c r="Y194" i="20"/>
  <c r="X194" i="20"/>
  <c r="Y503" i="20"/>
  <c r="X503" i="20"/>
  <c r="Y240" i="20"/>
  <c r="X240" i="20"/>
  <c r="Y319" i="20"/>
  <c r="X319" i="20"/>
  <c r="Y289" i="20"/>
  <c r="X289" i="20"/>
  <c r="Y117" i="20"/>
  <c r="X117" i="20"/>
  <c r="Y435" i="20"/>
  <c r="X435" i="20"/>
  <c r="Y56" i="20"/>
  <c r="X56" i="20"/>
  <c r="Y14" i="20"/>
  <c r="X14" i="20"/>
  <c r="Y395" i="20"/>
  <c r="X395" i="20"/>
  <c r="Y157" i="20"/>
  <c r="X157" i="20"/>
  <c r="Y493" i="20"/>
  <c r="X493" i="20"/>
  <c r="Y137" i="20"/>
  <c r="X137" i="20"/>
  <c r="Y371" i="20"/>
  <c r="X371" i="20"/>
  <c r="Y352" i="20"/>
  <c r="X352" i="20"/>
  <c r="Y424" i="20"/>
  <c r="X424" i="20"/>
  <c r="Y8" i="20"/>
  <c r="X8" i="20"/>
  <c r="Y404" i="20"/>
  <c r="X404" i="20"/>
  <c r="Y388" i="20"/>
  <c r="X388" i="20"/>
  <c r="Y49" i="20"/>
  <c r="X49" i="20"/>
  <c r="Y385" i="20"/>
  <c r="X385" i="20"/>
  <c r="Y264" i="20"/>
  <c r="X264" i="20"/>
  <c r="Y88" i="20"/>
  <c r="X88" i="20"/>
  <c r="Y296" i="20"/>
  <c r="X296" i="20"/>
  <c r="Y115" i="20"/>
  <c r="X115" i="20"/>
  <c r="Y447" i="20"/>
  <c r="X447" i="20"/>
  <c r="Y37" i="20"/>
  <c r="X37" i="20"/>
  <c r="Y237" i="20"/>
  <c r="X237" i="20"/>
  <c r="Y16" i="20"/>
  <c r="X16" i="20"/>
  <c r="Y216" i="20"/>
  <c r="X216" i="20"/>
  <c r="Y285" i="20"/>
  <c r="X285" i="20"/>
  <c r="Y277" i="20"/>
  <c r="X277" i="20"/>
  <c r="Y269" i="20"/>
  <c r="X269" i="20"/>
  <c r="Y468" i="20"/>
  <c r="X468" i="20"/>
  <c r="Y392" i="20"/>
  <c r="X392" i="20"/>
  <c r="Y432" i="20"/>
  <c r="X432" i="20"/>
  <c r="Y139" i="20"/>
  <c r="X139" i="20"/>
  <c r="Y304" i="20"/>
  <c r="X304" i="20"/>
  <c r="Y61" i="20"/>
  <c r="X61" i="20"/>
  <c r="Y62" i="20"/>
  <c r="X62" i="20"/>
  <c r="Y427" i="20"/>
  <c r="X427" i="20"/>
  <c r="Y43" i="20"/>
  <c r="X43" i="20"/>
  <c r="Y167" i="20"/>
  <c r="X167" i="20"/>
  <c r="Y457" i="20"/>
  <c r="X457" i="20"/>
  <c r="Y64" i="20"/>
  <c r="X64" i="20"/>
  <c r="Y18" i="20"/>
  <c r="X18" i="20"/>
  <c r="Y81" i="20"/>
  <c r="X81" i="20"/>
  <c r="Y266" i="20"/>
  <c r="X266" i="20"/>
  <c r="Y140" i="20"/>
  <c r="X140" i="20"/>
  <c r="Y73" i="20"/>
  <c r="X73" i="20"/>
  <c r="Y180" i="20"/>
  <c r="X180" i="20"/>
  <c r="Y220" i="20"/>
  <c r="X220" i="20"/>
  <c r="Y448" i="20"/>
  <c r="X448" i="20"/>
  <c r="Y486" i="20"/>
  <c r="X486" i="20"/>
  <c r="V274" i="20"/>
  <c r="V110" i="20"/>
  <c r="V451" i="20"/>
  <c r="V483" i="20"/>
  <c r="Y101" i="20"/>
  <c r="X101" i="20"/>
  <c r="Y31" i="20"/>
  <c r="X31" i="20"/>
  <c r="Y247" i="20"/>
  <c r="X247" i="20"/>
  <c r="Y174" i="20"/>
  <c r="X174" i="20"/>
  <c r="Y153" i="20"/>
  <c r="X153" i="20"/>
  <c r="Y134" i="20"/>
  <c r="X134" i="20"/>
  <c r="Y438" i="20"/>
  <c r="X438" i="20"/>
  <c r="Y143" i="20"/>
  <c r="X143" i="20"/>
  <c r="Y480" i="20"/>
  <c r="X480" i="20"/>
  <c r="Y403" i="20"/>
  <c r="X403" i="20"/>
  <c r="Y302" i="20"/>
  <c r="X302" i="20"/>
  <c r="Y428" i="20"/>
  <c r="X428" i="20"/>
  <c r="Y71" i="20"/>
  <c r="X71" i="20"/>
  <c r="Y426" i="20"/>
  <c r="X426" i="20"/>
  <c r="Y343" i="20"/>
  <c r="X343" i="20"/>
  <c r="Y28" i="20"/>
  <c r="X28" i="20"/>
  <c r="Y338" i="20"/>
  <c r="X338" i="20"/>
  <c r="Y254" i="20"/>
  <c r="X254" i="20"/>
  <c r="Y178" i="20"/>
  <c r="X178" i="20"/>
  <c r="Y401" i="20"/>
  <c r="X401" i="20"/>
  <c r="Y215" i="20"/>
  <c r="X215" i="20"/>
  <c r="Y172" i="20"/>
  <c r="X172" i="20"/>
  <c r="Y471" i="20"/>
  <c r="X471" i="20"/>
  <c r="Y226" i="20"/>
  <c r="X226" i="20"/>
  <c r="Y230" i="20"/>
  <c r="X230" i="20"/>
  <c r="Y322" i="20"/>
  <c r="X322" i="20"/>
  <c r="Y120" i="20"/>
  <c r="X120" i="20"/>
  <c r="Y127" i="20"/>
  <c r="X127" i="20"/>
  <c r="Y465" i="20"/>
  <c r="X465" i="20"/>
  <c r="Y84" i="20"/>
  <c r="X84" i="20"/>
  <c r="Y280" i="20"/>
  <c r="X280" i="20"/>
  <c r="Y460" i="20"/>
  <c r="X460" i="20"/>
  <c r="Y250" i="20"/>
  <c r="X250" i="20"/>
  <c r="Y217" i="20"/>
  <c r="X217" i="20"/>
  <c r="Y124" i="20"/>
  <c r="X124" i="20"/>
  <c r="Y103" i="20"/>
  <c r="X103" i="20"/>
  <c r="Y29" i="20"/>
  <c r="X29" i="20"/>
  <c r="Y377" i="20"/>
  <c r="X377" i="20"/>
  <c r="Y418" i="20"/>
  <c r="X418" i="20"/>
  <c r="Y415" i="20"/>
  <c r="X415" i="20"/>
  <c r="Y283" i="20"/>
  <c r="X283" i="20"/>
  <c r="Y209" i="20"/>
  <c r="X209" i="20"/>
  <c r="Y170" i="20"/>
  <c r="X170" i="20"/>
  <c r="Y70" i="20"/>
  <c r="X70" i="20"/>
  <c r="Y133" i="20"/>
  <c r="X133" i="20"/>
  <c r="Y85" i="20"/>
  <c r="X85" i="20"/>
  <c r="Y441" i="20"/>
  <c r="X441" i="20"/>
  <c r="Y132" i="20"/>
  <c r="X132" i="20"/>
  <c r="Y339" i="20"/>
  <c r="X339" i="20"/>
  <c r="Y257" i="20"/>
  <c r="X257" i="20"/>
  <c r="Y430" i="20"/>
  <c r="X430" i="20"/>
  <c r="Y420" i="20"/>
  <c r="X420" i="20"/>
  <c r="Y243" i="20"/>
  <c r="X243" i="20"/>
  <c r="Y367" i="20"/>
  <c r="X367" i="20"/>
  <c r="Y336" i="20"/>
  <c r="X336" i="20"/>
  <c r="Y354" i="20"/>
  <c r="X354" i="20"/>
  <c r="Y107" i="20"/>
  <c r="X107" i="20"/>
  <c r="Y190" i="20"/>
  <c r="X190" i="20"/>
  <c r="Y66" i="20"/>
  <c r="X66" i="20"/>
  <c r="Y475" i="20"/>
  <c r="X475" i="20"/>
  <c r="Y391" i="20"/>
  <c r="X391" i="20"/>
  <c r="Y390" i="20"/>
  <c r="X390" i="20"/>
  <c r="Y330" i="20"/>
  <c r="X330" i="20"/>
  <c r="Y231" i="20"/>
  <c r="X231" i="20"/>
  <c r="Y462" i="20"/>
  <c r="X462" i="20"/>
  <c r="Y119" i="20"/>
  <c r="X119" i="20"/>
  <c r="Y335" i="20"/>
  <c r="X335" i="20"/>
  <c r="Y102" i="20"/>
  <c r="X102" i="20"/>
  <c r="Y223" i="20"/>
  <c r="X223" i="20"/>
  <c r="Y83" i="20"/>
  <c r="X83" i="20"/>
  <c r="Y146" i="20"/>
  <c r="X146" i="20"/>
  <c r="Y313" i="20"/>
  <c r="X313" i="20"/>
  <c r="Y470" i="20"/>
  <c r="X470" i="20"/>
  <c r="Y211" i="20"/>
  <c r="X211" i="20"/>
  <c r="Y325" i="20"/>
  <c r="X325" i="20"/>
  <c r="Y357" i="20"/>
  <c r="X357" i="20"/>
  <c r="Y149" i="20"/>
  <c r="X149" i="20"/>
  <c r="Y50" i="20"/>
  <c r="X50" i="20"/>
  <c r="Y431" i="20"/>
  <c r="X431" i="20"/>
  <c r="Y45" i="20"/>
  <c r="X45" i="20"/>
  <c r="Y67" i="20"/>
  <c r="X67" i="20"/>
  <c r="Y299" i="20"/>
  <c r="X299" i="20"/>
  <c r="Y197" i="20"/>
  <c r="X197" i="20"/>
  <c r="Y201" i="20"/>
  <c r="X201" i="20"/>
  <c r="Y365" i="20"/>
  <c r="X365" i="20"/>
  <c r="Y340" i="20"/>
  <c r="X340" i="20"/>
  <c r="Y17" i="20"/>
  <c r="X17" i="20"/>
  <c r="Y200" i="20"/>
  <c r="X200" i="20"/>
  <c r="Y323" i="20"/>
  <c r="X323" i="20"/>
  <c r="Y260" i="20"/>
  <c r="X260" i="20"/>
  <c r="V490" i="20"/>
  <c r="V454" i="20"/>
  <c r="Y398" i="20"/>
  <c r="X398" i="20"/>
  <c r="Y35" i="20"/>
  <c r="X35" i="20"/>
  <c r="Y372" i="20"/>
  <c r="X372" i="20"/>
  <c r="Y370" i="20"/>
  <c r="X370" i="20"/>
  <c r="V453" i="20"/>
  <c r="V473" i="20"/>
  <c r="Y348" i="20"/>
  <c r="X348" i="20"/>
  <c r="Y26" i="20"/>
  <c r="X26" i="20"/>
  <c r="Y360" i="20"/>
  <c r="X360" i="20"/>
  <c r="V350" i="20"/>
  <c r="V487" i="20"/>
  <c r="Y160" i="20"/>
  <c r="X160" i="20"/>
  <c r="Y495" i="20"/>
  <c r="X495" i="20"/>
  <c r="Y53" i="20"/>
  <c r="X53" i="20"/>
  <c r="Y113" i="20"/>
  <c r="X113" i="20"/>
  <c r="Y23" i="20"/>
  <c r="X23" i="20"/>
  <c r="Y22" i="20"/>
  <c r="X22" i="20"/>
  <c r="Y164" i="20"/>
  <c r="X164" i="20"/>
  <c r="Y349" i="20"/>
  <c r="X349" i="20"/>
  <c r="Y434" i="20"/>
  <c r="X434" i="20"/>
  <c r="Y358" i="20"/>
  <c r="X358" i="20"/>
  <c r="Y328" i="20"/>
  <c r="X328" i="20"/>
  <c r="Y287" i="20"/>
  <c r="X287" i="20"/>
  <c r="Y293" i="20"/>
  <c r="X293" i="20"/>
  <c r="Y72" i="20"/>
  <c r="X72" i="20"/>
  <c r="Y129" i="20"/>
  <c r="X129" i="20"/>
  <c r="Y271" i="20"/>
  <c r="X271" i="20"/>
  <c r="Y195" i="20"/>
  <c r="X195" i="20"/>
  <c r="Y39" i="20"/>
  <c r="X39" i="20"/>
  <c r="Y36" i="20"/>
  <c r="X36" i="20"/>
  <c r="Y206" i="20"/>
  <c r="X206" i="20"/>
  <c r="Y309" i="20"/>
  <c r="X309" i="20"/>
  <c r="Y405" i="20"/>
  <c r="X405" i="20"/>
  <c r="Y450" i="20"/>
  <c r="X450" i="20"/>
  <c r="Y59" i="20"/>
  <c r="X59" i="20"/>
  <c r="Y20" i="20"/>
  <c r="X20" i="20"/>
  <c r="Y327" i="20"/>
  <c r="X327" i="20"/>
  <c r="Y305" i="20"/>
  <c r="X305" i="20"/>
  <c r="Y249" i="20"/>
  <c r="X249" i="20"/>
  <c r="Y94" i="20"/>
  <c r="X94" i="20"/>
  <c r="Y498" i="20"/>
  <c r="X498" i="20"/>
  <c r="Y191" i="20"/>
  <c r="X191" i="20"/>
  <c r="Y184" i="20"/>
  <c r="X184" i="20"/>
  <c r="Y10" i="20"/>
  <c r="X10" i="20"/>
  <c r="Y204" i="20"/>
  <c r="X204" i="20"/>
  <c r="Y150" i="20"/>
  <c r="X150" i="20"/>
  <c r="Y379" i="20"/>
  <c r="X379" i="20"/>
  <c r="Y351" i="20"/>
  <c r="X351" i="20"/>
  <c r="Y55" i="20"/>
  <c r="X55" i="20"/>
  <c r="Y364" i="20"/>
  <c r="X364" i="20"/>
  <c r="Y245" i="20"/>
  <c r="X245" i="20"/>
  <c r="Y136" i="20"/>
  <c r="X136" i="20"/>
  <c r="Y386" i="20"/>
  <c r="X386" i="20"/>
  <c r="Y97" i="20"/>
  <c r="X97" i="20"/>
  <c r="Y236" i="20"/>
  <c r="X236" i="20"/>
  <c r="Y506" i="20"/>
  <c r="X506" i="20"/>
  <c r="Y92" i="20"/>
  <c r="X92" i="20"/>
  <c r="Y126" i="20"/>
  <c r="X126" i="20"/>
  <c r="Y464" i="20"/>
  <c r="X464" i="20"/>
  <c r="V291" i="20"/>
  <c r="V378" i="20"/>
  <c r="V100" i="20"/>
  <c r="Y48" i="20"/>
  <c r="X48" i="20"/>
  <c r="Y263" i="20"/>
  <c r="X263" i="20"/>
  <c r="Y333" i="20"/>
  <c r="X333" i="20"/>
  <c r="Y253" i="20"/>
  <c r="X253" i="20"/>
  <c r="Y34" i="20"/>
  <c r="X34" i="20"/>
  <c r="Y337" i="20"/>
  <c r="X337" i="20"/>
  <c r="Y42" i="20"/>
  <c r="X42" i="20"/>
  <c r="Y233" i="20"/>
  <c r="X233" i="20"/>
  <c r="Y162" i="20"/>
  <c r="X162" i="20"/>
  <c r="Y456" i="20"/>
  <c r="X456" i="20"/>
  <c r="Y177" i="20"/>
  <c r="X177" i="20"/>
  <c r="Y123" i="20"/>
  <c r="X123" i="20"/>
  <c r="Y186" i="20"/>
  <c r="X186" i="20"/>
  <c r="Y116" i="20"/>
  <c r="X116" i="20"/>
  <c r="Y376" i="20"/>
  <c r="X376" i="20"/>
  <c r="Y239" i="20"/>
  <c r="X239" i="20"/>
  <c r="Y393" i="20"/>
  <c r="X393" i="20"/>
  <c r="Y75" i="20"/>
  <c r="X75" i="20"/>
  <c r="Y163" i="20"/>
  <c r="X163" i="20"/>
  <c r="Y443" i="20"/>
  <c r="X443" i="20"/>
  <c r="Y317" i="20"/>
  <c r="X317" i="20"/>
  <c r="Y282" i="20"/>
  <c r="X282" i="20"/>
  <c r="Y225" i="20"/>
  <c r="X225" i="20"/>
  <c r="Y193" i="20"/>
  <c r="X193" i="20"/>
  <c r="Y156" i="20"/>
  <c r="X156" i="20"/>
  <c r="Y477" i="20"/>
  <c r="X477" i="20"/>
  <c r="Y406" i="20"/>
  <c r="X406" i="20"/>
  <c r="Y353" i="20"/>
  <c r="X353" i="20"/>
  <c r="Y301" i="20"/>
  <c r="X301" i="20"/>
  <c r="Y347" i="20"/>
  <c r="X347" i="20"/>
  <c r="Y213" i="20"/>
  <c r="X213" i="20"/>
  <c r="V246" i="20"/>
  <c r="V25" i="20"/>
  <c r="Y417" i="20"/>
  <c r="X417" i="20"/>
  <c r="Y407" i="20"/>
  <c r="X407" i="20"/>
  <c r="Y276" i="20"/>
  <c r="X276" i="20"/>
  <c r="Y345" i="20"/>
  <c r="X345" i="20"/>
  <c r="Y169" i="20"/>
  <c r="X169" i="20"/>
  <c r="Y459" i="20"/>
  <c r="X459" i="20"/>
  <c r="Y262" i="20"/>
  <c r="X262" i="20"/>
  <c r="Y148" i="20"/>
  <c r="X148" i="20"/>
  <c r="Y270" i="20"/>
  <c r="X270" i="20"/>
  <c r="Y51" i="20"/>
  <c r="X51" i="20"/>
  <c r="Y284" i="20" l="1"/>
  <c r="X284" i="20"/>
  <c r="Y412" i="20"/>
  <c r="X412" i="20"/>
  <c r="Y100" i="20"/>
  <c r="X100" i="20"/>
  <c r="Y342" i="20"/>
  <c r="X342" i="20"/>
  <c r="Y361" i="20"/>
  <c r="X361" i="20"/>
  <c r="Y378" i="20"/>
  <c r="X378" i="20"/>
  <c r="Y487" i="20"/>
  <c r="X487" i="20"/>
  <c r="Y488" i="20"/>
  <c r="X488" i="20"/>
  <c r="Y218" i="20"/>
  <c r="X218" i="20"/>
  <c r="Y362" i="20"/>
  <c r="X362" i="20"/>
  <c r="Y235" i="20"/>
  <c r="X235" i="20"/>
  <c r="Y291" i="20"/>
  <c r="X291" i="20"/>
  <c r="Y350" i="20"/>
  <c r="X350" i="20"/>
  <c r="Y234" i="20"/>
  <c r="X234" i="20"/>
  <c r="Y414" i="20"/>
  <c r="X414" i="20"/>
  <c r="Y46" i="20"/>
  <c r="X46" i="20"/>
  <c r="Y467" i="20"/>
  <c r="X467" i="20"/>
  <c r="Y221" i="20"/>
  <c r="X221" i="20"/>
  <c r="Y472" i="20"/>
  <c r="X472" i="20"/>
  <c r="Y507" i="20"/>
  <c r="X507" i="20"/>
  <c r="Y452" i="20"/>
  <c r="X452" i="20"/>
  <c r="Y454" i="20"/>
  <c r="X454" i="20"/>
  <c r="Y483" i="20"/>
  <c r="X483" i="20"/>
  <c r="Y192" i="20"/>
  <c r="X192" i="20"/>
  <c r="Y25" i="20"/>
  <c r="X25" i="20"/>
  <c r="Y490" i="20"/>
  <c r="X490" i="20"/>
  <c r="Y451" i="20"/>
  <c r="X451" i="20"/>
  <c r="Y297" i="20"/>
  <c r="X297" i="20"/>
  <c r="Y246" i="20"/>
  <c r="X246" i="20"/>
  <c r="Y110" i="20"/>
  <c r="X110" i="20"/>
  <c r="Y274" i="20"/>
  <c r="X274" i="20"/>
  <c r="Y473" i="20"/>
  <c r="X473" i="20"/>
  <c r="Y453" i="20"/>
  <c r="X453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tc={20472920-7776-42F1-84F7-ABA9BBB6BE8A}</author>
    <author>tc={3F1A2902-DDD5-4294-88B3-C6C8BF7A394C}</author>
    <author>Haitham Alharthi</author>
  </authors>
  <commentList>
    <comment ref="F370" authorId="0" shapeId="0" xr:uid="{20472920-7776-42F1-84F7-ABA9BBB6BE8A}">
      <text>
        <t>[Threaded comment]
Your version of Excel allows you to read this threaded comment; however, any edits to it will get removed if the file is opened in a newer version of Excel. Learn more: https://go.microsoft.com/fwlink/?linkid=870924
Comment:
    185 * 615 =52275
138 * 800 = 110400</t>
      </text>
    </comment>
    <comment ref="G877" authorId="1" shapeId="0" xr:uid="{3F1A2902-DDD5-4294-88B3-C6C8BF7A394C}">
      <text>
        <t>[Threaded comment]
Your version of Excel allows you to read this threaded comment; however, any edits to it will get removed if the file is opened in a newer version of Excel. Learn more: https://go.microsoft.com/fwlink/?linkid=870924
Comment:
    208 = 48 Pcs packing
3 = 500 pcs packing</t>
      </text>
    </comment>
    <comment ref="N1053" authorId="2" shapeId="0" xr:uid="{DF10D839-7B12-4054-A815-7A28940D4DA2}">
      <text>
        <r>
          <rPr>
            <sz val="11"/>
            <color theme="1"/>
            <rFont val="Aptos Narrow"/>
            <family val="2"/>
            <scheme val="minor"/>
          </rPr>
          <t xml:space="preserve">Haitham Alharthi:
يخص استيكر السقينتشقر ايضاً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Habib Ur Rehman Ahmed</author>
    <author>Haitham Alharthi</author>
  </authors>
  <commentList>
    <comment ref="R537" authorId="0" shapeId="0" xr:uid="{7FF23BC9-4609-43C6-ACEB-5DA0039551A0}">
      <text>
        <r>
          <rPr>
            <sz val="11"/>
            <color theme="1"/>
            <rFont val="Aptos Narrow"/>
            <family val="2"/>
            <scheme val="minor"/>
          </rPr>
          <t>Habib Ur Rehman Ahmed:
From 3PL</t>
        </r>
      </text>
    </comment>
    <comment ref="O1053" authorId="1" shapeId="0" xr:uid="{CEBD171D-33D9-4091-99C5-BCA031E9A122}">
      <text>
        <r>
          <rPr>
            <sz val="11"/>
            <color theme="1"/>
            <rFont val="Aptos Narrow"/>
            <family val="2"/>
            <scheme val="minor"/>
          </rPr>
          <t xml:space="preserve">Haitham Alharthi:
يخص استيكر السقينتشقر ايضاً 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<sst xmlns="http://schemas.openxmlformats.org/spreadsheetml/2006/main" count="37836" uniqueCount="5063">
  <si>
    <t>Monthly Demand</t>
  </si>
  <si>
    <t>Critical Items</t>
  </si>
  <si>
    <t xml:space="preserve">Category </t>
  </si>
  <si>
    <t>Item Code</t>
  </si>
  <si>
    <t>Item Description</t>
  </si>
  <si>
    <t>Packing</t>
  </si>
  <si>
    <t xml:space="preserve">UOM </t>
  </si>
  <si>
    <t>Conversion</t>
  </si>
  <si>
    <t>QTY in Pack</t>
  </si>
  <si>
    <t>QTY in Unit</t>
  </si>
  <si>
    <t>Lead Time</t>
  </si>
  <si>
    <t>Reordering Point</t>
  </si>
  <si>
    <t>WH Stocks</t>
  </si>
  <si>
    <t>Coverage/Day</t>
  </si>
  <si>
    <t>0rder Status</t>
  </si>
  <si>
    <t>Criticality</t>
  </si>
  <si>
    <t>Category</t>
  </si>
  <si>
    <t>Stock Status</t>
  </si>
  <si>
    <t>طباعة وتغليف - Packaging</t>
  </si>
  <si>
    <t>PM-00638</t>
  </si>
  <si>
    <t>Caramelized Pecan Paper Box 1 PCS (New ID) | علبة بيكان مكرمل ورقية</t>
  </si>
  <si>
    <t>1 Box X 600</t>
  </si>
  <si>
    <t>Box</t>
  </si>
  <si>
    <t>PM-00200</t>
  </si>
  <si>
    <t>Season Paper cup Double 12 Oz ( BREEHANT ) كوب ورقي 12 اونصه تصميم موسمي ( بريهانت )</t>
  </si>
  <si>
    <t>1 Box X 500</t>
  </si>
  <si>
    <t>B</t>
  </si>
  <si>
    <t>PM-00669</t>
  </si>
  <si>
    <t>سليف ايس تي خوخ</t>
  </si>
  <si>
    <t>1 Box X 1200 Pcs</t>
  </si>
  <si>
    <t>A</t>
  </si>
  <si>
    <t>PM-00043</t>
  </si>
  <si>
    <t>كيس بلاستيك ضبابي مطبوع مع استيكر اغلاق 10 كيلو (التاندو)Printed foggy plastic bag with sticker closure (Tando)</t>
  </si>
  <si>
    <t>PM-00653</t>
  </si>
  <si>
    <t>Cup 7 oz double  wide  Seasnal ( Breehant ) - كوب 7 اونص دبل فتحة واسعه موسمى ( بريهانت )</t>
  </si>
  <si>
    <t>1 Box 20 Pack X 25 Pcs</t>
  </si>
  <si>
    <t>PM-00296</t>
  </si>
  <si>
    <t>Aluminium foil قصدير</t>
  </si>
  <si>
    <t>Dry Goods - منتجات جافة</t>
  </si>
  <si>
    <t>RM-00502</t>
  </si>
  <si>
    <t>Sugar Jaggery Vijay سكر جاجيري مدور</t>
  </si>
  <si>
    <t>RM-00206</t>
  </si>
  <si>
    <t>Mehran red pepper فلفل أحمر مهران</t>
  </si>
  <si>
    <t>PM-00139</t>
  </si>
  <si>
    <t>كرت الاسبريسو نمق (سان اجناسيو) Espresso card (San Ignacio)</t>
  </si>
  <si>
    <t>1 Bundle X 500 pcs</t>
  </si>
  <si>
    <t>bundel</t>
  </si>
  <si>
    <t>RM-00677</t>
  </si>
  <si>
    <t>مايونيز قودي / Goody Mayonnaise</t>
  </si>
  <si>
    <t>Pcs</t>
  </si>
  <si>
    <t>1 Box X 4 Pcs X 3.75</t>
  </si>
  <si>
    <t>RM-00415</t>
  </si>
  <si>
    <t>جوز البيكان | Pecan nuts</t>
  </si>
  <si>
    <t xml:space="preserve">1 Bag X 13.6 Kg </t>
  </si>
  <si>
    <t>bag</t>
  </si>
  <si>
    <t>RM-00421</t>
  </si>
  <si>
    <t>Coconut powder | جوز الهند بودر</t>
  </si>
  <si>
    <t>1 BAG X  X 7 KG</t>
  </si>
  <si>
    <t>RM-00183</t>
  </si>
  <si>
    <t>Ketchup Tomato كاتشب</t>
  </si>
  <si>
    <t xml:space="preserve">1 Box X 10pcs X 570 grm </t>
  </si>
  <si>
    <t>FROZEN ITEMS - منتجات مجمدة</t>
  </si>
  <si>
    <t>RM-00018</t>
  </si>
  <si>
    <t>جبن شيدر انجليزي  Irish Mild yellow cheddar Cheese</t>
  </si>
  <si>
    <t>KG</t>
  </si>
  <si>
    <t>RM-00681</t>
  </si>
  <si>
    <t>معبوج  تمر هندي / Tamrind</t>
  </si>
  <si>
    <t>1 Pcs X 500 G</t>
  </si>
  <si>
    <t>RM-00423</t>
  </si>
  <si>
    <t>Hazelnut بندق</t>
  </si>
  <si>
    <t>1 Bag X 10 Kg</t>
  </si>
  <si>
    <t>CO-00467</t>
  </si>
  <si>
    <t>Glass cup 65ml كوب زجاج 65 ملي  لتقديم المياه الغازية</t>
  </si>
  <si>
    <t>1 Box X 6 Pcs</t>
  </si>
  <si>
    <t>RM-00439</t>
  </si>
  <si>
    <t xml:space="preserve">Unroasted peanuts | فول سوداني </t>
  </si>
  <si>
    <t>PM-00528</t>
  </si>
  <si>
    <t>كوب فخار 200 مل - محفور بشعار من الداخل والخارج - قليز شفاف مطفي</t>
  </si>
  <si>
    <t>Pcs.</t>
  </si>
  <si>
    <t>RM-00006</t>
  </si>
  <si>
    <t>Goody Creamy Peanut Butte | قودي زبدة الفول السوداني الناعمة</t>
  </si>
  <si>
    <t>12pcs x 1 kg</t>
  </si>
  <si>
    <t>RM-00175</t>
  </si>
  <si>
    <t>ORIG RANCH SAUCE | صوص الرانش</t>
  </si>
  <si>
    <t>1X6X530 GM (3.8 KG)</t>
  </si>
  <si>
    <t>Beverage - مشروبات</t>
  </si>
  <si>
    <t>RM-00320</t>
  </si>
  <si>
    <t>صوص جوز البيكان VARIEGATO NOCE PECAN</t>
  </si>
  <si>
    <t>1 Ctn. X 2 Tin X 5kg</t>
  </si>
  <si>
    <t>Ctn</t>
  </si>
  <si>
    <t>PM-00251</t>
  </si>
  <si>
    <t xml:space="preserve">4 Oz Sauce Cup plasticعلبة صوص 4 اونصه بلاستيك </t>
  </si>
  <si>
    <t>1 Box X 20 Pack X 100 Pcs</t>
  </si>
  <si>
    <t>PM-00261</t>
  </si>
  <si>
    <t>Baking Paper 60*40 ورق خبازة 60*40</t>
  </si>
  <si>
    <t>1 Box X 500 Pcs. / 1 Box X 1000 Pcs.</t>
  </si>
  <si>
    <t>PM-00357</t>
  </si>
  <si>
    <t>Pomegranate Iced Tea Sticker ( breehant ) ستيكر شاي مثلج بالرمان (بريهانت)</t>
  </si>
  <si>
    <t>1 bundle X 500 PCS</t>
  </si>
  <si>
    <t>SF-00154</t>
  </si>
  <si>
    <t>Monin PEACH TEA Syrup 1L مونین شراب شاي الخوخ 1لتر</t>
  </si>
  <si>
    <t>1 Box X 6 Bottle X 1 Ltr</t>
  </si>
  <si>
    <t>RM-00582</t>
  </si>
  <si>
    <t>Syrup Mango Teisseireسيروب المانجو</t>
  </si>
  <si>
    <t>Beverage - مشروبات /  Dairy</t>
  </si>
  <si>
    <t>RM-00508</t>
  </si>
  <si>
    <t>Condensed milkحليب مكثف</t>
  </si>
  <si>
    <t>1 Box X 24 Pcs. X 1 Kilo</t>
  </si>
  <si>
    <t>SF-00189</t>
  </si>
  <si>
    <t>MANGO RIPPLING SAUSE - صوص المانجو مع القطع</t>
  </si>
  <si>
    <t>1 Box X 2Ltr</t>
  </si>
  <si>
    <t>RM-00445</t>
  </si>
  <si>
    <t>Kompletin Spray Oil بخاخ زيت كومبليت ان</t>
  </si>
  <si>
    <t>1 Box X 6 Pcs X 500ml</t>
  </si>
  <si>
    <t>RM-00432</t>
  </si>
  <si>
    <t>Sliced almond لوز شرايح امريكي</t>
  </si>
  <si>
    <t>1 Box X 10 Kg</t>
  </si>
  <si>
    <t>PM-00270</t>
  </si>
  <si>
    <t>lids Cups Brehehant with stick اغطية اكواب القهوة - بريهانت</t>
  </si>
  <si>
    <t>1 Box X 20 Pack X 50 Pcs</t>
  </si>
  <si>
    <t>RM-00673</t>
  </si>
  <si>
    <t>Valrhona Javira 40% / شوكولاته فالرهونا</t>
  </si>
  <si>
    <t>1 Box X 3 x 3 KG</t>
  </si>
  <si>
    <t>Cleaning - منظفات</t>
  </si>
  <si>
    <t>CO-00061</t>
  </si>
  <si>
    <t>Steam cleaner 1 liter منظف الاستيم 1 لتر</t>
  </si>
  <si>
    <t>1 Pcs. X 1 Ltr</t>
  </si>
  <si>
    <t>RM-00538</t>
  </si>
  <si>
    <t>SYRUP LEMONADE 1883 سيروب ليموناضة</t>
  </si>
  <si>
    <t>PM-00287</t>
  </si>
  <si>
    <t>lids Cups Brehehant 6.5 Oz 80 ml اغطية اكواب القهوة - بريهانت 6.5 اونصه</t>
  </si>
  <si>
    <t>RM-00434</t>
  </si>
  <si>
    <t>Walnuts عين جمل</t>
  </si>
  <si>
    <t xml:space="preserve">Rosted Beans </t>
  </si>
  <si>
    <t>FPB-00077</t>
  </si>
  <si>
    <t>Costa Rica San ignacio 1 Kg</t>
  </si>
  <si>
    <t>RM-00313</t>
  </si>
  <si>
    <t>Vanilla bourbon فانيلا بوربون</t>
  </si>
  <si>
    <t>1 Box X 12bottle X 1kg</t>
  </si>
  <si>
    <t>FPB-00070</t>
  </si>
  <si>
    <t>Colombia la plata 1 Kg</t>
  </si>
  <si>
    <t>PM-00606</t>
  </si>
  <si>
    <t>Round aluminum plate 110 ml with cover | صحن دائري مع غطاء 110 مل</t>
  </si>
  <si>
    <t>PM-00568</t>
  </si>
  <si>
    <t>كيس مخبوزات مطبوع مقاس 10 × 14.5 cm (نمق)-Printed Bakery Paper Bag, 10 × 14.5 cm(Namq)</t>
  </si>
  <si>
    <t>1Box X 8000</t>
  </si>
  <si>
    <t>PM-00075</t>
  </si>
  <si>
    <t>Nozzle Lids for Coffee Box 1 Ltr أغطية كرتون القهوة سعة 1 لتر</t>
  </si>
  <si>
    <t>1Box X 400</t>
  </si>
  <si>
    <t>PM-00563</t>
  </si>
  <si>
    <t>Paper Cup Surprise 16 oz - Outer  كوب ورقي للمفاجأة 16 أونص نمق</t>
  </si>
  <si>
    <t>1 Box X 1000 Pcs.</t>
  </si>
  <si>
    <t>PM-00436</t>
  </si>
  <si>
    <t>استيكر هوت شوكلت  Hot chocolate sticker</t>
  </si>
  <si>
    <t>PM-00230</t>
  </si>
  <si>
    <t>Cafec V60 Filter 01 Coffee Filter كافيك فلاتر ترشيح ورقية - مقاس 01</t>
  </si>
  <si>
    <t>1 Box X 80 Case X 100 PCS</t>
  </si>
  <si>
    <t>Consumables</t>
  </si>
  <si>
    <t>PM-00240</t>
  </si>
  <si>
    <t>Cold Brew Filter فلتر كولد برو خفيف</t>
  </si>
  <si>
    <t>1 Pcs</t>
  </si>
  <si>
    <t>PM-00530</t>
  </si>
  <si>
    <t>كوب فخار 300 مل - محفور عليه شعار من الداخل والخارج - قليز شفاف مطفي - STONEWARE</t>
  </si>
  <si>
    <t>PM-00534</t>
  </si>
  <si>
    <t>صحن فخار مقاس 20*20*15 محفور عليه الشعار في المنتصف</t>
  </si>
  <si>
    <t>PM-00295</t>
  </si>
  <si>
    <t>Customer Evaluation Card	كرت تقييم العملاء ( نمق )</t>
  </si>
  <si>
    <t>1 Box X 1000</t>
  </si>
  <si>
    <t>PM-00276</t>
  </si>
  <si>
    <t>Tape شطرطون</t>
  </si>
  <si>
    <t>1 Box X 24 Pcs</t>
  </si>
  <si>
    <t>PM-00448</t>
  </si>
  <si>
    <t>Sticker Date ستيكر التاريخ</t>
  </si>
  <si>
    <t>PM-00341</t>
  </si>
  <si>
    <t>Point of sale roll - رول نقاط البيع</t>
  </si>
  <si>
    <t>1 Box X 50 Pcs</t>
  </si>
  <si>
    <t>PM-00182</t>
  </si>
  <si>
    <t>Breehant Paper cup 6.5 OZ كوب ورقي 6.5 اونص بريهانت</t>
  </si>
  <si>
    <t>PM-00201</t>
  </si>
  <si>
    <t>Season Paper cup Double 9 Oz ( BREEHANT ) كوب ورقي 9 اونصه تصميم موسمي ( بريهانت )</t>
  </si>
  <si>
    <t>1 Box X 1000 Pcs</t>
  </si>
  <si>
    <t>PM-00268</t>
  </si>
  <si>
    <t>Breehant CANSعلبة بريهانت الباردة</t>
  </si>
  <si>
    <t>1 Box X 200 Pcs</t>
  </si>
  <si>
    <t>PM-00285</t>
  </si>
  <si>
    <t>Breehant card rating كرت التقييم بريهانت</t>
  </si>
  <si>
    <t>1 Box X 500 Pcs</t>
  </si>
  <si>
    <t>PM-00369</t>
  </si>
  <si>
    <t>Saudi coffee sticker roll رول استيكر القهوه السعوديه</t>
  </si>
  <si>
    <t>PM-00445</t>
  </si>
  <si>
    <t>Caramel Bites Sticker Bar (Nmaq) ستيكر بار كراميل بايتس ( نمق )</t>
  </si>
  <si>
    <t>1 Roll X 1000 Pcs.</t>
  </si>
  <si>
    <t>PM-00080</t>
  </si>
  <si>
    <t>Bar Box (NAMQ)بوكس البارات (نمق)</t>
  </si>
  <si>
    <t>PM-00076</t>
  </si>
  <si>
    <t>Salted caramel box بوكس كراميل مملح</t>
  </si>
  <si>
    <t>1 bundle X 100 PCS</t>
  </si>
  <si>
    <t>PM-00105</t>
  </si>
  <si>
    <t>Crunchy Chocolate box (BREEHANT) بوكس كرانشي شوكلت ( بريهانت )</t>
  </si>
  <si>
    <t>PM-00330</t>
  </si>
  <si>
    <t>Transfer Chocolate Paper ( Breehant ) ورق ترانسفير التشوكلت ( بريهانت )</t>
  </si>
  <si>
    <t>1 Bundle X 50 Pcs.</t>
  </si>
  <si>
    <t>PM-00688</t>
  </si>
  <si>
    <t>سليف مارشميلو كراميل||Marshmallow Caramel Sleeve</t>
  </si>
  <si>
    <t>PM-00687</t>
  </si>
  <si>
    <t>سليف مارشميلو كرانشي||Marshmallow Crunchy Sleeve</t>
  </si>
  <si>
    <t>PM-00038</t>
  </si>
  <si>
    <t>Tiramisu Cover (breehant) غلاف تيراميسو (بريهانت)</t>
  </si>
  <si>
    <t>1 Bundle X 500 PCS</t>
  </si>
  <si>
    <t>PM-00339</t>
  </si>
  <si>
    <t>ورق ترانسفير الكوكيز مقاس 10سم (نمق)Transfer cookies Paper(NAMQ )</t>
  </si>
  <si>
    <t>1 Box X 750 Sheet</t>
  </si>
  <si>
    <t>PM-00627</t>
  </si>
  <si>
    <t>ورق زبدة بني 22سم دائري-Brown baking paper, 22 cm, round</t>
  </si>
  <si>
    <t>PM-00347</t>
  </si>
  <si>
    <t>ورق ترانسفير الكوكيز مقاس 10سم (بريهانت)Transfer cookies Paper(BREEHANT )</t>
  </si>
  <si>
    <t>Sheet 25pcs</t>
  </si>
  <si>
    <t>PM-00281</t>
  </si>
  <si>
    <t>Roll packing machine رول مكينة تغليف</t>
  </si>
  <si>
    <t>PM-00648</t>
  </si>
  <si>
    <t>صحن ألمنيوم دائري 25-4 | Round aluminum plate</t>
  </si>
  <si>
    <t>PM-00643</t>
  </si>
  <si>
    <t>Pudding box 12 oz.(Breehant)-علبة بودنق 12 أونص (بريهانت)</t>
  </si>
  <si>
    <t>1 Box X 150</t>
  </si>
  <si>
    <t>PM-00036</t>
  </si>
  <si>
    <t>HD BAG PRINTED 2+2 COLORS SIZE كيس التاندو مطبوع</t>
  </si>
  <si>
    <t>PM-00697</t>
  </si>
  <si>
    <t>استيكر اغلاق بوكس فطورات كبير|| large breakfast box closure sticker</t>
  </si>
  <si>
    <t>PM-00696</t>
  </si>
  <si>
    <t>استيكر اغلاق بوكس فطورات صغير|| small breakfast box closure sticker</t>
  </si>
  <si>
    <t>CO-00471</t>
  </si>
  <si>
    <t>كوب سراميك 110ملي لتقديم الاسبريسو لون وردي مع بيج (نمق)Ceramic cup, 110 ml, for serving espresso pink and beige color</t>
  </si>
  <si>
    <t>CO-00393</t>
  </si>
  <si>
    <t>Brother Label Maker Printer - طابعه ملصقات</t>
  </si>
  <si>
    <t>General Markting -مواد التسويق</t>
  </si>
  <si>
    <t>CO-00468</t>
  </si>
  <si>
    <t>Plastic Holder for Cups حامل بلاستيك للاكواب</t>
  </si>
  <si>
    <t>CO-00523</t>
  </si>
  <si>
    <t>Turner Spoon Full Steel ملعقة ستيل</t>
  </si>
  <si>
    <t xml:space="preserve">Tools - ادوات </t>
  </si>
  <si>
    <t>CO-00473</t>
  </si>
  <si>
    <t>Loveramics Coffee Spoon Gold 10cm ملعقة اسبريسو</t>
  </si>
  <si>
    <t>SmallWare</t>
  </si>
  <si>
    <t>CO-00522</t>
  </si>
  <si>
    <t>Ice Scoop S/S Round bottom مغرفة ايس سكوب</t>
  </si>
  <si>
    <t>CO-00560</t>
  </si>
  <si>
    <t>Pitcher JIBBI1000ml بتشر تبخير جيبي الحاد - 1000 مل</t>
  </si>
  <si>
    <t>CO-00094</t>
  </si>
  <si>
    <t>Cafetto Grinder Clean اقراص تنظيف طاحونة كافييتو</t>
  </si>
  <si>
    <t xml:space="preserve"> Pcs</t>
  </si>
  <si>
    <t>CO-00127</t>
  </si>
  <si>
    <t>Microfiber mop with stick ممسحة مايكروفايبر مع العصا</t>
  </si>
  <si>
    <t>CO-00148</t>
  </si>
  <si>
    <t>SINGLE FIX FLOORWIPER ممسحة شفط الارضيات 45 سم</t>
  </si>
  <si>
    <t>1 Pcs.</t>
  </si>
  <si>
    <t>CO-00487</t>
  </si>
  <si>
    <t>Pladtic Wet mop holder مقبض ممسحة مبللة بلاستيك</t>
  </si>
  <si>
    <t>CO-00356</t>
  </si>
  <si>
    <t>AL PROPAINT HANDFORWIPER عصا مع مسكة 140 سم</t>
  </si>
  <si>
    <t>CO-00129</t>
  </si>
  <si>
    <t>N.W BLU فوط غير منسوجة ازرق</t>
  </si>
  <si>
    <t>CO-00072</t>
  </si>
  <si>
    <t>Tide تايد</t>
  </si>
  <si>
    <t>1 Case X 20 KG</t>
  </si>
  <si>
    <t>case</t>
  </si>
  <si>
    <t>Kitchen tools</t>
  </si>
  <si>
    <t>CO-00352</t>
  </si>
  <si>
    <t>Anfim SP2 Grinder fan filter فلتر مروحة طاحونة انفيم اس بي 2</t>
  </si>
  <si>
    <t>1 Bundel X 10 Pcs</t>
  </si>
  <si>
    <t>CO-00339</t>
  </si>
  <si>
    <t>Cartridge Atlas 10" CPP 5 mcr RA5706508 قلب فلتر اطلس 10 " بولي بروبيبلين 5 ميكرون</t>
  </si>
  <si>
    <t>CO-00511</t>
  </si>
  <si>
    <t>Cartridge Atlas 20" CPP 5 mcr [RA5706708] قلب فلتر اطلس 20 " بولي بروبيبلين 5 ميكرون</t>
  </si>
  <si>
    <t>CO-00513</t>
  </si>
  <si>
    <t>Cartridge Atlas 20" BIG CPP 5 mcr [RE5706908] قلب فلتر اطلس 20 " جامبو بولي بروبيبلين 5 ميكرون</t>
  </si>
  <si>
    <t>CO-00340</t>
  </si>
  <si>
    <t>Cartridge Atlas 10" carbon block 5 mcr SX [RE5395108] قلب فلتر اطلس 10 " كربون بلوك 5 ميكرون اس اكس</t>
  </si>
  <si>
    <t>CO-00515</t>
  </si>
  <si>
    <t>قالب سيلكون 3 فتحات 10سم ايطالي  Silicone mold, 3 holes, 10 cm, Italian</t>
  </si>
  <si>
    <t>CO-00331</t>
  </si>
  <si>
    <t>Gasket portafilter 8.5 mm with grooves ربر لماكينة سنسو  - 8.5 ملم</t>
  </si>
  <si>
    <t>CO-00349</t>
  </si>
  <si>
    <t>BREAD KNIFE سكين مخبوزات</t>
  </si>
  <si>
    <t>CO-00505</t>
  </si>
  <si>
    <t>Steel Ashtray طفاية سجائر</t>
  </si>
  <si>
    <t>CO-00221</t>
  </si>
  <si>
    <t>PRICE MACHINE INK ROLLER ALL حبر الة تسعير وتواريخ</t>
  </si>
  <si>
    <t>CO-00412</t>
  </si>
  <si>
    <t>Namq Tooth Wipes</t>
  </si>
  <si>
    <t>1 Box X 1200 Pcs.</t>
  </si>
  <si>
    <t>CO-00217</t>
  </si>
  <si>
    <t>receipt NAMQ سند نمق</t>
  </si>
  <si>
    <t>CO-00469</t>
  </si>
  <si>
    <t>Jake Matcha جيك ماتشا</t>
  </si>
  <si>
    <t>CO-00158</t>
  </si>
  <si>
    <t xml:space="preserve">تايقر فيتنامي بخور - Bokhur Tiger </t>
  </si>
  <si>
    <t>CO-00100</t>
  </si>
  <si>
    <t>Tape Namq لاصق نمق</t>
  </si>
  <si>
    <t>Assets - أصول</t>
  </si>
  <si>
    <t>CO-00219</t>
  </si>
  <si>
    <t>Money Detector	جهاز كشف اموال</t>
  </si>
  <si>
    <t>CO-00419</t>
  </si>
  <si>
    <t>Namq Stainless Steel magnetic name tag بطاقة تعريف اسم الموظف ستانلس ستيل مغناطيسي (نمق)</t>
  </si>
  <si>
    <t>CO-00509</t>
  </si>
  <si>
    <t>حامل بطاقة خشبي Wooden ID Holder</t>
  </si>
  <si>
    <t>CO-00388</t>
  </si>
  <si>
    <t>Sticker No smoking small</t>
  </si>
  <si>
    <t>CO-00160</t>
  </si>
  <si>
    <t>Sticker No smoking ستيكر ممنوع التدخين</t>
  </si>
  <si>
    <t>CO-00017</t>
  </si>
  <si>
    <t>Acrylic No smoking اكريلك ممنوع التدخين</t>
  </si>
  <si>
    <t>CO-00009</t>
  </si>
  <si>
    <t>Acrylic Family ( NAMQ ) اكريلك عائلات ( نمق )</t>
  </si>
  <si>
    <t>CO-00016</t>
  </si>
  <si>
    <t>Acrylic Menu Small ( Namq ) منيو اكريلك  صغير ( نمق )</t>
  </si>
  <si>
    <t>CO-00018</t>
  </si>
  <si>
    <t>Acrylic place policy 55cm	اكريلك سياسة المكان</t>
  </si>
  <si>
    <t>CO-00008</t>
  </si>
  <si>
    <t>Acrylic evaluation 55cm	اكريلك التقييم</t>
  </si>
  <si>
    <t>CO-00030</t>
  </si>
  <si>
    <t>Friday booth, mirror stand And three tables(NAMQ) بوث الجمعة استاند مرايا وثلاث طاولات (نمق)</t>
  </si>
  <si>
    <t>CO-00032</t>
  </si>
  <si>
    <t>Acrylic staff board, size 97 cm * 97 cm, with UV printi( NAMQ )بورد موظفين اكريليك مقاس97 سم *97سم مع الطباعة (نمق)ng</t>
  </si>
  <si>
    <t>CO-00001</t>
  </si>
  <si>
    <t>Acrylic drive-through UV printing (NAMQ)اكريليك درايف ثرو طباعة UV (نمق)</t>
  </si>
  <si>
    <t>CO-00010</t>
  </si>
  <si>
    <t>Acrylic Friday ( NAMQ )	اكريلك جمعة نمق</t>
  </si>
  <si>
    <t>CO-00022</t>
  </si>
  <si>
    <t>Acrylic wi-fi اكريلك واي فاي نمق</t>
  </si>
  <si>
    <t>CO-00553</t>
  </si>
  <si>
    <t>مجسم سلحفاء صغير Small turtle figurine</t>
  </si>
  <si>
    <t>CO-00555</t>
  </si>
  <si>
    <t>دمية سلحفاء صغيره لتوزيعات الفروعSmall turtle doll for branch giveaways.</t>
  </si>
  <si>
    <t>CO-00327</t>
  </si>
  <si>
    <t>Ice Cream Spoon ملعقة آيس كريم</t>
  </si>
  <si>
    <t>CO-00382</t>
  </si>
  <si>
    <t>Wooden serving tray - size 20*35( صينية تقديم خشبية (بريهانت</t>
  </si>
  <si>
    <t>CO-00038</t>
  </si>
  <si>
    <t>Acrylic advisory board (toilets)لوحة اكريليك ارشادية</t>
  </si>
  <si>
    <t>Uniform</t>
  </si>
  <si>
    <t>CO-00542</t>
  </si>
  <si>
    <t>Linen trousers Prehent بنطلون كتان بريهانت</t>
  </si>
  <si>
    <t>CO-00543</t>
  </si>
  <si>
    <t>Breehant Hoodie هودي بريهانت</t>
  </si>
  <si>
    <t>CO-00483</t>
  </si>
  <si>
    <t>Syscall SGP-300R 10c (set) Diamond pager +charger base with power supply" جهاز بيجر سانكول لبريهانت</t>
  </si>
  <si>
    <t>1 Box X 10 Pcs.</t>
  </si>
  <si>
    <t>CO-00125</t>
  </si>
  <si>
    <t>KLEENEX CLASSIC TISSUES مناديل كلينيكس الكلاسيكية</t>
  </si>
  <si>
    <t>1 Box X 36 Pcs</t>
  </si>
  <si>
    <t>CO-00144</t>
  </si>
  <si>
    <t>Trash bag small ( White ) اكياس ابيض  نفايات</t>
  </si>
  <si>
    <t>1 Box X 10 Bundel</t>
  </si>
  <si>
    <t>CO-00365</t>
  </si>
  <si>
    <t>Metal Ladder - 3 Step سلم معدني 3 درجات</t>
  </si>
  <si>
    <t>CO-00097</t>
  </si>
  <si>
    <t>soft broom مكنسة ناعمة</t>
  </si>
  <si>
    <t>CO-00093</t>
  </si>
  <si>
    <t>Beard Cover With Single Loop 21 Mfr: LUXICARE غطاء الدقن</t>
  </si>
  <si>
    <t>CO-00364</t>
  </si>
  <si>
    <t>A4 Paper Holder Acralic برواز حامل اوراق</t>
  </si>
  <si>
    <t xml:space="preserve">Stationery - أدوات مكتبية </t>
  </si>
  <si>
    <t>CO-00361</t>
  </si>
  <si>
    <t>A4 printer paper - ورق طباعة</t>
  </si>
  <si>
    <t>1 Box X 5 Bundel X 100 Sheet</t>
  </si>
  <si>
    <t>CO-00436</t>
  </si>
  <si>
    <t>Toner - حبر طابعة</t>
  </si>
  <si>
    <t>CO-00092</t>
  </si>
  <si>
    <t>Sanita SH35 Air Freshener  سانيتا معطر الجو</t>
  </si>
  <si>
    <t>RM-00293</t>
  </si>
  <si>
    <t>Soft White Vanilla مسحوق فانيلا روبيكون</t>
  </si>
  <si>
    <t>1 Box X 8 Bag X 1.5 Kg</t>
  </si>
  <si>
    <t>RM-00573</t>
  </si>
  <si>
    <t>Syrup Giffard pomegranate سيروب رمان جيفارد</t>
  </si>
  <si>
    <t>1 Box 6 Bottle X 1 Ltr</t>
  </si>
  <si>
    <t>RM-00572</t>
  </si>
  <si>
    <t>Syrup Giffard red raspberryسيروب توت احمر جيفراد</t>
  </si>
  <si>
    <t>RM-00597</t>
  </si>
  <si>
    <t>Teisseire Vanilla Syrup 1L سيروب تيسير الفانیلا 1لتر</t>
  </si>
  <si>
    <t>RM-00100</t>
  </si>
  <si>
    <t>FLORIMONT CREAM WHIPPING 35% FAT - FRANCE |  كريمة خفق</t>
  </si>
  <si>
    <t>1 Box X 12 Bottle X 1 ltr</t>
  </si>
  <si>
    <t>RM-00628</t>
  </si>
  <si>
    <t>Slices cheddar cheese | جبن شدر سلايدر</t>
  </si>
  <si>
    <t>200 Grm</t>
  </si>
  <si>
    <t>RM-00458</t>
  </si>
  <si>
    <t>Costa Rica San ignacio Coffee Breehant 1 KGكوستاريكا سان اجناسيو بريهانت 1kg</t>
  </si>
  <si>
    <t>RM-00510</t>
  </si>
  <si>
    <t>Giffard Coconut Syrup  1L جيفارد شراب جوز الهند 1لتر</t>
  </si>
  <si>
    <t>1 Box * 6 Buttel *1L</t>
  </si>
  <si>
    <t>RM-00371</t>
  </si>
  <si>
    <t>Fruits Puree Boiron Raspberry فواكة مهروسة بوارون - توت</t>
  </si>
  <si>
    <t>1 PCS X 10 KG</t>
  </si>
  <si>
    <t>RM-00642</t>
  </si>
  <si>
    <t>Sponge chocolate Premix | خليط كيك شوكولاتة</t>
  </si>
  <si>
    <t>1 Pcs X 25 KG</t>
  </si>
  <si>
    <t>RM-00113</t>
  </si>
  <si>
    <t>KUWAIT FLOUR طحين الكويت فاخر</t>
  </si>
  <si>
    <t>1 BUNDLE X 2 BAGS X 5 KG</t>
  </si>
  <si>
    <t>RM-00114</t>
  </si>
  <si>
    <t>Brown Flour طحين فوم بر</t>
  </si>
  <si>
    <t>1 bag x 25 kg</t>
  </si>
  <si>
    <t>RM-00253</t>
  </si>
  <si>
    <t>Fresh yeast - خميرة فرش</t>
  </si>
  <si>
    <t>RM-00498</t>
  </si>
  <si>
    <t>DEXTROSE POWDER ديكستروز - مسحوق سكر العنب</t>
  </si>
  <si>
    <t>1 box x 48 pcs x 170 grm</t>
  </si>
  <si>
    <t>RM-00322</t>
  </si>
  <si>
    <t xml:space="preserve">ALALALI SODIUM BICARBONATE | بيكربونات الصوديوم العلالي </t>
  </si>
  <si>
    <t>1 box x 72 pcs x 100 grm</t>
  </si>
  <si>
    <t>RM-00359</t>
  </si>
  <si>
    <t>Frozen Whole Egg Liquid | بيض سائل كامل مفرزن</t>
  </si>
  <si>
    <t>1 Box X 4 Tin X 5 Kg</t>
  </si>
  <si>
    <t>RM-00011</t>
  </si>
  <si>
    <t>cheese chedder جبنة شيدر</t>
  </si>
  <si>
    <t>Ctn X 4X 2.27 Kg</t>
  </si>
  <si>
    <t>RM-00091</t>
  </si>
  <si>
    <t>Analogue cream شبيه قشطة المراعي</t>
  </si>
  <si>
    <t>1 Box X 48 Pcs X 160 Grm</t>
  </si>
  <si>
    <t>RM-00008</t>
  </si>
  <si>
    <t>Hallomi cheese -جبن حلومي</t>
  </si>
  <si>
    <t>CTN X 40 X 250G</t>
  </si>
  <si>
    <t>RM-00686</t>
  </si>
  <si>
    <t>جبنة شيدر بالفلفل / Cheddar cheese with pepper</t>
  </si>
  <si>
    <t>Box  X 24X 255</t>
  </si>
  <si>
    <t>RM-00024</t>
  </si>
  <si>
    <t>Irish Mild Cheese Yellow جبن شيدر انجليزي اصفر</t>
  </si>
  <si>
    <t>RM-00626</t>
  </si>
  <si>
    <t>Irich cheeder cheese</t>
  </si>
  <si>
    <t>1 box x 2 pcs x 2 kg</t>
  </si>
  <si>
    <t>RM-00021</t>
  </si>
  <si>
    <t>MASCARPONE cheese جبنة ماسكربوني</t>
  </si>
  <si>
    <t>RM-00528</t>
  </si>
  <si>
    <t>Powder Milk - Haliحليب بودرة هالي</t>
  </si>
  <si>
    <t>1 Box X 6 Can X 1800 G</t>
  </si>
  <si>
    <t>RM-00005</t>
  </si>
  <si>
    <t>FLORIMONT BUTTER SHEETS - 82% FAT - FRANCE | زبدة كروسان</t>
  </si>
  <si>
    <t>1 Box X 40 X 200g</t>
  </si>
  <si>
    <t>RM-00096</t>
  </si>
  <si>
    <t>Sour cream كريمة حامضة</t>
  </si>
  <si>
    <t>1 box x 10 pcs x 1 kg</t>
  </si>
  <si>
    <t>RM-00104</t>
  </si>
  <si>
    <t>Unsalted butter (Almarai)- زبدة غير مملحة المراعي</t>
  </si>
  <si>
    <t>1 BOX  X 25 KG</t>
  </si>
  <si>
    <t>RM-00276</t>
  </si>
  <si>
    <t>PreGel Concentrated Paste Vanilla Tahiti | معجون مركز بنكهة الفانيلا الفرنسية بريجل</t>
  </si>
  <si>
    <t>1 Box X 2 Bottel X 6KG</t>
  </si>
  <si>
    <t>RM-00441</t>
  </si>
  <si>
    <t>carlex oil spray بخاخ زيت كارلوكس</t>
  </si>
  <si>
    <t>RM-00324</t>
  </si>
  <si>
    <t>Berry Food Color - baba لون طعام توت - بابا</t>
  </si>
  <si>
    <t>1 BOX X 80 Pcs X 100grm</t>
  </si>
  <si>
    <t>RM-00032</t>
  </si>
  <si>
    <t>White chocolate Tablets Belcolad شوكلاته بيضاء اقراص</t>
  </si>
  <si>
    <t>1 Bag X15 KG</t>
  </si>
  <si>
    <t>RM-00531</t>
  </si>
  <si>
    <t>Low-Fat Natural Cocoa Powder N55  Macao | كاكاو بودرة قليل الدسم</t>
  </si>
  <si>
    <t>1 Bag X  25 KG</t>
  </si>
  <si>
    <t>RM-00083</t>
  </si>
  <si>
    <t>C501/J Drops Belcolade Dark Chocolate شوكلاته اقراص C501/J ( هوت تشوكلت )</t>
  </si>
  <si>
    <t>15 KG</t>
  </si>
  <si>
    <t>RM-00595</t>
  </si>
  <si>
    <t>شوكولاتة بالحليب مبشورة - Blossoms ( Tiny Curls  ) , Chocolate Milk</t>
  </si>
  <si>
    <t>1 Box X 2.5 Kg</t>
  </si>
  <si>
    <t>RM-00087</t>
  </si>
  <si>
    <t>Cocoa powder PURATOS |  بودرة كاكاو</t>
  </si>
  <si>
    <t>25 KG</t>
  </si>
  <si>
    <t>RM-00051</t>
  </si>
  <si>
    <t>C501/UA Chunks Belcolade Dark Chocolate شوكلاته غامقة مربعات C501/UA ( هوت تشوكلت )</t>
  </si>
  <si>
    <t>1 Bag X 15 KG</t>
  </si>
  <si>
    <t>RM-00048</t>
  </si>
  <si>
    <t>CT 0314/G Drops 15KG Bag شوكلاته اقراص CT 0314/G ( هوت تشوكلت )</t>
  </si>
  <si>
    <t>RM-00596</t>
  </si>
  <si>
    <t>شوكولاتة مبشورة بيضاء - Blossoms ( Tiny Curls  ) , Chocolate White</t>
  </si>
  <si>
    <t>RM-00194</t>
  </si>
  <si>
    <t>Elissa Green Olives شرائح زيتون اليسا اخضر</t>
  </si>
  <si>
    <t>1 Box X 12 Bundlle X 200g</t>
  </si>
  <si>
    <t>RM-00287</t>
  </si>
  <si>
    <t>Sauce Dried Tomato بيستو صلصة الطماطم المجففة</t>
  </si>
  <si>
    <t>1 Box X 12 Pcs X 195Grm</t>
  </si>
  <si>
    <t>RM-00289</t>
  </si>
  <si>
    <t>Sesame سمسم</t>
  </si>
  <si>
    <t>Bag *15Kg</t>
  </si>
  <si>
    <t>RM-00438</t>
  </si>
  <si>
    <t>Sunflower seeds without peel حب دوار الشمس بدون قشر</t>
  </si>
  <si>
    <t>RM-00428</t>
  </si>
  <si>
    <t>Peeled pumpkin seeds حب قرع مقشر</t>
  </si>
  <si>
    <t>Box X 2 Bag X 10 KG</t>
  </si>
  <si>
    <t>RM-00305</t>
  </si>
  <si>
    <t>Thyme زعتر</t>
  </si>
  <si>
    <t>1 Bag X 5 Kg</t>
  </si>
  <si>
    <t>RM-00213</t>
  </si>
  <si>
    <t>Cloves Indonesian قرنفل</t>
  </si>
  <si>
    <t>kg</t>
  </si>
  <si>
    <t>RM-00188</t>
  </si>
  <si>
    <t>Date paste معجون تمر</t>
  </si>
  <si>
    <t>1 box x 8 pcs x 1 kg</t>
  </si>
  <si>
    <t>RM-00155</t>
  </si>
  <si>
    <t>Dates Ekhlasتمر اخلاص</t>
  </si>
  <si>
    <t>RM-00377</t>
  </si>
  <si>
    <t>Smoked turkey صدر ديك رومي مدخن</t>
  </si>
  <si>
    <t>1 Ctn X 15 KG</t>
  </si>
  <si>
    <t>RM-00331</t>
  </si>
  <si>
    <t>Gelatine Powder Bakemate بيكيميت جيلاتين بودر</t>
  </si>
  <si>
    <t> 1 Pcs x 25kg</t>
  </si>
  <si>
    <t>RM-00333</t>
  </si>
  <si>
    <t>Kelloggs Coco Pops Cereal حبوب كوكو بوبس من كيلوجز</t>
  </si>
  <si>
    <t>1 Pckt X 650 Grm</t>
  </si>
  <si>
    <t>RM-00684</t>
  </si>
  <si>
    <t>حلاوة شعر طحينية / Halava Shaar Tahinia</t>
  </si>
  <si>
    <t>Box X 8  X 500 GRM</t>
  </si>
  <si>
    <t>RM-00123</t>
  </si>
  <si>
    <t>Bob Red Rice Flour طحين الرز</t>
  </si>
  <si>
    <t xml:space="preserve"> Box X 24 X 500 gm</t>
  </si>
  <si>
    <t>RM-00318</t>
  </si>
  <si>
    <t>INDOMIE - اندومي</t>
  </si>
  <si>
    <t>RM-00208</t>
  </si>
  <si>
    <t>Cardamom Whole JAMBO هيل اخضر</t>
  </si>
  <si>
    <t>RM-00148</t>
  </si>
  <si>
    <t>Clove قرنفل</t>
  </si>
  <si>
    <t>RM-00019</t>
  </si>
  <si>
    <t>Blue Cheese جبن ازرق</t>
  </si>
  <si>
    <t>RM-00017</t>
  </si>
  <si>
    <t>جبن موزريلا مبشورة  Mozzarella cheese shredded</t>
  </si>
  <si>
    <t>RM-00374</t>
  </si>
  <si>
    <t>Lamb weston potato dippers بطاطس لامب وستون</t>
  </si>
  <si>
    <t>RM-00281</t>
  </si>
  <si>
    <t>Red color / Baba 100 لون طعام احمر</t>
  </si>
  <si>
    <t>RM-00263</t>
  </si>
  <si>
    <t>Orange Flavor Powder بودرة طعام لون برتقالي</t>
  </si>
  <si>
    <t>RM-00090</t>
  </si>
  <si>
    <t>Cooking Cream Almaraie كريمة طبخ</t>
  </si>
  <si>
    <t>RM-00646</t>
  </si>
  <si>
    <t>long-life milk | حليب طويل الاجل</t>
  </si>
  <si>
    <t>RM-00690</t>
  </si>
  <si>
    <t>Kashkaval cheese |جبن قشقوانcheese</t>
  </si>
  <si>
    <t>RM-00712</t>
  </si>
  <si>
    <t>فليفلة حمراء مطحونة - Red capsicum molases</t>
  </si>
  <si>
    <t>RM-00302</t>
  </si>
  <si>
    <t>Tahina طحينة</t>
  </si>
  <si>
    <t>RM-00711</t>
  </si>
  <si>
    <t>Truffle oil - زيت الترفل</t>
  </si>
  <si>
    <t>RM-00288</t>
  </si>
  <si>
    <t>Saudi Tomato Paste معجون طماطم السعودي</t>
  </si>
  <si>
    <t>RM-00184</t>
  </si>
  <si>
    <t>Black Seed الحبه السوداء</t>
  </si>
  <si>
    <t>FA-00359</t>
  </si>
  <si>
    <t>فلتر شوائب فيتنامي 10 انش(شراء)</t>
  </si>
  <si>
    <t>FA-00031</t>
  </si>
  <si>
    <t>Barista space Pitcher 350 Sandy Rainbow بتشر تبخير الحاد - 350مل</t>
  </si>
  <si>
    <t>FA-00308</t>
  </si>
  <si>
    <t>Server Hario 02 سيرفر هايرو 02</t>
  </si>
  <si>
    <t>FA-00326</t>
  </si>
  <si>
    <t>battery بطارية</t>
  </si>
  <si>
    <t>FA-00046</t>
  </si>
  <si>
    <t>LUXUS coffee Thermal Dispenser - FETCO - for Machine Model XTS 2141 حافظة قهوة</t>
  </si>
  <si>
    <t>FA-00092</t>
  </si>
  <si>
    <t>PEDAL DUSTBIN 50L RICHEN - حاوية مهملات ستيل بدعاسة 50 لتر</t>
  </si>
  <si>
    <t>FA-00125</t>
  </si>
  <si>
    <t>Stainless Steel Satin  Box for Gloves &amp; Mask بوكس تخزين ماسك وقفازات</t>
  </si>
  <si>
    <t>FA-00277</t>
  </si>
  <si>
    <t>Ice Scoop Steel مغرفة ايس ستيل</t>
  </si>
  <si>
    <t>FA-00396</t>
  </si>
  <si>
    <t>tamping mat قاعدة مطاطية</t>
  </si>
  <si>
    <t>FA-00080</t>
  </si>
  <si>
    <t>La Marzocco GB 5X 3 Group</t>
  </si>
  <si>
    <t>FA-00283</t>
  </si>
  <si>
    <t>Sprig Tongs S/S 9  ملقط 9 بوصة</t>
  </si>
  <si>
    <t>FA-00303</t>
  </si>
  <si>
    <t>BAN INSERT PAN STEEL 1/2 20CM - مقلاة</t>
  </si>
  <si>
    <t>FA-00304</t>
  </si>
  <si>
    <t>BAN INSERT PAN POLYCARBONAT - مقلاة</t>
  </si>
  <si>
    <t>FA-00305</t>
  </si>
  <si>
    <t>PLASTIC CONTAINER K600 - صندوق تخزين</t>
  </si>
  <si>
    <t>FA-00284</t>
  </si>
  <si>
    <t>Knife Brazil White سكين برازيل ابيض</t>
  </si>
  <si>
    <t>SF-00172</t>
  </si>
  <si>
    <t>Monin Watermelon Syrup 1L مونین شراب البطيخ 1لتر</t>
  </si>
  <si>
    <t>SF-00148</t>
  </si>
  <si>
    <t>Pepsi Can علبة بيبسي</t>
  </si>
  <si>
    <t>SF-00149</t>
  </si>
  <si>
    <t>Pepsi Diet Can علبة بيبسي دايت</t>
  </si>
  <si>
    <t>FPB-00206</t>
  </si>
  <si>
    <t>Ethiopia Suke Natural 1 Kg</t>
  </si>
  <si>
    <t>FPB-00076</t>
  </si>
  <si>
    <t>Ethiopia west arsi 1 Kg</t>
  </si>
  <si>
    <t>FPB-00067</t>
  </si>
  <si>
    <t>Yemen Haraz 1 Kg</t>
  </si>
  <si>
    <t>FPB-00069</t>
  </si>
  <si>
    <t>Ethiopia Shakiso Namq 1 Kg</t>
  </si>
  <si>
    <t>FPB-00181</t>
  </si>
  <si>
    <t>كرتون أظرف قهوة نمق  روزا مورينا Namq Sachet Box Rosa Morena</t>
  </si>
  <si>
    <t>FPB-00180</t>
  </si>
  <si>
    <t xml:space="preserve">كرتون أظرف قهوة نمق شلشلي  Namq Sachet Box Ethiopia Chelcheli </t>
  </si>
  <si>
    <t>MARSHMALLO STICKER</t>
  </si>
  <si>
    <t>cookies logo - namq</t>
  </si>
  <si>
    <t>Tramiso Flag ( NAMQ ) تغريسة التيراميسو ( نمق )</t>
  </si>
  <si>
    <t xml:space="preserve">CINNABON BOX </t>
  </si>
  <si>
    <t>pcs</t>
  </si>
  <si>
    <t xml:space="preserve">SANDWICH WRAPPING PAPER - ورق تغليف ساندوتش </t>
  </si>
  <si>
    <t>New Packaging (Tando)</t>
  </si>
  <si>
    <t>Plastic container (small)</t>
  </si>
  <si>
    <t>New packaging sleeves</t>
  </si>
  <si>
    <t>Akawi cheese</t>
  </si>
  <si>
    <t>Kg</t>
  </si>
  <si>
    <t>Red tea</t>
  </si>
  <si>
    <t>box</t>
  </si>
  <si>
    <t>Puck cream cheese</t>
  </si>
  <si>
    <t>Steelwol - سلك مواعين</t>
  </si>
  <si>
    <t>Tandori Pillow Big</t>
  </si>
  <si>
    <t>Ignation Lighter</t>
  </si>
  <si>
    <t>Pipping bag</t>
  </si>
  <si>
    <t>Barbeque Skewer  (9cm)</t>
  </si>
  <si>
    <t>pck</t>
  </si>
  <si>
    <t>Squeeze Bottle (Mix) Small,Meduim,Large</t>
  </si>
  <si>
    <t xml:space="preserve">TANDO STAMP - ختم </t>
  </si>
  <si>
    <t>Stapler - دباسة</t>
  </si>
  <si>
    <t>Stapler wire - دبابيس</t>
  </si>
  <si>
    <t xml:space="preserve">Foodics Paper - ورق كاشير </t>
  </si>
  <si>
    <t>Mada paper - ورق شبكة</t>
  </si>
  <si>
    <t xml:space="preserve">Date machine paper - ورق ماكينة التواريخ </t>
  </si>
  <si>
    <t xml:space="preserve">WHITE CHOPPING BOARD - لوح تقطيع ابيض </t>
  </si>
  <si>
    <t xml:space="preserve">YELLOW CHOPPING BOARD - لوح تقطيع اصفر </t>
  </si>
  <si>
    <t xml:space="preserve">BROWN CHOPPING BOARD - لوح تقطيع بني </t>
  </si>
  <si>
    <t xml:space="preserve">GREEN CHOPPING BOARD - لوح تقطيع اخضر </t>
  </si>
  <si>
    <t>Walnut (pine)</t>
  </si>
  <si>
    <t>Almond</t>
  </si>
  <si>
    <t>Zerkish</t>
  </si>
  <si>
    <t>Mahalab powder</t>
  </si>
  <si>
    <t>Jalopeno</t>
  </si>
  <si>
    <t xml:space="preserve">   Puck Cream cheese</t>
  </si>
  <si>
    <t>Labnah</t>
  </si>
  <si>
    <t>MSG</t>
  </si>
  <si>
    <t>Halloumi almarai</t>
  </si>
  <si>
    <t>24*500 GRM</t>
  </si>
  <si>
    <t>RM-00258</t>
  </si>
  <si>
    <t>Vanilla Beans AROME MADAGASCAR | حبوب الفانيلا مدغشقر</t>
  </si>
  <si>
    <t>1X25X250</t>
  </si>
  <si>
    <t>RM-00314</t>
  </si>
  <si>
    <t>Vanilla Powder بودرة الفانيلا</t>
  </si>
  <si>
    <t>RM-00328</t>
  </si>
  <si>
    <t>Dried banana slices شرائح موز مجفف</t>
  </si>
  <si>
    <t>RM-00329</t>
  </si>
  <si>
    <t>Dried kiwi slices شرائح كيوي مجففة</t>
  </si>
  <si>
    <t>RM-00335</t>
  </si>
  <si>
    <t>خميرة مايداغ مجمدة  |  Frozen Mayadag Yeast</t>
  </si>
  <si>
    <t>RM-00336</t>
  </si>
  <si>
    <t>فراولة مجففة | Dried strawberries</t>
  </si>
  <si>
    <t>RM-00618</t>
  </si>
  <si>
    <t>Lemon concentrated</t>
  </si>
  <si>
    <t>RM-00675</t>
  </si>
  <si>
    <t>صلصة بيتزا فرشلي / FRESHLY PIZZA SAUCE</t>
  </si>
  <si>
    <t>RM-00676</t>
  </si>
  <si>
    <t>جبنة كيري بلوك /  KIRI CHEESE CTN</t>
  </si>
  <si>
    <t>RM-00697</t>
  </si>
  <si>
    <t>CHEDAR CHEESE - PRESIDENT |جبن تشيدر - بريزيدنت</t>
  </si>
  <si>
    <t>RM-00698</t>
  </si>
  <si>
    <t>Sunflower seeds |دوار الشمس مقشر</t>
  </si>
  <si>
    <t>RM-00699</t>
  </si>
  <si>
    <t>Pumpkin seeds |حب قرع مقشر</t>
  </si>
  <si>
    <t>RM-00701</t>
  </si>
  <si>
    <t>TOMATO PESTO - ORIET GRADENS |بيستو بالطماطم</t>
  </si>
  <si>
    <t>AJINA MOTO اجينا موتو</t>
  </si>
  <si>
    <t>tomato paste صلصه طمامطم</t>
  </si>
  <si>
    <t>Sesame White   سمسم غير محمص</t>
  </si>
  <si>
    <t>RM-00672</t>
  </si>
  <si>
    <t>Maboj Carrot | معبوج نورة جزر</t>
  </si>
  <si>
    <t>CO-00206</t>
  </si>
  <si>
    <t>Blue Plastic Box Size 9 صندوق بلاستيك ازرق مقاس 9</t>
  </si>
  <si>
    <t>CO-00105</t>
  </si>
  <si>
    <t>CARPET CLEANER 1 Ltr - منظف كنب 1 لتر</t>
  </si>
  <si>
    <t>CO-00496</t>
  </si>
  <si>
    <t>حواجز</t>
  </si>
  <si>
    <t>CO-00498</t>
  </si>
  <si>
    <t>"Syscall GP -101R 10c (set) Digital Coaster pager +charger base with power supply"	جهاز بيجر سانكول لنمق</t>
  </si>
  <si>
    <t>1 Box X 10 Pcs</t>
  </si>
  <si>
    <t>CO-00324</t>
  </si>
  <si>
    <t>IMS SHOWER SCREEN LM 200 NT شاور سكرين لمكاين الاسبريسو 200</t>
  </si>
  <si>
    <t>CO-00491</t>
  </si>
  <si>
    <t>Toddy cold brew Container   وعاء تودي  لتحضير القهوة الباردة</t>
  </si>
  <si>
    <t>CO-00207</t>
  </si>
  <si>
    <t>Blue Plastic Box Size 7	صندوق بلاستيك ازرق مقاس 7</t>
  </si>
  <si>
    <t>RM-00133</t>
  </si>
  <si>
    <t>Maznah coffee قهوة مزنة</t>
  </si>
  <si>
    <t>1 Box X 12 Pcs X 800 Grm</t>
  </si>
  <si>
    <t>PM-00375</t>
  </si>
  <si>
    <t>Caramel Bites Sticker Bar (Breehant) ستيكر بار كراميل بايتس ( بريهانت )</t>
  </si>
  <si>
    <t>roll</t>
  </si>
  <si>
    <t>RM-00442</t>
  </si>
  <si>
    <t>CHEFMATE CLEAR LIQUID SHORTINING OIL زيت شيف ميت</t>
  </si>
  <si>
    <t>Can</t>
  </si>
  <si>
    <t>RM-00231</t>
  </si>
  <si>
    <t>Cumin Powder كمون مطحون</t>
  </si>
  <si>
    <t>PM-00301</t>
  </si>
  <si>
    <t>Plain Table Napkin منديل سفرة</t>
  </si>
  <si>
    <t>PM-00003</t>
  </si>
  <si>
    <t>Cream bags أكياس كريمة</t>
  </si>
  <si>
    <t>1 Box X 10 Pack X 100 pcs</t>
  </si>
  <si>
    <t>PM-00433</t>
  </si>
  <si>
    <t>استيكر كولد برو  للعبوة الزجاجية (بريهانت)Cold Brew sticker for glass container (BREEHANT)</t>
  </si>
  <si>
    <t>RM-00369</t>
  </si>
  <si>
    <t>Frozen Beans بازلاء وجزر مجمد</t>
  </si>
  <si>
    <t>RM-00605</t>
  </si>
  <si>
    <t>Shaalan amber cedar - ارز الشعلان عنبر</t>
  </si>
  <si>
    <t>CO-00138</t>
  </si>
  <si>
    <t>Sanita Hand Foam 5L سانيتا صابون سائل لغسيل اليدين 5 لتر</t>
  </si>
  <si>
    <t>1 Pcs. X 5 Ltr</t>
  </si>
  <si>
    <t>CO-00330</t>
  </si>
  <si>
    <t>Jambo Filter 1st Phase فلتر جامبو شوائب مياه فيتنامي 20 إنش مرحلة اولى</t>
  </si>
  <si>
    <t>CO-00063</t>
  </si>
  <si>
    <t>plastic bib مريلة بلاستيك</t>
  </si>
  <si>
    <t>CO-00051</t>
  </si>
  <si>
    <t>Sanita Hand Gel Sanitizer 5L سانيتا جل معقم اليدين 5 لتر</t>
  </si>
  <si>
    <t>RM-00523</t>
  </si>
  <si>
    <t>Berain 40*330 ML | مياه بيرين 330م*40</t>
  </si>
  <si>
    <t>1 BOX 40*330 ML PET</t>
  </si>
  <si>
    <t>RM-00243</t>
  </si>
  <si>
    <t>Biscuit Filling With Crunchy Pieces Ripieno  | حشوة البسكويت مع كسر</t>
  </si>
  <si>
    <t>1 box x 2 tin x 5 kg</t>
  </si>
  <si>
    <t>RM-00517</t>
  </si>
  <si>
    <t>Meranda ميراندا برتقال  علبة</t>
  </si>
  <si>
    <t>CO-00135</t>
  </si>
  <si>
    <t>Puly Caff - Group Cleaning Powder 900g بودرة تنظيف مكائن الإسبريسو بولي كاف 900 جرام</t>
  </si>
  <si>
    <t>PM-00691</t>
  </si>
  <si>
    <t>سليف مادلين ماتشا شوكولاته||Madeleine Matcha Chocolate Sleeve</t>
  </si>
  <si>
    <t>PM-00645</t>
  </si>
  <si>
    <t>علبة ألمنيوم مربعة 180 مل | 180ml square aluminum foil Tray</t>
  </si>
  <si>
    <t>PM-00580</t>
  </si>
  <si>
    <t>ماعون طبق قصب سكر عازل 1000 ملي مع غطاء بلاستيك - Sugarcane pulp bowl 1000 ml with plastic lid</t>
  </si>
  <si>
    <t>PM-00621</t>
  </si>
  <si>
    <t>بوكس ورقي قطعة واحده فطورات Paper box, one piece, for Fotorat</t>
  </si>
  <si>
    <t>PM-00622</t>
  </si>
  <si>
    <t>بوكس ورقي  ثلاثه قطع فطورات Paper box, three pieces, for Fotorat</t>
  </si>
  <si>
    <t>CO-00053</t>
  </si>
  <si>
    <t>Grinder Cleaner 430g منظف مطحنة بن القهوة 430 جرام</t>
  </si>
  <si>
    <t>PM-00549</t>
  </si>
  <si>
    <t>Cake base size 10cm * 6cm</t>
  </si>
  <si>
    <t>FPB-00061</t>
  </si>
  <si>
    <t>Brazil Rosa Morina 1 Kg</t>
  </si>
  <si>
    <t>CO-00489</t>
  </si>
  <si>
    <t>02 V60 Ceramic Dripper قمع هايرو سيراميك 02</t>
  </si>
  <si>
    <t>PM-00690</t>
  </si>
  <si>
    <t>سليف مادلين بيكان جوز الهند||Madeleine Pecan Coconut Sleeve</t>
  </si>
  <si>
    <t>RM-00097</t>
  </si>
  <si>
    <t>Whipping cream كريمة خفق</t>
  </si>
  <si>
    <t>PM-00689</t>
  </si>
  <si>
    <t>بوكس البار مادلين|| Madeleine Bar Box</t>
  </si>
  <si>
    <t>SF-00199</t>
  </si>
  <si>
    <t>Zamzam Water ماء زمزم</t>
  </si>
  <si>
    <t>RM-00424</t>
  </si>
  <si>
    <t>Indian Cashew كاجو هندي</t>
  </si>
  <si>
    <t>1 Tin X 20 Kg</t>
  </si>
  <si>
    <t>CO-00046</t>
  </si>
  <si>
    <t xml:space="preserve">Ubermilk Cleaning Agent 1 (Red)محلول تنظيف اوبر ميلك احمر </t>
  </si>
  <si>
    <t>1 Pcs.X 1 L</t>
  </si>
  <si>
    <t>CO-00497</t>
  </si>
  <si>
    <t>Syrup Pumps مضخة سيروب</t>
  </si>
  <si>
    <t>CO-00048</t>
  </si>
  <si>
    <t>Sanita Glass Cleaner 2L سانيتا منظف الزجاج 2 لتر</t>
  </si>
  <si>
    <t>1 Pcs. X 2 L</t>
  </si>
  <si>
    <t>CO-00493</t>
  </si>
  <si>
    <t>Retina Diffuser Screw For La Marzocco IMS Shower Screen مسمار شاور سكرين لامارزوكو - 6 فتحات</t>
  </si>
  <si>
    <t>PM-00345</t>
  </si>
  <si>
    <t>Rap paper for paper cupsورق زبدة دائري 12 سم للاكواب الورقيه</t>
  </si>
  <si>
    <t xml:space="preserve">1 Bundle X 2750
</t>
  </si>
  <si>
    <t>CO-00050</t>
  </si>
  <si>
    <t>Sanita Floor Mopping Sanitizer 5L سانيتا معقم لمسح الارضيات 5 لتر</t>
  </si>
  <si>
    <t>CO-00120</t>
  </si>
  <si>
    <t xml:space="preserve">Gloves Black Color قفازات سوداء </t>
  </si>
  <si>
    <t>RM-00050</t>
  </si>
  <si>
    <t>Happy cao Cocoa powder بودرة كاكاو هابي كاو</t>
  </si>
  <si>
    <t>RM-00139</t>
  </si>
  <si>
    <t>Biscuit Bonomi savoiardi بسكويت بونومي سافوياردي</t>
  </si>
  <si>
    <t>1 Box 15 Pckt X 200 Grm</t>
  </si>
  <si>
    <t>PM-00033</t>
  </si>
  <si>
    <t>Babka cake cover  ( Namq) غلاف كيكة البابكا ( نمق )</t>
  </si>
  <si>
    <t>bundl x 500pcs</t>
  </si>
  <si>
    <t>PM-00238</t>
  </si>
  <si>
    <t>Toddy Cold Brew Filter تودي فلتر كولد برو</t>
  </si>
  <si>
    <t>1 Box X 50</t>
  </si>
  <si>
    <t>CO-00091</t>
  </si>
  <si>
    <t>Sanita SH31 Toilet Sanitizer &amp; Deodorizer سانيتا مطهر ومعقم منظف الحمامات</t>
  </si>
  <si>
    <t>CO-00068</t>
  </si>
  <si>
    <t>hopper cleaner منظف الهوبر</t>
  </si>
  <si>
    <t>CO-00490</t>
  </si>
  <si>
    <t>Toddy Timerمؤقت تودي</t>
  </si>
  <si>
    <t>RM-00536</t>
  </si>
  <si>
    <t>SYRUP RASPBERRY 1883 سيروب توت احمر</t>
  </si>
  <si>
    <t>RM-00529</t>
  </si>
  <si>
    <t>Nestle Caramel Milk - حليب نستله كراميل</t>
  </si>
  <si>
    <t>1 Box X 12 Pcs 397 Grm</t>
  </si>
  <si>
    <t>CO-00088</t>
  </si>
  <si>
    <t>Sanita SD11 Anti-Bacterial Pot Wash Non Perfumed غسيل الصحون اليدوى الغير معطر ضد البكتيريا</t>
  </si>
  <si>
    <t>1 Gallon X 25 Ltr</t>
  </si>
  <si>
    <t>gallon</t>
  </si>
  <si>
    <t>PM-00509</t>
  </si>
  <si>
    <t>قاعدة كيك بريهانت المطبوعة 28سم Breehant Cake Base 28cm</t>
  </si>
  <si>
    <t>1 Box x 100</t>
  </si>
  <si>
    <t>PM-00088</t>
  </si>
  <si>
    <t>Sweet Plate Breehant صحن حلى بريهانت</t>
  </si>
  <si>
    <t>1 Case X 600 Pcs</t>
  </si>
  <si>
    <t>Case</t>
  </si>
  <si>
    <t>PM-00042</t>
  </si>
  <si>
    <t>كيس بلاستيك ضبابي نمق مقاس 44سم *40سم مع لاصق اغلاق Namq Foggy Plastic Bag 44cm*40cm</t>
  </si>
  <si>
    <t>1 Box X 10 Kg (320 Pcs)</t>
  </si>
  <si>
    <t>PM-00642</t>
  </si>
  <si>
    <t>200ml glass cup -  كوب زجاجي 200 مل</t>
  </si>
  <si>
    <t>RM-00085</t>
  </si>
  <si>
    <t>CARAMEL SPECIALTY | حشوة سولتيد كراميل</t>
  </si>
  <si>
    <t>1 Tin x 6 KG</t>
  </si>
  <si>
    <t>RM-00569</t>
  </si>
  <si>
    <t>Syrup Pomegranate Teisseire سيروب تيسير رمان</t>
  </si>
  <si>
    <t>RM-00449</t>
  </si>
  <si>
    <t>Sunflower Oil Sabrina | زيت دوار الشمس</t>
  </si>
  <si>
    <t>1 Pcs X 18 Ltr</t>
  </si>
  <si>
    <t>PM-00377</t>
  </si>
  <si>
    <t>Crunchy Chocolate sticker (BREEHANT) ملصق كرانشي شوكلت ( بريهانت )</t>
  </si>
  <si>
    <t>RM-00022</t>
  </si>
  <si>
    <t>Henri Gouda Mild Chesse جبن قودا</t>
  </si>
  <si>
    <t>RM-00505</t>
  </si>
  <si>
    <t>White sugar - kg50 سكر ابيض 50 كجم</t>
  </si>
  <si>
    <t>1 Bag X 50 Kg</t>
  </si>
  <si>
    <t>CO-00003</t>
  </si>
  <si>
    <t>Acrylic Allergens with stand A4 ( NAMQ ) اكريلك مسببات الحساسية مع قاعدة  ( نمق)</t>
  </si>
  <si>
    <t>RM-00603</t>
  </si>
  <si>
    <t>PASSION FRUIT TEA | أعشاب شاي الباشن فروت</t>
  </si>
  <si>
    <t>1 KG</t>
  </si>
  <si>
    <t>RM-00607</t>
  </si>
  <si>
    <t>alsuman tea شاي الصمان</t>
  </si>
  <si>
    <t>1 Box X 20 Pcs X 400 grm</t>
  </si>
  <si>
    <t>IT</t>
  </si>
  <si>
    <t>CO-00316</t>
  </si>
  <si>
    <t>LABEL PRINTER TAPE 12MM ورق طابعة الوصفات</t>
  </si>
  <si>
    <t>PM-00256</t>
  </si>
  <si>
    <t>Namq Fork شوكة نمق</t>
  </si>
  <si>
    <t>RM-00138</t>
  </si>
  <si>
    <t>Deemah digestive biscuits بسكوت ديجاستيف ديمة</t>
  </si>
  <si>
    <t>1 Box X 24 Pckt X 340 Grm</t>
  </si>
  <si>
    <t>PM-00664</t>
  </si>
  <si>
    <t>ورق زبدة دائري 12 سم | round butter paper 12 sm</t>
  </si>
  <si>
    <t xml:space="preserve"> Bundle X 2750
</t>
  </si>
  <si>
    <t>CO-00139</t>
  </si>
  <si>
    <t>Sanita SK6 Duty Grease Cutter 	سانيتا منظف الأفران ومزيل الشحوم</t>
  </si>
  <si>
    <t>PM-00655</t>
  </si>
  <si>
    <t>سليف زجاجة ايس تي | Glass sleeve for iced</t>
  </si>
  <si>
    <t>1 Box X 600 Pcs</t>
  </si>
  <si>
    <t>CO-00104</t>
  </si>
  <si>
    <t>Blue Steaming Roll Towelsمناشف رول للتبخير الزرقاء</t>
  </si>
  <si>
    <t>PM-00045</t>
  </si>
  <si>
    <t>Breehant Paper Bag Big -  كيس ورقي كبير  بريهانت</t>
  </si>
  <si>
    <t>1 Box X 100 Pcs</t>
  </si>
  <si>
    <t>RM-00242</t>
  </si>
  <si>
    <t>BELCHOCO | Caramel Liquid - بلشوكو كراميل توفي</t>
  </si>
  <si>
    <t>1 box x 2 pcs x 3.5 kg</t>
  </si>
  <si>
    <t>PM-00660</t>
  </si>
  <si>
    <t>سليف صحن البروكيز | tray sleeve for brokes</t>
  </si>
  <si>
    <t>1 Bundle X 1000 Pcs</t>
  </si>
  <si>
    <t>CO-00043</t>
  </si>
  <si>
    <t>Large Tissue Roll - Auto Kitمناديل رول كبير - اوتو كيت</t>
  </si>
  <si>
    <t>1 Box X 6 Roll</t>
  </si>
  <si>
    <t>CO-00069</t>
  </si>
  <si>
    <t>Cotton Mop ممسحة ارضية قطن</t>
  </si>
  <si>
    <t>PM-00493</t>
  </si>
  <si>
    <t>Granola Nuts Cover Breehant</t>
  </si>
  <si>
    <t>1 bundle X 100 Pcs</t>
  </si>
  <si>
    <t>RM-00584</t>
  </si>
  <si>
    <t>coconut milk حليب جوز هند</t>
  </si>
  <si>
    <t>1 Box 12 Bottle X 1 Ltr</t>
  </si>
  <si>
    <t>RM-00644</t>
  </si>
  <si>
    <t>Condensed milk 0.397 KG | حليب مكثف</t>
  </si>
  <si>
    <t>19.056 KG/24 kg</t>
  </si>
  <si>
    <t>PM-00197</t>
  </si>
  <si>
    <t>Plastic cup Full Printed 14oz كوب بلاستيك مطبوعه 14 اونصه</t>
  </si>
  <si>
    <t>1 Box X 500 Pcs.</t>
  </si>
  <si>
    <t>RM-00515</t>
  </si>
  <si>
    <t>Mango filling &amp; Topping FRUTTOSE 85% حشوة مانجو</t>
  </si>
  <si>
    <t>1 Pcs X 610 G</t>
  </si>
  <si>
    <t>CO-00474</t>
  </si>
  <si>
    <t>Brush - Preparation surface cleaning brush [20565856] فرشاة تنظيف اسطح التحضير</t>
  </si>
  <si>
    <t>CO-00087</t>
  </si>
  <si>
    <t>Sanita SK4 Stainless Steel Polish سانيتا ملمع الستانلس</t>
  </si>
  <si>
    <t>CO-00187</t>
  </si>
  <si>
    <t>MISWAK مسواك</t>
  </si>
  <si>
    <t>1 Box X 225 Pcs</t>
  </si>
  <si>
    <t>PM-00368</t>
  </si>
  <si>
    <t>Spanish sticker roll رول استيكر سبانش</t>
  </si>
  <si>
    <t>CO-00326</t>
  </si>
  <si>
    <t>Essprsso Machine Cleaning Brush - Pallo فرشاة تنظيف ماكينة اسبريسو</t>
  </si>
  <si>
    <t>RM-00509</t>
  </si>
  <si>
    <t>Syrup Raspberry Polot  توت أحمر سيروب - بولوت</t>
  </si>
  <si>
    <t>1 Box X 6 Bottle X 700 ml</t>
  </si>
  <si>
    <t>PM-00260</t>
  </si>
  <si>
    <t>two cup holder حامل اكواب ثنائي</t>
  </si>
  <si>
    <t>1 Box X 600 Pcs / 1 Box X 500 Pcs.</t>
  </si>
  <si>
    <t>PM-00609</t>
  </si>
  <si>
    <t>ChocolateMadrid Cheesecake Box بوكس تشيز كيك مدريد بالشوكولاته</t>
  </si>
  <si>
    <t>1 Box X  100</t>
  </si>
  <si>
    <t>RM-00009</t>
  </si>
  <si>
    <t>Cheese Cream | جبن كريمي</t>
  </si>
  <si>
    <t>1 Box X 4 Pack X 1650 Grm</t>
  </si>
  <si>
    <t>PM-00255</t>
  </si>
  <si>
    <t>Namq Straw شفاط نمق</t>
  </si>
  <si>
    <t>1 Box X 30 Pack X 100 Pcs</t>
  </si>
  <si>
    <t>RM-00689</t>
  </si>
  <si>
    <t>reeses chocolate / شوكولاته ريسز</t>
  </si>
  <si>
    <t>RM-00077</t>
  </si>
  <si>
    <t>Milk chocolate drops 37% ( CREA ) شوكولاتة بالحليب اقراص ( كريا )</t>
  </si>
  <si>
    <t>1 Box X 2 Bag X 6 KG</t>
  </si>
  <si>
    <t>Milk chocolate drops 37% ( CREA )شوكولاتة بالحليب اقراص ( كريا )</t>
  </si>
  <si>
    <t>PM-00049</t>
  </si>
  <si>
    <t>Breehant Small Foggy Plastic Bag 44cm*40cmكيس بلاستيك ضبابي بريهانت  الصغير  مقاس 44سم *40سم مع لاصق اغلاق</t>
  </si>
  <si>
    <t>1 Box X 320 Pcs</t>
  </si>
  <si>
    <t>RM-00520</t>
  </si>
  <si>
    <t>Monin Vanilla Syrup 1L مونین شراب الفانیلا 1لتر</t>
  </si>
  <si>
    <t>PM-00659</t>
  </si>
  <si>
    <t xml:space="preserve"> بوكس جمعات القشد | Qishd sharing box</t>
  </si>
  <si>
    <t xml:space="preserve"> Bundle X 100 pcs</t>
  </si>
  <si>
    <t>FA-00430</t>
  </si>
  <si>
    <t>Coffee Distributor 58.5mm - Tache | موزع مقاس 58.5</t>
  </si>
  <si>
    <t>RM-00158</t>
  </si>
  <si>
    <t>English breakfast tea شاي الفطور الانجليزي</t>
  </si>
  <si>
    <t>1 Box X 24 Pckt X 100 Pcs</t>
  </si>
  <si>
    <t>PM-00271</t>
  </si>
  <si>
    <t>Breehant Napkinمناديل بريهانت</t>
  </si>
  <si>
    <t>1 Box X 24 Pack X 100 Pcs</t>
  </si>
  <si>
    <t>CO-00466</t>
  </si>
  <si>
    <t>30 liter stainless steel trash can سله مهملات استانلس ٣٠لتر</t>
  </si>
  <si>
    <t>PM-00503</t>
  </si>
  <si>
    <t>Sunset Passion Drink Sticker - استيكر مشروب سنسيت باشن محتاج</t>
  </si>
  <si>
    <t>CO-00096</t>
  </si>
  <si>
    <t>ملمع اخشاب سانتيا | 34 SH</t>
  </si>
  <si>
    <t>1 Gallon X 5 Ltr</t>
  </si>
  <si>
    <t>CO-00077</t>
  </si>
  <si>
    <t>dust pan with bruch جاروف مع المكنسة عصاء طويل</t>
  </si>
  <si>
    <t>PM-00253</t>
  </si>
  <si>
    <t xml:space="preserve">2 Oz Sauce Cup plasticعلبة صوص 2 اونصه بلاستيك </t>
  </si>
  <si>
    <t>RM-00068</t>
  </si>
  <si>
    <t>Kunafa Chocolate Bar | تشوكلت بار كنافة</t>
  </si>
  <si>
    <t>RM-00617</t>
  </si>
  <si>
    <t>Saffaron Food Color - baba لون طعام زعفران - بابا</t>
  </si>
  <si>
    <t>PM-00060</t>
  </si>
  <si>
    <t>Golden Cake Plate  قاعدة كيك ذهبية 13*4.5 سم</t>
  </si>
  <si>
    <t>box x 1000 pcs</t>
  </si>
  <si>
    <t>PM-00239</t>
  </si>
  <si>
    <t>FETCO Paper Filter فلتر ورقي لمكائن فتكو</t>
  </si>
  <si>
    <t>1 Box X 2 Case X 250 Pcs</t>
  </si>
  <si>
    <t>CO-00342</t>
  </si>
  <si>
    <t>Brush - Dishwashing brush [60534226] فرشاة غسل الصحون</t>
  </si>
  <si>
    <t>PM-00662</t>
  </si>
  <si>
    <t>قاعدة صحن ألمنيوم ورقية 235 مل | Aluminum paper plat base 235ml</t>
  </si>
  <si>
    <t>CO-00204</t>
  </si>
  <si>
    <t>Insect Killer Stick لاصق ناموس</t>
  </si>
  <si>
    <t>1 Bundle X6 PCS</t>
  </si>
  <si>
    <t>PM-00057</t>
  </si>
  <si>
    <t>كيس بلاستيك ضبابي نمق  لحامل الاكواب الثنائي  مقاس 30سم *33سم مع لاصق اغلاق Namq Small Foggy Plastic Bag 33cm*30cm</t>
  </si>
  <si>
    <t>1 Box X 11 Kg (615 Pcs)</t>
  </si>
  <si>
    <t>PM-00017</t>
  </si>
  <si>
    <t>Marble cake cover  ( NAMQ ) غلاف كيكة الماربل ( نمق )</t>
  </si>
  <si>
    <t>1 Box X 2400 Pcs</t>
  </si>
  <si>
    <t>PM-00263</t>
  </si>
  <si>
    <t>Cling Film رول تغليف نايلون</t>
  </si>
  <si>
    <t>RM-00071</t>
  </si>
  <si>
    <t xml:space="preserve">Chocolate sticks BELCOSTICKS 44% 8CM | اصابع الشوكولاتة </t>
  </si>
  <si>
    <t>box X15 pcs x 1.6 kg</t>
  </si>
  <si>
    <t>CO-00415</t>
  </si>
  <si>
    <t>Trash bags 55 gallon | اكياس نفايات 55 جالون</t>
  </si>
  <si>
    <t>1 Case X 10 Kg</t>
  </si>
  <si>
    <t>PM-00267</t>
  </si>
  <si>
    <t>Fork Breehantشوكة بريهانت</t>
  </si>
  <si>
    <t>CO-00057</t>
  </si>
  <si>
    <t>UberMilk Filters فلاتر اوبر ميلك</t>
  </si>
  <si>
    <t>1 Case X 140 Pcs</t>
  </si>
  <si>
    <t>CO-00019</t>
  </si>
  <si>
    <t>Acrylic products prices	اكريلك اسعار المنتجات</t>
  </si>
  <si>
    <t>PM-00016</t>
  </si>
  <si>
    <t>Lemon Cake Cover ( NAMQ ) غلاف كيكة الليمون ( نمق )</t>
  </si>
  <si>
    <t>PM-00311</t>
  </si>
  <si>
    <t>ورق قصدير مقاس 35*25 (التاندو)   Aluminum foil 35*25 (tando)</t>
  </si>
  <si>
    <t>RM-00225</t>
  </si>
  <si>
    <t>Lotus Biscoff بسكويت لوتس</t>
  </si>
  <si>
    <t xml:space="preserve">1 Box X 1875 Grm </t>
  </si>
  <si>
    <t>PM-00432</t>
  </si>
  <si>
    <t xml:space="preserve">Iced tea sticker for glass container (BREEHANT)استيكر الشاي المثلج </t>
  </si>
  <si>
    <t>RM-00109</t>
  </si>
  <si>
    <t>Sour cream | كريمة حامضة</t>
  </si>
  <si>
    <t>RM-00020</t>
  </si>
  <si>
    <t>Westminster White Mild Cheddar Cheese جبنة شيدر ابيض و</t>
  </si>
  <si>
    <t>RM-00583</t>
  </si>
  <si>
    <t>Almond Milk حليب لوز</t>
  </si>
  <si>
    <t>1 Box X 8 Bottle X 1 Ltr</t>
  </si>
  <si>
    <t>PM-00595</t>
  </si>
  <si>
    <t>Breehant Paper Bag Small  - كيس ورقي صغير  بريهانت</t>
  </si>
  <si>
    <t>RM-00490</t>
  </si>
  <si>
    <t>Sasa Salt ملح ساسا</t>
  </si>
  <si>
    <t>1 Box X 24 Pcs X 700 Grm</t>
  </si>
  <si>
    <t>CO-00377</t>
  </si>
  <si>
    <t>فرشاة تنظيف ايسبزولا مقاس 58</t>
  </si>
  <si>
    <t>PM-00259</t>
  </si>
  <si>
    <t>Four cup holder حامل اكواب رباعي</t>
  </si>
  <si>
    <t>1 Box X 300 Pcs /1 Box X 250 Pcs.</t>
  </si>
  <si>
    <t>CO-00508</t>
  </si>
  <si>
    <t>Step Bin Steel 12L - سلة مهملات دعاس 12</t>
  </si>
  <si>
    <t>PM-00406</t>
  </si>
  <si>
    <t>Saudi coffee sticker ( NAMQ ) ستيكر القهوة السعودية ( نمق )</t>
  </si>
  <si>
    <t>RM-00688</t>
  </si>
  <si>
    <t>زيتون كالاماتا / kalamon olives</t>
  </si>
  <si>
    <t>1 Pcs X 800 Grm</t>
  </si>
  <si>
    <t>PM-00430</t>
  </si>
  <si>
    <t>استيكر اغلاق بكج الجرانولا (بريهانت) Granola package closing sticker  BREEHANT</t>
  </si>
  <si>
    <t>PM-00566-01</t>
  </si>
  <si>
    <t>Cookies Box - Sleeve بوكس الكوكيز السفري نمق</t>
  </si>
  <si>
    <t>CO-00220</t>
  </si>
  <si>
    <t>ATLAS PRICE MATCHINE ITALY PL700 ماكينة تواريخ واسعار</t>
  </si>
  <si>
    <t>PM-00089</t>
  </si>
  <si>
    <t>Bar Box ( Breehant ) بوكس البارات ( بريهانت )</t>
  </si>
  <si>
    <t>RM-00065</t>
  </si>
  <si>
    <t>BELGIAN CHOCOLATE MILK 35% -بلشوكو شوكلاته بالحليب</t>
  </si>
  <si>
    <t>1 box x 12 kg</t>
  </si>
  <si>
    <t>PM-00225</t>
  </si>
  <si>
    <t>Breehant Roastery paper cup 12 Oz كوب ورقي 12 اونص محمصة بريهانت</t>
  </si>
  <si>
    <t>1Box X 20 Pack X 25 Pcs</t>
  </si>
  <si>
    <t>RM-00499</t>
  </si>
  <si>
    <t>Diet Sugar Sachetاظرف سكر دايت</t>
  </si>
  <si>
    <t>1 Box X 24 Pckt X 50 Pcs</t>
  </si>
  <si>
    <t>PM-00661</t>
  </si>
  <si>
    <t>سليف كوب الزجاج 200 مل | glass cup sleeve 200 ml</t>
  </si>
  <si>
    <t xml:space="preserve"> Box X 1200 Pcs</t>
  </si>
  <si>
    <t>RM-00503</t>
  </si>
  <si>
    <t>Suger Sachet Breehantاظرف سكر بريهانت</t>
  </si>
  <si>
    <t>1 Box X 1000 Sachet</t>
  </si>
  <si>
    <t>CO-00062</t>
  </si>
  <si>
    <t>SK3 surface sanitizer 2l سانيتا معقم الاسطح 2 ليتر</t>
  </si>
  <si>
    <t xml:space="preserve">1 Pcs. X 2 Ltr </t>
  </si>
  <si>
    <t>PM-00091</t>
  </si>
  <si>
    <t>BREEHANT Coffee Paper Box 1 Ltr بريهانت كرتون القهوة سعة 1 لتر</t>
  </si>
  <si>
    <t>PM-00190</t>
  </si>
  <si>
    <t>Breehant Paper cup 4 OZ كوب ورقي 4 اونص بريهانت</t>
  </si>
  <si>
    <t>CO-00223</t>
  </si>
  <si>
    <t>Pricing and dating machine ماكينه تسعير و تواريخ</t>
  </si>
  <si>
    <t>CO-00099</t>
  </si>
  <si>
    <t>hand sleevs غطا معصم</t>
  </si>
  <si>
    <t xml:space="preserve">1 Box X 2000 pcs </t>
  </si>
  <si>
    <t>RM-00576</t>
  </si>
  <si>
    <t>Syrup blackberry Teisseire سيروب تيسير توت أسود</t>
  </si>
  <si>
    <t>CO-00098</t>
  </si>
  <si>
    <t xml:space="preserve">Hairnet Black Colorغطاء شعر لون اسود </t>
  </si>
  <si>
    <t>1 Box X 10 Pack X 100 Pcs</t>
  </si>
  <si>
    <t>RM-00224</t>
  </si>
  <si>
    <t>Creme Caramel كريم كراميل</t>
  </si>
  <si>
    <t>1 Box X 12 Pcs. X 49 g</t>
  </si>
  <si>
    <t>PM-00452</t>
  </si>
  <si>
    <t>Glass cup 400 ml for serving Brihant summer drinks |كوب زجاجي 400 ملي لتقديم مشروبات صيف بريهانت</t>
  </si>
  <si>
    <t>RM-00054</t>
  </si>
  <si>
    <t>Betty Crocker dark chocolate بيتي كويكر شوكلاته</t>
  </si>
  <si>
    <t>1 Box X 12 Pcs X 430 Grm</t>
  </si>
  <si>
    <t>CO-00090</t>
  </si>
  <si>
    <t>Sanita SP21 Hand soap Anti - Bacterial 	سانيتا صابون اليد المضاد للبكتيريا</t>
  </si>
  <si>
    <t>RM-00115</t>
  </si>
  <si>
    <t>Flour Premium T55 طحين T55</t>
  </si>
  <si>
    <t>1 BAG x 25 Kg</t>
  </si>
  <si>
    <t>PM-00442</t>
  </si>
  <si>
    <t>Salted Caramel Brownie Stickers  (Namq) ستيكر براوني كراميل مملح  مقاس 5سم( نمق )</t>
  </si>
  <si>
    <t xml:space="preserve">1 Box X 500 Pcs </t>
  </si>
  <si>
    <t>FA-00006</t>
  </si>
  <si>
    <t>BECIC3 Krampouz BECIC3 Triple Topping Warmer" سخان كرامبوز الكهربائي ثلاث فتحات</t>
  </si>
  <si>
    <t>CO-00126</t>
  </si>
  <si>
    <t>Maxi Roll 300mm ماكسي رول 300م</t>
  </si>
  <si>
    <t>PM-00332</t>
  </si>
  <si>
    <t>Printed cash roll Four colors size 80 x 70 , 37 meter (NAMQ ) ورق كاشير مطبوع ( نمق )</t>
  </si>
  <si>
    <t>1 Box X 50 Roll</t>
  </si>
  <si>
    <t>CO-00044</t>
  </si>
  <si>
    <t>Flash Toilet Bowl Cleaner منظف المراحيض فلاش</t>
  </si>
  <si>
    <t>1 Box X 4 Pcs X 5 Ltr</t>
  </si>
  <si>
    <t>CO-00203</t>
  </si>
  <si>
    <t>GARBAGE BIN WITH WHEELS 120Ltr حاوية مهملات  120 لتر</t>
  </si>
  <si>
    <t>PM-00525</t>
  </si>
  <si>
    <t>بوكس فلين 1 كيلو مع طباعة خارجية</t>
  </si>
  <si>
    <t>1X20 Pcs</t>
  </si>
  <si>
    <t>RM-00252</t>
  </si>
  <si>
    <t>Dry yeast- خميرة فورية</t>
  </si>
  <si>
    <t>box X 20 X 500Grm</t>
  </si>
  <si>
    <t>PM-00327</t>
  </si>
  <si>
    <t>Price lable stickerورق رول تواريخ واسعار</t>
  </si>
  <si>
    <t>1  box X 36 Pcs</t>
  </si>
  <si>
    <t>PM-00052</t>
  </si>
  <si>
    <t>Fruit granola bag cove  (غطاء كيس جرانولا بالفواكه (بريهانت</t>
  </si>
  <si>
    <t>RM-00560</t>
  </si>
  <si>
    <t>SYRUP BLACKBERRY 1883 سيروب توت اسود</t>
  </si>
  <si>
    <t xml:space="preserve">1 Box X 6 Bottle X 1 Ltr
</t>
  </si>
  <si>
    <t>CO-00047</t>
  </si>
  <si>
    <t>Ubermilk Cleaning Agent 2 (Blue)محلول تنظيف اوبر ميلك ازرق</t>
  </si>
  <si>
    <t>RM-00165</t>
  </si>
  <si>
    <t>Cornذرة</t>
  </si>
  <si>
    <t>1 Ctn X 6 PcsX 1.5 Kg</t>
  </si>
  <si>
    <t>RM-00416</t>
  </si>
  <si>
    <t>Pine Nuts | صنوبر</t>
  </si>
  <si>
    <t>RM-00072</t>
  </si>
  <si>
    <t>Dark Chocolate Chips 55% | شوكولاتة غامقة</t>
  </si>
  <si>
    <t>1 Box X 2 Bag X 5 KG</t>
  </si>
  <si>
    <t>PM-00266</t>
  </si>
  <si>
    <t>Straw Breehant شفاط بريهانت</t>
  </si>
  <si>
    <t>PM-00252</t>
  </si>
  <si>
    <t xml:space="preserve">4 Oz Sauce Lid plasticاغطية علبة صوص 4 اونصه بلاستيك </t>
  </si>
  <si>
    <t>RM-00055</t>
  </si>
  <si>
    <t>White chocolate drops 30% ( CREA ) شوكولاتة بيضاء اقراص 30% ( كريا )</t>
  </si>
  <si>
    <t>PM-00258</t>
  </si>
  <si>
    <t>Wooden Stirrer اعواد التحريك الخشب</t>
  </si>
  <si>
    <t>1 Box X 10 Pack X 500 Pcs</t>
  </si>
  <si>
    <t>CO-00516</t>
  </si>
  <si>
    <t>ribl ربل</t>
  </si>
  <si>
    <t>RM-00448</t>
  </si>
  <si>
    <t>Olive Oil زيت زيتون</t>
  </si>
  <si>
    <t>1 Tin X 10 Kg</t>
  </si>
  <si>
    <t>PM-00242</t>
  </si>
  <si>
    <t>Cafec V60 Filter 02 Coffee Filter كافيك فلاتر ترشيح ورقية - مقاس 02</t>
  </si>
  <si>
    <t>PM-00443</t>
  </si>
  <si>
    <t>Caramel Bites Sticker  (Namq) ستيكر كارميل بايتس مقاس 5سم ( نمق )</t>
  </si>
  <si>
    <t>PM-00029</t>
  </si>
  <si>
    <t>foggy Bag size:13*17cm+3cm Thickness:0.05mm كيس ضبابي للكيك</t>
  </si>
  <si>
    <t>1 Box X 8000 Pcs</t>
  </si>
  <si>
    <t>RM-00297</t>
  </si>
  <si>
    <t>Sumac سماق</t>
  </si>
  <si>
    <t>RM-00239</t>
  </si>
  <si>
    <t>Dried peach slices  شرائح الخوخ المجففة</t>
  </si>
  <si>
    <t>CO-00360</t>
  </si>
  <si>
    <t>First aid Box	صندوق اسعافات اولية</t>
  </si>
  <si>
    <t>RM-00168</t>
  </si>
  <si>
    <t>Sundried Tomato طماطم مجففة</t>
  </si>
  <si>
    <t>1 bag x 5 kg</t>
  </si>
  <si>
    <t>RM-00190</t>
  </si>
  <si>
    <t>Dried mint نعناع مجفف</t>
  </si>
  <si>
    <t>RM-00154</t>
  </si>
  <si>
    <t>Chia seeds بذور الشيا</t>
  </si>
  <si>
    <t>1 PcsX 1 Kg</t>
  </si>
  <si>
    <t>RM-00219</t>
  </si>
  <si>
    <t>Ajwain Seed  نخوة هندي</t>
  </si>
  <si>
    <t>RM-00304</t>
  </si>
  <si>
    <t>Tamrind Freshly  تمر هندي فرشلي</t>
  </si>
  <si>
    <t>RM-00086</t>
  </si>
  <si>
    <t>Cocoa powder medium L68 Macao | كاكاو بودرة متوسط</t>
  </si>
  <si>
    <t>PM-00177</t>
  </si>
  <si>
    <t>Main Paper cup 7 Oz كوب ورقي 7 اونصه تصميم اساسي</t>
  </si>
  <si>
    <t xml:space="preserve">1Box X 10 Pack X 100 Pcs </t>
  </si>
  <si>
    <t>RM-00563</t>
  </si>
  <si>
    <t>Syrup Pomegranate 1883 سيروب 1883 رمان</t>
  </si>
  <si>
    <t>PM-00179</t>
  </si>
  <si>
    <t>Main Paper cup 12 Oz كوب ورقي 12 اونصه تصميم اساسي</t>
  </si>
  <si>
    <t>PM-00457</t>
  </si>
  <si>
    <t>BREEHANT Small Foggy Plastic Bag 33cm*30cmكيس بلاستيك ضبابي بريهانت لحامل الاكواب الثنائي مقاس 30سم *33سم مع لاصق اغلاق</t>
  </si>
  <si>
    <t>RM-00501</t>
  </si>
  <si>
    <t>Powder Sugarسكر بودرة</t>
  </si>
  <si>
    <t>RM-00111</t>
  </si>
  <si>
    <t>FINAH Premium white flour 45 kg دقيق ابيض فاخر - طحين للمعمل</t>
  </si>
  <si>
    <t>1 Bag X 45 Kg</t>
  </si>
  <si>
    <t>CO-00320</t>
  </si>
  <si>
    <t>Espresso measuring cup 70 ml كوب قياس اسبريسو 70 مل</t>
  </si>
  <si>
    <t>RM-00016</t>
  </si>
  <si>
    <t>Parmesan Italian Cheese جبن بارميزان</t>
  </si>
  <si>
    <t>PM-00667</t>
  </si>
  <si>
    <t>سليف بار بيكان مكرمل |  Caramelized Pecan bar sleeve</t>
  </si>
  <si>
    <t>1 Box X 1800 Pcs</t>
  </si>
  <si>
    <t>FA-00328</t>
  </si>
  <si>
    <t>Server 600ml BLACK سيرفر V60 اسود شفاف 600 مل</t>
  </si>
  <si>
    <t>CO-00325</t>
  </si>
  <si>
    <t>CLEAR FOOD STORAGE CONTAINER W/LID 18 LTR وعاء شفاف سعة 18 لتر للمشروبات الباردة</t>
  </si>
  <si>
    <t>RM-00146</t>
  </si>
  <si>
    <t>Baking powder باكنج باودر</t>
  </si>
  <si>
    <t>RM-00234</t>
  </si>
  <si>
    <t>Ginger Powder  زنجبيل مطحون</t>
  </si>
  <si>
    <t>RM-00152</t>
  </si>
  <si>
    <t>Ground Coriander كزبرة مطحون</t>
  </si>
  <si>
    <t>CO-00512</t>
  </si>
  <si>
    <t>Cartridge Atlas 20" BIG CPP 1 mcr RE5706906 قلب فلتر اطلس 20 " جامبو بولي بروبيبلين 1 ميكرون</t>
  </si>
  <si>
    <t>PM-00137</t>
  </si>
  <si>
    <t>بوكس التراميسو والدولتشي للجمعات (نمق) Tiramisu and Dolce box for gatherings (Namaq)</t>
  </si>
  <si>
    <t>RM-00325</t>
  </si>
  <si>
    <t>Bisquisit Vanilla Sponge Mix BRAUN خليط كيك فانيليا</t>
  </si>
  <si>
    <t>15kg</t>
  </si>
  <si>
    <t>PM-00666</t>
  </si>
  <si>
    <t>سليف بار كراميل بايتس |  Caramel Bites Bar sleeve</t>
  </si>
  <si>
    <t>1 Box X 1600 Pcs</t>
  </si>
  <si>
    <t>RM-00588</t>
  </si>
  <si>
    <t>Soya Milkحليب الصويا</t>
  </si>
  <si>
    <t>PM-00070</t>
  </si>
  <si>
    <t>Takeawy Breehant Meduim Boxكرتون الحلى سفري وسط - بريهانت</t>
  </si>
  <si>
    <t>RM-00497</t>
  </si>
  <si>
    <t>Brown Suger  SIS سكر بني سيس</t>
  </si>
  <si>
    <t>1 Box X 24 Bag x1Kg</t>
  </si>
  <si>
    <t>PM-00608</t>
  </si>
  <si>
    <t>Vanilla Madrid Cheesecake Box بوكس تشيز كيك مدريد بالفانيليا</t>
  </si>
  <si>
    <t>SF-00014</t>
  </si>
  <si>
    <t>Matcha Powder GRADE C مسحوق الماتشا  C</t>
  </si>
  <si>
    <t>1 Sack X 1 KG</t>
  </si>
  <si>
    <t>CO-00067</t>
  </si>
  <si>
    <t>Face Mask كمامة</t>
  </si>
  <si>
    <t>1 Box X 40 Pack X 50 Pcs</t>
  </si>
  <si>
    <t>RM-00518</t>
  </si>
  <si>
    <t>بايسون مشروب طاقة  Bison energy drink 250 ml</t>
  </si>
  <si>
    <t>1 Box X 24 cans X 250 ml</t>
  </si>
  <si>
    <t>CO-00414</t>
  </si>
  <si>
    <t>Trash bags 10 gallon | اكياس نفايات 10 جالون</t>
  </si>
  <si>
    <t>1 Case X 4 Kg</t>
  </si>
  <si>
    <t>RM-00249</t>
  </si>
  <si>
    <t>Nescafe GOLD نسكافية</t>
  </si>
  <si>
    <t>1 box X 6 Bottle X 190 G</t>
  </si>
  <si>
    <t>PM-00041</t>
  </si>
  <si>
    <t>كيس بلاستيك ضبابي نمق الكبير مقاس 60سم *35سم مع لاصق اغلاق Namq Large Foggy Plastic Bag 60cm*35cm</t>
  </si>
  <si>
    <t>1 Box X 250 Pcs</t>
  </si>
  <si>
    <t>RM-00203</t>
  </si>
  <si>
    <t>Bicarbonate Gethai بيكربونات الصوديوم</t>
  </si>
  <si>
    <t>1 Box X 72 Pcs X 100 Grm</t>
  </si>
  <si>
    <t>RM-00284</t>
  </si>
  <si>
    <t>S500 bakery improver محسن مخبوزات اس 500</t>
  </si>
  <si>
    <t>RM-00269</t>
  </si>
  <si>
    <t>Sweet Paprika بابريكا</t>
  </si>
  <si>
    <t>RM-00195</t>
  </si>
  <si>
    <t>Jalapeno Pepper هايفا جلابينو</t>
  </si>
  <si>
    <t>1 Box X 4botlle  X 5 KG</t>
  </si>
  <si>
    <t>RM-00565</t>
  </si>
  <si>
    <t>Syrup Peach Teisseire سيروب تيسير خوخ</t>
  </si>
  <si>
    <t>RM-00039</t>
  </si>
  <si>
    <t>Nutella Hazelnut نوتيلا</t>
  </si>
  <si>
    <t>1 Box X 2 Pail X 3 Kg</t>
  </si>
  <si>
    <t>PM-00506</t>
  </si>
  <si>
    <t>Iced tea sticker Hibiscus (NAMQ) ستيكر شاي مثلج كركديه  ( نمق )</t>
  </si>
  <si>
    <t>1 Bundel X 500 Pcs.</t>
  </si>
  <si>
    <t>PM-00254</t>
  </si>
  <si>
    <t xml:space="preserve">2 Oz Sauce Lid plasticاغطية علبة صوص 2 اونصه بلاستيك </t>
  </si>
  <si>
    <t>PM-00333</t>
  </si>
  <si>
    <t>Printed cash roll Four colors size 80 x 70 , 37 meter ( BREEHANT ) ورق كاشير ماشير مطبوع ( بريهانت )</t>
  </si>
  <si>
    <t>CO-00499</t>
  </si>
  <si>
    <t>Vietnamese filter 10 inch -فلتر شوائب فيتنامي 10 إنش</t>
  </si>
  <si>
    <t>PM-00065-01</t>
  </si>
  <si>
    <t>Takeawy Sweet Box Namq - DRAWER BOX علبة الحلى سفري نمق</t>
  </si>
  <si>
    <t>PM-00686</t>
  </si>
  <si>
    <t>بوكس البار مارشميلو|| Marshmallow Bar Box</t>
  </si>
  <si>
    <t>RM-00309</t>
  </si>
  <si>
    <t>Turmeric curcuma poweder كركم مطحون</t>
  </si>
  <si>
    <t>CO-00472</t>
  </si>
  <si>
    <t>Cartridge Atlas 20" carbon block 5 mcr RE5397108 قلب فلتر اطلس 20 " كربون بلوك شبك اخضر 5 ميكرون</t>
  </si>
  <si>
    <t>PM-00065</t>
  </si>
  <si>
    <t>Takeawy Sweet Box Namq - OUTER BOX علبة الحلى سفري نمق</t>
  </si>
  <si>
    <t>RM-00296</t>
  </si>
  <si>
    <t>Sukkari coated dates تمر سكري مغلف</t>
  </si>
  <si>
    <t>1 Box X 5 Kg</t>
  </si>
  <si>
    <t>RM-00205</t>
  </si>
  <si>
    <t>Mehran Curry مهران كاري</t>
  </si>
  <si>
    <t>RM-00539</t>
  </si>
  <si>
    <t>SYRUP BLUEBERRY 1883 سيروب توت ازرق</t>
  </si>
  <si>
    <t>PM-00134</t>
  </si>
  <si>
    <t>Plastic box - size 21cm * 21cm علبة بلاستيك مقاس</t>
  </si>
  <si>
    <t>1 Box X 150 pcs</t>
  </si>
  <si>
    <t>RM-00116</t>
  </si>
  <si>
    <t>Flour Premium T45 طحين T45</t>
  </si>
  <si>
    <t>RM-00228</t>
  </si>
  <si>
    <t>Ketchup Heinz Portion 1*1000*9gm كاتشب شفرات هاينز</t>
  </si>
  <si>
    <t>PM-00574-01</t>
  </si>
  <si>
    <t xml:space="preserve"> بوكس بار كنافه (نمق) Kunafa Bar Box -PET Cover</t>
  </si>
  <si>
    <t>BOX</t>
  </si>
  <si>
    <t>PM-00176</t>
  </si>
  <si>
    <t>Main Paper cup 4 Oz كوب ورقي 4 اونصه تصميم اساسي</t>
  </si>
  <si>
    <t>CO-00137</t>
  </si>
  <si>
    <t>rough broom مكنسة خشنة</t>
  </si>
  <si>
    <t>PM-00570</t>
  </si>
  <si>
    <t>صحن دائري تقديم الحلا  المحلي17سم (نمق)Sugarcane plate</t>
  </si>
  <si>
    <t>1Box X 1000</t>
  </si>
  <si>
    <t>PM-00012</t>
  </si>
  <si>
    <t>Aluminium coffee thermal bag 1 Ltr كيس حراري ألومنيوم للقهوة سعة 1 لتر</t>
  </si>
  <si>
    <t xml:space="preserve">Box X 200 PCS </t>
  </si>
  <si>
    <t>RM-00161</t>
  </si>
  <si>
    <t>Pesto Sauce 	صوص بيستو</t>
  </si>
  <si>
    <t>Box X 12 pcs x 195 grm</t>
  </si>
  <si>
    <t>RM-00308</t>
  </si>
  <si>
    <t>Tuna تونا</t>
  </si>
  <si>
    <t>1 Box 48 Cans  X 185 Grm</t>
  </si>
  <si>
    <t>PM-00198</t>
  </si>
  <si>
    <t>Lid 14 oz cold غطاء كاسة نمق14اونصه البارده</t>
  </si>
  <si>
    <t xml:space="preserve">1 Box X 1000 Pcs </t>
  </si>
  <si>
    <t>RM-00001</t>
  </si>
  <si>
    <t>Animal Ghee سمن حيواني</t>
  </si>
  <si>
    <t>CO-00123</t>
  </si>
  <si>
    <t>Heavy Duty Cutter مزيل الشحوم مركز</t>
  </si>
  <si>
    <t>RM-00272</t>
  </si>
  <si>
    <t>Pickels Cucumber مخلل الخيار</t>
  </si>
  <si>
    <t>1 Ctn X 12 Pcs X 980 Grm</t>
  </si>
  <si>
    <t>RM-00221</t>
  </si>
  <si>
    <t>Mustard Seeds حبوب خردل</t>
  </si>
  <si>
    <t>RM-00222</t>
  </si>
  <si>
    <t>Bread Crumb بقسماط</t>
  </si>
  <si>
    <t>RM-00678</t>
  </si>
  <si>
    <t>شطة سريراتشا امريكي / SRIRACHA HOT CHILI SAUCE</t>
  </si>
  <si>
    <t>1X12X793 GM</t>
  </si>
  <si>
    <t>RM-00149</t>
  </si>
  <si>
    <t>Alqassim Coffee Mixقهوة خلطة القصيم</t>
  </si>
  <si>
    <t>1 Box X 12 Bottle X 500 Grm</t>
  </si>
  <si>
    <t>RM-00201</t>
  </si>
  <si>
    <t>Diamond Glaze Neutral دياموند جيلي تلميع سادة</t>
  </si>
  <si>
    <t>PM-00584</t>
  </si>
  <si>
    <t>Namq Thermal Stainless Steel Cup with Two Lids – Beige Color</t>
  </si>
  <si>
    <t>FA-00324</t>
  </si>
  <si>
    <t>Acaia lunar espresso ميزان اسبريسو</t>
  </si>
  <si>
    <t>CO-00070</t>
  </si>
  <si>
    <t>wiper ممسحة</t>
  </si>
  <si>
    <t>PM-00587</t>
  </si>
  <si>
    <t>Hard cover box – Salted Caramel  -   بوكس هارد كفر الكراميل المملح (نمق)</t>
  </si>
  <si>
    <t xml:space="preserve">1 Box X 50 Pcs </t>
  </si>
  <si>
    <t>PM-00257</t>
  </si>
  <si>
    <t>Namq white Napkin منديل ابيض نمق</t>
  </si>
  <si>
    <t>RM-00098</t>
  </si>
  <si>
    <t>hobla cream كريمة هوبلا</t>
  </si>
  <si>
    <t>1 Box X 12 Bottle X 1 KG</t>
  </si>
  <si>
    <t>RM-00564</t>
  </si>
  <si>
    <t>Syrup passion fruit Polot  باشن فروت سيروب - بولوت</t>
  </si>
  <si>
    <t>RM-00037</t>
  </si>
  <si>
    <t>Flake Chocolate شوكولاتة فليك</t>
  </si>
  <si>
    <t>1 Box X 4 Pckt X 36 Pcs X 15 g</t>
  </si>
  <si>
    <t>CO-00527</t>
  </si>
  <si>
    <t>Sprig Tongs S/S 12 ملقط 12 بوصة</t>
  </si>
  <si>
    <t>CO-00064</t>
  </si>
  <si>
    <t>maog sponge اسفنج</t>
  </si>
  <si>
    <t>1 Box X 20 Pcs</t>
  </si>
  <si>
    <t>RM-00682</t>
  </si>
  <si>
    <t>معبوج بيستو الريحان / Basil pesto</t>
  </si>
  <si>
    <t>RM-00220</t>
  </si>
  <si>
    <t>Garam Masala Powder بهارات مشكل مطحون</t>
  </si>
  <si>
    <t>PM-00656</t>
  </si>
  <si>
    <t>سليف زجاجة كولدر برو | Glass sleeve for cold bro</t>
  </si>
  <si>
    <t>1 Box X1200 Pcs</t>
  </si>
  <si>
    <t>PM-00573</t>
  </si>
  <si>
    <t>Paper Cup 8 oz, Doubleكوب ورقي 8 اونص دبل (نمق)</t>
  </si>
  <si>
    <t>RM-00330</t>
  </si>
  <si>
    <t>FRENCH CRISPY CREPE FLAKES رقائق كريب الفرنسية المقرمشة</t>
  </si>
  <si>
    <t>1 Box X contain 2 KG</t>
  </si>
  <si>
    <t>CO-00514</t>
  </si>
  <si>
    <t>Cartridge 20" BIG carbon block 5 mcr RE5397508 قلب فلتر 20 " جامبو كربون بلوك 5 ميكرون</t>
  </si>
  <si>
    <t>RM-00264</t>
  </si>
  <si>
    <t>Oregano Freshly اوريجانو فرشلي</t>
  </si>
  <si>
    <t>CO-00494</t>
  </si>
  <si>
    <t>Water Tester جهاز قياس الأملاح</t>
  </si>
  <si>
    <t>PM-00027</t>
  </si>
  <si>
    <t>Marble cake cover (BREEHANT) غلاف كيكة الماربل ( بريهانت )</t>
  </si>
  <si>
    <t>RM-00112</t>
  </si>
  <si>
    <t>Corn flour نشاء الذرة</t>
  </si>
  <si>
    <t>PM-00583</t>
  </si>
  <si>
    <t>Namq Thermal Stainless Steel Cup with Two Lids - Burgundy Color</t>
  </si>
  <si>
    <t>RM-00209</t>
  </si>
  <si>
    <t>Cinnamon Chopsticks قرفة عيدان</t>
  </si>
  <si>
    <t>PM-00163</t>
  </si>
  <si>
    <t>Breehant Paper cup double 9 ozكوب بريهانت ورقي دبل 9 اونص</t>
  </si>
  <si>
    <t>1 Box 20 Pack X 50 Pcs</t>
  </si>
  <si>
    <t>RM-00516</t>
  </si>
  <si>
    <t>7 Up cansسفن اب علب</t>
  </si>
  <si>
    <t>RM-00561</t>
  </si>
  <si>
    <t>Syrup LEMON liqued Moj Polot  فاكهة الليمون سيروب - بولوت</t>
  </si>
  <si>
    <t>RM-00233</t>
  </si>
  <si>
    <t>Cocoa Butter زبدة كاكاو</t>
  </si>
  <si>
    <t>1 Pail X 4kg</t>
  </si>
  <si>
    <t>RM-00141</t>
  </si>
  <si>
    <t>Honey Ashifa عسل الشفاء</t>
  </si>
  <si>
    <t>1 Box X 4 bottle X 3 Kg</t>
  </si>
  <si>
    <t>RM-00440</t>
  </si>
  <si>
    <t>Anti-stick oil yellow زيت مانع الألتصاق اصفر كارلوكس</t>
  </si>
  <si>
    <t>1 Tin X 15 Kg</t>
  </si>
  <si>
    <t>PM-00026</t>
  </si>
  <si>
    <t>Lemon Cake cover (BREEHANT) غلاف  كيكة الليمون ( بريهانت )</t>
  </si>
  <si>
    <t>RM-00606</t>
  </si>
  <si>
    <t>ورد مجفف  |  flowers dried</t>
  </si>
  <si>
    <t>1 Box X 500 PCS</t>
  </si>
  <si>
    <t>PM-00611</t>
  </si>
  <si>
    <t>Coffee Day Box 1 Lt with cup holder | بوكس  قهوة اليوم 1 لتر  مع قاعدة اكواب</t>
  </si>
  <si>
    <t xml:space="preserve"> Box X 100 Pcs</t>
  </si>
  <si>
    <t>PM-00028</t>
  </si>
  <si>
    <t>Babka cake cover  (BREEHANT) غلاف بابكا تشوكلت ( بريهانت )</t>
  </si>
  <si>
    <t>RM-00202</t>
  </si>
  <si>
    <t>Bakemate Liquid Glucose Syrup جلوكوز سائل</t>
  </si>
  <si>
    <t xml:space="preserve">1 Tin X 20 KG </t>
  </si>
  <si>
    <t>CO-00338</t>
  </si>
  <si>
    <t>Cartridge Atlas 10" CPP 1 mcr RA5706506 قلب فلتر اطلس 10 " بولي بروبيبلين 1 ميكرون</t>
  </si>
  <si>
    <t>RM-00513</t>
  </si>
  <si>
    <t>Enzo Syrup Watermelon اينزو سيروب البطيخ</t>
  </si>
  <si>
    <t>1 Box X 6 Bottle X 750 ml</t>
  </si>
  <si>
    <t>RM-00267</t>
  </si>
  <si>
    <t>PANNA SOFT ICE CREME خليط ايس كريم فانيلا بانا</t>
  </si>
  <si>
    <t>1 Box X 5 Bag X 2 Kg</t>
  </si>
  <si>
    <t>CO-00500</t>
  </si>
  <si>
    <t>Squeeze bottle with 3 nozzle علبة التشوكليت بثلاث فتحات</t>
  </si>
  <si>
    <t>RM-00223</t>
  </si>
  <si>
    <t>Mehran Chat Massala  بهارات تشات مسالا</t>
  </si>
  <si>
    <t>RM-00229</t>
  </si>
  <si>
    <r>
      <t>بهارات</t>
    </r>
    <r>
      <rPr>
        <sz val="12"/>
        <color rgb="FF000000"/>
        <rFont val="Aptos Narrow"/>
        <family val="2"/>
      </rPr>
      <t xml:space="preserve"> </t>
    </r>
    <r>
      <rPr>
        <sz val="12"/>
        <color rgb="FF000000"/>
        <rFont val="Arial"/>
        <family val="2"/>
      </rPr>
      <t>الكاجون</t>
    </r>
    <r>
      <rPr>
        <sz val="12"/>
        <color rgb="FF000000"/>
        <rFont val="Aptos Narrow"/>
        <family val="2"/>
      </rPr>
      <t xml:space="preserve">CAJUN SPIECE </t>
    </r>
  </si>
  <si>
    <t>RM-00285</t>
  </si>
  <si>
    <t>Saffron Yellow Colour لون صفار الزعفران</t>
  </si>
  <si>
    <t>PM-00334</t>
  </si>
  <si>
    <t>Butter Paper BREEHANT ورق زبدة بريهانت</t>
  </si>
  <si>
    <t>1 Pack X 2000 Pcs</t>
  </si>
  <si>
    <t>Pack</t>
  </si>
  <si>
    <t>PM-00298</t>
  </si>
  <si>
    <t>Plastic Black Cutlery  أدوات مائدة</t>
  </si>
  <si>
    <t>RM-00679</t>
  </si>
  <si>
    <t>صلصلة رانش فرشلي / FRESHLY RANCH SALAD DRESSING</t>
  </si>
  <si>
    <t>1 Box X 6 X 16 oz</t>
  </si>
  <si>
    <t>RM-00577</t>
  </si>
  <si>
    <t>Syrup  Hazelnut Teisseire سيروب تيسير البندق</t>
  </si>
  <si>
    <t>PM-00550</t>
  </si>
  <si>
    <t>Cake base measuring 8.5 cm * 8.5 cm</t>
  </si>
  <si>
    <t>PM-00320</t>
  </si>
  <si>
    <t>ids Cups Wide NAMQ with stick اغطية اكواب القهوة فتحة واسعة - نمق</t>
  </si>
  <si>
    <t>RM-00506</t>
  </si>
  <si>
    <t>White Sugar Sachetاظرف سكر ابيض</t>
  </si>
  <si>
    <t>CO-00142</t>
  </si>
  <si>
    <t>فرشة بشعر ناعمة قصيرة SOFTBROOM PLASTIC 27*3</t>
  </si>
  <si>
    <t>RM-00246</t>
  </si>
  <si>
    <t xml:space="preserve">AFIA CINNAMON POWDER | بودرة القرفة العافية </t>
  </si>
  <si>
    <t>CO-00049</t>
  </si>
  <si>
    <t>Sterilizer 500ml معقم 500 مل</t>
  </si>
  <si>
    <t xml:space="preserve">1 Pcs X 500 ml </t>
  </si>
  <si>
    <t>RM-00486</t>
  </si>
  <si>
    <t>قهوة كيف المسافر هيل | Caif Almosafer Hill Coffee</t>
  </si>
  <si>
    <t>CO-00332</t>
  </si>
  <si>
    <t>charcoal	فحم  بخور</t>
  </si>
  <si>
    <t>1 Box X 1.3 K / 1 Box X 650 G</t>
  </si>
  <si>
    <t>PM-00278</t>
  </si>
  <si>
    <t>knife ( BREEHANT ) سكين ( بريهانت )</t>
  </si>
  <si>
    <t>PM-00059</t>
  </si>
  <si>
    <t>Circled  Golden Cake Plate 28 cm قاعدة كيك ذهبية دائرية 28سم</t>
  </si>
  <si>
    <t>1 bundle X 70 PCS</t>
  </si>
  <si>
    <t>CO-00502</t>
  </si>
  <si>
    <t>Wooden Distributor 58.5 mm - Tache موزع خشبي 58.5 ملم - تاش</t>
  </si>
  <si>
    <t>PM-00574</t>
  </si>
  <si>
    <t>بوكس بار كنافه (نمق) Kunafa Bar Box</t>
  </si>
  <si>
    <t>PM-00566</t>
  </si>
  <si>
    <t>Cookies Box  بوكس الكوكيز السفري نمق</t>
  </si>
  <si>
    <t>RM-00417</t>
  </si>
  <si>
    <t>Almond grain جوز حب امريكي</t>
  </si>
  <si>
    <t>CO-00321</t>
  </si>
  <si>
    <t>Grindminder Cleaning Brush- Pallo فرشاة تنظيف المطاحن</t>
  </si>
  <si>
    <t>RM-00204</t>
  </si>
  <si>
    <t>Mahran Biryani برياني مهران</t>
  </si>
  <si>
    <t>RM-00568</t>
  </si>
  <si>
    <t>Syrup lemon Teisseire سيروب تيسير ليمون</t>
  </si>
  <si>
    <t>RM-00143</t>
  </si>
  <si>
    <t>Lite corn syrup شراب الذرة الفاتح</t>
  </si>
  <si>
    <t>1 Box X 12 Pcs X 710 ml</t>
  </si>
  <si>
    <t>RM-00368</t>
  </si>
  <si>
    <t>Frisina Raspberry Filling 50% حشوة توت الاحمر فريزينا 50%</t>
  </si>
  <si>
    <t>1 PCS X 2.7 KG</t>
  </si>
  <si>
    <t>PM-00582</t>
  </si>
  <si>
    <t>Namq Thermal Stainless Steel Cup with Two Lids – Olive Green Color</t>
  </si>
  <si>
    <t>PM-00579</t>
  </si>
  <si>
    <t>Lid Paper Cup  80ml - اغطية الاكواب الورقية مقاس 80 ملي</t>
  </si>
  <si>
    <t>PM-00565</t>
  </si>
  <si>
    <t>كيس ورقي مطبوع مقاس صغير نمق Small Printed Paper Bag</t>
  </si>
  <si>
    <t xml:space="preserve"> Box X 200 Pcs</t>
  </si>
  <si>
    <t>RM-00571</t>
  </si>
  <si>
    <t>Syrup teisseire raspberry  teisseire سيروب توت احمر - تيسير</t>
  </si>
  <si>
    <t>PM-00658</t>
  </si>
  <si>
    <t>بوكس جمعات الساندويتش | Sandwitch sharing box</t>
  </si>
  <si>
    <t>1 Bundle X 100 Pcs</t>
  </si>
  <si>
    <t>PM-00586</t>
  </si>
  <si>
    <t>Namq Thermal Stainless Steel Cup with Two Lids – Sky Blue Color</t>
  </si>
  <si>
    <t>RM-00294</t>
  </si>
  <si>
    <t>SRIRACHA FLAVORED WITH OAK BARREL AGED PEPPERS صلصة سريراتشا تباسكو</t>
  </si>
  <si>
    <t>1 Box X 6 Pcs X  566 gm</t>
  </si>
  <si>
    <t>RM-00315</t>
  </si>
  <si>
    <t>White Vinegar خل ابيض</t>
  </si>
  <si>
    <t>1 Bottle X 3.78 Ltr</t>
  </si>
  <si>
    <t>RM-00496</t>
  </si>
  <si>
    <t>Brown Sugar Sachet ( NAMQ ) اظرف سكر بني ( نمق )</t>
  </si>
  <si>
    <t>1 Box X 1000 X 5 Kg</t>
  </si>
  <si>
    <t>PM-00533</t>
  </si>
  <si>
    <t>كوب فخار 110 ملي محفور عليى شعار من الداخل والخارج قليز شفاف مطفي (لتقديم الاسبريسو)</t>
  </si>
  <si>
    <t>RM-00683</t>
  </si>
  <si>
    <t>ماء ورد / rose water</t>
  </si>
  <si>
    <t xml:space="preserve"> Box X 24 Pcs X 270ml</t>
  </si>
  <si>
    <t>PM-00051</t>
  </si>
  <si>
    <t>Cover a bag of granola with dates and peanuts   (غطاء كيس جرانولا بالتمر والفول السوداني (بريهانت</t>
  </si>
  <si>
    <t>CO-00343</t>
  </si>
  <si>
    <t>Brush - Wash basin cleaning brush [30407814] فرشاة تنظيف حوض الغسيل</t>
  </si>
  <si>
    <t>RM-00217</t>
  </si>
  <si>
    <t>Masturd dijon مسترد ديجون</t>
  </si>
  <si>
    <t>RM-00230</t>
  </si>
  <si>
    <t>Cardmom Powder هيل مطحون</t>
  </si>
  <si>
    <t>PM-00262</t>
  </si>
  <si>
    <t>Glass Bottle (Ice Tea &amp; Cold brew ) 200 mlعلبة زجاجية 200 مل ايس تي ، كولد برو</t>
  </si>
  <si>
    <t>1 Box X 60 Pcs</t>
  </si>
  <si>
    <t>PM-00189</t>
  </si>
  <si>
    <t>Friday Paper cup  4 Oz كوب ورقي 4 اونص تصميم يوم الجمعه</t>
  </si>
  <si>
    <t>RM-00619</t>
  </si>
  <si>
    <t>Sundried tomato pesto</t>
  </si>
  <si>
    <t>1 Box X 4 Gallon X 2.85 KG</t>
  </si>
  <si>
    <t>RM-00200</t>
  </si>
  <si>
    <t>Bakemate Vasilco Cake Gel Paste جل محسن و مرطب للكيك</t>
  </si>
  <si>
    <t>1 tin x 15 kg</t>
  </si>
  <si>
    <t>RM-00268</t>
  </si>
  <si>
    <t>Paprika Smoked Small بابريكا مدخن</t>
  </si>
  <si>
    <t>RM-00283</t>
  </si>
  <si>
    <t>Roselle | كركديه</t>
  </si>
  <si>
    <t>PM-00587-04</t>
  </si>
  <si>
    <t>Hard cover box – Salted Caramel  -   بوكس هارد كفر الكراميل المملح (نمق) -BROWNIES BITES INSERTS</t>
  </si>
  <si>
    <t>1 Box X 310</t>
  </si>
  <si>
    <t>PM-00585</t>
  </si>
  <si>
    <t>Thermal Stainless Steel Cup with Two Lids – Navy Blue</t>
  </si>
  <si>
    <t>RM-00117</t>
  </si>
  <si>
    <t>Flour Premium T65 طحين T65</t>
  </si>
  <si>
    <t>RM-00650</t>
  </si>
  <si>
    <t>Saad Eddine microchip ميكروشية سعد الدين</t>
  </si>
  <si>
    <t>1 Box X 5KG</t>
  </si>
  <si>
    <t>FA-00095</t>
  </si>
  <si>
    <t>Pitcher JIBBI 420ml بتشر تبخير جيبي الحاد - 420 مل</t>
  </si>
  <si>
    <t>CO-00052</t>
  </si>
  <si>
    <t>Sanita Kitchen Cleaner &amp; Degreaser 5L سانيتا منظف المطابخ ومزيل الدهون 5 لتر</t>
  </si>
  <si>
    <t>RM-00580</t>
  </si>
  <si>
    <t>Syrup passion fruit Teisseireباشن فروت سيروب - تيسير</t>
  </si>
  <si>
    <t>RM-00311</t>
  </si>
  <si>
    <t>ULKER TEA BISCUITبسكويت شاهي الوكر</t>
  </si>
  <si>
    <t>Box X 6 X 12 X 165G</t>
  </si>
  <si>
    <t>PM-00564</t>
  </si>
  <si>
    <t>Large Printed Paper Bag  كيس ورقي مطبوع مقاس كبير نمق</t>
  </si>
  <si>
    <t>1 Box X 130 Pcs</t>
  </si>
  <si>
    <t>PM-00527</t>
  </si>
  <si>
    <t>كوب فخار 200 مل - محفور بشعار من الخارج - قليز شفاف لامع من الداخل والخارج</t>
  </si>
  <si>
    <t>RM-00266</t>
  </si>
  <si>
    <t>Pancake syrup سيروب بانكيك</t>
  </si>
  <si>
    <t>RM-00237</t>
  </si>
  <si>
    <t>Coopoliva Olives زيتون اسود كوبوليفا</t>
  </si>
  <si>
    <t>1 kg</t>
  </si>
  <si>
    <t>RM-00211</t>
  </si>
  <si>
    <t>Black Pepper Powder فلفل اسود مطحون</t>
  </si>
  <si>
    <t>PM-00587-03</t>
  </si>
  <si>
    <t>Hard cover box – Salted Caramel  -   بوكس هارد كفر الكراميل المملح (نمق) - CARAMEL BITES INSERTS</t>
  </si>
  <si>
    <t>1 Box X 331</t>
  </si>
  <si>
    <t>PM-00637</t>
  </si>
  <si>
    <t>Caramel Bites Paper Box 1 PCS (New ID) | علبة كراميل بايتس ورقية</t>
  </si>
  <si>
    <t>RM-00443</t>
  </si>
  <si>
    <t>Coconut Oil زيت جوز الهند</t>
  </si>
  <si>
    <t>Box X 15 Pcs X 0.900 Liter</t>
  </si>
  <si>
    <t>PM-00224</t>
  </si>
  <si>
    <t>Lid 7oz غطاء كاسة قهوة نمق 7 اونصه</t>
  </si>
  <si>
    <t>RM-00533</t>
  </si>
  <si>
    <t>Sea Salt ملح بحري</t>
  </si>
  <si>
    <t>Box X 24 X 700g</t>
  </si>
  <si>
    <t>RM-00118</t>
  </si>
  <si>
    <t>Bobs Red Mill Vital Wheat Gluten Flour دقيق جلوتين القمح الحيوي</t>
  </si>
  <si>
    <t>1 box x 24 pcs x 700 grm</t>
  </si>
  <si>
    <t>1 X 25 KG</t>
  </si>
  <si>
    <t>CO-00317</t>
  </si>
  <si>
    <t>Coal فحم</t>
  </si>
  <si>
    <t>RM-00507</t>
  </si>
  <si>
    <t xml:space="preserve">MARGUERITE SWEET DUSTING POWDER - CONDINEIGE| بودرة سكر للزينه </t>
  </si>
  <si>
    <t xml:space="preserve">1 Box X 5KG </t>
  </si>
  <si>
    <t>SF-00180</t>
  </si>
  <si>
    <t>Orient Garden Lemon مركز ليمون</t>
  </si>
  <si>
    <t>RM-00170</t>
  </si>
  <si>
    <t>CARAMEL SEA SALT كاراميل بالملح البحري</t>
  </si>
  <si>
    <t>Box X 5 Kg x 2 pcs</t>
  </si>
  <si>
    <t>RM-00144</t>
  </si>
  <si>
    <t>Ground cinnamon قرفة مطحونة</t>
  </si>
  <si>
    <t>1 bag x 10 pcs x 1 kg</t>
  </si>
  <si>
    <t>RM-00261</t>
  </si>
  <si>
    <t>Oats شوفان</t>
  </si>
  <si>
    <t>PM-00277</t>
  </si>
  <si>
    <t>knife ( NAMQ ) سكين ( نمق )</t>
  </si>
  <si>
    <t>RM-00274</t>
  </si>
  <si>
    <t>pomgrana hone دبس رمان</t>
  </si>
  <si>
    <t>1 Box X 12 X 700 grm</t>
  </si>
  <si>
    <t>PM-00099</t>
  </si>
  <si>
    <t>Rectangular Jar Tramiso علب مستطيلة تيراميسو بلاستيك</t>
  </si>
  <si>
    <t>PM-00576</t>
  </si>
  <si>
    <t>بكج تغليف حلا الزعتر Zaatar Sweets Packaging</t>
  </si>
  <si>
    <t>1 Box X 4900 Pcs</t>
  </si>
  <si>
    <t>PM-00149</t>
  </si>
  <si>
    <t>Lid 4 oz غطاء كاسة قهوة نمق 4 اونصه</t>
  </si>
  <si>
    <t>CO-00329</t>
  </si>
  <si>
    <t>Carbon Filter 3rd Phase " CTO" فلتر كربوني بلوك 10 إنش مرحلة ثالثه</t>
  </si>
  <si>
    <t>CO-00106</t>
  </si>
  <si>
    <t>Clb Bag Food  كلوب حفظ الطعام مقاس 10</t>
  </si>
  <si>
    <t>RM-00300</t>
  </si>
  <si>
    <t>Sweet Soy Sauce Indofood صوص صويا اندفود</t>
  </si>
  <si>
    <t>CO-00107</t>
  </si>
  <si>
    <t>Clb Bag Food  كلوب حفظ الطعام مقاس 16</t>
  </si>
  <si>
    <t>CO-00121</t>
  </si>
  <si>
    <t>Gloves Vinyl Large - Clear قفازات فينيل كبيرة - شفاف</t>
  </si>
  <si>
    <t>RM-00147</t>
  </si>
  <si>
    <t>Cardamom هيل حب</t>
  </si>
  <si>
    <t>RM-00275</t>
  </si>
  <si>
    <t>Potato Sticks بطاطس اعواد</t>
  </si>
  <si>
    <t>1 Box 48 Pac X 40 g</t>
  </si>
  <si>
    <t>PM-00668</t>
  </si>
  <si>
    <t>غلاف منتج بالمي قلب - BILMI HEART NAMQ</t>
  </si>
  <si>
    <t xml:space="preserve"> Box x 500 Pcs </t>
  </si>
  <si>
    <t>PM-00303</t>
  </si>
  <si>
    <t>3.25 Oz Sauce Cup plastic علبة صوص 3.25 اونصة</t>
  </si>
  <si>
    <t>RM-00108</t>
  </si>
  <si>
    <t xml:space="preserve">Puck cream 160 grams x 48pcs-- 48x قشطة بوك 160جرام </t>
  </si>
  <si>
    <t>NO Demand</t>
  </si>
  <si>
    <t>ORDER NOW</t>
  </si>
  <si>
    <t>CRITICAL</t>
  </si>
  <si>
    <t>PM-00446</t>
  </si>
  <si>
    <t>Caramelized Pecan Sticker Bar (Nmaq) ستيكر بار بيكان مكرمل  ( نمق )</t>
  </si>
  <si>
    <t>1 BUNDLE X 50 SHEETS X 10 PCS</t>
  </si>
  <si>
    <t>PM-00128</t>
  </si>
  <si>
    <t>Bar Box ( NAMQ ) بوكس البارات ( نمق )</t>
  </si>
  <si>
    <t>PM-00093</t>
  </si>
  <si>
    <t>Hallomi Sandwiche Box بوكس ساندويتش حلومي</t>
  </si>
  <si>
    <t>PM-00617</t>
  </si>
  <si>
    <t>كوب ابيض سراميك + صحن 8 اونص White ceramic plate with sauce</t>
  </si>
  <si>
    <t>PM-00340</t>
  </si>
  <si>
    <t>ورق شوكولاته مطبوع  لبوكس الكرانشي بريهانتPrinted chocolate paper for crunchy BREEHANT box</t>
  </si>
  <si>
    <t>IN STOCK</t>
  </si>
  <si>
    <t>FOLLOW UP DELIVERY</t>
  </si>
  <si>
    <t xml:space="preserve">Status </t>
  </si>
  <si>
    <t>All Items - Stock Status</t>
  </si>
  <si>
    <t>Raw Material - Stock Status</t>
  </si>
  <si>
    <t>Packiging Material - Stock Status</t>
  </si>
  <si>
    <t>Consumables - Stock Status</t>
  </si>
  <si>
    <t>% Available</t>
  </si>
  <si>
    <t>Shortage Item</t>
  </si>
  <si>
    <t>,</t>
  </si>
  <si>
    <t>Date Added</t>
  </si>
  <si>
    <t>PM-00004</t>
  </si>
  <si>
    <t>Coffee Beans Bags 250 Grmاكياس بن 250ج بريهانت</t>
  </si>
  <si>
    <t>PM-00005</t>
  </si>
  <si>
    <t>Coffee Beans Bags 500 Grmاكياس بن 500ج بريهانت</t>
  </si>
  <si>
    <t>PM-00560</t>
  </si>
  <si>
    <t>Avola Coffee Bean Bag 250 g - كيس بن افولا 250 جرام</t>
  </si>
  <si>
    <t xml:space="preserve"> </t>
  </si>
  <si>
    <t>PM-00025</t>
  </si>
  <si>
    <t>Coffee Beans Bags Breehant 1 KG اكياس بن 1 كيلو بريهانت</t>
  </si>
  <si>
    <t>PM-00013</t>
  </si>
  <si>
    <t>Coffee Beans Bag 1 KG Black Color كيس القهوة تعبئة 1 كيلو لون أسود</t>
  </si>
  <si>
    <t>1 Box X 7.68 KG</t>
  </si>
  <si>
    <t/>
  </si>
  <si>
    <t>Date Of Criticality</t>
  </si>
  <si>
    <t>زجاج</t>
  </si>
  <si>
    <t>No Demand</t>
  </si>
  <si>
    <t>on demand</t>
  </si>
  <si>
    <t>Supplier</t>
  </si>
  <si>
    <t>Another Code</t>
  </si>
  <si>
    <t>1X600 Pcs</t>
  </si>
  <si>
    <t>1X500 Pcs</t>
  </si>
  <si>
    <t>1X800 Pcs</t>
  </si>
  <si>
    <t>1X1000 Pcs</t>
  </si>
  <si>
    <t>1X480 Pcs</t>
  </si>
  <si>
    <t>1  box X 36 rollsX1000 pcs</t>
  </si>
  <si>
    <t>1X48 Pcs</t>
  </si>
  <si>
    <t>1X8PKT X 5 KG</t>
  </si>
  <si>
    <t>Caramelized Pecan Paper Box 1 PCS (New ID) | علبة بيكان مكرمل ورقية (وردي)</t>
  </si>
  <si>
    <t>1x1000</t>
  </si>
  <si>
    <t>1X10 KG</t>
  </si>
  <si>
    <t xml:space="preserve">Box 1X1500 </t>
  </si>
  <si>
    <t xml:space="preserve">Box 1X1200 </t>
  </si>
  <si>
    <t>#</t>
  </si>
  <si>
    <t>Description</t>
  </si>
  <si>
    <t>Namq</t>
  </si>
  <si>
    <t>Breehant</t>
  </si>
  <si>
    <t>Roastery</t>
  </si>
  <si>
    <t>Tando</t>
  </si>
  <si>
    <t>Avola</t>
  </si>
  <si>
    <t>Laundah</t>
  </si>
  <si>
    <t>Used by # Brands</t>
  </si>
  <si>
    <t>Current Stocks</t>
  </si>
  <si>
    <t>Coverage</t>
  </si>
  <si>
    <t>Minimum Stock Level</t>
  </si>
  <si>
    <t>Maximum Stock Level</t>
  </si>
  <si>
    <t>Order QTY</t>
  </si>
  <si>
    <t>Classification</t>
  </si>
  <si>
    <t>Price</t>
  </si>
  <si>
    <t>Payment To Reach Optimum</t>
  </si>
  <si>
    <t>Monthly Stock Cost</t>
  </si>
  <si>
    <t>S</t>
  </si>
  <si>
    <t>Takeawy Sweet Box Namq علبة الحلى سفري نمق</t>
  </si>
  <si>
    <t>PM-00805</t>
  </si>
  <si>
    <t>Takeawy Sweet Box Namq - Drawer Box علبة الحلى سفري نمق</t>
  </si>
  <si>
    <t>2 Oz Sauce Cup plasticعلبة صوص 2 اونصه بلاستيك</t>
  </si>
  <si>
    <t>2 Oz Sauce Lid plasticاغطية علبة صوص 2 اونصه بلاستيك</t>
  </si>
  <si>
    <t>4 Oz Sauce Cup plasticعلبة صوص 4 اونصه بلاستيك</t>
  </si>
  <si>
    <t>4 Oz Sauce Lid plasticاغطية علبة صوص 4 اونصه بلاستيك</t>
  </si>
  <si>
    <t>PM-00562</t>
  </si>
  <si>
    <t>4 oz Double Wall Paper Cup كوب ورقي 4 اونص دبل نمق</t>
  </si>
  <si>
    <t>PM-00291</t>
  </si>
  <si>
    <t>Lids Cups Wide NAMQ with stick اغطية اكواب القهوة فتحة واسعة - نمق</t>
  </si>
  <si>
    <t>Adj</t>
  </si>
  <si>
    <t>الصحن المحلي نمق</t>
  </si>
  <si>
    <t>PM-00325</t>
  </si>
  <si>
    <t>PM-00725</t>
  </si>
  <si>
    <t>بوكس جمعات حلى نمق | Gathering namq cake</t>
  </si>
  <si>
    <t>PM-00759</t>
  </si>
  <si>
    <t>كرت أيس تي كركديه | Hibiscus Iced Tea Card</t>
  </si>
  <si>
    <t>كرت ايس تي كركديه</t>
  </si>
  <si>
    <t>PM-00760</t>
  </si>
  <si>
    <t>كرت أيس تي خوخ | Peach Iced Tea Card</t>
  </si>
  <si>
    <t>كرت ايس تي خوخ</t>
  </si>
  <si>
    <t>PM-00761</t>
  </si>
  <si>
    <t>كرت أيس تي كولد برو | Cold Brew Iced Tea Card</t>
  </si>
  <si>
    <t>كرت كولد برو</t>
  </si>
  <si>
    <t>RM-00741</t>
  </si>
  <si>
    <t>شركة ناف الجود- NAF AL JOOD</t>
  </si>
  <si>
    <t>Al Kabli Marketing Co. شركة الكابلي للتسويق</t>
  </si>
  <si>
    <t>BanoPuratos Arabia Co. "Sweet Mix Co. شركة خليط الحلى المتحدة"</t>
  </si>
  <si>
    <t>Al-Marai</t>
  </si>
  <si>
    <t>Tanzeem Al Afkar Trading Company | شركة تنظيم الافكار للتجارة</t>
  </si>
  <si>
    <t>add</t>
  </si>
  <si>
    <t>AL Babtain Food Co. شركة عبدالعزيز ومنصور إبراهيم البابطين</t>
  </si>
  <si>
    <t>C</t>
  </si>
  <si>
    <t>Food Book Company LLC شركة كتاب المأكولات لتقديم الوجبات</t>
  </si>
  <si>
    <t>Pesto Sauce صوص بيستو</t>
  </si>
  <si>
    <t>شركة تموين الشرق للتجارة</t>
  </si>
  <si>
    <t>RM-00095</t>
  </si>
  <si>
    <t>Greek yoghurt - زبادي يوناني</t>
  </si>
  <si>
    <t>RM-00742</t>
  </si>
  <si>
    <t>شركة شمس القهوة للتجارة المحدودة</t>
  </si>
  <si>
    <t>RM-00106</t>
  </si>
  <si>
    <t>Labneh - لبنة</t>
  </si>
  <si>
    <t>RM-00343</t>
  </si>
  <si>
    <t>Carrots - جزر</t>
  </si>
  <si>
    <t>Delta Star Trading Co.</t>
  </si>
  <si>
    <t>Al Shahrani International Co. شركة الشهراني العالمية المحدودة</t>
  </si>
  <si>
    <t>شركة إبراهيم نافع للتجارة</t>
  </si>
  <si>
    <t>شركة بشريات الموسم للتجارة</t>
  </si>
  <si>
    <t>RM-00003</t>
  </si>
  <si>
    <t>Butter Sheet - Ellevire 10x1kg زبدة الكرواسون</t>
  </si>
  <si>
    <t>شركة الشيف المثالي للتجارة-perfect chef</t>
  </si>
  <si>
    <t>RM-00367</t>
  </si>
  <si>
    <t>Chicken breast - صدور الدجاج</t>
  </si>
  <si>
    <t>دجاج اسيا - Asia chiken</t>
  </si>
  <si>
    <t>RM-00007</t>
  </si>
  <si>
    <t>Feta cheese - جبن فيتا</t>
  </si>
  <si>
    <t>RM-00721</t>
  </si>
  <si>
    <t>Fiordilampone  Raspberries MEC3</t>
  </si>
  <si>
    <t>O</t>
  </si>
  <si>
    <t>Food Aroma شركة نكهة الغذاء التجارية المحدودة</t>
  </si>
  <si>
    <t>الشركة السعودية المتخصصة لخدمات الاطعمة المحدودة - SFS</t>
  </si>
  <si>
    <t>شركة أعمال الضيافة للخدمات التموينية</t>
  </si>
  <si>
    <t>No match found</t>
  </si>
  <si>
    <t>CO-00608</t>
  </si>
  <si>
    <t>حامل أكواب ستيل | Steel cups holder</t>
  </si>
  <si>
    <t>Espresso measuring cup 70 LTR كوب قياس اسبريسو 70 مل</t>
  </si>
  <si>
    <t xml:space="preserve">Namq Syscall GP -101R 10c (set) Digital Coaster pager +charger base with power supply" جهاز بيجر سانكول </t>
  </si>
  <si>
    <t>Order Item</t>
  </si>
  <si>
    <t>PM-00711</t>
  </si>
  <si>
    <t>ملعقة اسبريسو لون فضي | Coffee spoon silver</t>
  </si>
  <si>
    <t>CO-00526</t>
  </si>
  <si>
    <t>Utility Tongs ملقط</t>
  </si>
  <si>
    <t>Pitcher JIBBI1000LTR بتشر تبخير جيبي الحاد - 1000 مل</t>
  </si>
  <si>
    <t>Blue Plastic Box Size 7 صندوق بلاستيك ازرق مقاس 7</t>
  </si>
  <si>
    <t>Vietnamese filter 10 PCS -فلتر شوائب فيتنامي 10 إنش</t>
  </si>
  <si>
    <t>CO-00134</t>
  </si>
  <si>
    <t>Puly Caff - Group Cleaning Powder 570g بودرة تنظيف مكائن الإسبريسو بولي كاف 570 جرام</t>
  </si>
  <si>
    <t>Ubermilk Cleaning Agent 1 (Red)محلول تنظيف اوبر ميلك احمر</t>
  </si>
  <si>
    <t>Sanita SK6 Duty Grease Cutter سانيتا منظف الأفران ومزيل الشحوم</t>
  </si>
  <si>
    <t>Sanita SP21 Hand soap Anti - Bacterial سانيتا صابون اليد المضاد للبكتيريا</t>
  </si>
  <si>
    <t>(SK2) Sanita Kitchen Cleaner &amp; Degreaser 5L سانيتا منظف المطابخ ومزيل الدهون 5 لتر</t>
  </si>
  <si>
    <t>شركة نابكو للتجارة والتوزيع</t>
  </si>
  <si>
    <t>Hairnet Black Colorغطاء شعر لون اسود</t>
  </si>
  <si>
    <t>Yashfeen National Medical Co. شركة يشفين الوطنى الطبى</t>
  </si>
  <si>
    <t>شركة ألان للمنتجات الورقية</t>
  </si>
  <si>
    <t>Gloves Black Color قفازات سوداء</t>
  </si>
  <si>
    <t>شركة بوابة المبدعون للتجارة</t>
  </si>
  <si>
    <t>مؤسسة منحنى الحمص للتجارة - Profilers</t>
  </si>
  <si>
    <t>شكري</t>
  </si>
  <si>
    <t>Glass cup 65LTR كوب زجاج 65 ملي  لتقديم المياه الغازية</t>
  </si>
  <si>
    <t>Mohammed Fayez Al-Shehri Trading EST.مؤسسة محمد فايز عبدالله الشهري التجارية</t>
  </si>
  <si>
    <t>First aid Box صندوق اسعافات اولية</t>
  </si>
  <si>
    <t>Petty Cash Hanafy</t>
  </si>
  <si>
    <t>شركة قصر البلاستيك للتجارة</t>
  </si>
  <si>
    <t>Barriers - حواجز</t>
  </si>
  <si>
    <t>Nawadis Trading Co. شركة نوادس للتجارة</t>
  </si>
  <si>
    <t>Albostan Alraqamiya Co. ﺷﺮﻛﺔ اﻟﺒﺴﺘﺎن اﻟﺮﻗﻤﻴﺔ</t>
  </si>
  <si>
    <t>Boecker Public Health Saudi Arabia- بويكر</t>
  </si>
  <si>
    <t>مؤسسة مستر شيف</t>
  </si>
  <si>
    <t>عود اراك, مؤسسة عود الاراك AL-Arak Oud Establishment</t>
  </si>
  <si>
    <t>CO-00582</t>
  </si>
  <si>
    <t>عود مروكي محسّن | Enhanced Moroccan oud</t>
  </si>
  <si>
    <t>Shawahid AlSafwah Trading Co. شركة شواهد الصفوة التجارية</t>
  </si>
  <si>
    <t>Ahmad A. Abed Trading Co. Ltd شركة احمد عبدالوهاب عابد للتجارة المحدودة</t>
  </si>
  <si>
    <t>شركة اضافات العالمية للتجارة-Edafat</t>
  </si>
  <si>
    <t>Magnesia Mag Sea Salt | ملح بحري عضوي مغنيسيا</t>
  </si>
  <si>
    <t>Saffaron Food Color - baba لون طعام زعفران - باب</t>
  </si>
  <si>
    <t>RM-00695</t>
  </si>
  <si>
    <t>CRAMEL - MEC3|كراميل ميك</t>
  </si>
  <si>
    <t>RM-00696</t>
  </si>
  <si>
    <t>BLUEBERRY SAUCE  LUXCO |صوص بلوبيري لوكسكو</t>
  </si>
  <si>
    <t>RM-00720</t>
  </si>
  <si>
    <t>Sour Cheery Moj Polot</t>
  </si>
  <si>
    <t>شركة اركان الاندلس للتجارة</t>
  </si>
  <si>
    <t>Stock Rev.</t>
  </si>
  <si>
    <t>شركة مصنع بوابة القرن للمنتجات الاستهلاكية</t>
  </si>
  <si>
    <t>شركة مصنع عسق للبلاستيك</t>
  </si>
  <si>
    <t>شركة مركز جدة للطباعة والصناعة والورق البلاستيك</t>
  </si>
  <si>
    <t>Alpha Pack Packaging Company شركة ألفا باك للتغليف</t>
  </si>
  <si>
    <t>شركة الماس باك للتغليف</t>
  </si>
  <si>
    <t>شركة حذيم للصناعة</t>
  </si>
  <si>
    <t>المصنع العربي للمنتجات الورقية</t>
  </si>
  <si>
    <t>مصنع الكوب الذهبي للمنتجات الورقية</t>
  </si>
  <si>
    <t>شركة الاوراق الذهبية الصناعية</t>
  </si>
  <si>
    <t>Active Square مؤسسة المربع الفعال التجارية</t>
  </si>
  <si>
    <t>Gourmet Gate شركة بوابة الذواقة لتجارة الاغذية</t>
  </si>
  <si>
    <t>s</t>
  </si>
  <si>
    <t>شركة الالصقات الاضافية التجارية</t>
  </si>
  <si>
    <t>RM-00537</t>
  </si>
  <si>
    <t>Syrup Mango Teisseire سيروب تيسير مانجو</t>
  </si>
  <si>
    <t>Foam Box Printed 1 Kilo ( Breehant ) - بوكس فلين مطبوع 1 كيلو ( بريهانت )</t>
  </si>
  <si>
    <t>شركة مطابع الأمل الحديثة</t>
  </si>
  <si>
    <t>Xiamen Twinwin Packing Products Co. Ltd</t>
  </si>
  <si>
    <t>استيكر الشاي المثلج للعبوة الزجاجية (بريهانت)Iced tea sticker for glass container (BREEHANT)</t>
  </si>
  <si>
    <t>Iced tea sticker for glass container (BREEHANT)استيكر الشاي المثلج</t>
  </si>
  <si>
    <t>CO-00383</t>
  </si>
  <si>
    <t>Breehant wooden serving espresso tray صينية تقديم اسبريسو خشبية بريهانت</t>
  </si>
  <si>
    <t>PM-00484</t>
  </si>
  <si>
    <t>Coffee Beans Bags 25 Grm اكياس بن 25ج بريهانت</t>
  </si>
  <si>
    <t>Coffee Beans Bags25 Grmاكياس بن25ج بريهانت</t>
  </si>
  <si>
    <t>PM-00048</t>
  </si>
  <si>
    <t>BREEHANT coffee bags 100 gram, size 100 cm * 70 cm  اكياس بن بريهانت 100 جرام مقاس 100سم* 70سم</t>
  </si>
  <si>
    <t>Coffee Beans Bags  (35g)100 Grmاكياس بن 100ج ( 35ج) بريهانت</t>
  </si>
  <si>
    <t>RM-00700</t>
  </si>
  <si>
    <t>MAKDOUS  |مكدوس</t>
  </si>
  <si>
    <t>PM-00293</t>
  </si>
  <si>
    <t>Matcha bottles 30g  علبة الماتشا المعدنية 30 قرام</t>
  </si>
  <si>
    <t>Matcha bottles  علبة الماتشا المعدنية</t>
  </si>
  <si>
    <t>RM-00613</t>
  </si>
  <si>
    <t>Matcha Ceremonial Grade 3g Stick ماتشا سريعة التحضير</t>
  </si>
  <si>
    <t>Instant matcha اظرف ماتشا</t>
  </si>
  <si>
    <t>Biscuit Vanilla Sponge Mix خليط كيك فانيليا</t>
  </si>
  <si>
    <t>Cover Granola foggy Bag غطاء كيس جرانولا ضبابي</t>
  </si>
  <si>
    <t>RM-00487</t>
  </si>
  <si>
    <t>كبسولات قهوة مزيج بريهانت | Breehant Blend Coffee Capsules</t>
  </si>
  <si>
    <t>Coffee capsules كبسولات القهوة</t>
  </si>
  <si>
    <t>شركة التحميص للصناعات الغذائية Bunista Roastery, Roasting Company</t>
  </si>
  <si>
    <t>PM-00461</t>
  </si>
  <si>
    <t>كوب فخار 270 مل بريهانت</t>
  </si>
  <si>
    <t>كوب فخار(بوكس بريهانت)</t>
  </si>
  <si>
    <t>Direct Roastery</t>
  </si>
  <si>
    <t>Fakhaar Co. نايف ابراهيم عبدالعزيز الشيبان - فخار</t>
  </si>
  <si>
    <t>PM-00114</t>
  </si>
  <si>
    <t>اكواب حديد 350مل + بوكس خارجي مع الطباعة الخارجية  Iron cups 350 ml + external box with exter printing</t>
  </si>
  <si>
    <t>كوب معدني steel cup</t>
  </si>
  <si>
    <t>PM-00205</t>
  </si>
  <si>
    <t>Pink Ceramic cup 2oz كوب سراميك وردي مطفي 2 اونصة</t>
  </si>
  <si>
    <t>كوب بريهانت- سيراميك - 40 مل</t>
  </si>
  <si>
    <t>PM-00204</t>
  </si>
  <si>
    <t>Pink Ceramic cup 4oz كوب سراميك وردي مطفي 4 اونصة</t>
  </si>
  <si>
    <t>كوب بريهانت- سيراميك - 100 مل</t>
  </si>
  <si>
    <t>PM-00203</t>
  </si>
  <si>
    <t>Pink Ceramic cup 6oz كوب سراميك وردي مطفي  6 اونصة</t>
  </si>
  <si>
    <t>كوب بريهانت- سيراميك - 170 مل</t>
  </si>
  <si>
    <t>PM-00202</t>
  </si>
  <si>
    <t>Pink Ceramic cup 8oz كوب سراميك وردي مطفي  8 اونصة</t>
  </si>
  <si>
    <t>كوب بريهانت- سيراميك - 220 مل</t>
  </si>
  <si>
    <t>PM-00551</t>
  </si>
  <si>
    <t>كوب زجاجي 400 ملي مع مصاص وغطاء خشبي مطبوعة بشعار بريهانت</t>
  </si>
  <si>
    <t>كوب زجاجي – هوية بريهانت</t>
  </si>
  <si>
    <t>PM-00552</t>
  </si>
  <si>
    <t>كوب زجاجي 400 ملي مع مصاص وغطاء خشبي مطبوعة بتصميم الورد</t>
  </si>
  <si>
    <t>كوب زجاجي – زهور بريهانت</t>
  </si>
  <si>
    <t>PM-00524</t>
  </si>
  <si>
    <t>Breehant stainless steel cup مق بريهانت المطبوع مع غطائين</t>
  </si>
  <si>
    <t>Breehant Mug</t>
  </si>
  <si>
    <t>lids Cups Wide NAMQ with stick اغطية اكواب القهوة فتحة واسعة - نمق</t>
  </si>
  <si>
    <t>Code Rev.</t>
  </si>
  <si>
    <t>PM-00247</t>
  </si>
  <si>
    <t>Pure Drop V60 Filter 02 Coffee Filter	القطرة الصافية فلاتر ترشيح ورقية - مقاس 02</t>
  </si>
  <si>
    <t>12 Cups Ltd شركة اثنى عشر كوب المحدوده</t>
  </si>
  <si>
    <t>Cafec V60 01 Coffee Filter فلتر كافيك ورقي في 60 01</t>
  </si>
  <si>
    <t>PM-00511</t>
  </si>
  <si>
    <t>بوكس بريهانت ( الاصدار الجديد ) | Breehant Box ( New Version )</t>
  </si>
  <si>
    <t>Breehant Divider box for crops</t>
  </si>
  <si>
    <t>PM-00071</t>
  </si>
  <si>
    <t>Coffee Beans Assembley box SETكرتون محاصيل مجمعه بريهانت</t>
  </si>
  <si>
    <t>Coffee Beans Swip Boxكرتون محاصيل سحب</t>
  </si>
  <si>
    <t>PM-00115</t>
  </si>
  <si>
    <t>كرتون بريهانت شحن مطبوع مقاس 50* 50*50 - 5طبقات BREEHANT Printed Shipping Carton 50*50*50 - 5 Layers</t>
  </si>
  <si>
    <t>كرتون بريهانت 50*50*50</t>
  </si>
  <si>
    <t>شركة مصنع الذييب باك</t>
  </si>
  <si>
    <t>PM-00069</t>
  </si>
  <si>
    <t>Box Filter Drip Breehant كرتون فلتر التقطير بريهانت</t>
  </si>
  <si>
    <t>PM-00567</t>
  </si>
  <si>
    <t>بوكس الاظرف (هارد كفر + بلاستيك) نمق Box for Drip Coffee Sachets (Hard Cover + Plastic)</t>
  </si>
  <si>
    <t>PM-00646</t>
  </si>
  <si>
    <t>كرتون شحن أفولا وسط | Avola shipping box M</t>
  </si>
  <si>
    <t>PM-00084</t>
  </si>
  <si>
    <t>Breehant Empty Middle Box كرتون بريهانت وسط</t>
  </si>
  <si>
    <t>Breehant Empty Middle Box	كرتون بريهانت وسط</t>
  </si>
  <si>
    <t>PM-00097</t>
  </si>
  <si>
    <t>Breehant Empty Small Box كرتون بريهانت صغير</t>
  </si>
  <si>
    <t>Breehant Empty Small Box	كرتون بريهانت صغير</t>
  </si>
  <si>
    <t>PM-00067</t>
  </si>
  <si>
    <t>Breehant Empty Box WholeSales كرتون بريهانت  الجملة</t>
  </si>
  <si>
    <t>كرتون بريهانت الجملة</t>
  </si>
  <si>
    <t>PM-00536</t>
  </si>
  <si>
    <t>Circular Crop Sample Box (Breehant) - بوكس عينات المحاصيل الدائري (بريهانت)</t>
  </si>
  <si>
    <t>بوكس العينات الدائري</t>
  </si>
  <si>
    <t>GUANGZHOU MAIBAO PACKAGE CO. LTD</t>
  </si>
  <si>
    <t>PM-00607</t>
  </si>
  <si>
    <t>بوكس هارد كفر للمحاصيل الفاخرة Hardcover box for premium harvest products</t>
  </si>
  <si>
    <t>البوكس الفاخر</t>
  </si>
  <si>
    <t>Revew Code</t>
  </si>
  <si>
    <t>مطابع عبدالمجيد عبدلله الفارس للطباعة</t>
  </si>
  <si>
    <t>PM-00701</t>
  </si>
  <si>
    <t>بوكس اليوم || Today's Box</t>
  </si>
  <si>
    <t>بوكس اليوم</t>
  </si>
  <si>
    <t>CO-00154</t>
  </si>
  <si>
    <t>wrapping paper Alnqawah Box ( BREEHANT ) ورق تغليف بوكس النقاوه ( بريهانت )</t>
  </si>
  <si>
    <t>BREEHANT box wrapping paper, size 22cm * 69cm ورق تغليف بوكسات بريهانت مقاس 22سم</t>
  </si>
  <si>
    <t>PM-00109</t>
  </si>
  <si>
    <t>Matcha envelope Box ( BREEHANT ) بوكس اظرف الماتشا ( بريهانت )</t>
  </si>
  <si>
    <t>بوكس الماتشا سريعة التحضير</t>
  </si>
  <si>
    <t>PM-00858</t>
  </si>
  <si>
    <t>Alnqawah Box ( BREEHANT ) بوكس النقاوة ( بريهانت )</t>
  </si>
  <si>
    <t>بوكس النقاوه</t>
  </si>
  <si>
    <t>PM-00456</t>
  </si>
  <si>
    <t>box of assorted envelopes بوكس بريهانت الاظرف المتنوعه</t>
  </si>
  <si>
    <t>بوكس الأظرف المتنوع</t>
  </si>
  <si>
    <t>PM-00131</t>
  </si>
  <si>
    <t>Breehant cups box بوكس اكواب بريهانت</t>
  </si>
  <si>
    <t>بوكس الاكواب الورقية</t>
  </si>
  <si>
    <t>PM-00458</t>
  </si>
  <si>
    <t>Ceramic cups box بوكس اكواب السراميك (بريهانت)</t>
  </si>
  <si>
    <t>بوكس الاكواب السراميك</t>
  </si>
  <si>
    <t>Stocks Revew</t>
  </si>
  <si>
    <t>PM-00104</t>
  </si>
  <si>
    <t>Matcha tools contents box ( BREEHANT ) بوكس محتويات ادوات الماتشا ( بريهانت )</t>
  </si>
  <si>
    <t>بوكس اداوات  الماتشا</t>
  </si>
  <si>
    <t>CO-00353</t>
  </si>
  <si>
    <t>Matcha tools ادوات الماتشا</t>
  </si>
  <si>
    <t>Matcha tools	ادوات الماتشا</t>
  </si>
  <si>
    <t>PM-00286</t>
  </si>
  <si>
    <t>Cotton Ropes 11 Cm حبال قطن 11 سم</t>
  </si>
  <si>
    <t>Cotton Ropes 11 Cm	حبال قطن 11 سم</t>
  </si>
  <si>
    <t>CO-00362</t>
  </si>
  <si>
    <t>Barcode sticker paper, size 150m x 100m, 500m رول ماكينة زيبرا</t>
  </si>
  <si>
    <t>zebra rol</t>
  </si>
  <si>
    <t>PM-00284</t>
  </si>
  <si>
    <t>Tape Breehant لاصق بريهانت</t>
  </si>
  <si>
    <t>Tape Breehant	 لاصق بريهانت</t>
  </si>
  <si>
    <t>شركة المنتجات اللاصقة</t>
  </si>
  <si>
    <t>PM-00734</t>
  </si>
  <si>
    <t>استيكر ماتشا 30 جرام</t>
  </si>
  <si>
    <t>Matcha Sticker 30g ( cap )</t>
  </si>
  <si>
    <t>PM-00735</t>
  </si>
  <si>
    <t>استيكر ماتشا 50 جرام</t>
  </si>
  <si>
    <t>Matcha Sticker 50g ( cap )</t>
  </si>
  <si>
    <t>Sticker breehant round black</t>
  </si>
  <si>
    <t>شركة احلى تغليف الدولية للتجارة</t>
  </si>
  <si>
    <t>شركة جنا الدولية للتجارة - JANA</t>
  </si>
  <si>
    <t>PM-00695</t>
  </si>
  <si>
    <t>سليف بوكس صحن قصب السكر تاندو||Sleeve Box for “Tando” Sugar Pouring Plate tando</t>
  </si>
  <si>
    <t>Tando Sleeves</t>
  </si>
  <si>
    <t>ADJ</t>
  </si>
  <si>
    <t>Black pepper فلفل اسود</t>
  </si>
  <si>
    <t>RM-00722</t>
  </si>
  <si>
    <t>Freeze Dried Raspberries Crispy</t>
  </si>
  <si>
    <t>Sitaf - سيتاف</t>
  </si>
  <si>
    <t>شركة الوصيل التجاريه - AL WASEEL</t>
  </si>
  <si>
    <t>شركة مصدر الامداد - Masdar Food Supply</t>
  </si>
  <si>
    <t>RM-00702</t>
  </si>
  <si>
    <t>OREGANO - FRESHLY |اوريقانو</t>
  </si>
  <si>
    <t>RM-00355</t>
  </si>
  <si>
    <t>Raspberry -توت أحمر</t>
  </si>
  <si>
    <t>Puck cream 160 grams x 48pcs-- 48x قشطة بوك 160جرام</t>
  </si>
  <si>
    <t>شركة خالد درع الدرع وشريكة المحدودة</t>
  </si>
  <si>
    <t>RM-00743</t>
  </si>
  <si>
    <t>RM-00744</t>
  </si>
  <si>
    <t>شركة الجميح</t>
  </si>
  <si>
    <t>Berain بيرين</t>
  </si>
  <si>
    <t>مؤسسة إكس باك كونسبت</t>
  </si>
  <si>
    <t>RM-00708</t>
  </si>
  <si>
    <t>قهوة سعودية - saudi coffee</t>
  </si>
  <si>
    <t>Dallah Al Jazeera Coffee Co. شركة دلة الجزيرة للقهوة</t>
  </si>
  <si>
    <t>Arome مؤﺳﺴﺔ ﺍﻟﺮﺍﺋﺤﺔ ﺍﻟﻤﺜﻠﻰ ﺍﻟﺘﺠﺎﺭﻳﺔ</t>
  </si>
  <si>
    <t>Halwani Bros Co. شركة حلواني اخوان</t>
  </si>
  <si>
    <t>RM-00715</t>
  </si>
  <si>
    <t>معزز نكهات - MSG Ajinamoto</t>
  </si>
  <si>
    <t>بهارات الكاجونCAJUN SPIECE</t>
  </si>
  <si>
    <t>Mohammed Ali Saadeddin | شركة محمد علي سعد الدين</t>
  </si>
  <si>
    <t>RM-00621</t>
  </si>
  <si>
    <t>Orange color / Baba 100 لون طعام برتقالي</t>
  </si>
  <si>
    <t>Abdullah .M Akhudairi Sons' co. شركة ابناء عبدالله محمد الخضيري</t>
  </si>
  <si>
    <t>Dried Mint Carton نعناع مجفف كرتون</t>
  </si>
  <si>
    <t>RM-00694</t>
  </si>
  <si>
    <t>VANILLA NEOVANIL|فانيلا نيوفانيل</t>
  </si>
  <si>
    <t>RM-00703</t>
  </si>
  <si>
    <t>AKKAWI - ASTRA FARMS |عكاوي</t>
  </si>
  <si>
    <t>Maktabat Al Aibtikar Est. مؤسسة مكتبة الابتكار</t>
  </si>
  <si>
    <t>CO-00346</t>
  </si>
  <si>
    <t>Pillow Thamees 30 CM -    وسادة تميس 30 سانتي</t>
  </si>
  <si>
    <t>charcoal فحم  بخور</t>
  </si>
  <si>
    <t>Cashier Rollورق فواتير - كاشير</t>
  </si>
  <si>
    <t>PM-00412</t>
  </si>
  <si>
    <t>استيكر صوص رايتا - بلاستيك 4سم (تاندو)Raita sauce sticker - plastic 4cm (tando)</t>
  </si>
  <si>
    <t>PM-00421</t>
  </si>
  <si>
    <t>استيكر ساندويش التكا-بلاستيك 4سم(تاندو)Tikka sandwich sticker - plastic 4cm (tando)</t>
  </si>
  <si>
    <t>RM-00740</t>
  </si>
  <si>
    <t>Gulf central Company - شركة الخليج الوسطى</t>
  </si>
  <si>
    <t>Breadcrumbs</t>
  </si>
  <si>
    <t>Ashraf Saleh Aldazaz Factory مصنع اشرف صالح الدعزازا للتعبئة والتغليف</t>
  </si>
  <si>
    <t>GRAAF FOOD CO. | شركة غراف الغذائية</t>
  </si>
  <si>
    <t>Edible Dried Flowers | ورد مجفف</t>
  </si>
  <si>
    <t>Begonia Bottels (30 Pcs.)</t>
  </si>
  <si>
    <t>RM00503</t>
  </si>
  <si>
    <t>شركة بالبيد للحلول الغذائية-BALBAID</t>
  </si>
  <si>
    <t>جزيرة الطيب</t>
  </si>
  <si>
    <t>شمو للأغذية | Shumou Foods</t>
  </si>
  <si>
    <t>RM-00737</t>
  </si>
  <si>
    <t>بوكس ورقي ثلاثه قطع فطورات Paper box, three pieces, for Fotorat</t>
  </si>
  <si>
    <t>light meat Tuna in sun flower oil</t>
  </si>
  <si>
    <t>RM-00614</t>
  </si>
  <si>
    <t>Spreadable cheese analouge - Puck</t>
  </si>
  <si>
    <t>keep</t>
  </si>
  <si>
    <t>MARGUERITE SWEET DUSTING POWDER - CONDINEIGE| بودرة سكر للزينه</t>
  </si>
  <si>
    <t>RM-00674</t>
  </si>
  <si>
    <t>Pizza Sauce</t>
  </si>
  <si>
    <t>شركة الطبق المفضل للتجارة</t>
  </si>
  <si>
    <t>PM-00422</t>
  </si>
  <si>
    <t>استيكر ساندويش السقنتشر-بلاستيك 4سم (تاندو)Signature sandwich sticker - plastic 4cm (Tando)</t>
  </si>
  <si>
    <t>Unroasted peanuts | فول سوداني</t>
  </si>
  <si>
    <t>RM-00704</t>
  </si>
  <si>
    <t>COCONUT POWDER |جوز هند بودرة</t>
  </si>
  <si>
    <t>Crunchy Chocolate Sticker Breehene</t>
  </si>
  <si>
    <t>Babka cake cover  (Namaq)</t>
  </si>
  <si>
    <t>سليف بار بيكان مكرمل | Caramelized Pecan bar sleeve</t>
  </si>
  <si>
    <t>سليف بار كراميل بايتس | Caramel Bites Bar sleeve</t>
  </si>
  <si>
    <t>Al Anwar Arts Trading Est. مؤسسة فن الأنور التجارية</t>
  </si>
  <si>
    <t>Caramelized Pecan Paper Box 1 PCS (New ID) | علبة بيكان مكرمل ورقي</t>
  </si>
  <si>
    <t>Caramel Bites Paper Box 1 PCS (New ID) | علبة كراميل بايتس ورقي</t>
  </si>
  <si>
    <t>PM-00610</t>
  </si>
  <si>
    <t>ورق زبدة دائري بني | Round Brown Butter Paper</t>
  </si>
  <si>
    <t>ALMAS ARABIAN INDUSTRY COMPANY - شركة الماس العربية الصناعية</t>
  </si>
  <si>
    <t>PM-00596</t>
  </si>
  <si>
    <t>صحن سراميك للكوكيز مع غطاء بلاستيك  - Ceramic plate for cookies with a plastic lid</t>
  </si>
  <si>
    <t>Dulcey box</t>
  </si>
  <si>
    <t>Hard cover box – Salted Caramel - بوكس هارد كفر الكراميل المملح (نم</t>
  </si>
  <si>
    <t>Arjan Modern Printing مطبعة ارجان الحديثة للطباعة</t>
  </si>
  <si>
    <t>Cake base measuring 8.5 cm * 8.5 cm (breehant)</t>
  </si>
  <si>
    <t>Cake base size 10cm * 6cm (breehant)</t>
  </si>
  <si>
    <t>Caramel Bites Sticker (Namq) ستيكر كارميل بايتس مقاس 5سم ( نمق</t>
  </si>
  <si>
    <t>Salted Caramel Brownie Stickers (Namq) ستيكر براوني كراميل مملح مقاس 5سم( نمق</t>
  </si>
  <si>
    <t>PM-00388</t>
  </si>
  <si>
    <t>Tiramisu  Sticker  (NAMQ) ستيكر تراميسو  ( نمق )</t>
  </si>
  <si>
    <t>Crunchy Chocolate Sticker Breehant</t>
  </si>
  <si>
    <t>Saudi coffee sticker roll رول استيكر القهوه السعودي</t>
  </si>
  <si>
    <t>شركة الاخوة المتحدة</t>
  </si>
  <si>
    <t>Printed chocolate paper for crunchy BREEHANT box</t>
  </si>
  <si>
    <t>مؤسسة ركن البيدق التجارية</t>
  </si>
  <si>
    <t>PM-00212</t>
  </si>
  <si>
    <t>Cup 12 Oz With lid and Sauce can كوب 12 اونصة مع علبة صوص وغطاء</t>
  </si>
  <si>
    <t>Marshmallow box</t>
  </si>
  <si>
    <t>Thyme box ( NAMQ ) بوكس الزعتر ( نمق</t>
  </si>
  <si>
    <t>PM-00740</t>
  </si>
  <si>
    <t>cake base 13*5 | قاعدة كيك 13*5</t>
  </si>
  <si>
    <t>مجموعة فهد المعيذر التجارية</t>
  </si>
  <si>
    <t>PM-00044</t>
  </si>
  <si>
    <t>Granola foggy Bag 500 grams كيس جرانولا ضبابي500 جرام</t>
  </si>
  <si>
    <t>PM-00021</t>
  </si>
  <si>
    <t>VACUUM BAG 200 كيس شفط الهواء 200</t>
  </si>
  <si>
    <t>PM-00020</t>
  </si>
  <si>
    <t>VACUUM BAG 300 كيس شفط الهواء 300</t>
  </si>
  <si>
    <t>Marble cake cover ( NAMQ ) غلاف كيكة الماربل ( نمق</t>
  </si>
  <si>
    <t>Lemon Cake Cover ( NAMQ ) غلاف كيكة الليمون ( نمق</t>
  </si>
  <si>
    <t>CO-00095</t>
  </si>
  <si>
    <t>Shoes Cover 	غطا حذاء</t>
  </si>
  <si>
    <t>Shoes Cover غطا حذاء</t>
  </si>
  <si>
    <t>Haya Arabia Trading Co. شركة هيا العربية التجارية</t>
  </si>
  <si>
    <t>شركة خطوط الافكار للتجارة</t>
  </si>
  <si>
    <t>RM-00640</t>
  </si>
  <si>
    <t>Cucumber | خيار</t>
  </si>
  <si>
    <t>PM-00726</t>
  </si>
  <si>
    <t>صحن ألمنيوم 230 مل | Aluminium plate</t>
  </si>
  <si>
    <t>PM-00723</t>
  </si>
  <si>
    <t>كوب بودنق 8 أونص || 8oz Puidding cup</t>
  </si>
  <si>
    <t>PM-00748</t>
  </si>
  <si>
    <t>استيكر باشن فروت للعبوة الزجاجية | Basion Fruit Sticker For Glass Container (Breehant)</t>
  </si>
  <si>
    <t>Item English Name</t>
  </si>
  <si>
    <t>Item Arabic Name</t>
  </si>
  <si>
    <t>Base UOM</t>
  </si>
  <si>
    <t>Packing Size</t>
  </si>
  <si>
    <t>WH Storage Unit</t>
  </si>
  <si>
    <t>Stocks</t>
  </si>
  <si>
    <t>Receve</t>
  </si>
  <si>
    <t>Despatch</t>
  </si>
  <si>
    <t>Current Stocks As Base Unit</t>
  </si>
  <si>
    <t>Current Stocks As Storage Unit</t>
  </si>
  <si>
    <t>Acrylic Drive-Through (NMQ)</t>
  </si>
  <si>
    <t>اكريلك درايف ثرو (نمق)</t>
  </si>
  <si>
    <t xml:space="preserve"> PCS </t>
  </si>
  <si>
    <t>Acrylic Allergens With Stand A4 (NMQ)</t>
  </si>
  <si>
    <t>اكريلك مسببات الحساسية مع ستاند A4 (نمق)</t>
  </si>
  <si>
    <t>PCS</t>
  </si>
  <si>
    <t>Acrylic Evaluation</t>
  </si>
  <si>
    <t>اكريلك التقييم</t>
  </si>
  <si>
    <t>Acrylic Family (NMQ)</t>
  </si>
  <si>
    <t>اكريلك عائلات (نمق)</t>
  </si>
  <si>
    <t>Acrylic Friday (NMQ)</t>
  </si>
  <si>
    <t>اكريلك جمعة (نمق)</t>
  </si>
  <si>
    <t>Acrylic No Smoking</t>
  </si>
  <si>
    <t>اكريلك ممنوع التدخين</t>
  </si>
  <si>
    <t>Acrylic Place Policy</t>
  </si>
  <si>
    <t>اكريلك سياسة المكان</t>
  </si>
  <si>
    <t>Acrylic Wi-Fi (NMQ)</t>
  </si>
  <si>
    <t>اكريلك واي فاي (نمق)</t>
  </si>
  <si>
    <t>CO-00037</t>
  </si>
  <si>
    <t>Acrylic Menu Small</t>
  </si>
  <si>
    <t>اكريلك منيو صغير</t>
  </si>
  <si>
    <t>Acrylic - Restroom</t>
  </si>
  <si>
    <t>لوحة اكريلك ارشادية - دورات مياه</t>
  </si>
  <si>
    <t>CO-00039</t>
  </si>
  <si>
    <t>Trolley</t>
  </si>
  <si>
    <t>عربية</t>
  </si>
  <si>
    <t>Large Tissue Roll Autocut</t>
  </si>
  <si>
    <t>مناديل رول كبير - اوتو كيت</t>
  </si>
  <si>
    <t>Toilet Cleaner</t>
  </si>
  <si>
    <t>منظف مرحاض</t>
  </si>
  <si>
    <t>Liter</t>
  </si>
  <si>
    <t>Cleaning Agent 1 - Ubermilk (Red)</t>
  </si>
  <si>
    <t>محلول تنظيف اوبر ميلك احمر</t>
  </si>
  <si>
    <t>Cleaning Agent 2 - Ubermilk (Blue)</t>
  </si>
  <si>
    <t>محلول تنظيف اوبر ميلك ازرق</t>
  </si>
  <si>
    <t>Glass Cleaner -Sanita</t>
  </si>
  <si>
    <t>منظف زجاج – سانيتا</t>
  </si>
  <si>
    <t>Sanitizer Floor Moppin - Sanita</t>
  </si>
  <si>
    <t>معقم لتنظيف الأرضيات –سانيتا</t>
  </si>
  <si>
    <t>Sanitizer Hand Gel - Sanita</t>
  </si>
  <si>
    <t>جل معقم لليدين – سانيتا</t>
  </si>
  <si>
    <t>Kitchen Cleaner &amp; Degreaser - Sanita (Sk2)</t>
  </si>
  <si>
    <t>نظف ومزيل دهون للمطبخ – سانيتا (Sk2)</t>
  </si>
  <si>
    <t>Grinder Cleaner</t>
  </si>
  <si>
    <t>منظف مطحنة</t>
  </si>
  <si>
    <t xml:space="preserve"> KG </t>
  </si>
  <si>
    <t>Filter - Ubermilk</t>
  </si>
  <si>
    <t>فلاتر اوبر ميلك</t>
  </si>
  <si>
    <t>Steam Cleaner</t>
  </si>
  <si>
    <t>منظف بخار</t>
  </si>
  <si>
    <t>Surface Sanitizer - Sanita Sk3</t>
  </si>
  <si>
    <t>سانيتا معقم الاسطح</t>
  </si>
  <si>
    <t>Plastic Apron</t>
  </si>
  <si>
    <t>مريلة بلاستيك</t>
  </si>
  <si>
    <t>Bundle</t>
  </si>
  <si>
    <t>Washing Sponge</t>
  </si>
  <si>
    <t>اسفنج</t>
  </si>
  <si>
    <t>Face Mask</t>
  </si>
  <si>
    <t>كمامة وجه</t>
  </si>
  <si>
    <t>Hopper Cleaner</t>
  </si>
  <si>
    <t>منظف هوبر</t>
  </si>
  <si>
    <t>Mop - Cotton</t>
  </si>
  <si>
    <t>ممسحة - قطن</t>
  </si>
  <si>
    <t>Wiper</t>
  </si>
  <si>
    <t>ممسحة</t>
  </si>
  <si>
    <t>Tide</t>
  </si>
  <si>
    <t>تايد</t>
  </si>
  <si>
    <t>CO-00075</t>
  </si>
  <si>
    <t>Nop Bucket 32 L - Yellow</t>
  </si>
  <si>
    <t>عربة عصار بلاستيك 32 لتر - اصفر</t>
  </si>
  <si>
    <t>Dust Pan And Bruch</t>
  </si>
  <si>
    <t>جاروف مع المكنسة عصاء طويل</t>
  </si>
  <si>
    <t>Polish Stainless Steel - Sanita Sk4</t>
  </si>
  <si>
    <t>ملمع الستانلس</t>
  </si>
  <si>
    <t>Pot Wash Anti-Bacterial Non Perfumed - Sanita Sd11</t>
  </si>
  <si>
    <t>غسيل الصحون ضد البكتيريا الغير معطر - سانيتا</t>
  </si>
  <si>
    <t>CO-00089</t>
  </si>
  <si>
    <t>Rust Remover - Sanita Sd14</t>
  </si>
  <si>
    <t>لأزالة الترسبات في الالة غسيل الصحون</t>
  </si>
  <si>
    <t xml:space="preserve"> Liter </t>
  </si>
  <si>
    <t>Hand Soap Anti - Bacterial - Sanita Sp21</t>
  </si>
  <si>
    <t>صابون اليد المضاد للبكتيريا - سانيتا</t>
  </si>
  <si>
    <t>Sanitizer &amp; Deodorizer Toilet - Sanita Sh31</t>
  </si>
  <si>
    <t>مطهر ومعقم منظف الحمامات</t>
  </si>
  <si>
    <t>Beard Cover</t>
  </si>
  <si>
    <t>غطاء الدقن</t>
  </si>
  <si>
    <t>Grinder Clean (Cafetto )</t>
  </si>
  <si>
    <t>اقراص تنظيف طاحونة (كافييتو)</t>
  </si>
  <si>
    <t>Shoe Cover</t>
  </si>
  <si>
    <t>غطا - حذاء</t>
  </si>
  <si>
    <t>Furniture Polish - Santia Sh34</t>
  </si>
  <si>
    <t>ملمع اخشاب سانتيا</t>
  </si>
  <si>
    <t>Hairnet - Black</t>
  </si>
  <si>
    <t>غطاء شعر - اسود</t>
  </si>
  <si>
    <t>Hand Sleevs</t>
  </si>
  <si>
    <t>غطا معصم</t>
  </si>
  <si>
    <t>Steaming Roll Towels - Blue</t>
  </si>
  <si>
    <t>مناشف رول تبخير - أزرق</t>
  </si>
  <si>
    <t>Carpet Cleaner</t>
  </si>
  <si>
    <t>منظف سجاد</t>
  </si>
  <si>
    <t>Food Bag Clb - Size 10</t>
  </si>
  <si>
    <t>كلوب حفظ الطعام - مقاس 10</t>
  </si>
  <si>
    <t>Food Bag Clb - Size 16</t>
  </si>
  <si>
    <t>كلوب حفظ الطعام - مقاس 16</t>
  </si>
  <si>
    <t>Gloves Black</t>
  </si>
  <si>
    <t>قفازات سوداء</t>
  </si>
  <si>
    <t>Degreaser Concentrated</t>
  </si>
  <si>
    <t>مزيل الشحوم مركز</t>
  </si>
  <si>
    <t>Tissues Box</t>
  </si>
  <si>
    <t>مناديل - صندوق</t>
  </si>
  <si>
    <t>Tissue Roll - Maxi Roll 300 mm</t>
  </si>
  <si>
    <t>ماكسي رول 300م</t>
  </si>
  <si>
    <t>Mop And Stick - Microfiber</t>
  </si>
  <si>
    <t>ممسحة مع العصا - مايكروفايبر</t>
  </si>
  <si>
    <t>CO-00128</t>
  </si>
  <si>
    <t>Mop Floor 80 cm</t>
  </si>
  <si>
    <t>ممسحة ارضيات 80 سم</t>
  </si>
  <si>
    <t>Puly Caff - Group Cleaning Powder 570 g</t>
  </si>
  <si>
    <t>بودرة تنظيف مكائن الإسبريسو بولي كاف 570 جرام</t>
  </si>
  <si>
    <t>Puly Caff - Group Cleaning Powder 900 g</t>
  </si>
  <si>
    <t>بودرة تنظيف مكائن الإسبريسو بولي كاف 900 جرام</t>
  </si>
  <si>
    <t>Hand Foam - Sanita</t>
  </si>
  <si>
    <t>رغوة لليدين – سانيتا</t>
  </si>
  <si>
    <t>Cleaner &amp; Degreaser Oven - Sanita Sk6</t>
  </si>
  <si>
    <t>منظف الأفران ومزيل الشحوم - سانيتا</t>
  </si>
  <si>
    <t>CO-00147</t>
  </si>
  <si>
    <t>Sign - Wet Floor</t>
  </si>
  <si>
    <t>علامة تحذيريه - ارضيه مبتله</t>
  </si>
  <si>
    <t>Wrapping Paper - Alnqawah Box ( BRH )</t>
  </si>
  <si>
    <t>ورق تغليف - بوكس النقاوه ( بريهانت )</t>
  </si>
  <si>
    <t>Sticker - No Smoking</t>
  </si>
  <si>
    <t>ستيكر - ممنوع التدخين</t>
  </si>
  <si>
    <t>Miswak</t>
  </si>
  <si>
    <t>مسواك</t>
  </si>
  <si>
    <t>CO-00188</t>
  </si>
  <si>
    <t>Mubkhara (NMQ)</t>
  </si>
  <si>
    <t>مبخرة (نمق)</t>
  </si>
  <si>
    <t>CO-00200</t>
  </si>
  <si>
    <t>Wapping Paper 22 cm * 69 cm - BRH Box</t>
  </si>
  <si>
    <t>ورق تغليف مقاس 22سم *69سم - بوكسات بريهانت</t>
  </si>
  <si>
    <t>Garbage Bin Wheels - 120 L</t>
  </si>
  <si>
    <t>حاوية مهملات بعجلات - 120 لتر</t>
  </si>
  <si>
    <t>Insect Killer Stick</t>
  </si>
  <si>
    <t>قاتل حشرات لاصق</t>
  </si>
  <si>
    <t>CO-00205</t>
  </si>
  <si>
    <t>Scale Recipe</t>
  </si>
  <si>
    <t>ميزان وصفات</t>
  </si>
  <si>
    <t>Plastic Box Size 9</t>
  </si>
  <si>
    <t>صندوق بلاستيك مقاس 9 - أزرق</t>
  </si>
  <si>
    <t>Plastic Box Size 7</t>
  </si>
  <si>
    <t>صندوق بلاستيك مقاس 7 - أزرق</t>
  </si>
  <si>
    <t>CO-00211</t>
  </si>
  <si>
    <t>Ladder Metal</t>
  </si>
  <si>
    <t>سلم معدني</t>
  </si>
  <si>
    <t>CO-00212</t>
  </si>
  <si>
    <t>Heater Gun</t>
  </si>
  <si>
    <t>مسدس حراري</t>
  </si>
  <si>
    <t>CO-00213</t>
  </si>
  <si>
    <t>Gas Cartridge</t>
  </si>
  <si>
    <t>علبة غاز 450 مل</t>
  </si>
  <si>
    <t>CO-00216</t>
  </si>
  <si>
    <t>Mould Silicon</t>
  </si>
  <si>
    <t>قالب سليكون</t>
  </si>
  <si>
    <t>Receipt (NMQ)</t>
  </si>
  <si>
    <t>سند (نمق)</t>
  </si>
  <si>
    <t>CO-00218</t>
  </si>
  <si>
    <t>Adhesive -A4 Paper</t>
  </si>
  <si>
    <t>لاصق - ورق</t>
  </si>
  <si>
    <t>Price Machine - Pl700 (Atlas)</t>
  </si>
  <si>
    <t>ماكينة تواريخ وأسعار - Pl700 (اطلس)</t>
  </si>
  <si>
    <t>Ink -Price Machine</t>
  </si>
  <si>
    <t>حبر الة تسعير وتواريخ</t>
  </si>
  <si>
    <t>CO-00283</t>
  </si>
  <si>
    <t>Hoodie Winter Season (NMQ)</t>
  </si>
  <si>
    <t>هودي الموسم الشتوي (نمق)</t>
  </si>
  <si>
    <t>CO-00284</t>
  </si>
  <si>
    <t>TDO T-Shirt</t>
  </si>
  <si>
    <t>تيشرت (تاندو)</t>
  </si>
  <si>
    <t>CO-00286</t>
  </si>
  <si>
    <t>TDO Pants</t>
  </si>
  <si>
    <t>بنطلون (تاندو)</t>
  </si>
  <si>
    <t>CO-00287</t>
  </si>
  <si>
    <t>Balto Coat</t>
  </si>
  <si>
    <t>بالطو جاكت</t>
  </si>
  <si>
    <t>CO-00305</t>
  </si>
  <si>
    <t>Cap - Beige</t>
  </si>
  <si>
    <t>قبعة - بيج</t>
  </si>
  <si>
    <t>CO-00306</t>
  </si>
  <si>
    <t>Cap - Olive Green</t>
  </si>
  <si>
    <t>قبعة - زيتي</t>
  </si>
  <si>
    <t>CO-00307</t>
  </si>
  <si>
    <t>Safety Shoe</t>
  </si>
  <si>
    <t>حذاء - آمن</t>
  </si>
  <si>
    <t>CO-00309</t>
  </si>
  <si>
    <t>Cap Fabric</t>
  </si>
  <si>
    <t>قبعة قماش</t>
  </si>
  <si>
    <t>CO-00315</t>
  </si>
  <si>
    <t>Keyboard &amp; Mouse</t>
  </si>
  <si>
    <t>لوحة مفاتيح وماوس</t>
  </si>
  <si>
    <t>Paper 12 mm - Receipt Printer</t>
  </si>
  <si>
    <t>ورق 12 ملم - طابعة الوصفات</t>
  </si>
  <si>
    <t>CO-00318</t>
  </si>
  <si>
    <t>Knife Brazil - Green</t>
  </si>
  <si>
    <t>سكين برازيل- اخضر</t>
  </si>
  <si>
    <t>Measuring Cup Espresso - 70 ml</t>
  </si>
  <si>
    <t>كوب قياس اسبريسو - 70 مل</t>
  </si>
  <si>
    <t>Brush - Grindminder Cleaning (Pallo)</t>
  </si>
  <si>
    <t>فرشاة تنظيف المطاحن</t>
  </si>
  <si>
    <t>CO-00323</t>
  </si>
  <si>
    <t>Filter V60 Coffee - 02</t>
  </si>
  <si>
    <t>فلتر قهوه V60 - 02</t>
  </si>
  <si>
    <t>Shower Screen Essprsso Machine Ims Lm 200 Nt</t>
  </si>
  <si>
    <t>شاور سكرين ماكينة اسبريسو Ims Lm 200 Nt</t>
  </si>
  <si>
    <t>Container Transparent - 18 L Cold Drinks</t>
  </si>
  <si>
    <t>وعاء شفاف - سعة 18 لتر للمشروبات الباردة</t>
  </si>
  <si>
    <t>Essprsso Machine Cleaning Brush</t>
  </si>
  <si>
    <t>فرشاة تنظيف ماكينة اسبريسو</t>
  </si>
  <si>
    <t>Spoon Ice Cream</t>
  </si>
  <si>
    <t>ملعقة آيس كريم</t>
  </si>
  <si>
    <t>CO-00328</t>
  </si>
  <si>
    <t>Filter Carbon 2nd Phase - 10Inch UDF</t>
  </si>
  <si>
    <t>فلتر كربون مرحلة 2 - 10 انش "Udf"</t>
  </si>
  <si>
    <t>Filter Carbon 3rd Phase- 10Inch CTO</t>
  </si>
  <si>
    <t>فلتر كربون مرحلة 3 - 10 انش "Cto"</t>
  </si>
  <si>
    <t>Filter Water Jambo 1St Phase - 20 Inch (Vietnamese)</t>
  </si>
  <si>
    <t>فلتر مياه جامبو - المرحلة الأولى - 20 بوصة (فيتنامي)</t>
  </si>
  <si>
    <t>Rubber Gasket Senseo Machine 8.5 mm</t>
  </si>
  <si>
    <t>جوان مطاط ماكينة سينسيو 8.5 مم</t>
  </si>
  <si>
    <t>Charcoal</t>
  </si>
  <si>
    <t>فحم</t>
  </si>
  <si>
    <t>CO-00333</t>
  </si>
  <si>
    <t>Silicone Mold - Coffee Bean</t>
  </si>
  <si>
    <t>سيليكون قهوة</t>
  </si>
  <si>
    <t>Cartridge Filter 10 Inch - Cpp 1 Mcr (Atlas)</t>
  </si>
  <si>
    <t>خرطوشة فلتر 10 انش - Cpp 1 ميكرون (اطلس)</t>
  </si>
  <si>
    <t>Cartridge Filter 10 Inch - Cpp 5 Mcr (Atlas)</t>
  </si>
  <si>
    <t>خرطوشة فلتر 10 انش - Cpp 5 ميكرون (اطلس)</t>
  </si>
  <si>
    <t>Cartridge Filter 10 Inch - Carbon Block 5 Mcr (Atlas)</t>
  </si>
  <si>
    <t>خرطوشة فلتر 10 انش - كربون بلوك 5 ميكرون (اطلس)</t>
  </si>
  <si>
    <t>Brush Dishwashing</t>
  </si>
  <si>
    <t>فرشاة غسيل أطباق</t>
  </si>
  <si>
    <t>Brush - Wash Sink</t>
  </si>
  <si>
    <t>فرشاة - حوض الغسيل</t>
  </si>
  <si>
    <t>Dough fabric pillow 30 cm</t>
  </si>
  <si>
    <t>مخدة عجين قماش 30 سم</t>
  </si>
  <si>
    <t>CO-00348</t>
  </si>
  <si>
    <t>Blanket 3 kg</t>
  </si>
  <si>
    <t>بطانية 3 كجم</t>
  </si>
  <si>
    <t>Knife Bread</t>
  </si>
  <si>
    <t>سكين مخبوزات</t>
  </si>
  <si>
    <t>CO-00351</t>
  </si>
  <si>
    <t>Metal Strainer</t>
  </si>
  <si>
    <t>مصفاه معدن</t>
  </si>
  <si>
    <t>Filter Grinder Fan - Anfim Sp2</t>
  </si>
  <si>
    <t>فلتر مروحة مطحنة - انفيم Sp2</t>
  </si>
  <si>
    <t>Tools - Matcha</t>
  </si>
  <si>
    <t>ادوات الماتشا</t>
  </si>
  <si>
    <t>CO-00354</t>
  </si>
  <si>
    <t>Tray - Wooden 20*45</t>
  </si>
  <si>
    <t>صينية - خشبية 20*45</t>
  </si>
  <si>
    <t>CO-00357</t>
  </si>
  <si>
    <t>Cleaning Bucket Closed - 58 mm</t>
  </si>
  <si>
    <t>سلة تنظيف مغلقة - 58 مم</t>
  </si>
  <si>
    <t>CO-00358</t>
  </si>
  <si>
    <t>Knife Holder - Magnetic</t>
  </si>
  <si>
    <t>حامل سكاكين - مغناطيس</t>
  </si>
  <si>
    <t>First Aid Box</t>
  </si>
  <si>
    <t>صندوق اسعافات اولية</t>
  </si>
  <si>
    <t>Paper A4</t>
  </si>
  <si>
    <t>ورق A4</t>
  </si>
  <si>
    <t>Paper - Barcode Sticker Machine</t>
  </si>
  <si>
    <t>ورق - ماكينة ملصقات الباركود</t>
  </si>
  <si>
    <t>CO-00363</t>
  </si>
  <si>
    <t>Mouse USB</t>
  </si>
  <si>
    <t>فارة يو اس بي (لوجيتك)</t>
  </si>
  <si>
    <t>CO-00376</t>
  </si>
  <si>
    <t>Dallah Coffee - Hospitality</t>
  </si>
  <si>
    <t>دلة قهوة - ضيافة</t>
  </si>
  <si>
    <t>Brush - Espozola 58</t>
  </si>
  <si>
    <t>CO-00378</t>
  </si>
  <si>
    <t>Lubricant Ice Cream Machine (Taylor)</t>
  </si>
  <si>
    <t>كريم تشحيم ماكينة الآيس كريم (تايلور)</t>
  </si>
  <si>
    <t>Tray - Wooden Size 20*35 (BRH)</t>
  </si>
  <si>
    <t>صينية - خشبية 20*35 ( بريهانت)</t>
  </si>
  <si>
    <t>CO-00390</t>
  </si>
  <si>
    <t>Firewood</t>
  </si>
  <si>
    <t>حطب للاشعال</t>
  </si>
  <si>
    <t>CO-00394</t>
  </si>
  <si>
    <t>Sanita Sd 13 Auto Rinse Aid</t>
  </si>
  <si>
    <t>سانيتا اس دي 13 غسول مركز للغسالات الاطباق</t>
  </si>
  <si>
    <t>CO-00397</t>
  </si>
  <si>
    <t>Sanita Sk 1 Oven Cleaner</t>
  </si>
  <si>
    <t>سانيتا اس كي 1 منظف افران</t>
  </si>
  <si>
    <t>CO-00408</t>
  </si>
  <si>
    <t>Insect Killer</t>
  </si>
  <si>
    <t>قاتل حشرات</t>
  </si>
  <si>
    <t>Trash Bags - 10 Gallon</t>
  </si>
  <si>
    <t>اكياس نفايات - 10 جالون</t>
  </si>
  <si>
    <t>Trash Bags - 55 Gallon</t>
  </si>
  <si>
    <t>كياس نفايات - 55 جالون</t>
  </si>
  <si>
    <t>CO-00418</t>
  </si>
  <si>
    <t>Bill Holder</t>
  </si>
  <si>
    <t>حامل فواتير</t>
  </si>
  <si>
    <t>CO-00429</t>
  </si>
  <si>
    <t>Steel Cover 1/2</t>
  </si>
  <si>
    <t>غطاء استيل 1/2</t>
  </si>
  <si>
    <t>CO-00430</t>
  </si>
  <si>
    <t>Mould Silicone - 6 Holes</t>
  </si>
  <si>
    <t>قالب سليكون - 6 فتحات</t>
  </si>
  <si>
    <t>Ink Cartridge - Printer</t>
  </si>
  <si>
    <t>حبر - طابعة</t>
  </si>
  <si>
    <t>CO-00442</t>
  </si>
  <si>
    <t>Zeebra Roll</t>
  </si>
  <si>
    <t>زيبرا رول</t>
  </si>
  <si>
    <t>Trash Can - 30 L</t>
  </si>
  <si>
    <t>سلة مهملات - 30 لتر</t>
  </si>
  <si>
    <t>Cup Glass 65 ml - Soft Drinks</t>
  </si>
  <si>
    <t>كوب زجاجي 65 مل – مشروبات غازية</t>
  </si>
  <si>
    <t>Jug - Matcha Mixing</t>
  </si>
  <si>
    <t>وعاء - خلط الماتشا</t>
  </si>
  <si>
    <t>CO-00470</t>
  </si>
  <si>
    <t>Tray Serving Espresso - Wooden</t>
  </si>
  <si>
    <t>صينية تقديم اسبريسو - خشب</t>
  </si>
  <si>
    <t>Cartridge Filter 20 Inch - Carbon Block 5 Mcr</t>
  </si>
  <si>
    <t>خرطوشة فلتر 20 انش - كربون بلوك 5 ميكرون</t>
  </si>
  <si>
    <t>Brush - Preparation Surface</t>
  </si>
  <si>
    <t>فرشاة - اسطح التحضير</t>
  </si>
  <si>
    <t>CO-00481</t>
  </si>
  <si>
    <t>Coffee Distbuter 58 (Motta)</t>
  </si>
  <si>
    <t>موزع قهوة 58 (موتا)</t>
  </si>
  <si>
    <t>Syscall Sgp-300R 10C (Set) Diamond Pager +Charger Base With Power Supply</t>
  </si>
  <si>
    <t>جهاز بيجر سانكول لبريهانت</t>
  </si>
  <si>
    <t>CO-00485</t>
  </si>
  <si>
    <t>Bicycle 26 Inch</t>
  </si>
  <si>
    <t>دراجة 26 انش</t>
  </si>
  <si>
    <t>Mop Holder Plastic</t>
  </si>
  <si>
    <t>مقبض ممسحة بلاستيك</t>
  </si>
  <si>
    <t>Dripper Ceramic V60 - Hairo 02</t>
  </si>
  <si>
    <t>قمع سيراميك V60 - هايرو 02</t>
  </si>
  <si>
    <t>Timer - Toddy</t>
  </si>
  <si>
    <t>مؤقت - تودي</t>
  </si>
  <si>
    <t>Container Cold Brew (Toddy)</t>
  </si>
  <si>
    <t>وعاءكولد برو (تودي)</t>
  </si>
  <si>
    <t>CO-00492</t>
  </si>
  <si>
    <t>Pitcher Jibbi 600 ml</t>
  </si>
  <si>
    <t>إبريق جيبي 600 مل</t>
  </si>
  <si>
    <t>Screw La Marzocco Ims Shower Screen - 6 Holes</t>
  </si>
  <si>
    <t>مسمار شاور سكرين لامارزوكو - 6 فتحات</t>
  </si>
  <si>
    <t>Water Tester</t>
  </si>
  <si>
    <t>جهاز قياس الأملاح</t>
  </si>
  <si>
    <t>CO-00495</t>
  </si>
  <si>
    <t>Coffee Knock Box</t>
  </si>
  <si>
    <t>صندوق طرق القهوة</t>
  </si>
  <si>
    <t>Barriers</t>
  </si>
  <si>
    <t>Pumps - Syrup</t>
  </si>
  <si>
    <t>مضخة - سيروب</t>
  </si>
  <si>
    <t>Filter Impurity - 10 Inch (Vietnamese)</t>
  </si>
  <si>
    <t>فلتر شوائب - 10 بوصة (فيتنامي)</t>
  </si>
  <si>
    <t>Squeeze Bottle - 3 Nozzle</t>
  </si>
  <si>
    <t>علبة التشوكليت بثلاث فتحات</t>
  </si>
  <si>
    <t>CO-00501</t>
  </si>
  <si>
    <t>Screwdrivers Set</t>
  </si>
  <si>
    <t>مجموعة مفكات</t>
  </si>
  <si>
    <t>Distributor - Wooden 58.5 mm</t>
  </si>
  <si>
    <t>موزع - خشبي 58.5 ملم</t>
  </si>
  <si>
    <t>CO-00503</t>
  </si>
  <si>
    <t>Tamper 58.5 mm</t>
  </si>
  <si>
    <t>مكبس 58.5 مم</t>
  </si>
  <si>
    <t>Ashtray Steel</t>
  </si>
  <si>
    <t>طفاية سجائر</t>
  </si>
  <si>
    <t>CO-00506</t>
  </si>
  <si>
    <t>Transmitter</t>
  </si>
  <si>
    <t>ترانزميتر</t>
  </si>
  <si>
    <t>CO-00507</t>
  </si>
  <si>
    <t>Water Treatment System Culligan</t>
  </si>
  <si>
    <t>نظام معالجة المياه - كوليجان</t>
  </si>
  <si>
    <t>Garbage Bin Pedal - 12 L</t>
  </si>
  <si>
    <t>سلة مهملات دواسة - 12 لتر</t>
  </si>
  <si>
    <t>ID Holder - Wooden</t>
  </si>
  <si>
    <t>حامل بطاقة - خشبي</t>
  </si>
  <si>
    <t>CO-00510</t>
  </si>
  <si>
    <t>Cartridge Filter 20 Inch - Cpp 1 Mcr</t>
  </si>
  <si>
    <t>خرطوشة فلتر 20 انش - Cpp 1 ميكرون</t>
  </si>
  <si>
    <t>Cartridge Filter 20 Inch - Cpp 5 Mcr (Atlas)</t>
  </si>
  <si>
    <t>خرطوشة فلتر 20 انش - Cpp 5 ميكرون (اطلس)</t>
  </si>
  <si>
    <t>Cartridge Filter 20 Inch - Big Cpp 1 Mcr (Atlas)</t>
  </si>
  <si>
    <t>خرطوشة فلتر 20 انش - Cpp كبير 1 ميكرون (اطلس)</t>
  </si>
  <si>
    <t>Cartridge Filter 20 Inch - Big Cpp 5 Mcr (Atlas)</t>
  </si>
  <si>
    <t>خرطوشة فلتر 20 انش - Cpp كبير 5 ميكرون (اطلس)</t>
  </si>
  <si>
    <t>Cartridge Filter 20 Inch - Big Carbon Block 5 Mcr</t>
  </si>
  <si>
    <t>خرطوشة فلتر 20 انش - كربون بلوك كبير 5 ميكرون</t>
  </si>
  <si>
    <t>Mold Silicone - 3 Holes</t>
  </si>
  <si>
    <t>قالب سيلكون - 3 فتحات</t>
  </si>
  <si>
    <t>Rubber Sealing Band</t>
  </si>
  <si>
    <t>ربل</t>
  </si>
  <si>
    <t>CO-00517</t>
  </si>
  <si>
    <t>Salt Shaker Steel - Big</t>
  </si>
  <si>
    <t>مملحة ستيل كبير</t>
  </si>
  <si>
    <t>CO-00518</t>
  </si>
  <si>
    <t>Salt Shaker - Lid 9 cm</t>
  </si>
  <si>
    <t>مملحة مع غطاء 9 سم</t>
  </si>
  <si>
    <t>CO-00519</t>
  </si>
  <si>
    <t>Pot Stainless Steel - 30X30-231</t>
  </si>
  <si>
    <t>قدر ستانلس ستيل - 30×30-231</t>
  </si>
  <si>
    <t>CO-00520</t>
  </si>
  <si>
    <t>Display Stand - Syrup</t>
  </si>
  <si>
    <t>حامل عرض - (سيرب)</t>
  </si>
  <si>
    <t>CO-00521</t>
  </si>
  <si>
    <t>Spoon - Rubber</t>
  </si>
  <si>
    <t>ملعقة - مطاطية</t>
  </si>
  <si>
    <t>Spoon Stainless Steel</t>
  </si>
  <si>
    <t>ملعقة الستانلس ستيل</t>
  </si>
  <si>
    <t>CO-00525</t>
  </si>
  <si>
    <t>Thermometer - Laser</t>
  </si>
  <si>
    <t>ميزان حرارة - الليزر</t>
  </si>
  <si>
    <t>Utility Tongs</t>
  </si>
  <si>
    <t>ملقط</t>
  </si>
  <si>
    <t>CO-00534</t>
  </si>
  <si>
    <t>Trash Bin Stainless Steel - 30 L</t>
  </si>
  <si>
    <t>سطل نفايات استانلس - 30 لتر</t>
  </si>
  <si>
    <t>CO-00536</t>
  </si>
  <si>
    <t>NMQ Shirt</t>
  </si>
  <si>
    <t>قميص (نمق)</t>
  </si>
  <si>
    <t>CO-00537</t>
  </si>
  <si>
    <t>Pants - Beige</t>
  </si>
  <si>
    <t>بنطلون - بيج</t>
  </si>
  <si>
    <t>CO-00539</t>
  </si>
  <si>
    <t>Air Blower Electric</t>
  </si>
  <si>
    <t>منفاخ هواء كهربائي</t>
  </si>
  <si>
    <t>Hoodie (BRH )</t>
  </si>
  <si>
    <t>هودي (بريهانت)</t>
  </si>
  <si>
    <t>CO-00544</t>
  </si>
  <si>
    <t>Jacket - Freezer</t>
  </si>
  <si>
    <t>جاكيت - فريزر</t>
  </si>
  <si>
    <t>CO-00546</t>
  </si>
  <si>
    <t>Mixer Drink</t>
  </si>
  <si>
    <t>خفاق مشروبات</t>
  </si>
  <si>
    <t>CO-00548</t>
  </si>
  <si>
    <t>Whisk - Matcha Mixing (AVO)</t>
  </si>
  <si>
    <t>خفاقة - لخلط الماتشا (افولا)</t>
  </si>
  <si>
    <t>CO-00549</t>
  </si>
  <si>
    <t>Cashier Box</t>
  </si>
  <si>
    <t>صندوق كاشير</t>
  </si>
  <si>
    <t>Giveaway - Small Turtle Figurine</t>
  </si>
  <si>
    <t>هدية ترويجية - مجسم سلحفاء صغير</t>
  </si>
  <si>
    <t>CO-00554</t>
  </si>
  <si>
    <t>Giveaway - Large Turtle Doll</t>
  </si>
  <si>
    <t>هدية ترويجية - دمية سلحفاء كبيره</t>
  </si>
  <si>
    <t>Giveaway - Small Turtle Doll</t>
  </si>
  <si>
    <t>هدية ترويجية - دمية سلحفاء صغيرة</t>
  </si>
  <si>
    <t>CO-00556</t>
  </si>
  <si>
    <t>Acrylic Chocolate Mold Turtle Shape</t>
  </si>
  <si>
    <t>قالب شوكولاتة اكريلك شكل سلحفاة</t>
  </si>
  <si>
    <t>CO-00558</t>
  </si>
  <si>
    <t>Wooden matcha spoon</t>
  </si>
  <si>
    <t>ملعق  خشب  للماتشا</t>
  </si>
  <si>
    <t>Pitcher Jibbi 1000 ml</t>
  </si>
  <si>
    <t>إبريق جيبي 1000 مل</t>
  </si>
  <si>
    <t>CO-00563</t>
  </si>
  <si>
    <t>Spoon Large - Glass (AVO)</t>
  </si>
  <si>
    <t>ملعقة زجاج حجم كبير (افولا)</t>
  </si>
  <si>
    <t>CO-00564</t>
  </si>
  <si>
    <t>Spoon Small - Glass(AVO)</t>
  </si>
  <si>
    <t>ملعقة زجاج حجم صغير (افولا)</t>
  </si>
  <si>
    <t>CO-00565</t>
  </si>
  <si>
    <t>Receipt (BRH)</t>
  </si>
  <si>
    <t>سند (بريهانت)</t>
  </si>
  <si>
    <t>CO-00567</t>
  </si>
  <si>
    <t>Stainless Steel Satin Slicer 20-Round – 38 cm</t>
  </si>
  <si>
    <t>طّاعة ستانلس ستيل دائرية 20 – قطر 38 سم</t>
  </si>
  <si>
    <t>CO-00570</t>
  </si>
  <si>
    <t>Jacket - Winter Season</t>
  </si>
  <si>
    <t>جاكيت - موسم الشتاء</t>
  </si>
  <si>
    <t>CO-00576</t>
  </si>
  <si>
    <t>Mixer - Egg 200 W</t>
  </si>
  <si>
    <t>خلاط بيض 200 واط</t>
  </si>
  <si>
    <t>CO-00577</t>
  </si>
  <si>
    <t>Pot Stainless Steel - 30*20 cm</t>
  </si>
  <si>
    <t>قدر ستيل 20*30</t>
  </si>
  <si>
    <t>CO-00578</t>
  </si>
  <si>
    <t>Whisk - Egg 35 cm</t>
  </si>
  <si>
    <t>مضرب بيض 35 سم</t>
  </si>
  <si>
    <t>Incense – Enhanced Moroccan Oud</t>
  </si>
  <si>
    <t>بخور – عود مغربي محسّن</t>
  </si>
  <si>
    <t>CO-00583</t>
  </si>
  <si>
    <t>Mop Cotton - Yellow</t>
  </si>
  <si>
    <t>ممسحة قطن – أصفر</t>
  </si>
  <si>
    <t>CO-00584</t>
  </si>
  <si>
    <t>Mob Cotton - Blue</t>
  </si>
  <si>
    <t>ممسحة قطن - أزرق</t>
  </si>
  <si>
    <t>CO-00585</t>
  </si>
  <si>
    <t>Mop Cotton - Red</t>
  </si>
  <si>
    <t>ممسحة قطن – أحمر</t>
  </si>
  <si>
    <t>CO-00586</t>
  </si>
  <si>
    <t>Floor Brush Dual - Yellow</t>
  </si>
  <si>
    <t>فرشاة أرضيات مزدوجة السطح – أصفر</t>
  </si>
  <si>
    <t>CO-00587</t>
  </si>
  <si>
    <t>Floor Brush Dual - Red</t>
  </si>
  <si>
    <t>فرشاة أرضيات مزدوجة السطح – أحمر</t>
  </si>
  <si>
    <t>CO-00588</t>
  </si>
  <si>
    <t>Floor Brush Dual - Blue</t>
  </si>
  <si>
    <t>فرشاة أرضيات مزدوجة - أزرق</t>
  </si>
  <si>
    <t>CO-00589</t>
  </si>
  <si>
    <t>Broom 9 inch LOBBY - Blue</t>
  </si>
  <si>
    <t>مكنسة 9 انش لوبي - أزرق</t>
  </si>
  <si>
    <t>CO-00590</t>
  </si>
  <si>
    <t>Broom 9 inch LOBBY - Yellow</t>
  </si>
  <si>
    <t>مكنسة لوبي 9 إنش – أصفر</t>
  </si>
  <si>
    <t>CO-00591</t>
  </si>
  <si>
    <t>Broom 9 inch LOBBY - Red</t>
  </si>
  <si>
    <t>مكنسة لوبي 9 إنش – أحمر</t>
  </si>
  <si>
    <t>CO-00592</t>
  </si>
  <si>
    <t>Floor Wiper Rubber 22 inch - Blue</t>
  </si>
  <si>
    <t>ممسحة أرضيات مطاطية 22 انش - أزرق</t>
  </si>
  <si>
    <t>CO-00593</t>
  </si>
  <si>
    <t>Floor Wiper Rubber 22 inch - Red</t>
  </si>
  <si>
    <t>ممسحة أرضيات مطاطية 22 إنش – أحمر</t>
  </si>
  <si>
    <t>CO-00594</t>
  </si>
  <si>
    <t>Floor Wiper Rubber 22 inch - Yellow</t>
  </si>
  <si>
    <t>ممسحة أرضيات مطاطية 22 إنش – أصفر</t>
  </si>
  <si>
    <t>CO-00595</t>
  </si>
  <si>
    <t>Broom Outdoor 18 inch - Blue</t>
  </si>
  <si>
    <t>مكنسة خارجية 18 انش - أزرق</t>
  </si>
  <si>
    <t>CO-00596</t>
  </si>
  <si>
    <t>Broom Outdoor 18 inch - Red</t>
  </si>
  <si>
    <t>مكنسة خارجية 18 إنش – أحمر</t>
  </si>
  <si>
    <t>CO-00597</t>
  </si>
  <si>
    <t>Broom Outdoor 18 inch - Yellow</t>
  </si>
  <si>
    <t>مكنسة خارجية 18 إنش – أصفر</t>
  </si>
  <si>
    <t>CO-00598</t>
  </si>
  <si>
    <t>Dustpan - Handle And Head</t>
  </si>
  <si>
    <t>مجرفة قمامة - مقبض ورأس</t>
  </si>
  <si>
    <t>CO-00599</t>
  </si>
  <si>
    <t>Aluminium Tool Holder 4 Slots</t>
  </si>
  <si>
    <t>حامل أدوات ألمنيوم بأربع وضعيات</t>
  </si>
  <si>
    <t>CO-00600</t>
  </si>
  <si>
    <t>Handle Aluminum - 36 Inch</t>
  </si>
  <si>
    <t>عصا ألمنيوم 36 إنش</t>
  </si>
  <si>
    <t>CO-00601</t>
  </si>
  <si>
    <t>Handle Aluminum - 54 Inch</t>
  </si>
  <si>
    <t>عصا ألمنيوم 54 إنش</t>
  </si>
  <si>
    <t>CO-00602</t>
  </si>
  <si>
    <t>Dual Mop Bucket - Blue</t>
  </si>
  <si>
    <t>دلو ممسحة مزدوج - أزرق</t>
  </si>
  <si>
    <t>CO-00603</t>
  </si>
  <si>
    <t>Dual Mop Bucket - Yellow</t>
  </si>
  <si>
    <t>دلو ممسحة مزدوج - أصفر</t>
  </si>
  <si>
    <t>CO-00604</t>
  </si>
  <si>
    <t>Dual Mop Bucket - Red</t>
  </si>
  <si>
    <t>دلو ممسحة مزدوج - أحمر</t>
  </si>
  <si>
    <t>Cups Holder - Steal</t>
  </si>
  <si>
    <t>حامل أكواب - ستيل</t>
  </si>
  <si>
    <t>CO-00611</t>
  </si>
  <si>
    <t>Mold - Rectangular</t>
  </si>
  <si>
    <t>قالب - مستطيل</t>
  </si>
  <si>
    <t>CO-00613</t>
  </si>
  <si>
    <t>Sediment Filter Cartridge – 20 Inch</t>
  </si>
  <si>
    <t>خرطوشة فلتر ترسيب - 20 انش</t>
  </si>
  <si>
    <t>CO-00614</t>
  </si>
  <si>
    <t>Cartridge Ec110</t>
  </si>
  <si>
    <t>خرطوشة Ec110</t>
  </si>
  <si>
    <t>CO-00615</t>
  </si>
  <si>
    <t>Filter - Salt</t>
  </si>
  <si>
    <t>ملح الفلتر</t>
  </si>
  <si>
    <t>CO-00616</t>
  </si>
  <si>
    <t>Cable HDMI</t>
  </si>
  <si>
    <t>كيبل Hdmi</t>
  </si>
  <si>
    <t>CO-00617</t>
  </si>
  <si>
    <t>Hair Net - Blue</t>
  </si>
  <si>
    <t>غطاء شعر - أزرق</t>
  </si>
  <si>
    <t xml:space="preserve"> Bundle </t>
  </si>
  <si>
    <t>CO-00618</t>
  </si>
  <si>
    <t>Sleeve Cover - Blue</t>
  </si>
  <si>
    <t>غطاء أكمام - أزرق</t>
  </si>
  <si>
    <t>CO-00619</t>
  </si>
  <si>
    <t>Gloves Vinyl - Blue</t>
  </si>
  <si>
    <t>قفازات فينيل - أزرق</t>
  </si>
  <si>
    <t>CO-00620</t>
  </si>
  <si>
    <t>Face Mask -Blue</t>
  </si>
  <si>
    <t>كمامة وجه - أزرق</t>
  </si>
  <si>
    <t>CO-00621</t>
  </si>
  <si>
    <t>Plastic Box</t>
  </si>
  <si>
    <t>صندوق بلاستيك</t>
  </si>
  <si>
    <t>CO-00622</t>
  </si>
  <si>
    <t>Plastic Pallet 100*120</t>
  </si>
  <si>
    <t>طبلية بلاستيك 100*120</t>
  </si>
  <si>
    <t>CO-00623</t>
  </si>
  <si>
    <t>A112-D Black Anti Theft Display Stand</t>
  </si>
  <si>
    <t>ستاند تابلت طاولة لون اسود</t>
  </si>
  <si>
    <t>CO-00625</t>
  </si>
  <si>
    <t>Pinboard</t>
  </si>
  <si>
    <t>لوحة دبابيس</t>
  </si>
  <si>
    <t>CO-00626</t>
  </si>
  <si>
    <t>Thumbtacks</t>
  </si>
  <si>
    <t>دبابيس ضغط</t>
  </si>
  <si>
    <t>CO-00627</t>
  </si>
  <si>
    <t>Stapler - Metal</t>
  </si>
  <si>
    <t>دباسة حديد</t>
  </si>
  <si>
    <t>CO-00628</t>
  </si>
  <si>
    <t>Scissor - Paper</t>
  </si>
  <si>
    <t>مقص - للورق</t>
  </si>
  <si>
    <t>CO-00629</t>
  </si>
  <si>
    <t>Glue - Paper</t>
  </si>
  <si>
    <t>غراء - ورق</t>
  </si>
  <si>
    <t>CO-00630</t>
  </si>
  <si>
    <t>File Dividers Plastic</t>
  </si>
  <si>
    <t>فواصل ملفات بلاستيك</t>
  </si>
  <si>
    <t>CO-00631</t>
  </si>
  <si>
    <t>Plastic Cover Transparent A4</t>
  </si>
  <si>
    <t>غلاف بلاستيك شفاف A4</t>
  </si>
  <si>
    <t>CO-00632</t>
  </si>
  <si>
    <t>Paper A3</t>
  </si>
  <si>
    <t>ورق A3</t>
  </si>
  <si>
    <t>CO-00633</t>
  </si>
  <si>
    <t>Rubber Bands</t>
  </si>
  <si>
    <t>مغاط فلوس</t>
  </si>
  <si>
    <t>CO-00634</t>
  </si>
  <si>
    <t>Notebook</t>
  </si>
  <si>
    <t>دفتر ملاحظات</t>
  </si>
  <si>
    <t>CO-00635</t>
  </si>
  <si>
    <t>Liquid Ink - Blue</t>
  </si>
  <si>
    <t>حبر سائل - أزرق</t>
  </si>
  <si>
    <t>CO-00636</t>
  </si>
  <si>
    <t>Ink Liquid - Red</t>
  </si>
  <si>
    <t>حبر سائل أحمر</t>
  </si>
  <si>
    <t>CO-00639</t>
  </si>
  <si>
    <t>Pen</t>
  </si>
  <si>
    <t>قلم</t>
  </si>
  <si>
    <t>CO-00640</t>
  </si>
  <si>
    <t>Sticky Notes</t>
  </si>
  <si>
    <t>ورق ملاحظات بلاصق</t>
  </si>
  <si>
    <t>CO-00641</t>
  </si>
  <si>
    <t>Pen - Highlighter</t>
  </si>
  <si>
    <t>قلم تحديد</t>
  </si>
  <si>
    <t>CO-00642</t>
  </si>
  <si>
    <t>Marker Whiteboard - Non-Erasable</t>
  </si>
  <si>
    <t>قلم سبورة - غير قابل للمسح</t>
  </si>
  <si>
    <t>CO-00643</t>
  </si>
  <si>
    <t>Archive File</t>
  </si>
  <si>
    <t>ملف أرشيف</t>
  </si>
  <si>
    <t>CO-00644</t>
  </si>
  <si>
    <t>Paper Holder - Wooden</t>
  </si>
  <si>
    <t>حامل ورق - خشبي</t>
  </si>
  <si>
    <t>CO-00645</t>
  </si>
  <si>
    <t>Clips - Paper</t>
  </si>
  <si>
    <t>مشبك - ورق</t>
  </si>
  <si>
    <t xml:space="preserve"> Box </t>
  </si>
  <si>
    <t>CO-00646</t>
  </si>
  <si>
    <t>Pins - Stapler</t>
  </si>
  <si>
    <t>دبابيس</t>
  </si>
  <si>
    <t>CO-00647</t>
  </si>
  <si>
    <t>Whiteboard 60×90 cm</t>
  </si>
  <si>
    <t>سبورة بيضاء 60×90 سم</t>
  </si>
  <si>
    <t>CO-00648</t>
  </si>
  <si>
    <t>Marker Whiteboard - Erasable</t>
  </si>
  <si>
    <t>قلم سبورة - قابل للمسح</t>
  </si>
  <si>
    <t>CO-00649</t>
  </si>
  <si>
    <t>Eraser Whiteboard</t>
  </si>
  <si>
    <t>ممحاة سبورة</t>
  </si>
  <si>
    <t>CO-00650</t>
  </si>
  <si>
    <t>First Aid - Kit Contents</t>
  </si>
  <si>
    <t>اسعافات اوليه - محتوى</t>
  </si>
  <si>
    <t>CO-00651</t>
  </si>
  <si>
    <t>Namq T-Shirt</t>
  </si>
  <si>
    <t>تيشرت نمق</t>
  </si>
  <si>
    <t xml:space="preserve"> Pcs </t>
  </si>
  <si>
    <t>CO-00652</t>
  </si>
  <si>
    <t>Namq Pants</t>
  </si>
  <si>
    <t>بنطلون نمق</t>
  </si>
  <si>
    <t>CO-00653</t>
  </si>
  <si>
    <t>BRH T-Shirt</t>
  </si>
  <si>
    <t>تيشرت (بريهانت)</t>
  </si>
  <si>
    <t>CO-00654</t>
  </si>
  <si>
    <t>BRH Pants</t>
  </si>
  <si>
    <t>بنطلون (بريهانت)</t>
  </si>
  <si>
    <t>CO-00655</t>
  </si>
  <si>
    <t>Avola T-Shirt</t>
  </si>
  <si>
    <t>تيشرت أفولا</t>
  </si>
  <si>
    <t>CO-00656</t>
  </si>
  <si>
    <t>Avola Pants</t>
  </si>
  <si>
    <t>بنطلون أفولا</t>
  </si>
  <si>
    <t>CO-00657</t>
  </si>
  <si>
    <t>Factory T-Shirt</t>
  </si>
  <si>
    <t>تيشرت المصنع</t>
  </si>
  <si>
    <t>CO-00658</t>
  </si>
  <si>
    <t>Warehouse T-Shirt</t>
  </si>
  <si>
    <t>تيشيرت (المستودع)</t>
  </si>
  <si>
    <t>CO-00659</t>
  </si>
  <si>
    <t>Factory Pants</t>
  </si>
  <si>
    <t>بنطلون المصنع</t>
  </si>
  <si>
    <t>CO-00660</t>
  </si>
  <si>
    <t>Warehouse Pants</t>
  </si>
  <si>
    <t>بنطلون (المستودع)</t>
  </si>
  <si>
    <t>CO-00661</t>
  </si>
  <si>
    <t>Acai Bowl</t>
  </si>
  <si>
    <t>وعاء أساي</t>
  </si>
  <si>
    <t>GB-00001</t>
  </si>
  <si>
    <t>Ethiopia Shakiso Breehant</t>
  </si>
  <si>
    <t>إثيوبيا شاكيسو بريهنت</t>
  </si>
  <si>
    <t>GB-00002</t>
  </si>
  <si>
    <t>Colombia Palandas</t>
  </si>
  <si>
    <t xml:space="preserve">بن كولومبي بالانداس </t>
  </si>
  <si>
    <t>GB-00003</t>
  </si>
  <si>
    <t>Brazil Rosa Morina</t>
  </si>
  <si>
    <t xml:space="preserve">بن برازيلي روزا مورينا </t>
  </si>
  <si>
    <t>GB-00006</t>
  </si>
  <si>
    <t>Elsalvador La Majada</t>
  </si>
  <si>
    <t>السلفادور لا ماخادا</t>
  </si>
  <si>
    <t>GB-00007</t>
  </si>
  <si>
    <t>Colombia San Rafael</t>
  </si>
  <si>
    <t>GB-00008</t>
  </si>
  <si>
    <t>Ethiopia Hambella</t>
  </si>
  <si>
    <t xml:space="preserve">بن اثيوبي هامبيلا </t>
  </si>
  <si>
    <t>GB-00009</t>
  </si>
  <si>
    <t>Ethiopia Kaffa</t>
  </si>
  <si>
    <t xml:space="preserve">بن اثيوبي كافا </t>
  </si>
  <si>
    <t>GB-00010</t>
  </si>
  <si>
    <t>Saudi Al Saeed</t>
  </si>
  <si>
    <t xml:space="preserve">بن سعودي ال سعيد </t>
  </si>
  <si>
    <t>GB-00011</t>
  </si>
  <si>
    <t>Yemen Haraz</t>
  </si>
  <si>
    <t xml:space="preserve">بن يمني حراز </t>
  </si>
  <si>
    <t>GB-00012</t>
  </si>
  <si>
    <t>El Salvador Santa Ana</t>
  </si>
  <si>
    <t>السلفادور سانتا آنا</t>
  </si>
  <si>
    <t>GB-00013</t>
  </si>
  <si>
    <t>Ethiopia Shakiso Namq</t>
  </si>
  <si>
    <t>إثيوبيا شاكيسو نمق</t>
  </si>
  <si>
    <t>GB-00014</t>
  </si>
  <si>
    <t>Colombia La Plata</t>
  </si>
  <si>
    <t xml:space="preserve">بن كولومبي لا بلاتا </t>
  </si>
  <si>
    <t>GB-00015</t>
  </si>
  <si>
    <t>Ethiopia Shelsheli</t>
  </si>
  <si>
    <t xml:space="preserve">بن أخضر اثيوبي شلشلي </t>
  </si>
  <si>
    <t>GB-00017</t>
  </si>
  <si>
    <t>Indonisia Blueberry</t>
  </si>
  <si>
    <t>GB-00018</t>
  </si>
  <si>
    <t>Colombia Peaches</t>
  </si>
  <si>
    <t>GB-00019</t>
  </si>
  <si>
    <t>Brazil Mogiana</t>
  </si>
  <si>
    <t xml:space="preserve">بن أخضر برازيلي موجيانا </t>
  </si>
  <si>
    <t>GB-00020</t>
  </si>
  <si>
    <t>Uganda Rwenzori</t>
  </si>
  <si>
    <t>بن أوغندي روينزوري مجفف</t>
  </si>
  <si>
    <t>GB-00021</t>
  </si>
  <si>
    <t>Ethiopia West Arsi</t>
  </si>
  <si>
    <t xml:space="preserve">بن أخضر اثيوبي ويست ارسي </t>
  </si>
  <si>
    <t>GB-00022</t>
  </si>
  <si>
    <t>Costa Rica San Ignacio</t>
  </si>
  <si>
    <t>بن أخضر كوستاريكي سان اجناسيو</t>
  </si>
  <si>
    <t>GB-00023</t>
  </si>
  <si>
    <t>Colombia Excelso</t>
  </si>
  <si>
    <t xml:space="preserve">بن أخضر كولومبي اكسيلسو </t>
  </si>
  <si>
    <t>GB-00024</t>
  </si>
  <si>
    <t>Colombia Cauca</t>
  </si>
  <si>
    <t xml:space="preserve">بن أخضر كولومبي كاوكا </t>
  </si>
  <si>
    <t>GB-00025</t>
  </si>
  <si>
    <t>Guji Alfanoos</t>
  </si>
  <si>
    <t>غوجي الفانوس</t>
  </si>
  <si>
    <t>GB-00026</t>
  </si>
  <si>
    <t>Sumatra</t>
  </si>
  <si>
    <t xml:space="preserve">بن أخضر سومطرا </t>
  </si>
  <si>
    <t>GB-00027</t>
  </si>
  <si>
    <t>Colombia Decaf</t>
  </si>
  <si>
    <t>كولومبي ديكاف</t>
  </si>
  <si>
    <t>GB-00028</t>
  </si>
  <si>
    <t>Ethiopia Gotiti</t>
  </si>
  <si>
    <t>بن أخضر اثيوبي جوتيتي</t>
  </si>
  <si>
    <t>GB-00029</t>
  </si>
  <si>
    <t>Kafa Arabic Coffee</t>
  </si>
  <si>
    <t>قهوة كافا العربية</t>
  </si>
  <si>
    <t>GB-00032</t>
  </si>
  <si>
    <t>New Oriented Anaerobic Dryer</t>
  </si>
  <si>
    <t xml:space="preserve">بن أخضر غواتيمالا نيو اوريانتي </t>
  </si>
  <si>
    <t>GB-00033</t>
  </si>
  <si>
    <t>Ethiopia Suke Natural</t>
  </si>
  <si>
    <t xml:space="preserve">بن أخضر اثيوبي سوكي </t>
  </si>
  <si>
    <t>GB-00034</t>
  </si>
  <si>
    <t>Brazil Wafer Chocolate</t>
  </si>
  <si>
    <t xml:space="preserve">بن أخضر برازيلي ويفر </t>
  </si>
  <si>
    <t>GB-00035</t>
  </si>
  <si>
    <t>Colombia Pina Colada Specialty</t>
  </si>
  <si>
    <t>بن أخضر كولومبي بينا كولادا</t>
  </si>
  <si>
    <t>GB-00036</t>
  </si>
  <si>
    <t>Colombia Citric Natural Specialty</t>
  </si>
  <si>
    <t>بن أخضر كولومبي ستريك</t>
  </si>
  <si>
    <t>GB-00037</t>
  </si>
  <si>
    <t>Ethiopia - Faysel Abdosh Kebina Premium</t>
  </si>
  <si>
    <t>GB-00038</t>
  </si>
  <si>
    <t>Ethiopia Washed Yirgachefe</t>
  </si>
  <si>
    <t xml:space="preserve">بن أخضر اثيوبي يرقاتشيف </t>
  </si>
  <si>
    <t>GB-00039</t>
  </si>
  <si>
    <t>Ethiopia Funky Guji Hambella</t>
  </si>
  <si>
    <t>بن أخضر اثيوبي قوجي</t>
  </si>
  <si>
    <t>GB-00040</t>
  </si>
  <si>
    <t>Colombia Purple Rain</t>
  </si>
  <si>
    <t>بن أخضر كولومبي بربل رين</t>
  </si>
  <si>
    <t>GB-00041</t>
  </si>
  <si>
    <t>Colombia - Honey Caturra Strawberry</t>
  </si>
  <si>
    <t>كولومبيا - عسل كاتورا بالفراولة</t>
  </si>
  <si>
    <t>GB-00042</t>
  </si>
  <si>
    <t>Colombia - Honey Caturra Green Apple</t>
  </si>
  <si>
    <t>كولومبيا - عسل كاتورا تفاح أخضر</t>
  </si>
  <si>
    <t>GB-00043</t>
  </si>
  <si>
    <t>Colombia -Strawberry Infusion</t>
  </si>
  <si>
    <t>بن أخضر كولومبي فراولة انفيوجن</t>
  </si>
  <si>
    <t>GB-00044</t>
  </si>
  <si>
    <t>Guji - Natural</t>
  </si>
  <si>
    <t>جوجي مجفف</t>
  </si>
  <si>
    <t>GB-00045</t>
  </si>
  <si>
    <t>Green Coffee Beans - Wafer Chocolate Estate</t>
  </si>
  <si>
    <t>حبوب قهوة خضراء – مزرعة ويفر شوكولات</t>
  </si>
  <si>
    <t>GB-00046</t>
  </si>
  <si>
    <t>Sidamo Arbegona Natural</t>
  </si>
  <si>
    <t>سيدامو أربيجونا</t>
  </si>
  <si>
    <t>GB-00047</t>
  </si>
  <si>
    <t>Halo Beriti Washed</t>
  </si>
  <si>
    <t xml:space="preserve">هالو بيريتي </t>
  </si>
  <si>
    <t>Cream bags</t>
  </si>
  <si>
    <t>أكياس كريمة</t>
  </si>
  <si>
    <t>Coffee Beans Bags 250 Grm (BRH)</t>
  </si>
  <si>
    <t>أكياس بن 250 جرام (بريهانت)</t>
  </si>
  <si>
    <t>Coffee Beans Bags 500 Grm (BRH)</t>
  </si>
  <si>
    <t>أكياس بن 500 جرام (بريهانت)</t>
  </si>
  <si>
    <t>Aluminium Thermal bag Coffee 1 ltr</t>
  </si>
  <si>
    <t>كيس حراري ألمنيوم قهوة 1 لتر</t>
  </si>
  <si>
    <t>Coffee Beans Bag 1 KG Plain</t>
  </si>
  <si>
    <t>كيس بن 1 كيلو سادة</t>
  </si>
  <si>
    <t>Cover Lemon Cake ( NMQ )</t>
  </si>
  <si>
    <t>غلاف كيكة الليمون (نمق)</t>
  </si>
  <si>
    <t>Cover Marble cake (NMQ)</t>
  </si>
  <si>
    <t>غلاف كيكة ماربل (نمق)</t>
  </si>
  <si>
    <t>Vacuum Bag 300</t>
  </si>
  <si>
    <t>كيس فاكيوم 300</t>
  </si>
  <si>
    <t>Vacuum Bag 200</t>
  </si>
  <si>
    <t>كيس فاكيوم 200</t>
  </si>
  <si>
    <t>PM-00023</t>
  </si>
  <si>
    <t>Granola foggy Bag</t>
  </si>
  <si>
    <t>كيس جرانولا ضبابي</t>
  </si>
  <si>
    <t>Coffee Beans Bags BRH 1 KG (BRH)</t>
  </si>
  <si>
    <t>أكياس بن 1 كيلو (بريهانت)</t>
  </si>
  <si>
    <t>Cover Lemon Cake (BRH)</t>
  </si>
  <si>
    <t>غلاف كيكة الليمون (بريهانت)</t>
  </si>
  <si>
    <t>Marble Cake Cover (BRH)</t>
  </si>
  <si>
    <t>غلاف كيكة الماربل ( بريهانت )</t>
  </si>
  <si>
    <t>Babka Cake Cover (BRH)</t>
  </si>
  <si>
    <t>غلاف كيكة بابكا (بريهانت)</t>
  </si>
  <si>
    <t>Foggy Bag Cake</t>
  </si>
  <si>
    <t>كيس ضبابي للكيك</t>
  </si>
  <si>
    <t>PM-00030</t>
  </si>
  <si>
    <t>Coffee Beans Bags 35 G</t>
  </si>
  <si>
    <t>اكياس بن 35ج بريهانت</t>
  </si>
  <si>
    <t>Cover Babka Cake (NMQ)</t>
  </si>
  <si>
    <t>غلاف كيكة بابكا (نمق)</t>
  </si>
  <si>
    <t>PM-00035</t>
  </si>
  <si>
    <t>Vacuum Bag 150</t>
  </si>
  <si>
    <t>كيس فاكيوم 150</t>
  </si>
  <si>
    <t>Printed HD Bag (TDO)</t>
  </si>
  <si>
    <t>كيس تاندو مطبوع</t>
  </si>
  <si>
    <t>Cover Tiramisu (BRH)</t>
  </si>
  <si>
    <t>غلاف تيراميسو (بريهانت)</t>
  </si>
  <si>
    <t>PM-00039</t>
  </si>
  <si>
    <t>Cover Saffron cake (BRH)</t>
  </si>
  <si>
    <t>غلاف كيكة زعفران (بريهانت)</t>
  </si>
  <si>
    <t>Foggy Plastic Bag - Large (NMQ)</t>
  </si>
  <si>
    <t>كيس بلاستيك ضبابي - كبير (نمق)</t>
  </si>
  <si>
    <t>Foggy Plastic Bag - Small (NMQ)</t>
  </si>
  <si>
    <t>كيس بلاستيك ضبابي - صغير (نمق)</t>
  </si>
  <si>
    <t>Foggy Plastic Bag Printed with Sealing Sticker (TDO)</t>
  </si>
  <si>
    <t>كيس بلاستيك ضبابي مطبوع مع ستيكر إغلاق (تاندو)</t>
  </si>
  <si>
    <t>Paper Bag Large (BRH)</t>
  </si>
  <si>
    <t>كيس ورقي كبير (بريهانت)</t>
  </si>
  <si>
    <t>Foggy Plastic Bag - Small (BRH)</t>
  </si>
  <si>
    <t>كيس بلاستيك ضبابي - صغير (بريهانت)</t>
  </si>
  <si>
    <t>PM-00050</t>
  </si>
  <si>
    <t>Plastic Bag coffee 250 gm (NMQ)</t>
  </si>
  <si>
    <t>كيس بلاستيك قهوة 250 جرام (نمق)</t>
  </si>
  <si>
    <t>Cover Granola Bag - Peanuts &amp; Dates (BRH)</t>
  </si>
  <si>
    <t>غلاف كيس جرانولا - فول سوداني وتمر (بريهانت)</t>
  </si>
  <si>
    <t>Cover Granola Bag - Fruit (BRH)</t>
  </si>
  <si>
    <t>غلاف كيس جرانولا - فواكه (بريهانت)</t>
  </si>
  <si>
    <t>PM-00053</t>
  </si>
  <si>
    <t>Cover Granola Foggy Bag (BRH)</t>
  </si>
  <si>
    <t>غلاف كيس جرانولا ضبابي (بريهانت)</t>
  </si>
  <si>
    <t>Foggy Plastic Bag - Two Cup Holder (NMQ)</t>
  </si>
  <si>
    <t>كيس بلاستيك ضبابي - حامل كوبين (نمق)</t>
  </si>
  <si>
    <t>Circled Golden Cake Plate 28 cm</t>
  </si>
  <si>
    <t>قاعدة كيك ذهبية دائرية 28 سم</t>
  </si>
  <si>
    <t>PM-00061</t>
  </si>
  <si>
    <t>Cake Plate 22</t>
  </si>
  <si>
    <t>قاعدة كيك22</t>
  </si>
  <si>
    <t>PM-00064</t>
  </si>
  <si>
    <t>Box Cork</t>
  </si>
  <si>
    <t>بوكس كورك</t>
  </si>
  <si>
    <t>Takeawy Box Sweets (NMQ)</t>
  </si>
  <si>
    <t>صندوق تيك أواي حلويات (نمق)</t>
  </si>
  <si>
    <t>Empty Box Wholesales (BRH)</t>
  </si>
  <si>
    <t>صندوق فارغ للجملة (بريهانت)</t>
  </si>
  <si>
    <t>Drip Filter Box BRH</t>
  </si>
  <si>
    <t>بوكس فلتر تقطير بريهانت</t>
  </si>
  <si>
    <t>Takeaway Box - Meduim (BRH)</t>
  </si>
  <si>
    <t>صندوق تيك أواي - متوسط (بريهانت)</t>
  </si>
  <si>
    <t>Coffee Beans Assembley Set Box</t>
  </si>
  <si>
    <t>بوكس محاصيل القهوة المجمعة</t>
  </si>
  <si>
    <t>PM-00077</t>
  </si>
  <si>
    <t>Empty Box - White</t>
  </si>
  <si>
    <t>صندوق فارغ - أبيض</t>
  </si>
  <si>
    <t>Empty Middle Box (BRH)</t>
  </si>
  <si>
    <t>صندوق فارغ متوسط (بريهانت)</t>
  </si>
  <si>
    <t>PM-00085</t>
  </si>
  <si>
    <t>Eid Box with Accessories (BRH)</t>
  </si>
  <si>
    <t>بوكس عيد مع إكسسوارات (بريهانت)</t>
  </si>
  <si>
    <t>Sweet Plate BRH</t>
  </si>
  <si>
    <t>صحن حلى بريهانت</t>
  </si>
  <si>
    <t>Bar Box ( BRH )</t>
  </si>
  <si>
    <t>بوكس البارات (بريهانت)</t>
  </si>
  <si>
    <t>Coffee Paper Box 1 ltr (BRH)</t>
  </si>
  <si>
    <t>بوكس قهوة ورقي 1 لتر (بريهانت)</t>
  </si>
  <si>
    <t>PM-00096</t>
  </si>
  <si>
    <t>Empty Large Box (BRH)</t>
  </si>
  <si>
    <t>صندوق فارغ كبير (بريهانت)</t>
  </si>
  <si>
    <t>Empty Small Box (BRH)</t>
  </si>
  <si>
    <t>صندوق فارغ صغير (بريهانت)</t>
  </si>
  <si>
    <t>Rectangular Jar Tiramisu</t>
  </si>
  <si>
    <t>علب مستطيلة تيراميسو بلاستيك</t>
  </si>
  <si>
    <t>Matcha Tools - Contents Box ( BRH )</t>
  </si>
  <si>
    <t>أدوات ماتشا - بوكس المحتويات (بريهانت)</t>
  </si>
  <si>
    <t>Crunchy Chocolate Box (BRH)</t>
  </si>
  <si>
    <t>بوكس كرانشي شوكولاتة (بريهانت)</t>
  </si>
  <si>
    <t>PM-00106</t>
  </si>
  <si>
    <t>Fries Box</t>
  </si>
  <si>
    <t>بوكس البطاطس ( تاندو )</t>
  </si>
  <si>
    <t>PM-00108</t>
  </si>
  <si>
    <t>Rice Box (TDO)</t>
  </si>
  <si>
    <t>بوكس الرز ( التاندو )</t>
  </si>
  <si>
    <t>PM-00112</t>
  </si>
  <si>
    <t>Sandwich Box (NMQ)</t>
  </si>
  <si>
    <t>بوكس الساندويتش (نمق)</t>
  </si>
  <si>
    <t>Steel Beverage Cup 350 ml – Custom Printed Box</t>
  </si>
  <si>
    <t>كوب مشروبات معدني 350 مل - علبة مطبوعة</t>
  </si>
  <si>
    <t>Shipping Carton Printed 50*50*50 - 5 Layers (BRH)</t>
  </si>
  <si>
    <t>كرتون شحن مطبوع 50×50×50 - 5 طبقات (بريهانت)</t>
  </si>
  <si>
    <t>PM-00116</t>
  </si>
  <si>
    <t>Divider Crunchy Box (BRH)</t>
  </si>
  <si>
    <t>فاصل بوكس كرانشي (بريهانت)</t>
  </si>
  <si>
    <t>PM-00127</t>
  </si>
  <si>
    <t>Carton Wholesale Brown - 20 kg</t>
  </si>
  <si>
    <t>كرتون جملة بني - 20 كيلو</t>
  </si>
  <si>
    <t>Paper cups box - BRH</t>
  </si>
  <si>
    <t>بوكس أكواب ورقية (بريهانت)</t>
  </si>
  <si>
    <t>PM-00132</t>
  </si>
  <si>
    <t>Coffee Beans Drawer Box</t>
  </si>
  <si>
    <t>كرتون محاصيل سحاب</t>
  </si>
  <si>
    <t>Plastic Box - 21 cm</t>
  </si>
  <si>
    <t>علبة بلاستيك مقاس 21 سم</t>
  </si>
  <si>
    <t>Box Tiramisu and Dolce Gatherings (NMQ)</t>
  </si>
  <si>
    <t>بوكس تيراميسو ودولتشي جمعات (نمق)</t>
  </si>
  <si>
    <t>Espresso card (San Ignacio)</t>
  </si>
  <si>
    <t>كرت إسبريسو (سان إجناسيو)</t>
  </si>
  <si>
    <t>PM-00140</t>
  </si>
  <si>
    <t>(Espresso card (West Arsi Nensebo</t>
  </si>
  <si>
    <t>كرت إسبريسو (ويست أرسي نينسيبو)</t>
  </si>
  <si>
    <t>PM-00141</t>
  </si>
  <si>
    <t>Card Paper Printed - BRH Crops</t>
  </si>
  <si>
    <t>كرت ورقي مطبوع - محاصيل بريهانت</t>
  </si>
  <si>
    <t>Lid Paper Cup 4 oz (NMQ)</t>
  </si>
  <si>
    <t>غطاء كوب ورقي 4 أونص (نمق)</t>
  </si>
  <si>
    <t>PM-00152</t>
  </si>
  <si>
    <t>Paper cup 9 Oz Seasonal (NMQ)</t>
  </si>
  <si>
    <t>كوب ورقي 9 أونص موسمي (نمق)</t>
  </si>
  <si>
    <t>PM-00154</t>
  </si>
  <si>
    <t>Paper cup 12 Oz Seasonal (NMQ)</t>
  </si>
  <si>
    <t>كوب ورقي 12 أونص موسمي (نمق)</t>
  </si>
  <si>
    <t>Paper cup 9 oz (BRH)</t>
  </si>
  <si>
    <t>كوب ورقي 9 أونص (بريهانت)</t>
  </si>
  <si>
    <t>PM-00167</t>
  </si>
  <si>
    <t>Paper cup 4 Oz Seasonal (NMQ)</t>
  </si>
  <si>
    <t>كوب ورقي 4 أونص موسمي (نمق)</t>
  </si>
  <si>
    <t>PM-00171</t>
  </si>
  <si>
    <t>Paper cup 7 Oz Seasonal (NMQ)</t>
  </si>
  <si>
    <t>كوب ورقي 7 أونص موسمي (نمق)</t>
  </si>
  <si>
    <t>Paper Cup NMQ 7 oz (NMQ)</t>
  </si>
  <si>
    <t>كوب ورقي 7 أونص (نمق)</t>
  </si>
  <si>
    <t>Paper cup 12 oz (NMQ)</t>
  </si>
  <si>
    <t>كوب ورقي 12 أونص (نمق)</t>
  </si>
  <si>
    <t>Paper cup 6.5 oz (BRH )</t>
  </si>
  <si>
    <t>كوب ورقي 6.5 أونص (بريهانت)</t>
  </si>
  <si>
    <t>Paper Cup 4 Oz Friday (NMQ)</t>
  </si>
  <si>
    <t>كوب ورقي 4 أونص جمعة (نمق)</t>
  </si>
  <si>
    <t>Paper cup 4 oz ( BRH )</t>
  </si>
  <si>
    <t>كوب ورقي 4 أونص (بريهانت)</t>
  </si>
  <si>
    <t>Plastic cup 14oz (NMQ)</t>
  </si>
  <si>
    <t>كوب بلاستيك 14 أونص (نمق)</t>
  </si>
  <si>
    <t>Lid Plastic Cup 14 oz (NMQ)</t>
  </si>
  <si>
    <t>غطاء كوب بلاستيك 14 أونص (نمق)</t>
  </si>
  <si>
    <t>Paper cup 12 Oz Seasonal ( BRH )</t>
  </si>
  <si>
    <t>كوب ورقي 12 أونص موسمي (بريهانت)</t>
  </si>
  <si>
    <t>Paper cup 9 Oz Seasonal ( BRH )</t>
  </si>
  <si>
    <t>كوب ورقي 9 أونص موسمي (بريهانت)</t>
  </si>
  <si>
    <t>Ceramic cup 8oz - Pink</t>
  </si>
  <si>
    <t>كوب سيراميك 8 أونص - وردي</t>
  </si>
  <si>
    <t>Ceramic cup 6oz - Pink</t>
  </si>
  <si>
    <t>كوب سيراميك 6 أونص - وردي</t>
  </si>
  <si>
    <t>Ceramic cup 4oz - Pink</t>
  </si>
  <si>
    <t>كوب سيراميك 4 أونص - وردي</t>
  </si>
  <si>
    <t>Ceramic cup 2oz - Pink</t>
  </si>
  <si>
    <t>كوب سيراميك 2 أونص - وردي</t>
  </si>
  <si>
    <t>Plastic Cup 12 Oz With lid and Sauce can</t>
  </si>
  <si>
    <t>كوب بلاستيك 12 أونص مع غطاء وعلبة صوص</t>
  </si>
  <si>
    <t>Lid Paper Cup 7 oz (NMQ)</t>
  </si>
  <si>
    <t>غطاء كوب ورقي 7 أونص (نمق)</t>
  </si>
  <si>
    <t>Paper cup 12 Oz (BRH Roastery)</t>
  </si>
  <si>
    <t>كوب ورقي 12 أونص (محمصة بريهانت)</t>
  </si>
  <si>
    <t>Coffee Filter V60 Cafec 01</t>
  </si>
  <si>
    <t>فلتر قهوة V60 كافيك 01</t>
  </si>
  <si>
    <t>PM-00236</t>
  </si>
  <si>
    <t>Chemex Filters 6</t>
  </si>
  <si>
    <t>فلاتر كيميكس 6</t>
  </si>
  <si>
    <t>Cold Brew Filter Toddy</t>
  </si>
  <si>
    <t>فلتر كولد برو تودي</t>
  </si>
  <si>
    <t>Paper Filter Fetco</t>
  </si>
  <si>
    <t>فلتر ورقي فتكو</t>
  </si>
  <si>
    <t>Coffee Filter V60 Cafec 02</t>
  </si>
  <si>
    <t>فلتر قهوة V60 كافيك 02</t>
  </si>
  <si>
    <t>Plastic Cup 4 oz - Sauce</t>
  </si>
  <si>
    <t>كوب بلاستيك 4 أونص - صوص</t>
  </si>
  <si>
    <t>Lid Plastic Cup 4 oz - Sauce</t>
  </si>
  <si>
    <t>غطاء كوب بلاستيك 4 أونص - صوص</t>
  </si>
  <si>
    <t>Plastic Cup 2 oz - Sauce</t>
  </si>
  <si>
    <t>كوب بلاستيك 2 أونص - صوص</t>
  </si>
  <si>
    <t>Lid Plastic Cup 2 oz - Sauce</t>
  </si>
  <si>
    <t>غطاء كوب بلاستيك 2 أونص - صوص</t>
  </si>
  <si>
    <t>Straw (NMQ)</t>
  </si>
  <si>
    <t>شفاط (نمق)</t>
  </si>
  <si>
    <t>Fork NMQ</t>
  </si>
  <si>
    <t>شوكة نمق</t>
  </si>
  <si>
    <t>Napkin White (NMQ)</t>
  </si>
  <si>
    <t>مناديل بيضاء (نمق)</t>
  </si>
  <si>
    <t>Wooden Stirring Sticks</t>
  </si>
  <si>
    <t>عيدان تحريك خشبية</t>
  </si>
  <si>
    <t>Cup holder - Four</t>
  </si>
  <si>
    <t>حامل أكواب رباعي</t>
  </si>
  <si>
    <t>Cup Holder - Dual</t>
  </si>
  <si>
    <t>حامل أكواب ثنائي</t>
  </si>
  <si>
    <t>Baking Paper 60*40</t>
  </si>
  <si>
    <t>ورق خبز 60×40</t>
  </si>
  <si>
    <t>Glass Bottle 200 ml - Ice Tea &amp; Cold Brew</t>
  </si>
  <si>
    <t>زجاجة 200 مل - آيس تي وكولد برو</t>
  </si>
  <si>
    <t>Cling Film</t>
  </si>
  <si>
    <t>فيلم تغليف شفاف</t>
  </si>
  <si>
    <t>Straw (BRH)</t>
  </si>
  <si>
    <t>شفاط (بريهانت)</t>
  </si>
  <si>
    <t>Fork BRH</t>
  </si>
  <si>
    <t>شوكة بريهانت</t>
  </si>
  <si>
    <t>BRH Cans</t>
  </si>
  <si>
    <t>علب بريهانت</t>
  </si>
  <si>
    <t>PM-00269</t>
  </si>
  <si>
    <t>Lids BRH Cans</t>
  </si>
  <si>
    <t>أغطية علب بريهانت</t>
  </si>
  <si>
    <t>Napkin (BRH)</t>
  </si>
  <si>
    <t>مناديل (بريهانت)</t>
  </si>
  <si>
    <t>Tape</t>
  </si>
  <si>
    <t>شريط لاصق</t>
  </si>
  <si>
    <t>Knife (NMQ)</t>
  </si>
  <si>
    <t>سكين (نمق)</t>
  </si>
  <si>
    <t>Inv</t>
  </si>
  <si>
    <t>Knife (BRH)</t>
  </si>
  <si>
    <t>سكين (بريهانت)</t>
  </si>
  <si>
    <t>Shrink Film</t>
  </si>
  <si>
    <t>رول مكينة تغليف (شرنك)</t>
  </si>
  <si>
    <t>PM-00282</t>
  </si>
  <si>
    <t>Cling film - Pallets</t>
  </si>
  <si>
    <t>فيلم تغليف شفاف - باليتات</t>
  </si>
  <si>
    <t>PM-00283</t>
  </si>
  <si>
    <t>Lid Paper Cup 4 oz (BRH)</t>
  </si>
  <si>
    <t>غطاء كوب ورقي 4 أونص (بريهانت)</t>
  </si>
  <si>
    <t>Tape (BRH)</t>
  </si>
  <si>
    <t>شريط لاصق (بريهانت)</t>
  </si>
  <si>
    <t>Card Rating (BRH )</t>
  </si>
  <si>
    <t>كرت تقييم (بريهانت)</t>
  </si>
  <si>
    <t>Cotton Ropes 11 cm</t>
  </si>
  <si>
    <t>حبال قطن 11 سم</t>
  </si>
  <si>
    <t>Lid Paper Cup 7 oz (BRH)</t>
  </si>
  <si>
    <t>غطاء كوب ورقي 7 أونص (بريهانت)</t>
  </si>
  <si>
    <t>Lid Paper Cup 12 oz (NMQ)</t>
  </si>
  <si>
    <t>غطاء كوب ورقي 12 أونص (نمق)</t>
  </si>
  <si>
    <t>Bottles 30g (Matcha)</t>
  </si>
  <si>
    <t>زجاجات 30 جرام (ماتشا)</t>
  </si>
  <si>
    <t>Card Customer Evaluation</t>
  </si>
  <si>
    <t>كرت تقييم العملاء</t>
  </si>
  <si>
    <t>Aluminium foil</t>
  </si>
  <si>
    <t>ورق قصدير</t>
  </si>
  <si>
    <t>Plastic Black Cutlery</t>
  </si>
  <si>
    <t>أدوات مائدة بلاستيكية سوداء</t>
  </si>
  <si>
    <t>PM-00299</t>
  </si>
  <si>
    <t>Sachet Coffee</t>
  </si>
  <si>
    <t>ظرف قهوة</t>
  </si>
  <si>
    <t>Plain Napkin - Table</t>
  </si>
  <si>
    <t>مناديل سادة - طاولة</t>
  </si>
  <si>
    <t>3.25 Oz Sauce Cup plastic</t>
  </si>
  <si>
    <t>كوب صوص بلاستيك 3.25 أونص</t>
  </si>
  <si>
    <t>PM-00312</t>
  </si>
  <si>
    <t>Microwave Container with Lid (TDO)</t>
  </si>
  <si>
    <t>علبة ميكرويف بغطاء (تاندو)</t>
  </si>
  <si>
    <t>PM-00321</t>
  </si>
  <si>
    <t>Flexible Clear Plastic Bubble Roll</t>
  </si>
  <si>
    <t>رول فقاعات بابلز بلاستيك شفاف مرن</t>
  </si>
  <si>
    <t>Printed cash roll (NMQ)</t>
  </si>
  <si>
    <t>رول كاشير مطبوع (نمق)</t>
  </si>
  <si>
    <t>Sticker Price lable</t>
  </si>
  <si>
    <t>ستيكر ملصق السعر</t>
  </si>
  <si>
    <t>Transfer Chocolate Paper (BRH)</t>
  </si>
  <si>
    <t>ورق ترانسفير شوكولاتة (بريهانت)</t>
  </si>
  <si>
    <t>Printed cash roll (BRH)</t>
  </si>
  <si>
    <t>رول كاشير مطبوع (بريهانت)</t>
  </si>
  <si>
    <t>Butter Paper (BRH)</t>
  </si>
  <si>
    <t>ورق زبدة (بريهانت)</t>
  </si>
  <si>
    <t>PM-00335</t>
  </si>
  <si>
    <t>Butter Paper (TDO)</t>
  </si>
  <si>
    <t>ورق زبدة (تاندو)</t>
  </si>
  <si>
    <t>Paper Transfer cookies (NMQ)</t>
  </si>
  <si>
    <t>ورق ترانسفير كوكيز (نمق)</t>
  </si>
  <si>
    <t>Printed Chocolate Paper for Crunchy Box (BRH)</t>
  </si>
  <si>
    <t>ورق شوكولاتة مطبوع لبوكس الكرانشي (بريهانت)</t>
  </si>
  <si>
    <t>Roll - Point of sale</t>
  </si>
  <si>
    <t>رول - نقطة البيع</t>
  </si>
  <si>
    <t>Rap Paper For Paper Cups</t>
  </si>
  <si>
    <t>ورق زبدة دائري 12 سم للاكواب الورقيه</t>
  </si>
  <si>
    <t>Paper Transfer cookies(BRH )</t>
  </si>
  <si>
    <t>ورق ترانسفير كوكيز (بريهانت)</t>
  </si>
  <si>
    <t>PM-00350</t>
  </si>
  <si>
    <t>Sticker Iced tea(NMQ)</t>
  </si>
  <si>
    <t>ستيكر آيسد تي (نمق)</t>
  </si>
  <si>
    <t>Sticker Pomegranate Iced Tea (BRH)</t>
  </si>
  <si>
    <t>ستيكر آيسد تي رمان (بريهانت)</t>
  </si>
  <si>
    <t>PM-00364</t>
  </si>
  <si>
    <t>Sticker Cold Pro Planadas (BRH)</t>
  </si>
  <si>
    <t>ستيكر كولد برو بلانداس (بريهانت)</t>
  </si>
  <si>
    <t>PM-00366</t>
  </si>
  <si>
    <t>Sticker Pistachio Roll</t>
  </si>
  <si>
    <t>ستيكر رول فستق</t>
  </si>
  <si>
    <t>PM-00367</t>
  </si>
  <si>
    <t>Sticker Signature roll</t>
  </si>
  <si>
    <t>ستيكر رول سيجنتشر</t>
  </si>
  <si>
    <t>Sticker Spanish roll</t>
  </si>
  <si>
    <t>ستيكر رول إسباني</t>
  </si>
  <si>
    <t>PM-00374</t>
  </si>
  <si>
    <t>Almond Sticker Bar (BRH)</t>
  </si>
  <si>
    <t>ستيكر بار اللوز ( بريهانت )</t>
  </si>
  <si>
    <t>Sticker Caramel Bites Bar (BRH)</t>
  </si>
  <si>
    <t>ستيكر بار كراميل بايتس (بريهانت)</t>
  </si>
  <si>
    <t>Sticker Crunchy Chocolate (BRH)</t>
  </si>
  <si>
    <t>ستيكر كرانشي شوكولاتة (بريهانت)</t>
  </si>
  <si>
    <t>PM-00387</t>
  </si>
  <si>
    <t>Sticker Tiramisu Dulcci (NMQ)</t>
  </si>
  <si>
    <t>ستيكر تيراميسو دولتشي (نمق)</t>
  </si>
  <si>
    <t>Sticker Tiramisu (NMQ)</t>
  </si>
  <si>
    <t>ستيكر تيراميسو (نمق)</t>
  </si>
  <si>
    <t>PM-00396</t>
  </si>
  <si>
    <t>Saudi Coffee Sticker (BRH)</t>
  </si>
  <si>
    <t>ستيكر القهوة السعودية ( بريهانت )</t>
  </si>
  <si>
    <t>PM-00399</t>
  </si>
  <si>
    <t>Sticker Shapes ( BRH )</t>
  </si>
  <si>
    <t>ستيكر أشكال (بريهانت)</t>
  </si>
  <si>
    <t>PM-00402</t>
  </si>
  <si>
    <t>Sticker Matcha (BRH)</t>
  </si>
  <si>
    <t>ستيكر ماتشا ( بريهانت )</t>
  </si>
  <si>
    <t>Sticker Saudi coffee (NMQ )</t>
  </si>
  <si>
    <t>ستيكر قهوة سعودية (نمق)</t>
  </si>
  <si>
    <t>PM-00409</t>
  </si>
  <si>
    <t>Chutney sauce sticker - plastic, size 4cm (Tando)</t>
  </si>
  <si>
    <t>استيكر صوص شتني - بلاستك مقاس 4سم (تاندو)</t>
  </si>
  <si>
    <t>Sticker Raita sauce - plastic 4 cm (TDO)</t>
  </si>
  <si>
    <t>ستيكر صوص رايتا - بلاستيك 4 سم (تاندو)</t>
  </si>
  <si>
    <t>PM-00416</t>
  </si>
  <si>
    <t>Tikka Biryani Sticker - Plastic 4cm (Tando)</t>
  </si>
  <si>
    <t>استيكر تكا برياني - بلاستيك 4سم (تاندو)</t>
  </si>
  <si>
    <t>PM-00418</t>
  </si>
  <si>
    <t>Sticker Butter Sauce - plastic 4 cm (TDO)</t>
  </si>
  <si>
    <t>ستيكر صوص زبدة - بلاستيك 4 سم (تاندو)</t>
  </si>
  <si>
    <t>PM-00419</t>
  </si>
  <si>
    <t>Tamarind sauce sticker - plastic 4cm (tando)</t>
  </si>
  <si>
    <t>استيكر صوص تمر هندي- بلاستيك 4سم (تاندو)</t>
  </si>
  <si>
    <t>Sticker Tikka sandwich - plastic 4 cm (TDO)</t>
  </si>
  <si>
    <t>ستيكر ساندويتش تكا - بلاستيك 4 سم (تاندو)</t>
  </si>
  <si>
    <t>Signature sandwich sticker - plastic 4cm (Tando)</t>
  </si>
  <si>
    <t>استيكر ساندويش السقنتشر-بلاستيك 4سم (تاندو)</t>
  </si>
  <si>
    <t>PM-00427</t>
  </si>
  <si>
    <t>Sticker Plastic Purity Box Closing (BRH)</t>
  </si>
  <si>
    <t>ستيكر إغلاق علبة بيوريتي بلاستيك (بريهانت)</t>
  </si>
  <si>
    <t>Granola package closing sticker - BRH</t>
  </si>
  <si>
    <t>استيكر اغلاق بكج الجرانولا (بريهانت)</t>
  </si>
  <si>
    <t>Sticker Cold Brew - Glass Container (BRH)</t>
  </si>
  <si>
    <t>ستيكر كولد برو - علبة زجاجية (بريهانت)</t>
  </si>
  <si>
    <t>Stickers Salted Caramel Brownie (NMQ)</t>
  </si>
  <si>
    <t>ستيكرات براوني كراميل مملح (نمق)</t>
  </si>
  <si>
    <t>Sticker Caramel Bites (NMQ)</t>
  </si>
  <si>
    <t>ستيكر كراميل بايتس (نمق)</t>
  </si>
  <si>
    <t>PM-00449</t>
  </si>
  <si>
    <t>Sticker Founding Day (BRH)</t>
  </si>
  <si>
    <t>ستيكر يوم التأسيس (بريهانت)</t>
  </si>
  <si>
    <t>Glass cup 400 ml Summer Drinks (BRH)</t>
  </si>
  <si>
    <t>كوب زجاجي 400 مل مشروبات صيفية (بريهانت)</t>
  </si>
  <si>
    <t>PM-00455</t>
  </si>
  <si>
    <t>Cake Bake Round Plastic 30*8 cm</t>
  </si>
  <si>
    <t>قالب كيك بلاستيك دائري 30×8 سم</t>
  </si>
  <si>
    <t>Box Assorted Sachets (BRH)</t>
  </si>
  <si>
    <t>بوكس أظرف متنوعة (بريهانت)</t>
  </si>
  <si>
    <t>Foggy Plastic Bag - Two cup holder (BRH)</t>
  </si>
  <si>
    <t>كيس بلاستيك ضبابي - حامل كوبين (بريهانت)</t>
  </si>
  <si>
    <t>Ceramic cups box</t>
  </si>
  <si>
    <t>بوكس أكواب سيراميك</t>
  </si>
  <si>
    <t>PM-00459</t>
  </si>
  <si>
    <t>Stickers Marketing Activity</t>
  </si>
  <si>
    <t>ستيكرات نشاط تسويقي</t>
  </si>
  <si>
    <t>PM-00460</t>
  </si>
  <si>
    <t>Sticker BRH Crops</t>
  </si>
  <si>
    <t>ستيكر محاصيل بريهانت</t>
  </si>
  <si>
    <t>Cup Pottery 270 ml (BRH)</t>
  </si>
  <si>
    <t>كوب فخار 270 مل (بريهانت)</t>
  </si>
  <si>
    <t>PM-00463</t>
  </si>
  <si>
    <t>Sticker Sachets Box Colombian Blend (BRH)</t>
  </si>
  <si>
    <t>ستيكر بوكس أظرف كولومبيان بلند (بريهانت)</t>
  </si>
  <si>
    <t>PM-00464</t>
  </si>
  <si>
    <t>Sticker Sachets Box Rosa Marina - Chelchele (BRH)</t>
  </si>
  <si>
    <t>ستيكر بوكس أظرف روزا مارينا - تشيلتشيلي (بريهانت)</t>
  </si>
  <si>
    <t>PM-00466</t>
  </si>
  <si>
    <t>Sticker 6Oz</t>
  </si>
  <si>
    <t>ستيكر 6 أونص</t>
  </si>
  <si>
    <t>PM-00467</t>
  </si>
  <si>
    <t>Sticker 8Oz</t>
  </si>
  <si>
    <t>ستيكر 8 أونص</t>
  </si>
  <si>
    <t>PM-00468</t>
  </si>
  <si>
    <t>Sticker 12Oz</t>
  </si>
  <si>
    <t>ستيكر 12 أونص</t>
  </si>
  <si>
    <t>PM-00471</t>
  </si>
  <si>
    <t>Sticker Flowers Cup (BRH)</t>
  </si>
  <si>
    <t>ستيكر كوب ورود (بريهانت)</t>
  </si>
  <si>
    <t>PM-00472</t>
  </si>
  <si>
    <t>Sticker Logo Cup (BRH)</t>
  </si>
  <si>
    <t>ستيكر كوب شعار (بريهانت)</t>
  </si>
  <si>
    <t>PM-00473</t>
  </si>
  <si>
    <t>Sticker Glass Container - Specialty Concentrated Coffee (BRH)</t>
  </si>
  <si>
    <t>ستيكر علبة زجاجية - قهوة مركزة مختصة (بريهانت)</t>
  </si>
  <si>
    <t>PM-00474</t>
  </si>
  <si>
    <t>Sticker Brush - Matcha Tools (BRH)</t>
  </si>
  <si>
    <t>ستيكر فرشاة - أدوات ماتشا (بريهانت)</t>
  </si>
  <si>
    <t>PM-00475</t>
  </si>
  <si>
    <t>Sticker Matcha Cans (BRH)</t>
  </si>
  <si>
    <t>ستيكر علب ماتشا (بريهانت)</t>
  </si>
  <si>
    <t>Coffee Beans Bags 25 Grm (BRH)</t>
  </si>
  <si>
    <t>أكياس بن 25 جرام (بريهانت)</t>
  </si>
  <si>
    <t>PM-00488</t>
  </si>
  <si>
    <t>Sticker Iced Cold Brew glass (BRH)</t>
  </si>
  <si>
    <t>ستيكر كوب آيسد كولد برو زجاجي (بريهانت)</t>
  </si>
  <si>
    <t>PM-00498</t>
  </si>
  <si>
    <t>Tando Foggy Bag 35*33</t>
  </si>
  <si>
    <t>كيس تاندو ضبابي 35*33</t>
  </si>
  <si>
    <t>PM-00500</t>
  </si>
  <si>
    <t>Espresso card (palandas Gaitana</t>
  </si>
  <si>
    <t>كرت إسبريسو (بالانداس جايتانا)</t>
  </si>
  <si>
    <t>PM-00501</t>
  </si>
  <si>
    <t>Espresso card (Rwenzori</t>
  </si>
  <si>
    <t>كرت إسبريسو (روينزوري)</t>
  </si>
  <si>
    <t>PM-00502</t>
  </si>
  <si>
    <t>Espresso card (Rosa Morene</t>
  </si>
  <si>
    <t>كرت إسبريسو (روزا مورينا)</t>
  </si>
  <si>
    <t>Sticker Sunset Passion Drink</t>
  </si>
  <si>
    <t>ستيكر مشروب صن سيت باشن</t>
  </si>
  <si>
    <t>PM-00504</t>
  </si>
  <si>
    <t>Sticker Friday Gathering Favors (NMQ)</t>
  </si>
  <si>
    <t>ستيكر جمعات الجمعة (نمق)</t>
  </si>
  <si>
    <t>PM-00507</t>
  </si>
  <si>
    <t>Brown Empty Box</t>
  </si>
  <si>
    <t>صندوق بني فارغ</t>
  </si>
  <si>
    <t>PM-00508</t>
  </si>
  <si>
    <t>Sticker Round - Flat White (BRH)</t>
  </si>
  <si>
    <t>ستيكر دائري - فلات وايت (بريهانت)</t>
  </si>
  <si>
    <t>BRH Cake Base 28 cm</t>
  </si>
  <si>
    <t>قاعدة كيك بريهانت 28 سم</t>
  </si>
  <si>
    <t>PM-00510</t>
  </si>
  <si>
    <t>Box Crunchy with Dividers - Small</t>
  </si>
  <si>
    <t>بوكس كرانشي مع فواصل - صغير</t>
  </si>
  <si>
    <t>Box (BRH) - New Version</t>
  </si>
  <si>
    <t>بوكس (بريهانت) - إصدار جديد</t>
  </si>
  <si>
    <t>Stainless steel cup (BRH)</t>
  </si>
  <si>
    <t>كوب ستانلس ستيل (بريهانت)</t>
  </si>
  <si>
    <t>Foam Box Printed 1 Kilo ( Breehant )</t>
  </si>
  <si>
    <t xml:space="preserve"> بوكس فلين مطبوع 1 كيلو ( بريهانت )</t>
  </si>
  <si>
    <t>PM-00526</t>
  </si>
  <si>
    <t>Box Filter Printed (BRH)</t>
  </si>
  <si>
    <t>بوكس فلتر مطبوع (بريهانت)</t>
  </si>
  <si>
    <t>Pottery Mug 200 ml – Glossy Clear Inside &amp; Outside, Engraved</t>
  </si>
  <si>
    <t>كوب فخار 200 مل - لامع شفاف من الداخل والخارج، محفور</t>
  </si>
  <si>
    <t>Pottery Mug 200 ml – Engraved Inside &amp; Outside, Matte Finish</t>
  </si>
  <si>
    <t>كوب فخار 200 مل - محفور من الداخل والخارج، فينش مطفي</t>
  </si>
  <si>
    <t>PM-00529</t>
  </si>
  <si>
    <t>Pottery Mug with Handle – Outer Engraved, Matte Outside, Rustic Inside</t>
  </si>
  <si>
    <t>كوب فخار بمقبض - محفور من الخارج، مطفي من الخارج، ريفي من الداخل</t>
  </si>
  <si>
    <t>Pottery Mug 300 ml – Engraved In/Out, Matte, Stoneware</t>
  </si>
  <si>
    <t>كوب فخار 300 مل - محفور من الداخل/الخارج، مطفي، ستون وير</t>
  </si>
  <si>
    <t>PM-00531</t>
  </si>
  <si>
    <t>Pottery Mug 300 ml – Outer Engraved, Matte, Stoneware</t>
  </si>
  <si>
    <t>كوب فخار 300 مل - محفور من الخارج، مطفي، ستون وير</t>
  </si>
  <si>
    <t>PM-00532</t>
  </si>
  <si>
    <t>Pottery Mug 300 ml – Matte Outside, Glossy Orchid Inside, Engraved</t>
  </si>
  <si>
    <t>كوب فخار 300 مل - مطفي من الخارج، لامع أوركيد من الداخل، محفور</t>
  </si>
  <si>
    <t>Engraved Espresso Cup 110 ml – Matte Glaze (Inner &amp; Outer Logo)</t>
  </si>
  <si>
    <t>كوب فخار محفور 110 مل - قليز مطفي (شعار داخلي وخارجي)</t>
  </si>
  <si>
    <t>Pottery Plate Logo Engraved in Center - 20*20*15 cm</t>
  </si>
  <si>
    <t>صحن فخار محفور بالشعار في المنتصف - 20 × 20 × 15 سم</t>
  </si>
  <si>
    <t>Box Crop Sample Circular (BRH)</t>
  </si>
  <si>
    <t>بوكس عينة محاصيل دائري (بريهانت)</t>
  </si>
  <si>
    <t>PM-00538</t>
  </si>
  <si>
    <t>Plastic Bag Coffee 250 gm - White</t>
  </si>
  <si>
    <t>كيس بلاستيك قهوة 250 جرام - أبيض</t>
  </si>
  <si>
    <t>PM-00539</t>
  </si>
  <si>
    <t>Plastic Cups Mini - Ground Coffee (BRH)</t>
  </si>
  <si>
    <t>أكواب بلاستيك صغيرة - قهوة مطحونة (بريهانت)</t>
  </si>
  <si>
    <t>PM-00540</t>
  </si>
  <si>
    <t>Sticker Events Distribution + Envelope</t>
  </si>
  <si>
    <t>ستيكر توزيع فعاليات + ظرف</t>
  </si>
  <si>
    <t>PM-00542</t>
  </si>
  <si>
    <t>Sticker Floor - Events</t>
  </si>
  <si>
    <t>ستيكر أرضية - فعاليات</t>
  </si>
  <si>
    <t>PM-00543</t>
  </si>
  <si>
    <t>Sticker Round for Matcha Envelope Box Closure 3 cm</t>
  </si>
  <si>
    <t>ستيكر دائري لإغلاق بوكس أظرف الماتشا 3 سم</t>
  </si>
  <si>
    <t>PM-00544</t>
  </si>
  <si>
    <t>Sticker Round Final Note (BRH)</t>
  </si>
  <si>
    <t>ستيكر دائري ملاحظة نهائية (بريهانت)</t>
  </si>
  <si>
    <t>PM-00545</t>
  </si>
  <si>
    <t>Sticker Round Spring Blend (BRH)</t>
  </si>
  <si>
    <t>ستيكر دائري سبرينج بلند (بريهانت)</t>
  </si>
  <si>
    <t>PM-00546</t>
  </si>
  <si>
    <t>Sticker Round Classic Halawa (BRH)</t>
  </si>
  <si>
    <t>ستيكر دائري حلاوة كلاسيك (بريهانت)</t>
  </si>
  <si>
    <t>PM-00547</t>
  </si>
  <si>
    <t>Sticker Round Flowers Glass Cup Closure (BRH)</t>
  </si>
  <si>
    <t>ستيكر دائري إغلاق كوب زجاجي ورود (بريهانت)</t>
  </si>
  <si>
    <t>PM-00548</t>
  </si>
  <si>
    <t>Sticker Round Glass Cup Closure C422(BRH</t>
  </si>
  <si>
    <t>ستيكر دائري إغلاق كوب زجاجي C422 (بريهانت)</t>
  </si>
  <si>
    <t>Cake base size 10 cm * 6 cm (BRH)</t>
  </si>
  <si>
    <t>قاعدة كيك 10 سم × 6 سم (بريهانت)</t>
  </si>
  <si>
    <t>Cake base measuring 8.5 cm * 8.5 cm (BRH)</t>
  </si>
  <si>
    <t>قاعدة كيك 8.5 سم × 8.5 سم (بريهانت)</t>
  </si>
  <si>
    <t>Glass cup BRH Logo 400 ml - Straw &amp; Lid</t>
  </si>
  <si>
    <t>كوب زجاجي شعار بريهانت 400 مل - مع شفاط وغطاء</t>
  </si>
  <si>
    <t>Glass cup Rose Design 400 ml - Straw &amp; Lid</t>
  </si>
  <si>
    <t>كوب زجاجي تصميم وردة 400 مل - مع شفاط وغطاء</t>
  </si>
  <si>
    <t>PM-00553</t>
  </si>
  <si>
    <t>Lids Paper - Cup Sealing Machine</t>
  </si>
  <si>
    <t>أغطية ورقية - ماكينة ختم الأكواب</t>
  </si>
  <si>
    <t>PM-00555</t>
  </si>
  <si>
    <t>Sticker Roll White Paper for printing factory Recipes</t>
  </si>
  <si>
    <t>رول ستيكر ورق أبيض لطباعة وصفات المصنع</t>
  </si>
  <si>
    <t>PM-00556</t>
  </si>
  <si>
    <t>Sticker BRH Round</t>
  </si>
  <si>
    <t>ستيكر بريهانت دائري</t>
  </si>
  <si>
    <t>PM-00557</t>
  </si>
  <si>
    <t>Sticker Seasonal (BRH )</t>
  </si>
  <si>
    <t>ستيكر موسمي (بريهانت)</t>
  </si>
  <si>
    <t>PM-00558</t>
  </si>
  <si>
    <t>Sticker Seasonal (NMQ)</t>
  </si>
  <si>
    <t>ستيكر موسمي (نمق)</t>
  </si>
  <si>
    <t>PM-00559</t>
  </si>
  <si>
    <t>Sticker Seasonal Rectangular</t>
  </si>
  <si>
    <t>ستيكر موسمي مستطيل</t>
  </si>
  <si>
    <t>Coffee Bean Bag 250 g (AVO)</t>
  </si>
  <si>
    <t>كيس بن 250 جرام (أفولا)</t>
  </si>
  <si>
    <t>PM-00561</t>
  </si>
  <si>
    <t>Coffee Bean Bag 1 kg (AVO)</t>
  </si>
  <si>
    <t>كيس بن 1 كيلو (أفولا)</t>
  </si>
  <si>
    <t>Paper Cup 4 oz (NMQ) Double Wall Paper</t>
  </si>
  <si>
    <t>كوب ورقي 4 أونص دبل (نمق)</t>
  </si>
  <si>
    <t>Paper Cup 16 oz Surprise (NMQ)</t>
  </si>
  <si>
    <t>كوب ورقي 16 أونص سربرايز (نمق)</t>
  </si>
  <si>
    <t>Paper Bag Printed Large (NMQ)</t>
  </si>
  <si>
    <t>كيس ورقي مطبوع كبير (نمق)</t>
  </si>
  <si>
    <t>Paper Bag Small (NMQ)</t>
  </si>
  <si>
    <t>كيس ورقي صغير (نمق)</t>
  </si>
  <si>
    <t>Box Cookies - Cover (NMQ)</t>
  </si>
  <si>
    <t>بوكس كوكيز - غطاء (نمق)</t>
  </si>
  <si>
    <t>Box for Drip Coffee Sachets (Hard Cover + Plastic)</t>
  </si>
  <si>
    <t>بوكس أظرف التقطير (هارد كفر + بلاستيك)</t>
  </si>
  <si>
    <t>Paper Bag Printed Bakery (NMQ)</t>
  </si>
  <si>
    <t>كيس ورقي مطبوع للمخبوزات (نمق)</t>
  </si>
  <si>
    <t>PM-00569</t>
  </si>
  <si>
    <t>Ribbon Cup Tag (Nmaq)</t>
  </si>
  <si>
    <t>شريط تاج الكوب (نمق)</t>
  </si>
  <si>
    <t>Local Dessert Serving Round Plate 17 cm (NMQ)</t>
  </si>
  <si>
    <t>صحن دائري لتقديم الحلى المحلي 17 سم (نمق)</t>
  </si>
  <si>
    <t>PM-00572</t>
  </si>
  <si>
    <t>Glass Bottle Printed 200 ml - Cold Drinks (NMQ)</t>
  </si>
  <si>
    <t>زجاجة مطبوعة 200 مل - مشروبات باردة (نمق)</t>
  </si>
  <si>
    <t>Paper Cup 8 oz (NMQ)</t>
  </si>
  <si>
    <t>كوب ورقي 8 أونص (نمق)</t>
  </si>
  <si>
    <t>Bar Box (Kunafa)</t>
  </si>
  <si>
    <t>بوكس بار كنافة</t>
  </si>
  <si>
    <t>PM-00575</t>
  </si>
  <si>
    <t>Paper Box Coffee Bag 250 gm (NMQ)</t>
  </si>
  <si>
    <t>بوكس ورقي كيس قهوة 250 جرام (نمق)</t>
  </si>
  <si>
    <t>Packaging Zaatar Sweets</t>
  </si>
  <si>
    <t>تغليف حلويات زعتر</t>
  </si>
  <si>
    <t>Lid Paper Cup 8 oz (NMQ)</t>
  </si>
  <si>
    <t>غطاء كوب ورقي 8 أونص (نمق)</t>
  </si>
  <si>
    <t>Bowl Sugarcane pulp 1000 ml with plastic lid (TDO)</t>
  </si>
  <si>
    <t>وعاء قصب السكر 1000 مل مع غطاء بلاستيك (تاندو)</t>
  </si>
  <si>
    <t>Thermal Mug Olive Green (NMQ)</t>
  </si>
  <si>
    <t>كوب حراري أخضر زيتي (نمق)</t>
  </si>
  <si>
    <t>Thermal Mug Burgundy (NMQ)</t>
  </si>
  <si>
    <t>كوب حراري عنابي (نمق)</t>
  </si>
  <si>
    <t>Thermal Mug Beige (NMQ)</t>
  </si>
  <si>
    <t>كوب حراري بيج (نمق)</t>
  </si>
  <si>
    <t>Thermal Mug Navy Blue (NMQ)</t>
  </si>
  <si>
    <t>كوب حراري أزرق كحلي (نمق)</t>
  </si>
  <si>
    <t>Thermal Mug Sky Blue (NMQ)</t>
  </si>
  <si>
    <t>كوب حراري أزرق سماوي (نمق)</t>
  </si>
  <si>
    <t>Hard cover box – Salted Caramel (NMQ)</t>
  </si>
  <si>
    <t>بوكس هارد كفر - كراميل مملح (نمق)</t>
  </si>
  <si>
    <t>PM-00588</t>
  </si>
  <si>
    <t>Plastic Bag For The Salted Caramel Box</t>
  </si>
  <si>
    <t>كيس بلاستيك مقوى لبوكس الكراميل المملح (نمق)</t>
  </si>
  <si>
    <t>PM-00593</t>
  </si>
  <si>
    <t>Box Medina Basil Macaron - 2 Pieces (BRH)</t>
  </si>
  <si>
    <t>بوكس ماكرون ريحان المدينة - قطعتين (بريهانت)</t>
  </si>
  <si>
    <t>PM-00594</t>
  </si>
  <si>
    <t>Macaron Box Small- Peanut (BRH)</t>
  </si>
  <si>
    <t>بوكس ماكرون صغير - فول سوداني (بريهانت)</t>
  </si>
  <si>
    <t>Paper Bag Small (BRH)</t>
  </si>
  <si>
    <t>كيس ورقي صغير (بريهانت)</t>
  </si>
  <si>
    <t>Ceramic plate for cookies with a plastic lid</t>
  </si>
  <si>
    <t>صحن سيراميك للكوكيز مع غطاء بلاستيك</t>
  </si>
  <si>
    <t>Box Hardcover - Premium Harvest</t>
  </si>
  <si>
    <t>بوكس هارد كفر - محصول بريميوم</t>
  </si>
  <si>
    <t>Vanilla Madrid Cheesecake Box</t>
  </si>
  <si>
    <t>بوكس تشيز كيك مدريد بالفانيليا</t>
  </si>
  <si>
    <t>Cheesecake Box (Chocolate Madrid )</t>
  </si>
  <si>
    <t>بوكس تشيز كيك مدريد بالشوكولاتة</t>
  </si>
  <si>
    <t>Round Brown Butter Paper</t>
  </si>
  <si>
    <t>ورق زبدة بني دائري</t>
  </si>
  <si>
    <t>Coffee Day Box 1 ltr with cup holder</t>
  </si>
  <si>
    <t>بوكس قهوة اليوم 1 لتر مع قاعدة أكواب</t>
  </si>
  <si>
    <t>PM-00618</t>
  </si>
  <si>
    <t>Paper cup 7 oz (AVO)</t>
  </si>
  <si>
    <t>كوب ورقي 7 أونص (أفولا)</t>
  </si>
  <si>
    <t>PM-00619</t>
  </si>
  <si>
    <t>Paper Cup 8 oz (AVO)</t>
  </si>
  <si>
    <t>كوب ورقي 8 أونص (أفولا)</t>
  </si>
  <si>
    <t>PM-00620</t>
  </si>
  <si>
    <t>Printed coffee envelopes with filters ( NMQ )</t>
  </si>
  <si>
    <t>أظرف قهوة مطبوعة مع فلتر (نمق)</t>
  </si>
  <si>
    <t>Paper Box - 1 Pcs (FTO)</t>
  </si>
  <si>
    <t>بوكس ورقي - قطعة واحدة (فطورات)</t>
  </si>
  <si>
    <t>Paper Box - 3 Pcs (FTO)</t>
  </si>
  <si>
    <t>بوكس ورقي - 3 قطع (فطورات)</t>
  </si>
  <si>
    <t>PM-00624</t>
  </si>
  <si>
    <t>Takeaway box Seasonal design (BRH)</t>
  </si>
  <si>
    <t>صندوق تيك أواي تصميم موسمي (بريهانت)</t>
  </si>
  <si>
    <t>PM-00625</t>
  </si>
  <si>
    <t>Plastic bottle 100 ml</t>
  </si>
  <si>
    <t>علبة بلاستيكية 100 مل</t>
  </si>
  <si>
    <t>PM-00628</t>
  </si>
  <si>
    <t>Plastic cup 6 oz (BRH)</t>
  </si>
  <si>
    <t>كوب بلاستيك 6 أونص (بريهانت)</t>
  </si>
  <si>
    <t>PM-00629</t>
  </si>
  <si>
    <t>Plastic cup 6 oz (NMQ)</t>
  </si>
  <si>
    <t>كوب بلاستيك 6 أونص (نمق)</t>
  </si>
  <si>
    <t>PM-00630</t>
  </si>
  <si>
    <t>Paper Cup 4 oz (AVO)</t>
  </si>
  <si>
    <t>كوب ورقي 4 أونص (أفولا)</t>
  </si>
  <si>
    <t>Caramel Bites Bar Box (NMQ)</t>
  </si>
  <si>
    <t>بوكس كراميل بايتس بار (نمق)</t>
  </si>
  <si>
    <t>Paper Box Caramelized Pecan (NMQ)</t>
  </si>
  <si>
    <t>بوكس ورقي بيكان مكرمل (نمق)</t>
  </si>
  <si>
    <t>Glass Cup 200 ml</t>
  </si>
  <si>
    <t>كوب زجاجي 200 مل</t>
  </si>
  <si>
    <t>PM-00644</t>
  </si>
  <si>
    <t>Sticker Shake Well</t>
  </si>
  <si>
    <t>ستيكر رج جيداً</t>
  </si>
  <si>
    <t>Square aluminum foil Tray 180 ml</t>
  </si>
  <si>
    <t>صينية ألمنيوم مربعة 180 مل</t>
  </si>
  <si>
    <t>Shipping Box - Medium (AVO)</t>
  </si>
  <si>
    <t>صندوق شحن - متوسط (أفولا)</t>
  </si>
  <si>
    <t>PM-00647</t>
  </si>
  <si>
    <t>Shipping Box - Large (AVO)</t>
  </si>
  <si>
    <t>صندوق شحن - كبير (أفولا)</t>
  </si>
  <si>
    <t>PM-00649</t>
  </si>
  <si>
    <t>Hot chocolate Box 1 ltr</t>
  </si>
  <si>
    <t>علبة شوكولاتة ساخنة 1 لتر</t>
  </si>
  <si>
    <t>PM-00650</t>
  </si>
  <si>
    <t>Straw Metal 18 cm</t>
  </si>
  <si>
    <t>شفاط معدني 18 سم</t>
  </si>
  <si>
    <t>PM-00651</t>
  </si>
  <si>
    <t>Straw Metal 21 cm</t>
  </si>
  <si>
    <t>شفاط معدني 21 سم</t>
  </si>
  <si>
    <t>PM-00652</t>
  </si>
  <si>
    <t>Metal Coffee Beans Container 15*6</t>
  </si>
  <si>
    <t>علبة معدنية لمحصول قهوة 15×6</t>
  </si>
  <si>
    <t>Paper cup 7 oz Seasonal (BRH)</t>
  </si>
  <si>
    <t>كوب ورقي 7 أونص موسمي (بريهانت)</t>
  </si>
  <si>
    <t>PM-00654</t>
  </si>
  <si>
    <t>Paper Cup 4 oz seasonal (BRH)</t>
  </si>
  <si>
    <t>كوب ورقي 4 أونص موسمي (بريهانت)</t>
  </si>
  <si>
    <t>Box Sandwitch Sharing</t>
  </si>
  <si>
    <t>بوكس ساندويتش مشاركة</t>
  </si>
  <si>
    <t>Qishd Sharing Box</t>
  </si>
  <si>
    <t>بوكس جمعات القشد</t>
  </si>
  <si>
    <t>Sleeve Brokies Tray (NMQ)</t>
  </si>
  <si>
    <t>سليف صينية بروكيز (نمق)</t>
  </si>
  <si>
    <t>Aluminum paper plat base 235 ml</t>
  </si>
  <si>
    <t>قاعدة صحن ألمنيوم ورقية 235 مل</t>
  </si>
  <si>
    <t>Round butter paper 12 cm</t>
  </si>
  <si>
    <t>ورق زبدة دائري 12 سم</t>
  </si>
  <si>
    <t>PM-00665</t>
  </si>
  <si>
    <t>Box Gathering Triangle (NMQ)</t>
  </si>
  <si>
    <t>بوكس جمعات مثلثات (نمق)</t>
  </si>
  <si>
    <t>Sleeve bar Caramel Bites</t>
  </si>
  <si>
    <t>سليف بار كراميل بايتس</t>
  </si>
  <si>
    <t>Sleeve bar Caramelized Pecan</t>
  </si>
  <si>
    <t>سليف بار بيكان مكرمل</t>
  </si>
  <si>
    <t>Cover Bilmi Heart (NMQ)</t>
  </si>
  <si>
    <t>غلاف بالمي قلب (نمق)</t>
  </si>
  <si>
    <t>PM-00670</t>
  </si>
  <si>
    <t>Lid Plastic cup 5 oz</t>
  </si>
  <si>
    <t>غطاء كوب بلاستيك 5 أونص</t>
  </si>
  <si>
    <t>PM-00671</t>
  </si>
  <si>
    <t>Plastic cup 5 oz</t>
  </si>
  <si>
    <t>كوب بلاستيك 5 أونص</t>
  </si>
  <si>
    <t>PM-00672</t>
  </si>
  <si>
    <t>Sticker Cinnabon Honeycomb</t>
  </si>
  <si>
    <t>ستيكر سينابون هوني كومب</t>
  </si>
  <si>
    <t>PM-00673</t>
  </si>
  <si>
    <t>Sticker marshmallow</t>
  </si>
  <si>
    <t>ستيكر مارشميلو</t>
  </si>
  <si>
    <t>PM-00674</t>
  </si>
  <si>
    <t>Tray Seasonal (BRH)</t>
  </si>
  <si>
    <t>صينية موسمية (بريهانت)</t>
  </si>
  <si>
    <t>PM-00680</t>
  </si>
  <si>
    <t>Box Single Sandwich (NMQ)</t>
  </si>
  <si>
    <t>بوكس ساندويتش سنجل (نمق)</t>
  </si>
  <si>
    <t>PM-00681</t>
  </si>
  <si>
    <t>Circular Card For 5 Oz Plastic Cup</t>
  </si>
  <si>
    <t>كرت دائري لكوب بلاستك 5 أونص</t>
  </si>
  <si>
    <t>PM-00683</t>
  </si>
  <si>
    <t>Tray Dough - Red</t>
  </si>
  <si>
    <t>صينية عجين - أحمر</t>
  </si>
  <si>
    <t>PM-00684</t>
  </si>
  <si>
    <t>Non-Woven Bag with Cup Holder (Tow)</t>
  </si>
  <si>
    <t>حقيبة غير منسوجة مع حامل أكواب (ثنائي)</t>
  </si>
  <si>
    <t>PM-00685</t>
  </si>
  <si>
    <t>Non-Woven Bag with Cup Holder (Four)</t>
  </si>
  <si>
    <t>حقيبة غير منسوجة مع حامل أكواب (رباعي)</t>
  </si>
  <si>
    <t>Bar Box (Marshmallow)</t>
  </si>
  <si>
    <t>بوكس بار مارشميلو</t>
  </si>
  <si>
    <t>Sleeve Marshmallow Crunchy (NMQ)</t>
  </si>
  <si>
    <t>سليف مارشميلو كرانشي (نمق)</t>
  </si>
  <si>
    <t>Sleeve Caramel Marshmallow</t>
  </si>
  <si>
    <t>سليف مارشميلو كراميل</t>
  </si>
  <si>
    <t>Madeleine Matcha Chocolate Sleeve</t>
  </si>
  <si>
    <t>سليف مادلين ماتشا شوكولاته</t>
  </si>
  <si>
    <t>PM-00692</t>
  </si>
  <si>
    <t>Glass Cup Green (AVO)</t>
  </si>
  <si>
    <t>كوب زجاجي أخضر (أفولا)</t>
  </si>
  <si>
    <t>PM-00693</t>
  </si>
  <si>
    <t>Glass Cup Pink (AVO)</t>
  </si>
  <si>
    <t>كوب زجاجي وردي (أفولا)</t>
  </si>
  <si>
    <t>PM-00694</t>
  </si>
  <si>
    <t>Glass Cup Brown (AVO)</t>
  </si>
  <si>
    <t>كوب زجاجي بني (أفولا)</t>
  </si>
  <si>
    <t>Sleeve Box for Sugar can Plate</t>
  </si>
  <si>
    <t>سليف بوكس صحن قصب السكر</t>
  </si>
  <si>
    <t>Sticker Small Breakfast Box Closure</t>
  </si>
  <si>
    <t>ستيكر إغلاق صندوق فطور صغير</t>
  </si>
  <si>
    <t>StickerLlarge Breakfast Box Closure</t>
  </si>
  <si>
    <t>ستيكر إغلاق صندوق فطور كبير</t>
  </si>
  <si>
    <t>PM-00698</t>
  </si>
  <si>
    <t>Sticker Halloumi Sandwich</t>
  </si>
  <si>
    <t>ستيكر ساندويتش حلومي</t>
  </si>
  <si>
    <t>PM-00699</t>
  </si>
  <si>
    <t>Sticker Tuna Sandwich</t>
  </si>
  <si>
    <t>ستيكر ساندويتش تونا</t>
  </si>
  <si>
    <t>Box Today</t>
  </si>
  <si>
    <t>PM-00702</t>
  </si>
  <si>
    <t>Cup Holder (Pudding)</t>
  </si>
  <si>
    <t>حامل أكواب (بودينج)</t>
  </si>
  <si>
    <t>PM-00704</t>
  </si>
  <si>
    <t>Crop Card Costa Rica San Ignacio</t>
  </si>
  <si>
    <t>كرت محصول كوستاريكا سان إجناسيو</t>
  </si>
  <si>
    <t>PM-00705</t>
  </si>
  <si>
    <t>Crop Card Haraz</t>
  </si>
  <si>
    <t>كرت محصول حراز</t>
  </si>
  <si>
    <t>PM-00706</t>
  </si>
  <si>
    <t>Crop Card Romo</t>
  </si>
  <si>
    <t>كرت محصول رومو</t>
  </si>
  <si>
    <t>PM-00707</t>
  </si>
  <si>
    <t>crop card Landa</t>
  </si>
  <si>
    <t>كرت محصول لاندا</t>
  </si>
  <si>
    <t>PM-00708</t>
  </si>
  <si>
    <t>Crop Card Athra</t>
  </si>
  <si>
    <t>كرت محصول أثرا</t>
  </si>
  <si>
    <t>PM-00709</t>
  </si>
  <si>
    <t>Espresso crop card</t>
  </si>
  <si>
    <t>كرت محاصيل إسبريسو</t>
  </si>
  <si>
    <t>Coffee spoon silver</t>
  </si>
  <si>
    <t>ملعقة إسبريسو فضية</t>
  </si>
  <si>
    <t>PM-00712</t>
  </si>
  <si>
    <t>Paper Cup 8 oz (Peaks)</t>
  </si>
  <si>
    <t>كوب ورقي 8 أونص (بيكس)</t>
  </si>
  <si>
    <t>PM-00713</t>
  </si>
  <si>
    <t>Paper Cup 8 oz (Fatoorat)</t>
  </si>
  <si>
    <t>كوب ورقي 8 أونص (فطورات)</t>
  </si>
  <si>
    <t>PM-00715</t>
  </si>
  <si>
    <t>Bakery Bag for Caramel Bites</t>
  </si>
  <si>
    <t>كيس مخبوزات لعلبة كراميل بايتس</t>
  </si>
  <si>
    <t>PM-00716</t>
  </si>
  <si>
    <t>Paper Bag Printed Bakery Caramelized Pecan (NMQ)</t>
  </si>
  <si>
    <t>كيس ورقي مطبوع للمخبوزات بيكان مكرمل (نمق)</t>
  </si>
  <si>
    <t>PM-00721</t>
  </si>
  <si>
    <t>Ceramic Cup (BRH)</t>
  </si>
  <si>
    <t>كوب سيراميك (بريهانت)</t>
  </si>
  <si>
    <t>PM-00722</t>
  </si>
  <si>
    <t>Butteer Paper for Ceramic Mug (BRH)</t>
  </si>
  <si>
    <t>ورق زبدة لكوب سيراميك (بريهانت)</t>
  </si>
  <si>
    <t>Paper Cup 8 oz (Pudding)</t>
  </si>
  <si>
    <t>كوب ورقي 8 أونص (بودينج)</t>
  </si>
  <si>
    <t>PM-00724</t>
  </si>
  <si>
    <t>Printed cake base (NMQ)</t>
  </si>
  <si>
    <t>قاعدة كيك مطبوعة (نمق)</t>
  </si>
  <si>
    <t>Box NMQ Cake - Gathering</t>
  </si>
  <si>
    <t>بوكس كيك نمق - جمعات</t>
  </si>
  <si>
    <t>Aluminium plate 230 ml</t>
  </si>
  <si>
    <t>صحن ألمنيوم 230 مل</t>
  </si>
  <si>
    <t>PM-00730</t>
  </si>
  <si>
    <t>Sticker San Ignacio Crop 1 kg</t>
  </si>
  <si>
    <t>ستيكر محصول سان إجناسيو 1 كيلو</t>
  </si>
  <si>
    <t>PM-00731</t>
  </si>
  <si>
    <t>Sticker Romo Crop 1 kg</t>
  </si>
  <si>
    <t>ستيكر محصول رومو 1 كيلو</t>
  </si>
  <si>
    <t>PM-00732</t>
  </si>
  <si>
    <t>Sticker Ethra Crop 1 kg</t>
  </si>
  <si>
    <t>ستيكر محصول أثرا 1 كيلو</t>
  </si>
  <si>
    <t>PM-00733</t>
  </si>
  <si>
    <t>Sticker La Plata Crop 1kg</t>
  </si>
  <si>
    <t>ستيكر محصول لا بلاتا 1 كيلو</t>
  </si>
  <si>
    <t>Sticker Matcha 30g (BRH)</t>
  </si>
  <si>
    <t>ستيكر ماتشا 30 جرام (بريهانت)</t>
  </si>
  <si>
    <t>Sticker Matcha 50g (BRH)</t>
  </si>
  <si>
    <t>ستيكر ماتشا 50 جرام (بريهانت)</t>
  </si>
  <si>
    <t>PM-00736</t>
  </si>
  <si>
    <t>Sticker Chelchele Sachets</t>
  </si>
  <si>
    <t>ستيكر أظرف تشيلتشيلي</t>
  </si>
  <si>
    <t>PM-00737</t>
  </si>
  <si>
    <t>Sticker Humbela Sachets</t>
  </si>
  <si>
    <t>ستيكر أظرف هامبيلا</t>
  </si>
  <si>
    <t>PM-00738</t>
  </si>
  <si>
    <t>Sticker Cauca Sachets</t>
  </si>
  <si>
    <t>ستيكر أظرف كاوكا</t>
  </si>
  <si>
    <t>Cake base 13*5</t>
  </si>
  <si>
    <t>قاعدة كيك 13×5</t>
  </si>
  <si>
    <t>PM-00741</t>
  </si>
  <si>
    <t>Box caramel balls -Single</t>
  </si>
  <si>
    <t>بوكس كرات كراميل - سنجل</t>
  </si>
  <si>
    <t>PM-00742</t>
  </si>
  <si>
    <t>Box coconut ball -Single</t>
  </si>
  <si>
    <t>بوكس كرات جوز هند - سنجل</t>
  </si>
  <si>
    <t>PM-00745</t>
  </si>
  <si>
    <t>Aluminum Square Plate 230 ml</t>
  </si>
  <si>
    <t>صحن ألمنيوم مربع 230 مل</t>
  </si>
  <si>
    <t>PM-00746</t>
  </si>
  <si>
    <t>Sticker Landa Crop 1 kg</t>
  </si>
  <si>
    <t>ستيكر محصول لاندا 1 كيلو</t>
  </si>
  <si>
    <t>Sticker Passion Fruit For Glass Container (BRH)</t>
  </si>
  <si>
    <t>ستيكر باشن فروت لعلبة زجاجية (بريهانت)</t>
  </si>
  <si>
    <t>PM-00749</t>
  </si>
  <si>
    <t>Sticker Cherry 1 Kg (AVO)</t>
  </si>
  <si>
    <t>ستيكر كرز 1 كيلو (أفولا)</t>
  </si>
  <si>
    <t>PM-00750</t>
  </si>
  <si>
    <t>Sticker Cherry Quarter Kg (AVO)</t>
  </si>
  <si>
    <t>ستيكر كرز ربع كيلو (أفولا)</t>
  </si>
  <si>
    <t>PM-00751</t>
  </si>
  <si>
    <t>Paper Cup 12 oz (AVO)</t>
  </si>
  <si>
    <t>كوب ورقي 12 أونص (أفولا)</t>
  </si>
  <si>
    <t>PM-00752</t>
  </si>
  <si>
    <t>Sticker Dolce (NMQ)</t>
  </si>
  <si>
    <t>ستيكر دولتشي (نمق)</t>
  </si>
  <si>
    <t>PM-00753</t>
  </si>
  <si>
    <t>Sticker Madleen - Gathring Box</t>
  </si>
  <si>
    <t>ستيكر مادلين - بوكس جمعات</t>
  </si>
  <si>
    <t>PM-00755</t>
  </si>
  <si>
    <t>Spork Tsansparent (AVO)</t>
  </si>
  <si>
    <t>ملعقة شوكة شفافة (أفولا)</t>
  </si>
  <si>
    <t>PM-00756</t>
  </si>
  <si>
    <t>Box Crops (AVO)</t>
  </si>
  <si>
    <t>بوكس محاصيل (أفولا)</t>
  </si>
  <si>
    <t>PM-00757</t>
  </si>
  <si>
    <t>Box Signature (AVO)</t>
  </si>
  <si>
    <t>بوكس سيجنتشر (أفولا)</t>
  </si>
  <si>
    <t>PM-00758</t>
  </si>
  <si>
    <t>Coffee Bean Bag 250G (Wafer Crop)</t>
  </si>
  <si>
    <t>كيس بن 250 جرام (محصول الويفر)</t>
  </si>
  <si>
    <t>Card Iced Tea -Hibiscus</t>
  </si>
  <si>
    <t>كرت آيسد تي - كركديه</t>
  </si>
  <si>
    <t>Card Ice Tea - Peach</t>
  </si>
  <si>
    <t>كرت آيس تي - خوخ</t>
  </si>
  <si>
    <t>Card Cold Brew &amp; Iced Tea</t>
  </si>
  <si>
    <t>كرت كولد برو وآيسد تي</t>
  </si>
  <si>
    <t>PM-00762</t>
  </si>
  <si>
    <t>Roll Sulfan Wrapping</t>
  </si>
  <si>
    <t>رول تغليف سلفان</t>
  </si>
  <si>
    <t>PM-00763</t>
  </si>
  <si>
    <t>Fabric Ribbon Printed – 1.5 cm * 90 m (BRH)</t>
  </si>
  <si>
    <t>شريط قماش مطبوع - 1.5 سم × 90 متر (بريهانت)</t>
  </si>
  <si>
    <t>PM-00764</t>
  </si>
  <si>
    <t>Sticker Brazil Rosa Morena Sachets</t>
  </si>
  <si>
    <t>ستيكر أظرف برازيل روزا مورينا</t>
  </si>
  <si>
    <t>PM-00765</t>
  </si>
  <si>
    <t>Sticker Brazil Mogiana Sachets</t>
  </si>
  <si>
    <t>ستيكر أظرف برازيل موجيانا</t>
  </si>
  <si>
    <t>PM-00766</t>
  </si>
  <si>
    <t>Sticker Colombia Cauca Sachets</t>
  </si>
  <si>
    <t>ستيكر أظرف كولومبيا كاوكا</t>
  </si>
  <si>
    <t>PM-00767</t>
  </si>
  <si>
    <t>Sticker Colombia Balandas Sachets</t>
  </si>
  <si>
    <t>ستيكر أظرف كولومبيا بالانداس</t>
  </si>
  <si>
    <t>PM-00768</t>
  </si>
  <si>
    <t>Sticker Choco Wafer Sachets</t>
  </si>
  <si>
    <t>ستيكر أظرف شوكو ويفر</t>
  </si>
  <si>
    <t>PM-00769</t>
  </si>
  <si>
    <t>Sticker Sumatra Sachets</t>
  </si>
  <si>
    <t>ستيكر أظرف سومطرة</t>
  </si>
  <si>
    <t>PM-00770</t>
  </si>
  <si>
    <t>Sticker Al Saeed Sachets</t>
  </si>
  <si>
    <t>ستيكر أظرف السعيد</t>
  </si>
  <si>
    <t>PM-00771</t>
  </si>
  <si>
    <t>Sticker Pina Colada Sachets</t>
  </si>
  <si>
    <t>ستيكر أظرف بينا كولادا</t>
  </si>
  <si>
    <t>PM-00772</t>
  </si>
  <si>
    <t>Sticker Breeehant Espresso Blend Sachets (BRH)</t>
  </si>
  <si>
    <t>ستيكر أظرف إسبريسو بلند بريهانت (بريهانت)</t>
  </si>
  <si>
    <t>PM-00773</t>
  </si>
  <si>
    <t>Sticker Mogiana (1 Kg)</t>
  </si>
  <si>
    <t>ستيكر موجيانا (1 كيلو)</t>
  </si>
  <si>
    <t>PM-00774</t>
  </si>
  <si>
    <t>Sticker Excelsa (1 Kg)</t>
  </si>
  <si>
    <t>ستيكر إكسيلسا (1 كيلو)</t>
  </si>
  <si>
    <t>PM-00775</t>
  </si>
  <si>
    <t>Sticker Guji Sachets</t>
  </si>
  <si>
    <t>ستيكر أظرف جوجي</t>
  </si>
  <si>
    <t>PM-00776</t>
  </si>
  <si>
    <t>Sticker New Oriente Sachets</t>
  </si>
  <si>
    <t>ستيكر أظرف نيو أورينتي</t>
  </si>
  <si>
    <t>PM-00777</t>
  </si>
  <si>
    <t>Foggy Plastic Bag Small (AVO)</t>
  </si>
  <si>
    <t>كيس بلاستيك ضبابي صغير (أفولا)</t>
  </si>
  <si>
    <t>PM-00778</t>
  </si>
  <si>
    <t>Foggy Plastic Bag Large (AVO)</t>
  </si>
  <si>
    <t>كيس بلاستيك ضبابي كبير (أفولا)</t>
  </si>
  <si>
    <t>PM-00790</t>
  </si>
  <si>
    <t>Avola Spoon Box</t>
  </si>
  <si>
    <t>بوكس ملعقة أفولا</t>
  </si>
  <si>
    <t>PM-00793</t>
  </si>
  <si>
    <t>Avola Glass Cup Box</t>
  </si>
  <si>
    <t>بوكس كوب أفولا الزجاجي</t>
  </si>
  <si>
    <t>PM-00795</t>
  </si>
  <si>
    <t>Sticker Bahia Crop 1 kg</t>
  </si>
  <si>
    <t>ستيكر محصول باهيا 1 كيلو</t>
  </si>
  <si>
    <t>PM-00796</t>
  </si>
  <si>
    <t>Sticker Huwaila Crop 1 kg</t>
  </si>
  <si>
    <t>ستيكر محصول هويلة 1 كيلو</t>
  </si>
  <si>
    <t>PM-00797</t>
  </si>
  <si>
    <t>Sticker Kalma Crop 1 kg</t>
  </si>
  <si>
    <t>ستيكر محصول كالما 1 كيلو</t>
  </si>
  <si>
    <t>PM-00798</t>
  </si>
  <si>
    <t>Sticker Qayo Crop 250 g</t>
  </si>
  <si>
    <t>ستيكر محصول كايو 250 جرام</t>
  </si>
  <si>
    <t>PM-00799</t>
  </si>
  <si>
    <t>Sticker Bahia Crop 250 g</t>
  </si>
  <si>
    <t>ستيكر محصول باهيا 250 جرام</t>
  </si>
  <si>
    <t>PM-00800</t>
  </si>
  <si>
    <t>Sticker Huwaila Crop 250 g</t>
  </si>
  <si>
    <t>ستيكر محصول هويلة 250 جرام</t>
  </si>
  <si>
    <t>PM-00801</t>
  </si>
  <si>
    <t>Sticker Kalma Crop 250 g</t>
  </si>
  <si>
    <t>ستيكر محصول كالما 250 جرام</t>
  </si>
  <si>
    <t>PM-00802</t>
  </si>
  <si>
    <t>Stickers Matcha Can (AVO)</t>
  </si>
  <si>
    <t>ستيكرات علبة ماتشا (أفولا)</t>
  </si>
  <si>
    <t>PM-00804</t>
  </si>
  <si>
    <t>Sleeve Box Cookies (NMQ)</t>
  </si>
  <si>
    <t>سليف بوكس الكوكيز (نمق)</t>
  </si>
  <si>
    <t>Takeaway Box Sweets - Drawer Box (NMQ)</t>
  </si>
  <si>
    <t>صندوق تيك أواي حلويات - قاعدة سحاب (نمق)</t>
  </si>
  <si>
    <t>PM-00806</t>
  </si>
  <si>
    <t>Bar Box Kunafa - Pet Cover (NMQ)</t>
  </si>
  <si>
    <t>بوكس بار كنافه (نمق)</t>
  </si>
  <si>
    <t>PM-00807</t>
  </si>
  <si>
    <t>Hard Cover Box – Salted Caramel - Caramel Bites Inserts</t>
  </si>
  <si>
    <t>صندوق غلاف صلب - كراميل مملح - تقسيمة داخلية للكراميل</t>
  </si>
  <si>
    <t>PM-00808</t>
  </si>
  <si>
    <t>Hard Cover Box – Salted Caramel - Brownies Bites Inserts</t>
  </si>
  <si>
    <t>صندوق غلاف صلب - كراميل مملح - تقسيمة داخلية براونيز</t>
  </si>
  <si>
    <t>PM-00809</t>
  </si>
  <si>
    <t>Drip Coffee Box - Pet Lid</t>
  </si>
  <si>
    <t>صندوق قهوة مقطرة - غطاء</t>
  </si>
  <si>
    <t>PM-00811</t>
  </si>
  <si>
    <t>Drip Coffee Box - Elastic String</t>
  </si>
  <si>
    <t>صندوق قهوة مقطرة - خيط مطاطي</t>
  </si>
  <si>
    <t>PM-00812</t>
  </si>
  <si>
    <t>Drip Coffee Box - Box Base</t>
  </si>
  <si>
    <t>صندوق قهوة مقطرة - قاعدة</t>
  </si>
  <si>
    <t>PM-00813</t>
  </si>
  <si>
    <t>Avola Straw</t>
  </si>
  <si>
    <t>قشاشة أفولا</t>
  </si>
  <si>
    <t>PM-00814</t>
  </si>
  <si>
    <t>Avola Napkin</t>
  </si>
  <si>
    <t>منديل أفولا</t>
  </si>
  <si>
    <t>PM-00815</t>
  </si>
  <si>
    <t>Crops Sticker Breehant 100 Gram</t>
  </si>
  <si>
    <t>ستيكر كروبس بريهانت 100 غرام</t>
  </si>
  <si>
    <t>PM-00816</t>
  </si>
  <si>
    <t>Glass spoon large (Avola)</t>
  </si>
  <si>
    <t>ملعقة زجاجية كبيرة (أفولا)</t>
  </si>
  <si>
    <t>PM-00817</t>
  </si>
  <si>
    <t>Glass spoon small (Avola)</t>
  </si>
  <si>
    <t>ملعقة زجاجية صغيرة (أفولا)</t>
  </si>
  <si>
    <t>PM-00818</t>
  </si>
  <si>
    <t>Avola Shaped Stickers</t>
  </si>
  <si>
    <t>ستيكرات أفولا على شكل خاص</t>
  </si>
  <si>
    <t>PM-00819</t>
  </si>
  <si>
    <t>Avola Cherry Coffee Box</t>
  </si>
  <si>
    <t>صندوق أفولا كيري قهوة</t>
  </si>
  <si>
    <t>PM-00820</t>
  </si>
  <si>
    <t>Avola Eid Box</t>
  </si>
  <si>
    <t>صندوق أفولا عيد</t>
  </si>
  <si>
    <t>PM-00821</t>
  </si>
  <si>
    <t>Breehant Harvest Box – Eid Edition Design</t>
  </si>
  <si>
    <t>صندوق بريهانت هارفيست - تصميم عيد</t>
  </si>
  <si>
    <t>PM-00822</t>
  </si>
  <si>
    <t>Ceramic Cookie Plate Spoon</t>
  </si>
  <si>
    <t>طبق كوكيز سيراميك مع ملعقة</t>
  </si>
  <si>
    <t>PM-00823</t>
  </si>
  <si>
    <t>Metal Matcha Tin-Lid (BRH)</t>
  </si>
  <si>
    <t>علبة ماتشا معدنية مع غطاء (بريهانت)</t>
  </si>
  <si>
    <t>Rec</t>
  </si>
  <si>
    <t>PM-00824</t>
  </si>
  <si>
    <t>Avola tape</t>
  </si>
  <si>
    <t>شريط لاصق أفولا</t>
  </si>
  <si>
    <t>PM-00825</t>
  </si>
  <si>
    <t>Sticker Cups 6.5 Oz</t>
  </si>
  <si>
    <t>ستيكر أكواب 6.5 اونص</t>
  </si>
  <si>
    <t>PM-00826</t>
  </si>
  <si>
    <t>Sticker Cups 8 Oz</t>
  </si>
  <si>
    <t>ستيكر أكواب 8 اونص</t>
  </si>
  <si>
    <t>PM-00827</t>
  </si>
  <si>
    <t>Sticker Cups 12 Oz</t>
  </si>
  <si>
    <t>ستيكر أكواب 12 اونص</t>
  </si>
  <si>
    <t>PM-00828</t>
  </si>
  <si>
    <t>Foamy Cup Sticker</t>
  </si>
  <si>
    <t>ستيكر كوب فومي</t>
  </si>
  <si>
    <t>PM-00829</t>
  </si>
  <si>
    <t>Lami Cup Sticker</t>
  </si>
  <si>
    <t>ستيكر كوب لامي</t>
  </si>
  <si>
    <t>PM-00830</t>
  </si>
  <si>
    <t>Costa Rica Cup Sticker</t>
  </si>
  <si>
    <t>ستيكر كوستاريكا كوب</t>
  </si>
  <si>
    <t>PM-00831</t>
  </si>
  <si>
    <t>San Agnasio Breehant Sticker</t>
  </si>
  <si>
    <t>ستيكر سان أغناسيو بريهانت</t>
  </si>
  <si>
    <t>PM-00832</t>
  </si>
  <si>
    <t>Excelso Breehant Sticker</t>
  </si>
  <si>
    <t>ستيكر إكسيلسو بريهانت</t>
  </si>
  <si>
    <t>PM-00833</t>
  </si>
  <si>
    <t>West Arsi Breehant Sticker</t>
  </si>
  <si>
    <t>ستيكر ويست أرسي بريهانت</t>
  </si>
  <si>
    <t>PM-00834</t>
  </si>
  <si>
    <t>Shakeso Breehant Sticker</t>
  </si>
  <si>
    <t>ستيكر شاكيسو بريهانت</t>
  </si>
  <si>
    <t>PM-00835</t>
  </si>
  <si>
    <t>Sunglasses for Cherry Box</t>
  </si>
  <si>
    <t>نظارات شمسية لصندوق كيري</t>
  </si>
  <si>
    <t>PM-00836</t>
  </si>
  <si>
    <t>Plastic Box Round with Lid 440 ml</t>
  </si>
  <si>
    <t>علبة بلاستيكية دائرية مع غطاء 440 مل</t>
  </si>
  <si>
    <t>PM-00837</t>
  </si>
  <si>
    <t>Glass Cup Tala Matcha 12 oz</t>
  </si>
  <si>
    <t>كوب زجاجي تالا ماتشا 12 اونص</t>
  </si>
  <si>
    <t>PM-00838</t>
  </si>
  <si>
    <t>Coffee Bean Bag 1 KG (NMQ)</t>
  </si>
  <si>
    <t>كيس حبوب قهوة 1 كغ (نمق)</t>
  </si>
  <si>
    <t>PM-00839</t>
  </si>
  <si>
    <t>Plastic Cup 12 oz Seasonal (NMQ)</t>
  </si>
  <si>
    <t>كوب بلاستيكي 12 اونص موسمي (نمق)</t>
  </si>
  <si>
    <t>PM-00840</t>
  </si>
  <si>
    <t>Lid Plastic Dome Cup 12 oz</t>
  </si>
  <si>
    <t>غطاء كوب بلاستيكي قبة 12 اونص</t>
  </si>
  <si>
    <t>PM-00841</t>
  </si>
  <si>
    <t>Box Salad 350 ml</t>
  </si>
  <si>
    <t>صندوق سلطة 350 مل</t>
  </si>
  <si>
    <t>PM-00842</t>
  </si>
  <si>
    <t>Cup Holder Fabric</t>
  </si>
  <si>
    <t>حامل كوب قماشي</t>
  </si>
  <si>
    <t>PM-00843</t>
  </si>
  <si>
    <t>Sugarcane Plate 850 ml</t>
  </si>
  <si>
    <t>طبق قصب السكر 850 مل</t>
  </si>
  <si>
    <t>PM-00844</t>
  </si>
  <si>
    <t>Sticker Tala Matcha</t>
  </si>
  <si>
    <t>ستيكر تالا ماتشا</t>
  </si>
  <si>
    <t>PM-00845</t>
  </si>
  <si>
    <t>Sleeve Salad Box</t>
  </si>
  <si>
    <t>غلاف صندوق سلطة</t>
  </si>
  <si>
    <t>PM-00846</t>
  </si>
  <si>
    <t>Insert Cookies Box</t>
  </si>
  <si>
    <t>إدراج صندوق كوكيز</t>
  </si>
  <si>
    <t>PM-00847</t>
  </si>
  <si>
    <t>Sleeve Seasonal (NMQ)</t>
  </si>
  <si>
    <t>غلاف موسمي (نمق)</t>
  </si>
  <si>
    <t>PM-00848</t>
  </si>
  <si>
    <t>Box Seasonal (NMQ)</t>
  </si>
  <si>
    <t>صندوق موسمي (نمق)</t>
  </si>
  <si>
    <t>PM-00849</t>
  </si>
  <si>
    <t>Box Seasonal (BRH)</t>
  </si>
  <si>
    <t>صندوق موسمي (بريهانت)</t>
  </si>
  <si>
    <t>PM-00850</t>
  </si>
  <si>
    <t>Rectangular Bottle 250 ml</t>
  </si>
  <si>
    <t>زجاجة مستطيلة 250 مل</t>
  </si>
  <si>
    <t>PM-00851</t>
  </si>
  <si>
    <t>Sticker Ceramic Cup - 6 oz</t>
  </si>
  <si>
    <t>ستيكر كوب سيراميك - 6 أونص</t>
  </si>
  <si>
    <t>PM-00852</t>
  </si>
  <si>
    <t>Sticker Ceramic Cup - 4 oz</t>
  </si>
  <si>
    <t>ستيكر كوب سيراميك - 4 أونص</t>
  </si>
  <si>
    <t>PM-00853</t>
  </si>
  <si>
    <t>Sticker Ceramic Cup - 2 oz</t>
  </si>
  <si>
    <t>ستيكر كوب سيراميك - 2 أونص</t>
  </si>
  <si>
    <t>PM-00854</t>
  </si>
  <si>
    <t>Sticker Pottery Cup - 270 ml</t>
  </si>
  <si>
    <t>ستيكر كوب فخار - 270 مل</t>
  </si>
  <si>
    <t>PM-00855</t>
  </si>
  <si>
    <t>Sticker Concentrated Coffee</t>
  </si>
  <si>
    <t>ستيكر قهوة مركزة</t>
  </si>
  <si>
    <t>PM-00856</t>
  </si>
  <si>
    <t>Canvas Tote Bag (AVO)</t>
  </si>
  <si>
    <t>حقيبة قماشية (افولا)</t>
  </si>
  <si>
    <t>Box Alnqawah (BRH)</t>
  </si>
  <si>
    <t>بوكس النقاوة ( بريهانت)</t>
  </si>
  <si>
    <t>PM-00859</t>
  </si>
  <si>
    <t>Avola Trendy Gift Box</t>
  </si>
  <si>
    <t>صندوق أفولا ترندي</t>
  </si>
  <si>
    <t>PM-00860</t>
  </si>
  <si>
    <t>Yirgasheffe Stickers</t>
  </si>
  <si>
    <t>ستيكر ييرغاتشيف</t>
  </si>
  <si>
    <t>PM-00861</t>
  </si>
  <si>
    <t>Tree Shadow Stickers</t>
  </si>
  <si>
    <t>ستيكر ظلال الأشجار</t>
  </si>
  <si>
    <t>PM-00862</t>
  </si>
  <si>
    <t>Bolivar Stickers</t>
  </si>
  <si>
    <t>ستيكر بوليفار</t>
  </si>
  <si>
    <t>PM-00863</t>
  </si>
  <si>
    <t>Iguazu Sticker</t>
  </si>
  <si>
    <t>ستيكر إيغوازو</t>
  </si>
  <si>
    <t>PM-00864</t>
  </si>
  <si>
    <t>Abyssinia Sticker</t>
  </si>
  <si>
    <t>ستيكر الحبشة</t>
  </si>
  <si>
    <t>PM-00865</t>
  </si>
  <si>
    <t>Balqees Sticker</t>
  </si>
  <si>
    <t>ستيكر بلقيس</t>
  </si>
  <si>
    <t>PM-00866</t>
  </si>
  <si>
    <t>Obayyah Sticker</t>
  </si>
  <si>
    <t>ستيكر عبية</t>
  </si>
  <si>
    <t>PM-00867</t>
  </si>
  <si>
    <t>Salsa Sticker</t>
  </si>
  <si>
    <t>ستيكر صلصة</t>
  </si>
  <si>
    <t>Animal Ghee</t>
  </si>
  <si>
    <t>سمن حيواني</t>
  </si>
  <si>
    <t>Butter Sheet</t>
  </si>
  <si>
    <t xml:space="preserve">زبده شرائح  </t>
  </si>
  <si>
    <t>Creamy Peanut Butter</t>
  </si>
  <si>
    <t xml:space="preserve">زبدة الفول السوداني الناعمة </t>
  </si>
  <si>
    <t>Feta Cheese</t>
  </si>
  <si>
    <t>جبن فيتا</t>
  </si>
  <si>
    <t>Hallomi Cheese</t>
  </si>
  <si>
    <t>جبن حلومي</t>
  </si>
  <si>
    <t>Cheese Cream</t>
  </si>
  <si>
    <t>جبن كريمي</t>
  </si>
  <si>
    <t>RM-00010</t>
  </si>
  <si>
    <t>Mozzarella Cheese</t>
  </si>
  <si>
    <t>جبن موزاريلا</t>
  </si>
  <si>
    <t>Parmesan Cheese</t>
  </si>
  <si>
    <t>جبن بارميزان</t>
  </si>
  <si>
    <t>Cheddar Cheese Mild Red</t>
  </si>
  <si>
    <t>جبن شيدر احمر</t>
  </si>
  <si>
    <t>Blue Cheese</t>
  </si>
  <si>
    <t>جبن ازرق</t>
  </si>
  <si>
    <t>Cheddar Cheese Mild White</t>
  </si>
  <si>
    <t>جبنة شيدر ابيض</t>
  </si>
  <si>
    <t>Mascarpone Cheese</t>
  </si>
  <si>
    <t>جبنة ماسكربوني</t>
  </si>
  <si>
    <t>Gouda Mild Chesse</t>
  </si>
  <si>
    <t>جبن قودا</t>
  </si>
  <si>
    <t>Flake Chocolate</t>
  </si>
  <si>
    <t>شوكولاتة فليك</t>
  </si>
  <si>
    <t>Nutella Hazelnut</t>
  </si>
  <si>
    <t>نوتيلا</t>
  </si>
  <si>
    <t>Milk Chocolate 35% - Belcolade</t>
  </si>
  <si>
    <t>شوكلاته بالحليب 35% - بلكولاد</t>
  </si>
  <si>
    <t>Cocoa Powder - Happy Cao</t>
  </si>
  <si>
    <t>بودرة كاكاو - هابي كاو</t>
  </si>
  <si>
    <t>Cake Mixes - Dark Chocolate</t>
  </si>
  <si>
    <t xml:space="preserve">خليط الكيك بالشوكولاه الداكنه </t>
  </si>
  <si>
    <t>White Chocolate Drops 30% - Crea</t>
  </si>
  <si>
    <t>شوكولاتة بيضاء حبيبات 30% - كريا</t>
  </si>
  <si>
    <t>Milk Chocolate 35% - Belchoco</t>
  </si>
  <si>
    <t>شوكلاته بالحليب 35% - بلشوكو</t>
  </si>
  <si>
    <t>Kunafa Chocolate Bar</t>
  </si>
  <si>
    <t xml:space="preserve">تشوكلت بار كنافة </t>
  </si>
  <si>
    <t>Chocolate Sticks 44%</t>
  </si>
  <si>
    <t xml:space="preserve">اصابع الشوكولاتة 44% </t>
  </si>
  <si>
    <t>Dark Chocolate Chips 55%</t>
  </si>
  <si>
    <t>حبيبات شوكولاتة داكنة 55%</t>
  </si>
  <si>
    <t>Milk Chocolate Drops 37% - Crea</t>
  </si>
  <si>
    <t>شوكولاتة بالحليب حبيبات 37% - كريا</t>
  </si>
  <si>
    <t>Dark Chocolate 55% - Belcolade</t>
  </si>
  <si>
    <t>شوكولاه داكنه 55% - بلكولاد</t>
  </si>
  <si>
    <t>Salted Caramel Filling - Speciality</t>
  </si>
  <si>
    <t>حشوة الكراميل المملح - متخصصة</t>
  </si>
  <si>
    <t>Cocoa Powder - Medium</t>
  </si>
  <si>
    <t>مسحوق الكاكاو - متوسط</t>
  </si>
  <si>
    <t>Cocoa Powder - Decoration</t>
  </si>
  <si>
    <t>بودرة كاكاو - للزينه</t>
  </si>
  <si>
    <t>Cooking Cream</t>
  </si>
  <si>
    <t>كريمة طبخ</t>
  </si>
  <si>
    <t>Analogue Cream</t>
  </si>
  <si>
    <t>شبيه قشطة</t>
  </si>
  <si>
    <t>Greek Yoghurt</t>
  </si>
  <si>
    <t xml:space="preserve"> زبادي يوناني</t>
  </si>
  <si>
    <t>Whipping Cream</t>
  </si>
  <si>
    <t>كريمة خفق</t>
  </si>
  <si>
    <t>Hobla Cream</t>
  </si>
  <si>
    <t>كريمة هوبلا</t>
  </si>
  <si>
    <t>Unsalted Butter</t>
  </si>
  <si>
    <t>زبدة غير مملحه</t>
  </si>
  <si>
    <t>Labneh</t>
  </si>
  <si>
    <t>لبنة</t>
  </si>
  <si>
    <t>Puck Cream</t>
  </si>
  <si>
    <t>قشطه بوك</t>
  </si>
  <si>
    <t>Sour Cream</t>
  </si>
  <si>
    <t>كريمة حامضة</t>
  </si>
  <si>
    <t>Premium White Flour</t>
  </si>
  <si>
    <t xml:space="preserve">دقيق ابيض فاخر </t>
  </si>
  <si>
    <t>Corn Flour</t>
  </si>
  <si>
    <t>نشاء الذرة</t>
  </si>
  <si>
    <t>Kuwait Flour Premium</t>
  </si>
  <si>
    <t>طحين الكويت فاخر</t>
  </si>
  <si>
    <t>Brown Flour</t>
  </si>
  <si>
    <t>طحين  بر</t>
  </si>
  <si>
    <t>Flour Premium T55</t>
  </si>
  <si>
    <t>طحين فاخر T55</t>
  </si>
  <si>
    <t>Flour Premium T45</t>
  </si>
  <si>
    <t>طحين فاخر T45</t>
  </si>
  <si>
    <t>Flour Premium T65</t>
  </si>
  <si>
    <t>طحين فاخر T65</t>
  </si>
  <si>
    <t>Vital Wheat Gluten Flour</t>
  </si>
  <si>
    <t>دقيق جلوتين القمح الحيوي</t>
  </si>
  <si>
    <t>RM-00119</t>
  </si>
  <si>
    <t>Coconut Ground</t>
  </si>
  <si>
    <t>جوز هند مطحون</t>
  </si>
  <si>
    <t>Maznah Coffee</t>
  </si>
  <si>
    <t>قهوة مزنة</t>
  </si>
  <si>
    <t>Digestive Biscuits</t>
  </si>
  <si>
    <t>بسكوت ديجاستيف</t>
  </si>
  <si>
    <t>Biscuit Bonomi</t>
  </si>
  <si>
    <t>بسكويت بونومي</t>
  </si>
  <si>
    <t>Honey</t>
  </si>
  <si>
    <t>عسل</t>
  </si>
  <si>
    <t>Lite Corn Syrup</t>
  </si>
  <si>
    <t>شراب الذرة الفاتح</t>
  </si>
  <si>
    <t>Ground Cinnamon</t>
  </si>
  <si>
    <t>قرفة مطحونة</t>
  </si>
  <si>
    <t>Baking Powder</t>
  </si>
  <si>
    <t>باكنج باودر</t>
  </si>
  <si>
    <t>Cardamom Whole</t>
  </si>
  <si>
    <t>هيل حب</t>
  </si>
  <si>
    <t>Clove</t>
  </si>
  <si>
    <t>قرنفل</t>
  </si>
  <si>
    <t>Alqassim Coffee Mix</t>
  </si>
  <si>
    <t>قهوة خلطة القصيم</t>
  </si>
  <si>
    <t>Ground Coriander</t>
  </si>
  <si>
    <t>كزبرة مطحون</t>
  </si>
  <si>
    <t>RM-00153</t>
  </si>
  <si>
    <t>Garlic Powder</t>
  </si>
  <si>
    <t>بودرة ثوم</t>
  </si>
  <si>
    <t>Chia Seeds</t>
  </si>
  <si>
    <t>بذور الشيا</t>
  </si>
  <si>
    <t>Dates Ekhlas</t>
  </si>
  <si>
    <t>تمر اخلاص</t>
  </si>
  <si>
    <t>English Breakfast Tea</t>
  </si>
  <si>
    <t>شاي الفطور الانجليزي</t>
  </si>
  <si>
    <t>Pesto Sauce</t>
  </si>
  <si>
    <t>صوص بيستو</t>
  </si>
  <si>
    <t>Corn</t>
  </si>
  <si>
    <t>ذرة</t>
  </si>
  <si>
    <t>Sundried Tomato</t>
  </si>
  <si>
    <t>طماطم مجففة</t>
  </si>
  <si>
    <t>RM-00169</t>
  </si>
  <si>
    <t>Egg</t>
  </si>
  <si>
    <t>بيض</t>
  </si>
  <si>
    <t>Caramel Sea Salt</t>
  </si>
  <si>
    <t>كاراميل بالملح البحري</t>
  </si>
  <si>
    <t>Ranch Sauce</t>
  </si>
  <si>
    <t>صوص الرانش</t>
  </si>
  <si>
    <t>Ketchup</t>
  </si>
  <si>
    <t>كاتشب</t>
  </si>
  <si>
    <t>Black Seed</t>
  </si>
  <si>
    <t>الحبه السوداء</t>
  </si>
  <si>
    <t>Date Paste</t>
  </si>
  <si>
    <t>معجون تمر</t>
  </si>
  <si>
    <t>Dried Mint</t>
  </si>
  <si>
    <t>نعناع مجفف</t>
  </si>
  <si>
    <t>Green Olives Slices</t>
  </si>
  <si>
    <t>شرائح زيتون اخضر</t>
  </si>
  <si>
    <t>Jalapeno Pepper</t>
  </si>
  <si>
    <t>فلفل جلابينو</t>
  </si>
  <si>
    <t>RM-00196</t>
  </si>
  <si>
    <t>Date Syrup</t>
  </si>
  <si>
    <t>دبس تمر</t>
  </si>
  <si>
    <t>Cake Moisturizing &amp; Improving Gel</t>
  </si>
  <si>
    <t>جل محسن و مرطب للكيك</t>
  </si>
  <si>
    <t>Diamond Glaze Neutral</t>
  </si>
  <si>
    <t>دياموند جيلي تلميع سادة</t>
  </si>
  <si>
    <t>Liquid Glucose</t>
  </si>
  <si>
    <t>جلوكوز سائل</t>
  </si>
  <si>
    <t>Sodium Bicarbonate</t>
  </si>
  <si>
    <t>بيكربونات الصوديوم</t>
  </si>
  <si>
    <t>Mahran Biryani</t>
  </si>
  <si>
    <t>برياني مهران</t>
  </si>
  <si>
    <t>Mehran Massala Curry</t>
  </si>
  <si>
    <t>مهران مسالا</t>
  </si>
  <si>
    <t>Red Pepper Powder</t>
  </si>
  <si>
    <t>فلفل أحمر</t>
  </si>
  <si>
    <t>RM-00207</t>
  </si>
  <si>
    <t>Curry Muhran</t>
  </si>
  <si>
    <t>مهران كاري</t>
  </si>
  <si>
    <t>Cinnamon Sticks</t>
  </si>
  <si>
    <t>قرفة عيدان</t>
  </si>
  <si>
    <t>Black Pepper Powder</t>
  </si>
  <si>
    <t>فلفل اسود مطحون</t>
  </si>
  <si>
    <t>RM-00216</t>
  </si>
  <si>
    <t>Freshly Sauce Worcehester</t>
  </si>
  <si>
    <t>صلصة ورشستر</t>
  </si>
  <si>
    <t>Mustard Dijon</t>
  </si>
  <si>
    <t>مسترد ديجون</t>
  </si>
  <si>
    <t>RM-00218</t>
  </si>
  <si>
    <t>Paprika Hot Chili</t>
  </si>
  <si>
    <t xml:space="preserve"> باربكا فلفل حار</t>
  </si>
  <si>
    <t>Ajwain Seed</t>
  </si>
  <si>
    <t>نخوة هندي</t>
  </si>
  <si>
    <t>Garam Masala Powder</t>
  </si>
  <si>
    <t>بهارات مشكل مطحون</t>
  </si>
  <si>
    <t>Mustard Seeds</t>
  </si>
  <si>
    <t>حبوب خردل</t>
  </si>
  <si>
    <t>بقسماط مطحون</t>
  </si>
  <si>
    <t>Chat Masala</t>
  </si>
  <si>
    <t>بهارات تشات مسالا</t>
  </si>
  <si>
    <t>Cream Caramel</t>
  </si>
  <si>
    <t>كريم كراميل</t>
  </si>
  <si>
    <t>Lotus Biscoff</t>
  </si>
  <si>
    <t>بسكويت لوتس</t>
  </si>
  <si>
    <t>Cajun Spices</t>
  </si>
  <si>
    <t>بهارات الكاجون</t>
  </si>
  <si>
    <t>Cardamom Powder</t>
  </si>
  <si>
    <t>هيل مطحون</t>
  </si>
  <si>
    <t>Cumin Powder</t>
  </si>
  <si>
    <t>كمون مطحون</t>
  </si>
  <si>
    <t>Cocoa Butter</t>
  </si>
  <si>
    <t>زبدة كاكاو</t>
  </si>
  <si>
    <t>Ginger Powder</t>
  </si>
  <si>
    <t>زنجبيل مطحون</t>
  </si>
  <si>
    <t>Coopoliva Olives</t>
  </si>
  <si>
    <t>زيتون اسود كوبوليفا</t>
  </si>
  <si>
    <t>Dried Peach Slices</t>
  </si>
  <si>
    <t>شرائح الخوخ المجففة</t>
  </si>
  <si>
    <t>Caramel - Belchoco</t>
  </si>
  <si>
    <t>بلشوكو كراميل</t>
  </si>
  <si>
    <t>Biscuit Filling With Crunchy Pieces</t>
  </si>
  <si>
    <t>حشوة البسكويت مع كسر</t>
  </si>
  <si>
    <t>Nescafe Gold</t>
  </si>
  <si>
    <t>نسكافية قولد</t>
  </si>
  <si>
    <t>Dry Yeast</t>
  </si>
  <si>
    <t>خميرة فورية</t>
  </si>
  <si>
    <t>Fresh Yeast</t>
  </si>
  <si>
    <t>خميرة فرش</t>
  </si>
  <si>
    <t>Vanilla Beans - Arome Madagascar</t>
  </si>
  <si>
    <t>حبوب الفانيلا مدغشقر</t>
  </si>
  <si>
    <t>Oats</t>
  </si>
  <si>
    <t>شوفان</t>
  </si>
  <si>
    <t>Pancake Syrup</t>
  </si>
  <si>
    <t>سيروب بانكيك</t>
  </si>
  <si>
    <t>Soft Ice Creme Vanilla</t>
  </si>
  <si>
    <t>خليط ايس كريم فانيلا</t>
  </si>
  <si>
    <t>Sweet Paprika Powder</t>
  </si>
  <si>
    <t>بابريكا حلوة مطحون</t>
  </si>
  <si>
    <t>Pickles Cucumber</t>
  </si>
  <si>
    <t>مخلل الخيار</t>
  </si>
  <si>
    <t>Pomegranate Molasses</t>
  </si>
  <si>
    <t>دبس رمان</t>
  </si>
  <si>
    <t>Potato Sticks</t>
  </si>
  <si>
    <t>بطاطس اعواد</t>
  </si>
  <si>
    <t>Concentrated Paste Vanilla</t>
  </si>
  <si>
    <t xml:space="preserve">معجون مركز بنكهة الفانيلا  </t>
  </si>
  <si>
    <t>Red Food Color Powder</t>
  </si>
  <si>
    <t>لون طعام احمر</t>
  </si>
  <si>
    <t>Roselle</t>
  </si>
  <si>
    <t>كركديه</t>
  </si>
  <si>
    <t>Bakery Improver S500</t>
  </si>
  <si>
    <t>محسن مخبوزات اس 500</t>
  </si>
  <si>
    <t>Tomato Paste</t>
  </si>
  <si>
    <t xml:space="preserve">معجون طماطم </t>
  </si>
  <si>
    <t>Sesame</t>
  </si>
  <si>
    <t>سمسم</t>
  </si>
  <si>
    <t>RM-00292</t>
  </si>
  <si>
    <t>Sliced Green Jalapeno</t>
  </si>
  <si>
    <t>شرائح فلفل الجلابينو الاخضر</t>
  </si>
  <si>
    <t>Sriracha Sauce - Tabasco</t>
  </si>
  <si>
    <t>صلصة سريراتشا - تباسكو</t>
  </si>
  <si>
    <t>Sukkari Coated Dates</t>
  </si>
  <si>
    <t>تمر سكري مغلف</t>
  </si>
  <si>
    <t>Sumac</t>
  </si>
  <si>
    <t>سماق</t>
  </si>
  <si>
    <t>Sweet Soy Sauce</t>
  </si>
  <si>
    <t>صوص صويا</t>
  </si>
  <si>
    <t>RM-00301</t>
  </si>
  <si>
    <t>Habanero Sauce</t>
  </si>
  <si>
    <t>صلصة  هابانيرو</t>
  </si>
  <si>
    <t>Tahina</t>
  </si>
  <si>
    <t>طحينة</t>
  </si>
  <si>
    <t>Tamrind</t>
  </si>
  <si>
    <t xml:space="preserve">تمر هندي </t>
  </si>
  <si>
    <t>Thyme</t>
  </si>
  <si>
    <t>زعتر</t>
  </si>
  <si>
    <t>Tuna</t>
  </si>
  <si>
    <t>تونا</t>
  </si>
  <si>
    <t>Turmeric Curcuma Poweder</t>
  </si>
  <si>
    <t>كركم مطحون</t>
  </si>
  <si>
    <t>Ulker Tea Biscuit</t>
  </si>
  <si>
    <t>بسكويت شاهي الوكر</t>
  </si>
  <si>
    <t>Vanilla Bourbon</t>
  </si>
  <si>
    <t>فانيلا بوربون</t>
  </si>
  <si>
    <t>Vanilla Powder</t>
  </si>
  <si>
    <t>بودرة الفانيلا</t>
  </si>
  <si>
    <t>White Vinegar</t>
  </si>
  <si>
    <t>خل ابيض</t>
  </si>
  <si>
    <t>RM-00317</t>
  </si>
  <si>
    <t>Saffron</t>
  </si>
  <si>
    <t>زعفران</t>
  </si>
  <si>
    <t>Indomie - Chicken Curry</t>
  </si>
  <si>
    <t>إندومي – كاري الدجاج</t>
  </si>
  <si>
    <t>Pecan Nut Sauce</t>
  </si>
  <si>
    <t>صوص جوز البيكان</t>
  </si>
  <si>
    <t>Berry Food Color</t>
  </si>
  <si>
    <t xml:space="preserve">لون طعام توت </t>
  </si>
  <si>
    <t>Sponge Vanilla Mix</t>
  </si>
  <si>
    <t>خليط كيك فانيليا</t>
  </si>
  <si>
    <t>RM-00326</t>
  </si>
  <si>
    <t>Coarse Salt</t>
  </si>
  <si>
    <t>ملح خشن</t>
  </si>
  <si>
    <t>RM-00327</t>
  </si>
  <si>
    <t>Dream Whip Mix</t>
  </si>
  <si>
    <t xml:space="preserve"> خليط كريمة الخفق</t>
  </si>
  <si>
    <t>Dried Banana Slices</t>
  </si>
  <si>
    <t>شرائح موز مجفف</t>
  </si>
  <si>
    <t>Dried Kiwi Slices</t>
  </si>
  <si>
    <t>شرائح كيوي مجففة</t>
  </si>
  <si>
    <t>France Royaltine - Feuilltine</t>
  </si>
  <si>
    <t xml:space="preserve">رقائق كريب - فيوتين </t>
  </si>
  <si>
    <t>Gelatine Powder</t>
  </si>
  <si>
    <t xml:space="preserve"> جيلاتين بودر</t>
  </si>
  <si>
    <t>Dried Strawberries</t>
  </si>
  <si>
    <t xml:space="preserve">فراولة مجففة </t>
  </si>
  <si>
    <t>RM-00339</t>
  </si>
  <si>
    <t>Baby Arugula</t>
  </si>
  <si>
    <t>جرجير بيبي</t>
  </si>
  <si>
    <t>RM-00340</t>
  </si>
  <si>
    <t>Basil Leaves</t>
  </si>
  <si>
    <t xml:space="preserve"> ورق الريحان</t>
  </si>
  <si>
    <t>RM-00341</t>
  </si>
  <si>
    <t>Blackberry</t>
  </si>
  <si>
    <t>RM-00342</t>
  </si>
  <si>
    <t>Blueberry</t>
  </si>
  <si>
    <t>Fresh Carrot</t>
  </si>
  <si>
    <t>جزر</t>
  </si>
  <si>
    <t>RM-00344</t>
  </si>
  <si>
    <t>Fresh Dill</t>
  </si>
  <si>
    <t>شبت</t>
  </si>
  <si>
    <t>RM-00345</t>
  </si>
  <si>
    <t>Fresh Colored Pepper</t>
  </si>
  <si>
    <t>فلفل رومي ملون طازج</t>
  </si>
  <si>
    <t>RM-00347</t>
  </si>
  <si>
    <t>Fresh Orange</t>
  </si>
  <si>
    <t>برتقال طازج</t>
  </si>
  <si>
    <t>RM-00348</t>
  </si>
  <si>
    <t>Fresh Garlic</t>
  </si>
  <si>
    <t>ثوم فريش</t>
  </si>
  <si>
    <t>RM-00349</t>
  </si>
  <si>
    <t>Green Onion</t>
  </si>
  <si>
    <t>بصل اخضر</t>
  </si>
  <si>
    <t>RM-00350</t>
  </si>
  <si>
    <t>Green Roman Pepper</t>
  </si>
  <si>
    <t xml:space="preserve"> فلفل رومي اخضر</t>
  </si>
  <si>
    <t>RM-00351</t>
  </si>
  <si>
    <t>Fresh Lemon</t>
  </si>
  <si>
    <t>ليمون فريش</t>
  </si>
  <si>
    <t>RM-00352</t>
  </si>
  <si>
    <t>Fresh Mint</t>
  </si>
  <si>
    <t xml:space="preserve"> نعناع فريش</t>
  </si>
  <si>
    <t>RM-00353</t>
  </si>
  <si>
    <t>Passion Fruit</t>
  </si>
  <si>
    <t>فاكهة باشن فروت</t>
  </si>
  <si>
    <t>RM-00354</t>
  </si>
  <si>
    <t>Pomegranate</t>
  </si>
  <si>
    <t>رمان</t>
  </si>
  <si>
    <t>Raspberry</t>
  </si>
  <si>
    <t>توت أحمر</t>
  </si>
  <si>
    <t>RM-00356</t>
  </si>
  <si>
    <t>Red Onion</t>
  </si>
  <si>
    <t>بصل احمر</t>
  </si>
  <si>
    <t>RM-00358</t>
  </si>
  <si>
    <t>Fresh Tomato</t>
  </si>
  <si>
    <t>Chicken Breast</t>
  </si>
  <si>
    <t>صدور الدجاج</t>
  </si>
  <si>
    <t>Raspberry Filling 50%</t>
  </si>
  <si>
    <t>حشوة توت الاحمر 50%</t>
  </si>
  <si>
    <t>Frozen Peas &amp; Carrots</t>
  </si>
  <si>
    <t>بازلاء وجزر مجمد</t>
  </si>
  <si>
    <t>RM-00370</t>
  </si>
  <si>
    <t>Whole Egg Fresh Liquid</t>
  </si>
  <si>
    <t>بيض سائل كامل مبرد</t>
  </si>
  <si>
    <t>Fruits Puree Boiron Raspberry</t>
  </si>
  <si>
    <t>فواكة مهروسة بوارون توت</t>
  </si>
  <si>
    <t>RM-00372</t>
  </si>
  <si>
    <t>Puree Fruit Strawberry</t>
  </si>
  <si>
    <t>فواكة مهروسة - فراولة</t>
  </si>
  <si>
    <t>Smoked Turkey</t>
  </si>
  <si>
    <t>صدر ديك رومي مدخن</t>
  </si>
  <si>
    <t>Pecan Nuts</t>
  </si>
  <si>
    <t>جوز البيكان</t>
  </si>
  <si>
    <t>Pine Nuts</t>
  </si>
  <si>
    <t>صنوبر</t>
  </si>
  <si>
    <t>Almond Grain</t>
  </si>
  <si>
    <t>جوز حب امريكي</t>
  </si>
  <si>
    <t>RM-00422</t>
  </si>
  <si>
    <t>Ground Almonds</t>
  </si>
  <si>
    <t>لوز مطحون</t>
  </si>
  <si>
    <t>Hazelnut</t>
  </si>
  <si>
    <t>بندق</t>
  </si>
  <si>
    <t>Indian Cashew</t>
  </si>
  <si>
    <t>كاجو هندي</t>
  </si>
  <si>
    <t>RM-00427</t>
  </si>
  <si>
    <t>Peeled Hazelnut</t>
  </si>
  <si>
    <t>بندق مقشر</t>
  </si>
  <si>
    <t>Peeled Pumpkin Seeds</t>
  </si>
  <si>
    <t>حب قرع مقشر</t>
  </si>
  <si>
    <t>Sliced Almond</t>
  </si>
  <si>
    <t>لوز شرايح امريكي</t>
  </si>
  <si>
    <t>RM-00433</t>
  </si>
  <si>
    <t>Sliced Pistachio</t>
  </si>
  <si>
    <t>فستق شرايح</t>
  </si>
  <si>
    <t>Walnuts</t>
  </si>
  <si>
    <t>عين جمل</t>
  </si>
  <si>
    <t>Sunflower Seeds Peeled</t>
  </si>
  <si>
    <t>حب دوار الشمس بدون قشر</t>
  </si>
  <si>
    <t>Peanuts</t>
  </si>
  <si>
    <t>فول سوداني</t>
  </si>
  <si>
    <t>Anti-Stick Oil</t>
  </si>
  <si>
    <t>زيت مانع الألتصاق اصفر</t>
  </si>
  <si>
    <t>Shortening Oil</t>
  </si>
  <si>
    <t xml:space="preserve">زيت شورتننغ قلي </t>
  </si>
  <si>
    <t>Coconut Oil</t>
  </si>
  <si>
    <t>زيت جوز الهند</t>
  </si>
  <si>
    <t>Oil Spray</t>
  </si>
  <si>
    <t>بخاخ زيت</t>
  </si>
  <si>
    <t>Olive Oil</t>
  </si>
  <si>
    <t>زيت زيتون</t>
  </si>
  <si>
    <t>Sunflower Oil</t>
  </si>
  <si>
    <t>زيت دوار الشمس</t>
  </si>
  <si>
    <t>Caif Almosafer Hill Coffee</t>
  </si>
  <si>
    <t>قهوة كيف المسافر هيل</t>
  </si>
  <si>
    <t>Salt</t>
  </si>
  <si>
    <t xml:space="preserve">ملح </t>
  </si>
  <si>
    <t>RM-00494</t>
  </si>
  <si>
    <t>White Sugar Small Pack</t>
  </si>
  <si>
    <t>سكر ابيض تعبئة صغيره</t>
  </si>
  <si>
    <t>Brown Sugar Sachet - NMQ</t>
  </si>
  <si>
    <t>اظرف سكر بني - نمق</t>
  </si>
  <si>
    <t>Brown Suger Moist</t>
  </si>
  <si>
    <t>سكر بني رطب</t>
  </si>
  <si>
    <t>Dextrose Powder - Grape Sugar</t>
  </si>
  <si>
    <t>ديكستروز مسحوق - سكر العنب</t>
  </si>
  <si>
    <t>Diet Sugar Sachet</t>
  </si>
  <si>
    <t>اظرف سكر دايت</t>
  </si>
  <si>
    <t>Powder Sugar</t>
  </si>
  <si>
    <t>سكر بودرة</t>
  </si>
  <si>
    <t>Sugar Jaggery Round</t>
  </si>
  <si>
    <t>سكر جاجيري مدور</t>
  </si>
  <si>
    <t>White Sugar Sachet</t>
  </si>
  <si>
    <t>اظرف سكر ابيض</t>
  </si>
  <si>
    <t>Suger Sachet - BRH</t>
  </si>
  <si>
    <t>اظرف سكر - بريهانت</t>
  </si>
  <si>
    <t>White Sugar Sack</t>
  </si>
  <si>
    <t>سكر ابيض شوال</t>
  </si>
  <si>
    <t>Dusting Sugar</t>
  </si>
  <si>
    <t>بودرة تزيين بالسكر</t>
  </si>
  <si>
    <t>Condensed Milk</t>
  </si>
  <si>
    <t>حليب مكثف</t>
  </si>
  <si>
    <t>Syrup Raspberry Polot</t>
  </si>
  <si>
    <t xml:space="preserve"> سيروب توت أحمر  </t>
  </si>
  <si>
    <t>Coconut Syrup</t>
  </si>
  <si>
    <t xml:space="preserve"> شراب جوز الهند </t>
  </si>
  <si>
    <t>Syrup Watermelon</t>
  </si>
  <si>
    <t xml:space="preserve"> سيروب البطيخ</t>
  </si>
  <si>
    <t>Mango Filling</t>
  </si>
  <si>
    <t>حشوة مانجو</t>
  </si>
  <si>
    <t>7 Up 330 ml</t>
  </si>
  <si>
    <t>سفن اب 330 ملم</t>
  </si>
  <si>
    <t>Mirinda Orange 330 ml</t>
  </si>
  <si>
    <t>ميرندا  برتقال 330 مل</t>
  </si>
  <si>
    <t>Energy Drink 250 ml</t>
  </si>
  <si>
    <t>مشروب طاقة 250 مل</t>
  </si>
  <si>
    <t>Vanilla Syrup</t>
  </si>
  <si>
    <t xml:space="preserve"> شراب الفانیلا </t>
  </si>
  <si>
    <t>RM-00522</t>
  </si>
  <si>
    <t>Berain 24x270 ml Glass</t>
  </si>
  <si>
    <t>مياه بيرين 270م*24  زجاجيه</t>
  </si>
  <si>
    <t>Berain 40x330 ml</t>
  </si>
  <si>
    <t>مياه بيرين 330م*40</t>
  </si>
  <si>
    <t>RM-00527</t>
  </si>
  <si>
    <t>Filtered Water</t>
  </si>
  <si>
    <t>ماء مفلتر</t>
  </si>
  <si>
    <t>Powder Milk</t>
  </si>
  <si>
    <t>حليب بودرة</t>
  </si>
  <si>
    <t>Caramel Milk</t>
  </si>
  <si>
    <t>حليب نستله كراميل</t>
  </si>
  <si>
    <t>RM-00530</t>
  </si>
  <si>
    <t>Full Fat Milk</t>
  </si>
  <si>
    <t xml:space="preserve">حليب كامل الدسم </t>
  </si>
  <si>
    <t>RM-00532</t>
  </si>
  <si>
    <t>Syrup Ice Tea peach</t>
  </si>
  <si>
    <t>سيروب  شاي خوخ مثلج</t>
  </si>
  <si>
    <t>Sea Salt - Magnesia</t>
  </si>
  <si>
    <t>ملح بحري عضوي - مغنيسيا</t>
  </si>
  <si>
    <t>RM-00534</t>
  </si>
  <si>
    <t>Red Bell Pepper</t>
  </si>
  <si>
    <t>(رومي ) - فلفل احمر</t>
  </si>
  <si>
    <t>Syrup Raspberry 1883</t>
  </si>
  <si>
    <t>سيروب توت احمر</t>
  </si>
  <si>
    <t>Syrup Mango</t>
  </si>
  <si>
    <t xml:space="preserve"> سيروب مانجو</t>
  </si>
  <si>
    <t>Syrup Lemonade</t>
  </si>
  <si>
    <t>سيروب  ليموناضة</t>
  </si>
  <si>
    <t>Syrup Blueberry</t>
  </si>
  <si>
    <t>سيروب  توت ازرق</t>
  </si>
  <si>
    <t>Syrup Blackberry</t>
  </si>
  <si>
    <t xml:space="preserve">سيروب  توت اسود </t>
  </si>
  <si>
    <t>Syrup Lemon Liqued</t>
  </si>
  <si>
    <t xml:space="preserve"> سيروب الليمون  </t>
  </si>
  <si>
    <t>RM-00562</t>
  </si>
  <si>
    <t>Syrup Peach Tea</t>
  </si>
  <si>
    <t>شاي خوخ سيروب</t>
  </si>
  <si>
    <t>Syrup Pomegranate</t>
  </si>
  <si>
    <t>سيروب  رمان</t>
  </si>
  <si>
    <t>Syrup Peach</t>
  </si>
  <si>
    <t xml:space="preserve"> سيروب خوخ</t>
  </si>
  <si>
    <t>Syrup Lemon</t>
  </si>
  <si>
    <t xml:space="preserve"> سيروب ليمون</t>
  </si>
  <si>
    <t>Syrup Raspberry Teisseire</t>
  </si>
  <si>
    <t xml:space="preserve"> سيروب توت احمر </t>
  </si>
  <si>
    <t>RM-00575</t>
  </si>
  <si>
    <t>Giffard Strawberry Syrup</t>
  </si>
  <si>
    <t>سيرب الفراوله جيفارد</t>
  </si>
  <si>
    <t>Syrup Hazelnut</t>
  </si>
  <si>
    <t xml:space="preserve">  سيروب البندق</t>
  </si>
  <si>
    <t>Syrup Passion Fruit</t>
  </si>
  <si>
    <t xml:space="preserve"> سيروب باشن فروت  </t>
  </si>
  <si>
    <t>Almond Milk</t>
  </si>
  <si>
    <t>حليب لوز</t>
  </si>
  <si>
    <t>Coconut Milk</t>
  </si>
  <si>
    <t>حليب جوز هند</t>
  </si>
  <si>
    <t>RM-00586</t>
  </si>
  <si>
    <t>Lactose Free Milk</t>
  </si>
  <si>
    <t>حليب خالي اللاكتوز</t>
  </si>
  <si>
    <t>RM-00587</t>
  </si>
  <si>
    <t>Low Fat Milk</t>
  </si>
  <si>
    <t>حليب قليل الدسم</t>
  </si>
  <si>
    <t>Soya Milk</t>
  </si>
  <si>
    <t>حليب الصويا</t>
  </si>
  <si>
    <t>Passion Fruit Tea</t>
  </si>
  <si>
    <t>شاي الباشن فروت</t>
  </si>
  <si>
    <t>Rice</t>
  </si>
  <si>
    <t>ارز</t>
  </si>
  <si>
    <t>Edible Dried Flowers</t>
  </si>
  <si>
    <t>ورد مجفف صالح للأكل</t>
  </si>
  <si>
    <t>Alsumman Tea</t>
  </si>
  <si>
    <t>شاي الصمان</t>
  </si>
  <si>
    <t>RM-00612</t>
  </si>
  <si>
    <t>Dill Spears With Garlic</t>
  </si>
  <si>
    <t>شبت بالثوم</t>
  </si>
  <si>
    <t>Matcha Ceremonial Grade 3G Stick</t>
  </si>
  <si>
    <t>3 ماتشا سريعة التحضير</t>
  </si>
  <si>
    <t>Spreadable Cheese Analouge</t>
  </si>
  <si>
    <t>جبنة قابلة للدهن - بديل الجبنة</t>
  </si>
  <si>
    <t>Food Color - Saffron</t>
  </si>
  <si>
    <t>لون طعام - زعفران</t>
  </si>
  <si>
    <t>Lemon Concentrated</t>
  </si>
  <si>
    <t>مركز الليمون</t>
  </si>
  <si>
    <t>Food Color - Orange</t>
  </si>
  <si>
    <t>لون طعام - برتقالي</t>
  </si>
  <si>
    <t>RM-00622</t>
  </si>
  <si>
    <t>Food Color - Strawberry</t>
  </si>
  <si>
    <t>لون طعام - فراولة</t>
  </si>
  <si>
    <t>RM-00639</t>
  </si>
  <si>
    <t>Fresh Coriander</t>
  </si>
  <si>
    <t>كزبره فريش</t>
  </si>
  <si>
    <t>Fresh Cucumber</t>
  </si>
  <si>
    <t>خيار</t>
  </si>
  <si>
    <t>RM-00641</t>
  </si>
  <si>
    <t>Coconut Water</t>
  </si>
  <si>
    <t>مياة جوز الهند</t>
  </si>
  <si>
    <t>Condensed Milk 0.397 Kg</t>
  </si>
  <si>
    <t>حليب مكثف 0.397 كج</t>
  </si>
  <si>
    <t>Long Life Milk</t>
  </si>
  <si>
    <t>حليب طويل الاجل</t>
  </si>
  <si>
    <t>RM-00647</t>
  </si>
  <si>
    <t>French Fries Dippers</t>
  </si>
  <si>
    <t>أصابع البطاطس المقلية</t>
  </si>
  <si>
    <t>Microship Biscuit Spread</t>
  </si>
  <si>
    <t>ميكرو شيب حشوه بسكوت</t>
  </si>
  <si>
    <t>RM-00651</t>
  </si>
  <si>
    <t>Barazek Cream</t>
  </si>
  <si>
    <t>برازق كريم</t>
  </si>
  <si>
    <t>RM-00652</t>
  </si>
  <si>
    <t>Matcha Powder - Grade A</t>
  </si>
  <si>
    <t>مسحوق الماتشا - درجة A</t>
  </si>
  <si>
    <t>RM-00653</t>
  </si>
  <si>
    <t>Fresh Ginger</t>
  </si>
  <si>
    <t>زنجبيل طازج</t>
  </si>
  <si>
    <t>RM-00655</t>
  </si>
  <si>
    <t>Fresh Potatotes</t>
  </si>
  <si>
    <t>بطاطس طازجة</t>
  </si>
  <si>
    <t>RM-00656</t>
  </si>
  <si>
    <t>Fresh Green Chilly</t>
  </si>
  <si>
    <t>فلفل أخضر طازج</t>
  </si>
  <si>
    <t>RM-00657</t>
  </si>
  <si>
    <t>Fresh Red Chilly</t>
  </si>
  <si>
    <t>فلفل احمر طازج</t>
  </si>
  <si>
    <t>RM-00658</t>
  </si>
  <si>
    <t>Kashmiri Powder</t>
  </si>
  <si>
    <t>بودرة كشميري</t>
  </si>
  <si>
    <t>RM-00661</t>
  </si>
  <si>
    <t>Skimmed Milk</t>
  </si>
  <si>
    <t xml:space="preserve"> حليب خالي الدسم</t>
  </si>
  <si>
    <t>RM-00668</t>
  </si>
  <si>
    <t>White Onion</t>
  </si>
  <si>
    <t>بصل ابيض</t>
  </si>
  <si>
    <t>RM-00669</t>
  </si>
  <si>
    <t>Fresh Avocado</t>
  </si>
  <si>
    <t>افوكادو طازج</t>
  </si>
  <si>
    <t>RM-00670</t>
  </si>
  <si>
    <t>Fresh Spinach</t>
  </si>
  <si>
    <t>سبانخ طازج</t>
  </si>
  <si>
    <t>RM-00671</t>
  </si>
  <si>
    <t>Lettuce Romaine</t>
  </si>
  <si>
    <t>خس روماني</t>
  </si>
  <si>
    <t>Carrot Ma'booj</t>
  </si>
  <si>
    <t>معبوج  جزر</t>
  </si>
  <si>
    <t>Valrhona Javira 40%</t>
  </si>
  <si>
    <t>شوكولاته فالرهونا 40%</t>
  </si>
  <si>
    <t>صلصة بيتزا</t>
  </si>
  <si>
    <t>Cheese Block</t>
  </si>
  <si>
    <t>جبنة بلوك</t>
  </si>
  <si>
    <t>Mayonnaise</t>
  </si>
  <si>
    <t>مايونيز</t>
  </si>
  <si>
    <t>Sriracha Hot Chili Sauce</t>
  </si>
  <si>
    <t>صوص سريراتشا</t>
  </si>
  <si>
    <t>RM-00680</t>
  </si>
  <si>
    <t>Lotus Biscuff Creamy</t>
  </si>
  <si>
    <t>حشوة لوتس بلجيكي</t>
  </si>
  <si>
    <t>Tamrind Paste</t>
  </si>
  <si>
    <t>معبوج تمر هندي</t>
  </si>
  <si>
    <t>Basil Pesto</t>
  </si>
  <si>
    <t>معبوج بيستو الريحان</t>
  </si>
  <si>
    <t>Rose Water</t>
  </si>
  <si>
    <t>ماء ورد</t>
  </si>
  <si>
    <t>Halava Shaar Tahinia</t>
  </si>
  <si>
    <t>حلاوة شعر طحينية</t>
  </si>
  <si>
    <t>RM-00685</t>
  </si>
  <si>
    <t>Dried Fruits - Peache</t>
  </si>
  <si>
    <t>فواكه مجففة - خوخ</t>
  </si>
  <si>
    <t>Cheddar Cheese With Pepper</t>
  </si>
  <si>
    <t>جبنة شيدر بالفلفل</t>
  </si>
  <si>
    <t>RM-00687</t>
  </si>
  <si>
    <t>Vermicelli</t>
  </si>
  <si>
    <t>شعيرية</t>
  </si>
  <si>
    <t>Kalamon Olives</t>
  </si>
  <si>
    <t>زيتون كالاماتا</t>
  </si>
  <si>
    <t>Chocolate - Reeses</t>
  </si>
  <si>
    <t>شوكولاته - ريسز</t>
  </si>
  <si>
    <t>Kashkaval Cheese</t>
  </si>
  <si>
    <t>جبن قشقوان</t>
  </si>
  <si>
    <t>Vanilla Neovanil</t>
  </si>
  <si>
    <t>فانيلا نيوفانيل</t>
  </si>
  <si>
    <t>Caramel</t>
  </si>
  <si>
    <t>كراميل</t>
  </si>
  <si>
    <t>Blueberry Sauce</t>
  </si>
  <si>
    <t>صوص بلوبيري</t>
  </si>
  <si>
    <t>Makdous</t>
  </si>
  <si>
    <t>مكدوس</t>
  </si>
  <si>
    <t>Tomato Pesto</t>
  </si>
  <si>
    <t>بيستو بالطماطم</t>
  </si>
  <si>
    <t>Oregano</t>
  </si>
  <si>
    <t>اوريقانو</t>
  </si>
  <si>
    <t>Akkawi Cheese</t>
  </si>
  <si>
    <t>عكاوي جبن</t>
  </si>
  <si>
    <t>Coconut Powder</t>
  </si>
  <si>
    <t>جوز هند بودرة</t>
  </si>
  <si>
    <t>RM-00707</t>
  </si>
  <si>
    <t>Tremoline</t>
  </si>
  <si>
    <t>تريمولين</t>
  </si>
  <si>
    <t>Saudi Coffee</t>
  </si>
  <si>
    <t>قهوة سعودية</t>
  </si>
  <si>
    <t>Truffle Oil</t>
  </si>
  <si>
    <t>زيت الترفل</t>
  </si>
  <si>
    <t>Red Capsicum Molasses</t>
  </si>
  <si>
    <t>فليفلة حمراء مطحونة</t>
  </si>
  <si>
    <t>Msg Salt</t>
  </si>
  <si>
    <t>معزز نكهات</t>
  </si>
  <si>
    <t>RM-00716</t>
  </si>
  <si>
    <t>Pomegranate Seeds</t>
  </si>
  <si>
    <t>بذور الرمان</t>
  </si>
  <si>
    <t>RM-00717</t>
  </si>
  <si>
    <t>Whole Mahlab Seeds</t>
  </si>
  <si>
    <t>بذور المحلب الكاملة</t>
  </si>
  <si>
    <t>Sour Cherry Moj Polot</t>
  </si>
  <si>
    <t>كرز حامض (موج بولوت)</t>
  </si>
  <si>
    <t>Raspberries Spread Fior Di Lampone</t>
  </si>
  <si>
    <t>حشوة توت احمر - فيورديلامبوني</t>
  </si>
  <si>
    <t>توت أحمر مجفف مقرمش</t>
  </si>
  <si>
    <t>RM-00725</t>
  </si>
  <si>
    <t>Deli Caramel</t>
  </si>
  <si>
    <t>ديلي كراميل</t>
  </si>
  <si>
    <t>RM-00726</t>
  </si>
  <si>
    <t>Ice Cream</t>
  </si>
  <si>
    <t>آيس كريم</t>
  </si>
  <si>
    <t>RM-00727</t>
  </si>
  <si>
    <t>Kala Cake</t>
  </si>
  <si>
    <t>كيك كالا</t>
  </si>
  <si>
    <t>RM-00728</t>
  </si>
  <si>
    <t>Cheesecake</t>
  </si>
  <si>
    <t>تشيز كيك</t>
  </si>
  <si>
    <t>RM-00729</t>
  </si>
  <si>
    <t>London Cake</t>
  </si>
  <si>
    <t>كيك لندن</t>
  </si>
  <si>
    <t>RM-00732</t>
  </si>
  <si>
    <t>Macaron Cake</t>
  </si>
  <si>
    <t>كيك ماكارون</t>
  </si>
  <si>
    <t>RM-00734</t>
  </si>
  <si>
    <t>White Chocolate Couverture 34% (Carma)</t>
  </si>
  <si>
    <t>شوكولاتة بيضاء كارما 34%</t>
  </si>
  <si>
    <t xml:space="preserve"> Kg </t>
  </si>
  <si>
    <t>RM-00735</t>
  </si>
  <si>
    <t>Coconut Milk Powder</t>
  </si>
  <si>
    <t>مسحوق حليب جوز الهند</t>
  </si>
  <si>
    <t>RM-00736</t>
  </si>
  <si>
    <t>Toasted Coconut Flakes</t>
  </si>
  <si>
    <t>رقائق جوز الهند المحمصة</t>
  </si>
  <si>
    <t>Peach Tea Syrup</t>
  </si>
  <si>
    <t xml:space="preserve">شراب شاي الخوخ </t>
  </si>
  <si>
    <t>RM-00738</t>
  </si>
  <si>
    <t>Watermelon Syrup Monin</t>
  </si>
  <si>
    <t>شراب البطيخ مونين</t>
  </si>
  <si>
    <t>RM-00739</t>
  </si>
  <si>
    <t>Watermelon Syrup Giffard</t>
  </si>
  <si>
    <t xml:space="preserve"> شراب البطيخ  جيفارد</t>
  </si>
  <si>
    <t>Matcha Powder Grade C</t>
  </si>
  <si>
    <t>مسحوق الماتشا  C</t>
  </si>
  <si>
    <t>Zamzam Water</t>
  </si>
  <si>
    <t>ماء زمزم</t>
  </si>
  <si>
    <t>Lemon Concentrate</t>
  </si>
  <si>
    <t>مركز ليمون</t>
  </si>
  <si>
    <t>Pepsi 330ml</t>
  </si>
  <si>
    <t xml:space="preserve"> بيبسي 330 مل</t>
  </si>
  <si>
    <t>Pepsi Diet 330ml</t>
  </si>
  <si>
    <t xml:space="preserve"> بيبسي دايت 330 مل</t>
  </si>
  <si>
    <t>RM-00745</t>
  </si>
  <si>
    <t>Meranda 330ml</t>
  </si>
  <si>
    <t>ميراندا علبة</t>
  </si>
  <si>
    <t>RM-00746</t>
  </si>
  <si>
    <t>Miranda Citrus 330ml</t>
  </si>
  <si>
    <t>ميرندا حمضيات 330 مل</t>
  </si>
  <si>
    <t>RM-00747</t>
  </si>
  <si>
    <t>Pecan Cake Tray</t>
  </si>
  <si>
    <t>صينية كيك البيكان</t>
  </si>
  <si>
    <t>RM-00748</t>
  </si>
  <si>
    <t>Zucchini</t>
  </si>
  <si>
    <t>كوسة</t>
  </si>
  <si>
    <t>RM-00749</t>
  </si>
  <si>
    <t>Fried Onions</t>
  </si>
  <si>
    <t>بصل مقلي</t>
  </si>
  <si>
    <t>RM-00750</t>
  </si>
  <si>
    <t>Cherry Tomatoes</t>
  </si>
  <si>
    <t>طماطم كرزية</t>
  </si>
  <si>
    <t>RM-00751</t>
  </si>
  <si>
    <t>Okra</t>
  </si>
  <si>
    <t>بامية</t>
  </si>
  <si>
    <t>RM-00752</t>
  </si>
  <si>
    <t>French Sauce</t>
  </si>
  <si>
    <t>صوص فرنسي</t>
  </si>
  <si>
    <t>RM-00753</t>
  </si>
  <si>
    <t>Eggplant</t>
  </si>
  <si>
    <t>باذنجان</t>
  </si>
  <si>
    <t>RM-00754</t>
  </si>
  <si>
    <t>Parsley</t>
  </si>
  <si>
    <t>بقدونس</t>
  </si>
  <si>
    <t>RM-00755</t>
  </si>
  <si>
    <t>Mushroom</t>
  </si>
  <si>
    <t>فطر</t>
  </si>
  <si>
    <t>RM-00756</t>
  </si>
  <si>
    <t>Cauliflower</t>
  </si>
  <si>
    <t>قرنبيط</t>
  </si>
  <si>
    <t>RM-00757</t>
  </si>
  <si>
    <t>Curry Leaves</t>
  </si>
  <si>
    <t>ورق كاري</t>
  </si>
  <si>
    <t>FA-00007</t>
  </si>
  <si>
    <t>Hoshizaki ice maker FM-48A0KEN, 240 kg صانعة ثلج هوشازاكي 240كيلو</t>
  </si>
  <si>
    <t>FA-00008</t>
  </si>
  <si>
    <t>True Undercounter Refrigerator 150 Cm</t>
  </si>
  <si>
    <t>FA-00012</t>
  </si>
  <si>
    <t>120 LITER Garbage Bin Flat Lid حاوية نفايات خارجية 120لتر</t>
  </si>
  <si>
    <t>FA-00018</t>
  </si>
  <si>
    <t>ACIA LUNAR</t>
  </si>
  <si>
    <t>FA-00019</t>
  </si>
  <si>
    <t>ACIA PEARL</t>
  </si>
  <si>
    <t>FA-00025</t>
  </si>
  <si>
    <t>ANFIM MACHINE</t>
  </si>
  <si>
    <t>FA-00029</t>
  </si>
  <si>
    <t>WASHING MACHINE (9KG)</t>
  </si>
  <si>
    <t>FA-00030</t>
  </si>
  <si>
    <t>Baratza Forte BG Grinder (V60 grinder( Forte) [BAR-FB--009] Forte BG - Baratza</t>
  </si>
  <si>
    <t>FA-00053</t>
  </si>
  <si>
    <t>Electric Induction Hob موقد حث حراري كهربائي</t>
  </si>
  <si>
    <t>FA-00055</t>
  </si>
  <si>
    <t>Coffee of the day maker XTS Fetco Batch Brewer Single Station CBS-2241 صانعة قهوة اليوم -
Coffee Batch Brewer - Fetco</t>
  </si>
  <si>
    <t>FA-00063</t>
  </si>
  <si>
    <t>STEEL HEATER BIG</t>
  </si>
  <si>
    <t>FA-00067</t>
  </si>
  <si>
    <t>ICE MAKER 45CNE</t>
  </si>
  <si>
    <t>FA-00072</t>
  </si>
  <si>
    <t>iPad Stand ستاند ايباد</t>
  </si>
  <si>
    <t>FA-00074</t>
  </si>
  <si>
    <t>iPad Wall Stand ستاند ايباد جداري</t>
  </si>
  <si>
    <t>FA-00075</t>
  </si>
  <si>
    <t>IREHA DUAL BOILER</t>
  </si>
  <si>
    <t>FA-00081</t>
  </si>
  <si>
    <t>La Marzocco Portafilter Naked 58 MM</t>
  </si>
  <si>
    <t>FA-00086</t>
  </si>
  <si>
    <t xml:space="preserve">Microwave oven  MFS18TSSA   1800WAT MENUMASTER ميكروويف تجاري  1800 واط مينيو ماستر(menumaster) </t>
  </si>
  <si>
    <t>FA-00087</t>
  </si>
  <si>
    <t>Monitor Samsung 27 inch - شاشة سامسونج 27 انش</t>
  </si>
  <si>
    <t>FA-00104</t>
  </si>
  <si>
    <t>Rhino Digital Thermometerمقياس حرارة الكتروني</t>
  </si>
  <si>
    <t>FA-00115</t>
  </si>
  <si>
    <t>SAFE DIGITAL 38x30x30CM خزنة  ديجتال</t>
  </si>
  <si>
    <t>FA-00118</t>
  </si>
  <si>
    <t>Scale 600 ميزان 600</t>
  </si>
  <si>
    <t>FA-00140</t>
  </si>
  <si>
    <t>Ubermilk - Stainless Steel جهاز أوبرملك لتبخير الحليب - اللون المعدني</t>
  </si>
  <si>
    <t>FA-00147</t>
  </si>
  <si>
    <t>VST BASKET 18G</t>
  </si>
  <si>
    <t>FA-00148</t>
  </si>
  <si>
    <t>VST Basket (20G)</t>
  </si>
  <si>
    <t>FA-00161</t>
  </si>
  <si>
    <t xml:space="preserve"> سخان كهربائي</t>
  </si>
  <si>
    <t>FA-00171</t>
  </si>
  <si>
    <t>BROTHER PRINTER H110 طابعة ترقيم - طابعة الملصقات</t>
  </si>
  <si>
    <t>FA-00180</t>
  </si>
  <si>
    <t>True T-49-HC-LD Reach-In Solid Swing Door Refrigerator with Hydrocarbon Refrigerant 220V ترو ثلاجة عمودية ببابين مزودة بمبرد هيدروكربوني</t>
  </si>
  <si>
    <t>FA-00189</t>
  </si>
  <si>
    <t>32 inch TV- تلفاز 32 بوصة</t>
  </si>
  <si>
    <t>FA-00214</t>
  </si>
  <si>
    <t>Wall insect trap - مصيدة حشرات جدار</t>
  </si>
  <si>
    <t>FA-00220</t>
  </si>
  <si>
    <t>ADAM 32 KG WEIGHT MACHINE</t>
  </si>
  <si>
    <t>FA-00223</t>
  </si>
  <si>
    <t>DOUBLE DOOR FREEZER</t>
  </si>
  <si>
    <t>FA-00245</t>
  </si>
  <si>
    <t>Monito Dell 24 LED SE2422H شاشة ديل 24 بوصه</t>
  </si>
  <si>
    <t>FA-00265</t>
  </si>
  <si>
    <t>EPSON TM-M30II (112A0): USB + ETHERNET + BT, BLACK, PS, UK طابعة ايبسون</t>
  </si>
  <si>
    <t>FA-00293</t>
  </si>
  <si>
    <t>Salt Shaker With lid 12cm</t>
  </si>
  <si>
    <t>FA-00385</t>
  </si>
  <si>
    <t>Cezve Turkish Coffee ركوة قهوة تركية</t>
  </si>
  <si>
    <t>FA-00386</t>
  </si>
  <si>
    <t>2 Pint (1.0 L) Stainless Steel Whipped Cream Dispensers موزع كريمة</t>
  </si>
  <si>
    <t>FA-00456</t>
  </si>
  <si>
    <t>TV STAND</t>
  </si>
  <si>
    <t>FA-00465</t>
  </si>
  <si>
    <t>GREE WINDOW AC 1800 BTU</t>
  </si>
  <si>
    <t>FA-00494</t>
  </si>
  <si>
    <t>Crathco Classic Bubblers Premix Cold Beverage 3 BOWL الة مكسات 3 حاويات</t>
  </si>
  <si>
    <t>FA-00511</t>
  </si>
  <si>
    <t>Xiaomi Redmi Pad Pro 12.1 تابلت شاومي ريد مي</t>
  </si>
  <si>
    <t>FA-00520</t>
  </si>
  <si>
    <t>MAHLKONIG E80 GBW -طاحونة اسبريسو e80</t>
  </si>
  <si>
    <t>FA-00528</t>
  </si>
  <si>
    <t>iRhea M5 Pro 5-Group - ايريها 5 جروب</t>
  </si>
  <si>
    <t>FA-00544</t>
  </si>
  <si>
    <t>فريزر اندر كاونتر باب واحد تيربو اير &amp; Turbo Air single-door undercounter freezer</t>
  </si>
  <si>
    <t>FA-00546</t>
  </si>
  <si>
    <t>Electric Hand Blender - خلاط يدوي</t>
  </si>
  <si>
    <t>FA-00552</t>
  </si>
  <si>
    <t>Stainless steel satin tube</t>
  </si>
  <si>
    <t>FA-00562</t>
  </si>
  <si>
    <t>HOT CHOCOLATE MACHINE</t>
  </si>
  <si>
    <t>FA-00568</t>
  </si>
  <si>
    <t>SPARE PARTS SET FOR  FPG-LT</t>
  </si>
  <si>
    <t>FPB-00289</t>
  </si>
  <si>
    <t>Colombia Launda Drip Box</t>
  </si>
  <si>
    <t>FPB-00292</t>
  </si>
  <si>
    <t>Brazil Romo Drip Box</t>
  </si>
  <si>
    <t>FPB-00293</t>
  </si>
  <si>
    <t>Colombia Launda 250 G (Namq)</t>
  </si>
  <si>
    <t>FPB-00294</t>
  </si>
  <si>
    <t>Brazil Mogiana 250 Gm</t>
  </si>
  <si>
    <t>FPB-00351</t>
  </si>
  <si>
    <t>Colombia landa 1 Kg (NMQ)</t>
  </si>
  <si>
    <t>FPB-00357</t>
  </si>
  <si>
    <t>Ethiopia Guji Hambella 1 Kg (NMQ)</t>
  </si>
  <si>
    <t>FPB-00372</t>
  </si>
  <si>
    <t>FPB-00395</t>
  </si>
  <si>
    <t>LAMI HARAZ 250 GRM</t>
  </si>
  <si>
    <t>FPB-00352</t>
  </si>
  <si>
    <t>RM-00758</t>
  </si>
  <si>
    <t>ARABIC DESSERT SYRUP FRESHLY</t>
  </si>
  <si>
    <t>PM-00040</t>
  </si>
  <si>
    <t xml:space="preserve"> كيس سلفان شفاف مقاس 16سم *13سم Transparent cellophane bag, size 16 cm * 13 cm</t>
  </si>
  <si>
    <t>PM-00186</t>
  </si>
  <si>
    <t>Plastic Lid 12 oz cold غطاء كاسة بلاستيك نمق 12 اونصه البارده</t>
  </si>
  <si>
    <t>FA-00540</t>
  </si>
  <si>
    <t>Karcher GBP=6 machine vaccum cleaner - مكنسة كارشر</t>
  </si>
  <si>
    <t>CO-00612</t>
  </si>
  <si>
    <t xml:space="preserve"> 20”BB Carbon cartridge.</t>
  </si>
  <si>
    <t>PM-00868</t>
  </si>
  <si>
    <t>Straw - Seasonal</t>
  </si>
  <si>
    <t>PM-00803</t>
  </si>
  <si>
    <t>شيت الهارد كفر 30.2*17.5 | Paper Sheet: L30.2*W17.5 Mm</t>
  </si>
  <si>
    <t>FPB-00291</t>
  </si>
  <si>
    <t>Lami Haraz Drip Box</t>
  </si>
  <si>
    <t>FPB-00295</t>
  </si>
  <si>
    <t>Ethiopia Ethra 250 G (Namq)</t>
  </si>
  <si>
    <t>FPB-00354</t>
  </si>
  <si>
    <t>Ethiopia Hambella 1 Kg (NMQ)</t>
  </si>
  <si>
    <t>FPB-00375</t>
  </si>
  <si>
    <t>Matcha Tala 30g</t>
  </si>
  <si>
    <t>FPB-00396</t>
  </si>
  <si>
    <t>Colombia landa 250 Gm (NMQ)</t>
  </si>
  <si>
    <t xml:space="preserve">Qty Receved </t>
  </si>
  <si>
    <t xml:space="preserve">                            -  </t>
  </si>
  <si>
    <t>QTY Dispatched</t>
  </si>
  <si>
    <t>Row Labels</t>
  </si>
  <si>
    <t>QTY</t>
  </si>
  <si>
    <t>Compare</t>
  </si>
  <si>
    <t>Check</t>
  </si>
  <si>
    <t>PM-00794</t>
  </si>
  <si>
    <t>INV</t>
  </si>
  <si>
    <t>Des</t>
  </si>
  <si>
    <t>Desf</t>
  </si>
  <si>
    <t>SKU Code</t>
  </si>
  <si>
    <t>English Name</t>
  </si>
  <si>
    <t>Arabic Name</t>
  </si>
  <si>
    <t>UOM</t>
  </si>
  <si>
    <t>Added QTY</t>
  </si>
  <si>
    <t>Psc</t>
  </si>
  <si>
    <t>LTR</t>
  </si>
  <si>
    <t>compare with MS</t>
  </si>
  <si>
    <t>Differ</t>
  </si>
  <si>
    <t>FPB-00060</t>
  </si>
  <si>
    <t>RM-00375</t>
  </si>
  <si>
    <t>Name</t>
  </si>
  <si>
    <t>C-S</t>
  </si>
  <si>
    <t>Status</t>
  </si>
  <si>
    <t>Taylor Lubricant Cream كريم تشحيم ماكينة الايس كريم تايلور</t>
  </si>
  <si>
    <t>FA-00296</t>
  </si>
  <si>
    <t>EGG WHIPINGخفاق بيض ستيل</t>
  </si>
  <si>
    <t>Colombia 1 Kg LANDA</t>
  </si>
  <si>
    <t>Brazil Rosa Morina 1 Kg MOZIANA</t>
  </si>
  <si>
    <t>FPB-00066</t>
  </si>
  <si>
    <t>Saudi al saeed 1 Kg</t>
  </si>
  <si>
    <t>FPB-00071</t>
  </si>
  <si>
    <t>Ethiopia shelsheli 1 Kg</t>
  </si>
  <si>
    <t>كرتون أظرف قهوة نمق شلشلي  Namq Sachet Box Ethiopia Chelcheli</t>
  </si>
  <si>
    <t>FPB-00211</t>
  </si>
  <si>
    <t>Ethiopia Washed Yirgachefe 1 Kg</t>
  </si>
  <si>
    <t>FPB-00216</t>
  </si>
  <si>
    <t>Ethiopia Funky Guji Hambella 1 Kg</t>
  </si>
  <si>
    <t>جبن شيدر انجليزي Irish Mild Cheese</t>
  </si>
  <si>
    <t>RM-00031</t>
  </si>
  <si>
    <t>Milk Chocolate Tabletsشوكلاته بالحليب اقراص</t>
  </si>
  <si>
    <t>RM-00053</t>
  </si>
  <si>
    <t>RM-00057</t>
  </si>
  <si>
    <t>Rubicone Cocoa powderبودرة كاكاو روبيكون</t>
  </si>
  <si>
    <t>Chocolate sticks BELCOSTICKS 44% 8CM | اصابع الشوكولاتة</t>
  </si>
  <si>
    <t>Cocoa powder medium L68 Macao | كاكاو بودرة متوسط DEZZAN</t>
  </si>
  <si>
    <t>Cocoa powder medium  كاكاو بودرة متوسط DEZZAN</t>
  </si>
  <si>
    <t>RM-00172</t>
  </si>
  <si>
    <t>Mayonnaise مايونيز</t>
  </si>
  <si>
    <t>BELCHOCO | Caramel Liquid - بلشوكو كراميل توفي ELICA</t>
  </si>
  <si>
    <t>AFIA CINNAMON POWDER | بودرة القرفة العافية</t>
  </si>
  <si>
    <t>RM-00280</t>
  </si>
  <si>
    <t>Rana Ketchup - كاتشب رنا</t>
  </si>
  <si>
    <t>RM-00299</t>
  </si>
  <si>
    <t>Super fine saffron 1 KGX250G- 250Xزعفران سوبر نقيل 1ك</t>
  </si>
  <si>
    <t>ALALALI SODIUM BICARBONATE | بيكربونات الصوديوم العلالي</t>
  </si>
  <si>
    <t>Dream Whip Whipping Cream Mix دريم ويب خليط كريمة الخفق</t>
  </si>
  <si>
    <t>RM-00514</t>
  </si>
  <si>
    <t>Matcha latte Powder مسحوق ماتشا لاتيه</t>
  </si>
  <si>
    <t>Mango SOUCE &amp; Topping FRUTTOSE 85% حشوة مانجو</t>
  </si>
  <si>
    <t>RM-00602</t>
  </si>
  <si>
    <t>CT CH M10-38ZBL DROPS | شوكولانتي</t>
  </si>
  <si>
    <t xml:space="preserve"> حلاوة شعر طحينية / Halava Shaar Tahinia</t>
  </si>
  <si>
    <t>Matcha Powder GRADE C مسحوق الماتشا  C (A)</t>
  </si>
  <si>
    <t>Lemon - ليمون</t>
  </si>
  <si>
    <t>TREMOULINE</t>
  </si>
  <si>
    <t>coconut water  مياة جوز الهند</t>
  </si>
  <si>
    <t>Fiordilampone Raspberries MEC3</t>
  </si>
  <si>
    <t>RM-00724</t>
  </si>
  <si>
    <t>Baklava Pistachio Cream</t>
  </si>
  <si>
    <t xml:space="preserve"> LES FRUITS 50% RASPBERRY لافروتا حشوة التوت تركيز 50%</t>
  </si>
  <si>
    <t>RM-00723</t>
  </si>
  <si>
    <t>Sunbulah Frozen Kunafa</t>
  </si>
  <si>
    <t>Freshly Sauce Worcehester صلصة ورشستر</t>
  </si>
  <si>
    <t>OK</t>
  </si>
  <si>
    <t>RM-00140</t>
  </si>
  <si>
    <t>Baking soda بيكنج صودا</t>
  </si>
  <si>
    <t>RM-00198</t>
  </si>
  <si>
    <t>Concentrated Paste Vanilla معجون مركز بنكهة الفانيلا</t>
  </si>
  <si>
    <t xml:space="preserve">Goody Creamy Peanut Butte | قودي زبدة الفول السوداني الناعمة </t>
  </si>
  <si>
    <t>MATCHA 6 A</t>
  </si>
  <si>
    <t>animal ghee</t>
  </si>
  <si>
    <t>BARAZEK CREAM | برازق كريم</t>
  </si>
  <si>
    <t>Soft White Vanilla Rubicone  مسحوق فانيلا روبيكون</t>
  </si>
  <si>
    <t>RM-00124</t>
  </si>
  <si>
    <t>Qufeng Vital Wheat Gluten 25 KG - كوفينج جلوتين القمح</t>
  </si>
  <si>
    <t>FPB-00002</t>
  </si>
  <si>
    <t>Colombia Palandas 250 Gm</t>
  </si>
  <si>
    <t>FPB-00003</t>
  </si>
  <si>
    <t>Brazil Rosa Morina 250 Gm</t>
  </si>
  <si>
    <t>RM-00040</t>
  </si>
  <si>
    <t>CARAMEL FILLING</t>
  </si>
  <si>
    <t>DEL SALTED CRAMEL</t>
  </si>
  <si>
    <t>GIFFARD STRAWBERRY SYRUP</t>
  </si>
  <si>
    <t>rm-00583</t>
  </si>
  <si>
    <t xml:space="preserve">SYRUP BLACKBERRY 1883 سيروب توت اسود </t>
  </si>
  <si>
    <t>FA-00518</t>
  </si>
  <si>
    <t> La Marzocco GB5 X 3 Group - لامرزوكو 3 جروب</t>
  </si>
  <si>
    <t>CO-00347</t>
  </si>
  <si>
    <t>E80 Supreme Black - Mahlkonig</t>
  </si>
  <si>
    <t>FA-00521</t>
  </si>
  <si>
    <t>Acaia pearl smart scale - ميزان اكايا بيرل</t>
  </si>
  <si>
    <t>FA-00522</t>
  </si>
  <si>
    <t>Acaia Lunar Espresso Scale (ocs) - ميزان اسبريسو لونار</t>
  </si>
  <si>
    <t>FA-00083</t>
  </si>
  <si>
    <t>Mahlkonig Grinder EK 43</t>
  </si>
  <si>
    <t>FA-00524</t>
  </si>
  <si>
    <t>Baratza Forte BG - طاحونة براتزا</t>
  </si>
  <si>
    <t>FA-00525</t>
  </si>
  <si>
    <t>XTS Fetco Batch Brewer Single Station CBS-2241- مكينة فيتكو</t>
  </si>
  <si>
    <t>FA-00527</t>
  </si>
  <si>
    <t>PUQ press Q2 - مكبس</t>
  </si>
  <si>
    <t>FA-00547</t>
  </si>
  <si>
    <t>Rhino Pitcher Rinser 600mm-Spinjet - رينزر 600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</si>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</sst>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.0000_);_(* \(#,##0.0000\);_(* &quot;-&quot;??_);_(@_)"/>
    <numFmt numFmtId="165" formatCode="_(* #,##0_);_(* \(#,##0\);_(* &quot;-&quot;??_);_(@_)"/>
    <numFmt numFmtId="166" formatCode="_(* #,##0.0000_);_(* \(#,##0.0000\);_(* &quot;-&quot;????_);_(@_)"/>
    <numFmt numFmtId="167" formatCode="m/d/yy\ h:mm;@"/>
    <numFmt numFmtId="168" formatCode="0.000"/>
    <numFmt numFmtId="169" formatCode="_(* #,##0.000_);_(* \(#,##0.000\);_(* &quot;-&quot;??_);_(@_)"/>
  </numFmts>
  <fonts count="3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name val="Calibri"/>
      <family val="2"/>
    </font>
    <font>
      <sz val="11"/>
      <color rgb="FF000000"/>
      <name val="Calibri"/>
      <family val="2"/>
    </font>
    <font>
      <sz val="11"/>
      <name val="Arial"/>
      <family val="1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Arial"/>
      <family val="2"/>
    </font>
    <font>
      <sz val="10"/>
      <color rgb="FF0D0D0D"/>
      <name val="Calibri"/>
      <family val="2"/>
    </font>
    <font>
      <sz val="12"/>
      <color rgb="FF000000"/>
      <name val="Aptos Narrow"/>
      <family val="2"/>
      <scheme val="minor"/>
    </font>
    <font>
      <sz val="12"/>
      <color rgb="FF000000"/>
      <name val="Arial"/>
      <family val="2"/>
    </font>
    <font>
      <sz val="12"/>
      <color indexed="8"/>
      <name val="Calibri"/>
      <family val="2"/>
    </font>
    <font>
      <sz val="12"/>
      <color rgb="FF000000"/>
      <name val="Aptos Narrow"/>
      <family val="2"/>
    </font>
    <font>
      <sz val="8"/>
      <name val="Aptos Narrow"/>
      <family val="2"/>
      <scheme val="minor"/>
    </font>
    <font>
      <sz val="12"/>
      <color rgb="FF495057"/>
      <name val="Calibri"/>
      <family val="2"/>
    </font>
    <font>
      <u/>
      <sz val="11"/>
      <color theme="10"/>
      <name val="Aptos Narrow"/>
      <family val="2"/>
      <scheme val="minor"/>
    </font>
    <font>
      <sz val="8"/>
      <color theme="0"/>
      <name val="Aptos Narrow"/>
      <family val="2"/>
      <scheme val="minor"/>
    </font>
    <font>
      <sz val="11"/>
      <color theme="7" tint="0.79998168889431442"/>
      <name val="Aptos Narrow"/>
      <family val="2"/>
      <scheme val="minor"/>
    </font>
    <font>
      <sz val="12"/>
      <name val="Calibri"/>
      <family val="2"/>
    </font>
    <font>
      <sz val="12"/>
      <color rgb="FF495057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b/>
      <sz val="12"/>
      <color rgb="FFFFFFFF"/>
      <name val="Aptos Narrow"/>
      <family val="2"/>
      <scheme val="minor"/>
    </font>
    <font>
      <b/>
      <sz val="11"/>
      <color rgb="FF1F6F3D"/>
      <name val="Aptos Narrow"/>
      <family val="2"/>
      <scheme val="minor"/>
    </font>
    <font>
      <sz val="11"/>
      <color rgb="FF000000"/>
      <name val="Aptos Narrow"/>
      <family val="2"/>
    </font>
  </fonts>
  <fills count="30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83CCE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1F6F3D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/>
    <xf numFmtId="0" fontId="7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6" fillId="0" borderId="0" applyNumberFormat="0" applyFill="0" applyBorder="0" applyAlignment="0" applyProtection="0"/>
  </cellStyleXfs>
  <cellXfs count="202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3" fillId="7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readingOrder="2"/>
    </xf>
    <xf numFmtId="0" fontId="0" fillId="6" borderId="1" xfId="0" applyFill="1" applyBorder="1"/>
    <xf numFmtId="0" fontId="11" fillId="0" borderId="0" xfId="0" applyFont="1"/>
    <xf numFmtId="164" fontId="0" fillId="0" borderId="0" xfId="2" applyNumberFormat="1" applyFont="1"/>
    <xf numFmtId="165" fontId="0" fillId="0" borderId="0" xfId="2" applyNumberFormat="1" applyFont="1"/>
    <xf numFmtId="165" fontId="0" fillId="0" borderId="0" xfId="2" applyNumberFormat="1" applyFont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5" fillId="11" borderId="1" xfId="1" applyFont="1" applyFill="1" applyBorder="1" applyAlignment="1">
      <alignment horizontal="center" vertical="center"/>
    </xf>
    <xf numFmtId="164" fontId="15" fillId="11" borderId="1" xfId="2" applyNumberFormat="1" applyFont="1" applyFill="1" applyBorder="1" applyAlignment="1">
      <alignment horizontal="center" vertical="center"/>
    </xf>
    <xf numFmtId="165" fontId="15" fillId="11" borderId="1" xfId="2" applyNumberFormat="1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1" xfId="2" applyNumberFormat="1" applyFont="1" applyBorder="1"/>
    <xf numFmtId="165" fontId="0" fillId="8" borderId="1" xfId="2" applyNumberFormat="1" applyFont="1" applyFill="1" applyBorder="1"/>
    <xf numFmtId="165" fontId="0" fillId="0" borderId="1" xfId="0" applyNumberFormat="1" applyBorder="1"/>
    <xf numFmtId="165" fontId="16" fillId="0" borderId="1" xfId="2" applyNumberFormat="1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166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readingOrder="2"/>
    </xf>
    <xf numFmtId="0" fontId="3" fillId="0" borderId="6" xfId="0" applyFont="1" applyBorder="1" applyAlignment="1">
      <alignment horizontal="center" vertical="center" readingOrder="2"/>
    </xf>
    <xf numFmtId="0" fontId="3" fillId="0" borderId="1" xfId="0" applyFont="1" applyBorder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13" borderId="1" xfId="0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3" fillId="0" borderId="1" xfId="0" applyFont="1" applyBorder="1"/>
    <xf numFmtId="0" fontId="19" fillId="0" borderId="1" xfId="0" applyFont="1" applyBorder="1"/>
    <xf numFmtId="2" fontId="0" fillId="0" borderId="1" xfId="0" applyNumberFormat="1" applyBorder="1"/>
    <xf numFmtId="0" fontId="20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readingOrder="2"/>
    </xf>
    <xf numFmtId="0" fontId="21" fillId="0" borderId="6" xfId="0" applyFont="1" applyBorder="1" applyAlignment="1">
      <alignment horizontal="center" vertical="center" readingOrder="2"/>
    </xf>
    <xf numFmtId="0" fontId="0" fillId="0" borderId="9" xfId="0" applyBorder="1"/>
    <xf numFmtId="0" fontId="0" fillId="15" borderId="1" xfId="0" applyFill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0" fontId="0" fillId="16" borderId="1" xfId="0" applyFill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0" fillId="0" borderId="10" xfId="0" applyBorder="1"/>
    <xf numFmtId="164" fontId="0" fillId="0" borderId="10" xfId="2" applyNumberFormat="1" applyFont="1" applyBorder="1"/>
    <xf numFmtId="0" fontId="0" fillId="8" borderId="6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5" fontId="0" fillId="0" borderId="1" xfId="2" applyNumberFormat="1" applyFont="1" applyBorder="1"/>
    <xf numFmtId="0" fontId="25" fillId="0" borderId="11" xfId="0" applyFont="1" applyBorder="1" applyAlignment="1">
      <alignment horizontal="center" vertical="center"/>
    </xf>
    <xf numFmtId="0" fontId="10" fillId="0" borderId="0" xfId="0" applyFont="1"/>
    <xf numFmtId="1" fontId="2" fillId="5" borderId="1" xfId="0" applyNumberFormat="1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 readingOrder="2"/>
    </xf>
    <xf numFmtId="0" fontId="0" fillId="14" borderId="5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readingOrder="2"/>
    </xf>
    <xf numFmtId="0" fontId="10" fillId="0" borderId="1" xfId="0" applyFont="1" applyBorder="1" applyAlignment="1">
      <alignment horizontal="center" vertical="center" readingOrder="2"/>
    </xf>
    <xf numFmtId="0" fontId="0" fillId="0" borderId="6" xfId="0" applyBorder="1"/>
    <xf numFmtId="0" fontId="3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readingOrder="2"/>
    </xf>
    <xf numFmtId="0" fontId="3" fillId="9" borderId="6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/>
    </xf>
    <xf numFmtId="0" fontId="0" fillId="16" borderId="6" xfId="0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0" fillId="0" borderId="0" xfId="3" applyFont="1"/>
    <xf numFmtId="9" fontId="0" fillId="0" borderId="0" xfId="0" applyNumberFormat="1"/>
    <xf numFmtId="0" fontId="26" fillId="0" borderId="0" xfId="4" applyAlignment="1">
      <alignment horizontal="center" vertical="center" readingOrder="1"/>
    </xf>
    <xf numFmtId="0" fontId="0" fillId="0" borderId="0" xfId="0" applyAlignment="1">
      <alignment vertical="center"/>
    </xf>
    <xf numFmtId="0" fontId="1" fillId="3" borderId="6" xfId="0" applyFont="1" applyFill="1" applyBorder="1" applyAlignment="1">
      <alignment horizontal="center" vertical="center"/>
    </xf>
    <xf numFmtId="16" fontId="8" fillId="2" borderId="2" xfId="0" applyNumberFormat="1" applyFon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167" fontId="0" fillId="0" borderId="0" xfId="0" applyNumberFormat="1"/>
    <xf numFmtId="164" fontId="0" fillId="0" borderId="2" xfId="2" applyNumberFormat="1" applyFont="1" applyBorder="1"/>
    <xf numFmtId="0" fontId="11" fillId="0" borderId="1" xfId="0" applyFont="1" applyBorder="1"/>
    <xf numFmtId="167" fontId="0" fillId="0" borderId="1" xfId="0" applyNumberFormat="1" applyBorder="1"/>
    <xf numFmtId="0" fontId="17" fillId="0" borderId="1" xfId="0" applyFont="1" applyBorder="1" applyAlignment="1">
      <alignment horizontal="center" vertical="center" readingOrder="2"/>
    </xf>
    <xf numFmtId="166" fontId="0" fillId="0" borderId="1" xfId="0" applyNumberFormat="1" applyBorder="1"/>
    <xf numFmtId="0" fontId="21" fillId="0" borderId="1" xfId="0" applyFont="1" applyBorder="1" applyAlignment="1">
      <alignment horizontal="center" vertical="center" readingOrder="2"/>
    </xf>
    <xf numFmtId="0" fontId="0" fillId="8" borderId="1" xfId="0" applyFill="1" applyBorder="1" applyAlignment="1">
      <alignment horizontal="center" vertical="center"/>
    </xf>
    <xf numFmtId="0" fontId="15" fillId="11" borderId="6" xfId="1" applyFont="1" applyFill="1" applyBorder="1" applyAlignment="1">
      <alignment horizontal="center" vertical="center"/>
    </xf>
    <xf numFmtId="165" fontId="0" fillId="8" borderId="6" xfId="2" applyNumberFormat="1" applyFont="1" applyFill="1" applyBorder="1"/>
    <xf numFmtId="165" fontId="0" fillId="0" borderId="2" xfId="0" applyNumberFormat="1" applyBorder="1"/>
    <xf numFmtId="165" fontId="16" fillId="0" borderId="2" xfId="2" applyNumberFormat="1" applyFont="1" applyBorder="1" applyAlignment="1">
      <alignment vertical="center"/>
    </xf>
    <xf numFmtId="0" fontId="16" fillId="0" borderId="2" xfId="0" applyFont="1" applyBorder="1" applyAlignment="1">
      <alignment vertical="center"/>
    </xf>
    <xf numFmtId="165" fontId="0" fillId="0" borderId="9" xfId="0" applyNumberFormat="1" applyBorder="1"/>
    <xf numFmtId="165" fontId="16" fillId="0" borderId="9" xfId="2" applyNumberFormat="1" applyFont="1" applyBorder="1" applyAlignment="1">
      <alignment vertical="center"/>
    </xf>
    <xf numFmtId="0" fontId="16" fillId="0" borderId="9" xfId="0" applyFont="1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/>
    <xf numFmtId="0" fontId="3" fillId="8" borderId="6" xfId="0" applyFont="1" applyFill="1" applyBorder="1" applyAlignment="1">
      <alignment horizontal="center"/>
    </xf>
    <xf numFmtId="165" fontId="0" fillId="0" borderId="0" xfId="0" applyNumberFormat="1"/>
    <xf numFmtId="0" fontId="3" fillId="17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/>
    </xf>
    <xf numFmtId="0" fontId="3" fillId="17" borderId="1" xfId="0" applyFont="1" applyFill="1" applyBorder="1" applyAlignment="1">
      <alignment horizontal="center" vertical="center" readingOrder="2"/>
    </xf>
    <xf numFmtId="0" fontId="3" fillId="9" borderId="1" xfId="0" applyFont="1" applyFill="1" applyBorder="1" applyAlignment="1">
      <alignment horizontal="center" vertical="center" readingOrder="2"/>
    </xf>
    <xf numFmtId="0" fontId="0" fillId="0" borderId="8" xfId="0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 readingOrder="2"/>
    </xf>
    <xf numFmtId="0" fontId="3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center" vertical="center" readingOrder="2"/>
    </xf>
    <xf numFmtId="0" fontId="3" fillId="19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 readingOrder="2"/>
    </xf>
    <xf numFmtId="168" fontId="1" fillId="3" borderId="6" xfId="0" applyNumberFormat="1" applyFont="1" applyFill="1" applyBorder="1" applyAlignment="1">
      <alignment horizontal="center" vertical="center"/>
    </xf>
    <xf numFmtId="1" fontId="2" fillId="5" borderId="0" xfId="0" applyNumberFormat="1" applyFont="1" applyFill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16" fontId="0" fillId="4" borderId="11" xfId="0" applyNumberFormat="1" applyFill="1" applyBorder="1" applyAlignment="1">
      <alignment horizontal="center" vertical="center"/>
    </xf>
    <xf numFmtId="0" fontId="0" fillId="6" borderId="11" xfId="0" applyFill="1" applyBorder="1"/>
    <xf numFmtId="1" fontId="1" fillId="3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5" fillId="6" borderId="11" xfId="0" applyFont="1" applyFill="1" applyBorder="1" applyAlignment="1">
      <alignment horizontal="center" vertical="center" readingOrder="2"/>
    </xf>
    <xf numFmtId="0" fontId="27" fillId="5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8" fillId="0" borderId="6" xfId="0" applyFont="1" applyBorder="1" applyAlignment="1">
      <alignment horizontal="center" vertical="center"/>
    </xf>
    <xf numFmtId="0" fontId="0" fillId="20" borderId="0" xfId="0" applyFill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8" borderId="0" xfId="0" applyFill="1" applyAlignment="1">
      <alignment horizontal="center"/>
    </xf>
    <xf numFmtId="0" fontId="0" fillId="6" borderId="0" xfId="0" applyFill="1"/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" fontId="0" fillId="0" borderId="11" xfId="0" applyNumberFormat="1" applyBorder="1" applyAlignment="1">
      <alignment horizontal="center" vertical="center"/>
    </xf>
    <xf numFmtId="0" fontId="28" fillId="21" borderId="11" xfId="0" applyFont="1" applyFill="1" applyBorder="1" applyAlignment="1">
      <alignment horizontal="center" vertical="center"/>
    </xf>
    <xf numFmtId="43" fontId="0" fillId="0" borderId="11" xfId="0" applyNumberForma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9" fillId="6" borderId="11" xfId="0" applyFont="1" applyFill="1" applyBorder="1" applyAlignment="1">
      <alignment horizontal="center" vertical="center" readingOrder="2"/>
    </xf>
    <xf numFmtId="0" fontId="29" fillId="6" borderId="1" xfId="0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center" vertical="center" readingOrder="2"/>
    </xf>
    <xf numFmtId="0" fontId="30" fillId="0" borderId="1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1" fillId="22" borderId="1" xfId="0" applyFont="1" applyFill="1" applyBorder="1"/>
    <xf numFmtId="0" fontId="31" fillId="22" borderId="5" xfId="0" applyFont="1" applyFill="1" applyBorder="1"/>
    <xf numFmtId="0" fontId="32" fillId="0" borderId="9" xfId="0" applyFont="1" applyBorder="1"/>
    <xf numFmtId="0" fontId="32" fillId="0" borderId="13" xfId="0" applyFont="1" applyBorder="1"/>
    <xf numFmtId="4" fontId="32" fillId="0" borderId="13" xfId="0" applyNumberFormat="1" applyFont="1" applyBorder="1"/>
    <xf numFmtId="0" fontId="32" fillId="23" borderId="9" xfId="0" applyFont="1" applyFill="1" applyBorder="1"/>
    <xf numFmtId="0" fontId="32" fillId="23" borderId="13" xfId="0" applyFont="1" applyFill="1" applyBorder="1"/>
    <xf numFmtId="0" fontId="33" fillId="0" borderId="9" xfId="0" applyFont="1" applyBorder="1"/>
    <xf numFmtId="0" fontId="33" fillId="0" borderId="13" xfId="0" applyFont="1" applyBorder="1"/>
    <xf numFmtId="0" fontId="32" fillId="0" borderId="13" xfId="0" applyFont="1" applyBorder="1" applyAlignment="1">
      <alignment wrapText="1"/>
    </xf>
    <xf numFmtId="0" fontId="32" fillId="0" borderId="13" xfId="0" applyFont="1" applyBorder="1" applyAlignment="1">
      <alignment readingOrder="2"/>
    </xf>
    <xf numFmtId="0" fontId="32" fillId="0" borderId="1" xfId="0" applyFont="1" applyBorder="1"/>
    <xf numFmtId="0" fontId="5" fillId="6" borderId="0" xfId="0" applyFont="1" applyFill="1" applyAlignment="1">
      <alignment horizontal="center" vertical="center" readingOrder="2"/>
    </xf>
    <xf numFmtId="0" fontId="32" fillId="8" borderId="13" xfId="0" applyFont="1" applyFill="1" applyBorder="1"/>
    <xf numFmtId="0" fontId="0" fillId="8" borderId="0" xfId="0" applyFill="1"/>
    <xf numFmtId="0" fontId="34" fillId="24" borderId="1" xfId="0" applyFont="1" applyFill="1" applyBorder="1" applyAlignment="1">
      <alignment horizontal="center" vertical="center"/>
    </xf>
    <xf numFmtId="0" fontId="34" fillId="24" borderId="1" xfId="0" applyFont="1" applyFill="1" applyBorder="1" applyAlignment="1">
      <alignment horizontal="left" vertical="center"/>
    </xf>
    <xf numFmtId="0" fontId="34" fillId="25" borderId="1" xfId="0" applyFont="1" applyFill="1" applyBorder="1" applyAlignment="1">
      <alignment horizontal="center" vertical="center"/>
    </xf>
    <xf numFmtId="165" fontId="34" fillId="24" borderId="1" xfId="2" applyNumberFormat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165" fontId="12" fillId="8" borderId="1" xfId="2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35" fillId="0" borderId="1" xfId="0" applyFont="1" applyBorder="1" applyAlignment="1">
      <alignment horizontal="center"/>
    </xf>
    <xf numFmtId="169" fontId="0" fillId="0" borderId="1" xfId="2" applyNumberFormat="1" applyFont="1" applyBorder="1"/>
    <xf numFmtId="0" fontId="0" fillId="16" borderId="1" xfId="0" applyFill="1" applyBorder="1" applyAlignment="1">
      <alignment horizontal="left"/>
    </xf>
    <xf numFmtId="165" fontId="0" fillId="26" borderId="1" xfId="2" applyNumberFormat="1" applyFont="1" applyFill="1" applyBorder="1"/>
    <xf numFmtId="165" fontId="0" fillId="16" borderId="1" xfId="2" applyNumberFormat="1" applyFont="1" applyFill="1" applyBorder="1"/>
    <xf numFmtId="0" fontId="0" fillId="8" borderId="1" xfId="0" applyFill="1" applyBorder="1"/>
    <xf numFmtId="0" fontId="10" fillId="0" borderId="1" xfId="0" applyFont="1" applyBorder="1" applyAlignment="1">
      <alignment horizontal="left"/>
    </xf>
    <xf numFmtId="0" fontId="0" fillId="27" borderId="1" xfId="0" applyFill="1" applyBorder="1" applyAlignment="1">
      <alignment horizontal="left"/>
    </xf>
    <xf numFmtId="165" fontId="0" fillId="0" borderId="1" xfId="2" applyNumberFormat="1" applyFont="1" applyFill="1" applyBorder="1"/>
    <xf numFmtId="0" fontId="0" fillId="9" borderId="1" xfId="0" applyFill="1" applyBorder="1" applyAlignment="1">
      <alignment horizontal="left"/>
    </xf>
    <xf numFmtId="4" fontId="0" fillId="0" borderId="1" xfId="0" applyNumberFormat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29" borderId="11" xfId="0" applyFill="1" applyBorder="1"/>
    <xf numFmtId="0" fontId="25" fillId="8" borderId="11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 readingOrder="2"/>
    </xf>
    <xf numFmtId="0" fontId="36" fillId="0" borderId="0" xfId="0" applyFont="1"/>
    <xf numFmtId="0" fontId="0" fillId="8" borderId="11" xfId="0" applyFill="1" applyBorder="1"/>
    <xf numFmtId="0" fontId="30" fillId="8" borderId="11" xfId="0" applyFont="1" applyFill="1" applyBorder="1" applyAlignment="1">
      <alignment horizontal="center" vertical="center"/>
    </xf>
    <xf numFmtId="0" fontId="29" fillId="8" borderId="11" xfId="0" applyFont="1" applyFill="1" applyBorder="1" applyAlignment="1">
      <alignment horizontal="center" vertical="center" readingOrder="2"/>
    </xf>
    <xf numFmtId="169" fontId="0" fillId="0" borderId="0" xfId="2" applyNumberFormat="1" applyFont="1"/>
    <xf numFmtId="165" fontId="0" fillId="0" borderId="0" xfId="2" applyNumberFormat="1" applyFont="1" applyBorder="1"/>
    <xf numFmtId="169" fontId="0" fillId="0" borderId="0" xfId="2" applyNumberFormat="1" applyFont="1" applyBorder="1"/>
    <xf numFmtId="0" fontId="5" fillId="6" borderId="14" xfId="0" applyFont="1" applyFill="1" applyBorder="1" applyAlignment="1">
      <alignment horizontal="center" vertical="center" readingOrder="2"/>
    </xf>
    <xf numFmtId="0" fontId="12" fillId="8" borderId="2" xfId="0" applyFont="1" applyFill="1" applyBorder="1" applyAlignment="1">
      <alignment horizontal="center"/>
    </xf>
    <xf numFmtId="0" fontId="13" fillId="9" borderId="3" xfId="0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center" vertical="center"/>
    </xf>
    <xf numFmtId="0" fontId="13" fillId="9" borderId="0" xfId="0" applyFont="1" applyFill="1" applyAlignment="1">
      <alignment horizontal="center" vertical="center"/>
    </xf>
  </cellXfs>
  <cellStyles count="5">
    <cellStyle name="Comma" xfId="2" builtinId="3"/>
    <cellStyle name="Hyperlink" xfId="4" builtinId="8"/>
    <cellStyle name="Normal" xfId="0" builtinId="0"/>
    <cellStyle name="Normal 2" xfId="1" xr:uid="{9163CE07-CF29-405E-8334-7CE47141AE48}"/>
    <cellStyle name="Percent" xfId="3" builtinId="5"/>
  </cellStyles>
  <dxfs count="6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4767400055700436"/>
          <c:y val="4.76190476190476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656827655901299"/>
          <c:y val="0.45639857517810273"/>
          <c:w val="0.22642806012884753"/>
          <c:h val="0.4200599925009374"/>
        </c:manualLayout>
      </c:layout>
      <c:doughnutChart>
        <c:varyColors val="1"/>
        <c:ser>
          <c:idx val="0"/>
          <c:order val="0"/>
          <c:tx>
            <c:strRef>
              <c:f>'Dashboard - WH Situation'!$C$2</c:f>
              <c:strCache>
                <c:ptCount val="1"/>
                <c:pt idx="0">
                  <c:v>Raw Material - Stock Status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A3-4625-AD75-68B8B0A10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A3-4625-AD75-68B8B0A10518}"/>
              </c:ext>
            </c:extLst>
          </c:dPt>
          <c:dLbls>
            <c:dLbl>
              <c:idx val="0"/>
              <c:layout>
                <c:manualLayout>
                  <c:x val="-8.1283422459893048E-2"/>
                  <c:y val="-1.587301587301594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2A3-4625-AD75-68B8B0A1051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2A3-4625-AD75-68B8B0A10518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- WH Situation'!$A$3:$A$4</c:f>
              <c:strCache>
                <c:ptCount val="2"/>
                <c:pt idx="0">
                  <c:v>% Available</c:v>
                </c:pt>
                <c:pt idx="1">
                  <c:v>Shortage Item</c:v>
                </c:pt>
              </c:strCache>
            </c:strRef>
          </c:cat>
          <c:val>
            <c:numRef>
              <c:f>'Dashboard - WH Situation'!$C$3:$C$4</c:f>
              <c:numCache>
                <c:formatCode>0%</c:formatCode>
                <c:ptCount val="2"/>
                <c:pt idx="0">
                  <c:v>0.54580152671755722</c:v>
                </c:pt>
                <c:pt idx="1">
                  <c:v>0.45419847328244278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87-4994-8C46-C4D9FEBB961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58029210071115"/>
          <c:y val="0.46114410397495492"/>
          <c:w val="0.29504609533452147"/>
          <c:h val="0.51899693261233903"/>
        </c:manualLayout>
      </c:layout>
      <c:doughnutChart>
        <c:varyColors val="1"/>
        <c:ser>
          <c:idx val="0"/>
          <c:order val="0"/>
          <c:tx>
            <c:strRef>
              <c:f>'Dashboard - WH Situation'!$D$2</c:f>
              <c:strCache>
                <c:ptCount val="1"/>
                <c:pt idx="0">
                  <c:v>Packiging Material - Stock Status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5AC-4275-9714-2C6BFE24E8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5AC-4275-9714-2C6BFE24E8F8}"/>
              </c:ext>
            </c:extLst>
          </c:dPt>
          <c:dLbls>
            <c:dLbl>
              <c:idx val="0"/>
              <c:layout>
                <c:manualLayout>
                  <c:x val="-8.2191751270358729E-2"/>
                  <c:y val="-1.606425702811252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5AC-4275-9714-2C6BFE24E8F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5AC-4275-9714-2C6BFE24E8F8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- WH Situation'!$A$3:$A$4</c:f>
              <c:strCache>
                <c:ptCount val="2"/>
                <c:pt idx="0">
                  <c:v>% Available</c:v>
                </c:pt>
                <c:pt idx="1">
                  <c:v>Shortage Item</c:v>
                </c:pt>
              </c:strCache>
            </c:strRef>
          </c:cat>
          <c:val>
            <c:numRef>
              <c:f>'Dashboard - WH Situation'!$D$3:$D$4</c:f>
              <c:numCache>
                <c:formatCode>0%</c:formatCode>
                <c:ptCount val="2"/>
                <c:pt idx="0">
                  <c:v>0.5300546448087432</c:v>
                </c:pt>
                <c:pt idx="1">
                  <c:v>0.4699453551912568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C4-4031-BBE5-4C3F2549221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393443466625488E-2"/>
          <c:y val="0.40373951206918807"/>
          <c:w val="0.30687389566500267"/>
          <c:h val="0.57727507422227964"/>
        </c:manualLayout>
      </c:layout>
      <c:doughnutChart>
        <c:varyColors val="1"/>
        <c:ser>
          <c:idx val="0"/>
          <c:order val="0"/>
          <c:tx>
            <c:strRef>
              <c:f>'Dashboard - WH Situation'!$E$2</c:f>
              <c:strCache>
                <c:ptCount val="1"/>
                <c:pt idx="0">
                  <c:v>Consumables - Stock Status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D90-4A42-91F5-B53F8FFAAD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D90-4A42-91F5-B53F8FFAADEB}"/>
              </c:ext>
            </c:extLst>
          </c:dPt>
          <c:dLbls>
            <c:dLbl>
              <c:idx val="0"/>
              <c:layout>
                <c:manualLayout>
                  <c:x val="-0.11233389943904071"/>
                  <c:y val="5.848844714082863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90-4A42-91F5-B53F8FFAADE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90-4A42-91F5-B53F8FFAADEB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- WH Situation'!$A$3:$A$4</c:f>
              <c:strCache>
                <c:ptCount val="2"/>
                <c:pt idx="0">
                  <c:v>% Available</c:v>
                </c:pt>
                <c:pt idx="1">
                  <c:v>Shortage Item</c:v>
                </c:pt>
              </c:strCache>
            </c:strRef>
          </c:cat>
          <c:val>
            <c:numRef>
              <c:f>'Dashboard - WH Situation'!$E$3:$E$4</c:f>
              <c:numCache>
                <c:formatCode>0%</c:formatCode>
                <c:ptCount val="2"/>
                <c:pt idx="0">
                  <c:v>0.41496598639455784</c:v>
                </c:pt>
                <c:pt idx="1">
                  <c:v>0.58503401360544216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13-45C8-9FD9-183290B4765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baseline="0">
                <a:effectLst/>
              </a:rPr>
              <a:t>All Items - Stock Status</a:t>
            </a:r>
            <a:endParaRPr lang="en-US" u="non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883273267631134"/>
          <c:y val="0.38535750571501143"/>
          <c:w val="0.31410559038037816"/>
          <c:h val="0.58388176276352555"/>
        </c:manualLayout>
      </c:layout>
      <c:doughnutChart>
        <c:varyColors val="1"/>
        <c:ser>
          <c:idx val="0"/>
          <c:order val="0"/>
          <c:tx>
            <c:strRef>
              <c:f>'Dashboard - WH Situation'!$B$2</c:f>
              <c:strCache>
                <c:ptCount val="1"/>
                <c:pt idx="0">
                  <c:v>All Items - Stock Status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A52F-4500-937A-5890CC47CE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52F-4500-937A-5890CC47CEA7}"/>
              </c:ext>
            </c:extLst>
          </c:dPt>
          <c:dLbls>
            <c:dLbl>
              <c:idx val="0"/>
              <c:layout>
                <c:manualLayout>
                  <c:x val="-0.12168240900473125"/>
                  <c:y val="-8.0645161290324053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52F-4500-937A-5890CC47CEA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2F-4500-937A-5890CC47CEA7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'Dashboard - WH Situation'!$A$3:$A$4</c:f>
              <c:strCache>
                <c:ptCount val="2"/>
                <c:pt idx="0">
                  <c:v>% Available</c:v>
                </c:pt>
                <c:pt idx="1">
                  <c:v>Shortage Item</c:v>
                </c:pt>
              </c:strCache>
            </c:strRef>
          </c:cat>
          <c:val>
            <c:numRef>
              <c:f>'Dashboard - WH Situation'!$B$3:$B$4</c:f>
              <c:numCache>
                <c:formatCode>0%</c:formatCode>
                <c:ptCount val="2"/>
                <c:pt idx="0">
                  <c:v>0.21804511278195488</c:v>
                </c:pt>
                <c:pt idx="1">
                  <c:v>0.78195488721804507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2F-4500-937A-5890CC47CEA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Consumables Stock Status'!A1"/><Relationship Id="rId3" Type="http://schemas.openxmlformats.org/officeDocument/2006/relationships/chart" Target="../charts/chart3.xml"/><Relationship Id="rId7" Type="http://schemas.openxmlformats.org/officeDocument/2006/relationships/hyperlink" Target="#'Raw Material Stock status'!A1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hyperlink" Target="#'Packiging Materila Stock Status'!A1"/><Relationship Id="rId5" Type="http://schemas.openxmlformats.org/officeDocument/2006/relationships/hyperlink" Target="#'All WH Stock Status'!A1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15875</xdr:colOff>
      <xdr:row>21</xdr:row>
      <xdr:rowOff>12700</xdr:rowOff>
    </xdr:from>
    <xdr:to>
      <xdr:col>2</xdr:col>
      <xdr:colOff>1778000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CA2CDE-AF0C-39C3-D57F-98FB170826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25399</xdr:colOff>
      <xdr:row>11</xdr:row>
      <xdr:rowOff>0</xdr:rowOff>
    </xdr:from>
    <xdr:to>
      <xdr:col>6</xdr:col>
      <xdr:colOff>596900</xdr:colOff>
      <xdr:row>20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91A586D-FE12-DF87-F1FD-92C123F9B7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19050</xdr:colOff>
      <xdr:row>20</xdr:row>
      <xdr:rowOff>171450</xdr:rowOff>
    </xdr:from>
    <xdr:to>
      <xdr:col>7</xdr:col>
      <xdr:colOff>6350</xdr:colOff>
      <xdr:row>30</xdr:row>
      <xdr:rowOff>6350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DD7FF04-2151-165B-DD5D-649EC86D79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6350</xdr:colOff>
      <xdr:row>11</xdr:row>
      <xdr:rowOff>19050</xdr:rowOff>
    </xdr:from>
    <xdr:to>
      <xdr:col>3</xdr:col>
      <xdr:colOff>12700</xdr:colOff>
      <xdr:row>19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971CB2-6E6A-E855-DD47-FD02C46B58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6350</xdr:colOff>
      <xdr:row>11</xdr:row>
      <xdr:rowOff>19050</xdr:rowOff>
    </xdr:from>
    <xdr:to>
      <xdr:col>2</xdr:col>
      <xdr:colOff>1797050</xdr:colOff>
      <xdr:row>20</xdr:row>
      <xdr:rowOff>0</xdr:rowOff>
    </xdr:to>
    <xdr:sp macro="" textlink="">
      <xdr:nvSpPr>
        <xdr:cNvPr id="2" name="TextBox 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E6F8B05-1DF1-EC1E-A4F6-1FC4F4352D1B}"/>
            </a:ext>
          </a:extLst>
        </xdr:cNvPr>
        <xdr:cNvSpPr txBox="1"/>
      </xdr:nvSpPr>
      <xdr:spPr>
        <a:xfrm>
          <a:off x="844550" y="2000250"/>
          <a:ext cx="3359150" cy="16383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u="sng" baseline="0">
            <a:solidFill>
              <a:schemeClr val="bg1">
                <a:lumMod val="8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u="sng" baseline="0">
            <a:solidFill>
              <a:schemeClr val="bg1">
                <a:lumMod val="8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u="sng" baseline="0">
            <a:solidFill>
              <a:schemeClr val="bg1">
                <a:lumMod val="8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u="sng" baseline="0">
            <a:solidFill>
              <a:schemeClr val="bg1">
                <a:lumMod val="8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u="sng" baseline="0">
            <a:solidFill>
              <a:schemeClr val="bg1">
                <a:lumMod val="8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u="sng" baseline="0">
            <a:solidFill>
              <a:schemeClr val="bg1">
                <a:lumMod val="8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u="sng" baseline="0">
            <a:solidFill>
              <a:schemeClr val="bg1">
                <a:lumMod val="8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u="sng" baseline="0">
            <a:solidFill>
              <a:schemeClr val="bg1">
                <a:lumMod val="85000"/>
              </a:schemeClr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  <xdr:twoCellAnchor>
    <xdr:from>
      <xdr:col>4</xdr:col>
      <xdr:colOff>19050</xdr:colOff>
      <xdr:row>10</xdr:row>
      <xdr:rowOff>171450</xdr:rowOff>
    </xdr:from>
    <xdr:to>
      <xdr:col>6</xdr:col>
      <xdr:colOff>603250</xdr:colOff>
      <xdr:row>19</xdr:row>
      <xdr:rowOff>158750</xdr:rowOff>
    </xdr:to>
    <xdr:sp macro="" textlink="">
      <xdr:nvSpPr>
        <xdr:cNvPr id="7" name="TextBox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83ACB10-FBFF-C10D-05C4-EA41BA9610B7}"/>
            </a:ext>
          </a:extLst>
        </xdr:cNvPr>
        <xdr:cNvSpPr txBox="1"/>
      </xdr:nvSpPr>
      <xdr:spPr>
        <a:xfrm>
          <a:off x="6362700" y="1968500"/>
          <a:ext cx="3060700" cy="16446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1</xdr:col>
      <xdr:colOff>12700</xdr:colOff>
      <xdr:row>21</xdr:row>
      <xdr:rowOff>0</xdr:rowOff>
    </xdr:from>
    <xdr:to>
      <xdr:col>2</xdr:col>
      <xdr:colOff>1778000</xdr:colOff>
      <xdr:row>30</xdr:row>
      <xdr:rowOff>12700</xdr:rowOff>
    </xdr:to>
    <xdr:sp macro="" textlink="">
      <xdr:nvSpPr>
        <xdr:cNvPr id="8" name="TextBox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D9AEC7B-CAEB-D0FC-6031-5FCB833C54FB}"/>
            </a:ext>
          </a:extLst>
        </xdr:cNvPr>
        <xdr:cNvSpPr txBox="1"/>
      </xdr:nvSpPr>
      <xdr:spPr>
        <a:xfrm>
          <a:off x="850900" y="3822700"/>
          <a:ext cx="3333750" cy="16700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4</xdr:col>
      <xdr:colOff>12700</xdr:colOff>
      <xdr:row>20</xdr:row>
      <xdr:rowOff>177800</xdr:rowOff>
    </xdr:from>
    <xdr:to>
      <xdr:col>7</xdr:col>
      <xdr:colOff>0</xdr:colOff>
      <xdr:row>30</xdr:row>
      <xdr:rowOff>6350</xdr:rowOff>
    </xdr:to>
    <xdr:sp macro="" textlink="">
      <xdr:nvSpPr>
        <xdr:cNvPr id="9" name="TextBox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C376941-5A8D-0106-D242-8FA3F8119A42}"/>
            </a:ext>
          </a:extLst>
        </xdr:cNvPr>
        <xdr:cNvSpPr txBox="1"/>
      </xdr:nvSpPr>
      <xdr:spPr>
        <a:xfrm>
          <a:off x="6356350" y="3816350"/>
          <a:ext cx="3073400" cy="16700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amqcafe-my.sharepoint.com/personal/a_rudwan_namqcafe_com/Documents/&#1587;&#1591;&#1581;%20&#1575;&#1604;&#1605;&#1603;&#1578;&#1576;/Planning%20File/Material%20Master%20File/Master%20File%20Adjustment.xlsx" TargetMode="External"/><Relationship Id="rId1" Type="http://schemas.openxmlformats.org/officeDocument/2006/relationships/externalLinkPath" Target="https://namqcafe-my.sharepoint.com/personal/a_rudwan_namqcafe_com/Documents/&#1587;&#1591;&#1581;%20&#1575;&#1604;&#1605;&#1603;&#1578;&#1576;/Planning%20File/Material%20Master%20File/Master%20File%20Adjustmen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mqcafe-my.sharepoint.com/personal/h_rehman_namqcafe_com/Documents/Sheet1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amqcafe-my.sharepoint.com/personal/a_rudwan_namqcafe_com/Documents/&#1587;&#1591;&#1581;%20&#1575;&#1604;&#1605;&#1603;&#1578;&#1576;/Master%20Sheet%20Creation/Master%20Sheet%20April%202026/Master%20File%20-%20April%202026.xlsm" TargetMode="External"/><Relationship Id="rId1" Type="http://schemas.openxmlformats.org/officeDocument/2006/relationships/externalLinkPath" Target="https://namqcafe-my.sharepoint.com/personal/a_rudwan_namqcafe_com/Documents/&#1587;&#1591;&#1581;%20&#1575;&#1604;&#1605;&#1603;&#1578;&#1576;/Master%20Sheet%20Creation/Master%20Sheet%20April%202026/Master%20File%20-%20April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H Items"/>
      <sheetName val="Sheet4"/>
      <sheetName val="Final-Short"/>
      <sheetName val="Sheet2"/>
      <sheetName val="Sheet1"/>
      <sheetName val="Sheet6"/>
      <sheetName val="Sheet3"/>
    </sheetNames>
    <sheetDataSet>
      <sheetData sheetId="0"/>
      <sheetData sheetId="1"/>
      <sheetData sheetId="2">
        <row r="2">
          <cell r="B2" t="str">
            <v>Item Code</v>
          </cell>
          <cell r="C2" t="str">
            <v>Description</v>
          </cell>
          <cell r="D2" t="str">
            <v>Item Description</v>
          </cell>
          <cell r="E2" t="str">
            <v>Namq</v>
          </cell>
          <cell r="F2" t="str">
            <v>Breehant</v>
          </cell>
          <cell r="G2" t="str">
            <v>Roastery</v>
          </cell>
          <cell r="H2" t="str">
            <v>Tando</v>
          </cell>
          <cell r="I2" t="str">
            <v>Avola</v>
          </cell>
          <cell r="J2" t="str">
            <v>Laundah</v>
          </cell>
          <cell r="K2" t="str">
            <v>Used by # Brands</v>
          </cell>
          <cell r="L2" t="str">
            <v>Monthly Demand</v>
          </cell>
          <cell r="N2" t="str">
            <v>Current Stocks</v>
          </cell>
          <cell r="O2" t="str">
            <v>Coverage</v>
          </cell>
          <cell r="P2" t="str">
            <v>Minimum Stock Level</v>
          </cell>
          <cell r="Q2" t="str">
            <v>Maximum Stock Level</v>
          </cell>
          <cell r="R2" t="str">
            <v>Order QTY</v>
          </cell>
          <cell r="S2" t="str">
            <v>Lead Time</v>
          </cell>
          <cell r="T2" t="str">
            <v>Classification</v>
          </cell>
          <cell r="U2" t="str">
            <v>Price</v>
          </cell>
          <cell r="V2" t="str">
            <v>Supplier</v>
          </cell>
          <cell r="W2" t="str">
            <v>Payment To Reach Optimum</v>
          </cell>
          <cell r="X2" t="str">
            <v>Monthly Stock Cost</v>
          </cell>
        </row>
        <row r="3">
          <cell r="B3" t="str">
            <v>PM-00257</v>
          </cell>
          <cell r="C3" t="str">
            <v>Namq white Napkin منديل ابيض نمق</v>
          </cell>
          <cell r="D3" t="str">
            <v>Namq white Napkin منديل ابيض نمق</v>
          </cell>
          <cell r="E3" t="str">
            <v>✓</v>
          </cell>
          <cell r="F3" t="str">
            <v/>
          </cell>
          <cell r="G3" t="str">
            <v/>
          </cell>
          <cell r="H3" t="str">
            <v/>
          </cell>
          <cell r="I3" t="str">
            <v/>
          </cell>
          <cell r="J3" t="str">
            <v/>
          </cell>
          <cell r="K3">
            <v>1</v>
          </cell>
          <cell r="L3">
            <v>1600000</v>
          </cell>
          <cell r="N3">
            <v>305000</v>
          </cell>
          <cell r="O3">
            <v>5.71875</v>
          </cell>
          <cell r="P3">
            <v>5760000</v>
          </cell>
          <cell r="Q3">
            <v>7360000</v>
          </cell>
          <cell r="R3">
            <v>7055000</v>
          </cell>
          <cell r="S3">
            <v>105</v>
          </cell>
          <cell r="T3" t="str">
            <v>S</v>
          </cell>
          <cell r="U3">
            <v>4.3E-3</v>
          </cell>
          <cell r="V3" t="str">
            <v>GUANGZHOU MAIBAO PACKAGE CO. LTD</v>
          </cell>
          <cell r="W3">
            <v>30336.5</v>
          </cell>
          <cell r="X3">
            <v>6880</v>
          </cell>
          <cell r="Z3" t="str">
            <v>PM-00257</v>
          </cell>
          <cell r="AA3" t="str">
            <v>Namq white Napkin منديل ابيض نمق</v>
          </cell>
          <cell r="AB3" t="str">
            <v>PM-00257</v>
          </cell>
          <cell r="AC3" t="str">
            <v>Namq white Napkin منديل ابيض نمق</v>
          </cell>
          <cell r="AD3">
            <v>1.47E-2</v>
          </cell>
          <cell r="AE3" t="str">
            <v>GUANGZHOU MAIBAO PACKAGE CO. LTD</v>
          </cell>
        </row>
        <row r="4">
          <cell r="B4" t="str">
            <v>PM-00256</v>
          </cell>
          <cell r="C4" t="str">
            <v>Namq Fork شوكة نمق</v>
          </cell>
          <cell r="D4" t="str">
            <v>Namq Fork شوكة نمق</v>
          </cell>
          <cell r="E4" t="str">
            <v>✓</v>
          </cell>
          <cell r="F4" t="str">
            <v/>
          </cell>
          <cell r="G4" t="str">
            <v/>
          </cell>
          <cell r="H4" t="str">
            <v/>
          </cell>
          <cell r="I4" t="str">
            <v/>
          </cell>
          <cell r="J4" t="str">
            <v/>
          </cell>
          <cell r="K4">
            <v>1</v>
          </cell>
          <cell r="L4">
            <v>1000000</v>
          </cell>
          <cell r="N4">
            <v>81000</v>
          </cell>
          <cell r="O4">
            <v>2.4300000000000002</v>
          </cell>
          <cell r="P4">
            <v>566666.66666666663</v>
          </cell>
          <cell r="Q4">
            <v>1566666.6666666665</v>
          </cell>
          <cell r="R4">
            <v>1485666.6666666665</v>
          </cell>
          <cell r="S4">
            <v>14</v>
          </cell>
          <cell r="T4" t="str">
            <v>S</v>
          </cell>
          <cell r="U4">
            <v>7.0000000000000007E-2</v>
          </cell>
          <cell r="V4" t="str">
            <v>شركة اركان الاندلس للتجارة</v>
          </cell>
          <cell r="W4">
            <v>103996.66666666667</v>
          </cell>
          <cell r="X4">
            <v>70000</v>
          </cell>
          <cell r="Z4" t="str">
            <v>PM-00256</v>
          </cell>
          <cell r="AA4" t="str">
            <v>Namq Fork شوكة نمق</v>
          </cell>
          <cell r="AB4" t="str">
            <v>PM-00256</v>
          </cell>
          <cell r="AC4" t="str">
            <v>Namq Fork شوكة نمق</v>
          </cell>
          <cell r="AD4">
            <v>7.0000000000000007E-2</v>
          </cell>
          <cell r="AE4" t="str">
            <v>شركة اركان الاندلس للتجارة</v>
          </cell>
        </row>
        <row r="5">
          <cell r="B5" t="str">
            <v>PM-00255</v>
          </cell>
          <cell r="C5" t="str">
            <v>Namq Straw شفاط نمق</v>
          </cell>
          <cell r="D5" t="str">
            <v>Namq Straw شفاط نمق</v>
          </cell>
          <cell r="E5" t="str">
            <v>✓</v>
          </cell>
          <cell r="F5" t="str">
            <v/>
          </cell>
          <cell r="G5" t="str">
            <v/>
          </cell>
          <cell r="H5" t="str">
            <v>✓</v>
          </cell>
          <cell r="I5" t="str">
            <v/>
          </cell>
          <cell r="J5" t="str">
            <v/>
          </cell>
          <cell r="K5">
            <v>2</v>
          </cell>
          <cell r="L5">
            <v>250000</v>
          </cell>
          <cell r="N5">
            <v>294000</v>
          </cell>
          <cell r="O5">
            <v>35.28</v>
          </cell>
          <cell r="P5">
            <v>141666.66666666666</v>
          </cell>
          <cell r="Q5">
            <v>391666.66666666663</v>
          </cell>
          <cell r="R5">
            <v>97666.666666666628</v>
          </cell>
          <cell r="S5">
            <v>14</v>
          </cell>
          <cell r="T5" t="str">
            <v>S</v>
          </cell>
          <cell r="U5">
            <v>1.806E-2</v>
          </cell>
          <cell r="V5" t="str">
            <v>Xiamen Twinwin Packing Products Co. Ltd</v>
          </cell>
          <cell r="W5">
            <v>1763.8599999999992</v>
          </cell>
          <cell r="X5">
            <v>4515</v>
          </cell>
          <cell r="Z5" t="str">
            <v>PM-00255</v>
          </cell>
          <cell r="AA5" t="str">
            <v>Namq Straw شفاط نمق</v>
          </cell>
          <cell r="AB5" t="str">
            <v>PM-00255</v>
          </cell>
          <cell r="AC5" t="str">
            <v>Namq Straw شفاط نمق</v>
          </cell>
          <cell r="AD5">
            <v>0.02</v>
          </cell>
          <cell r="AE5" t="str">
            <v xml:space="preserve">Xiamen Twinwin Packing Products Co. Ltd </v>
          </cell>
        </row>
        <row r="6">
          <cell r="B6" t="str">
            <v>PM-00259</v>
          </cell>
          <cell r="C6" t="str">
            <v>Four cup holder حامل اكواب رباعي</v>
          </cell>
          <cell r="D6" t="str">
            <v>Four cup holder حامل اكواب رباعي</v>
          </cell>
          <cell r="E6" t="str">
            <v>✓</v>
          </cell>
          <cell r="F6" t="str">
            <v>✓</v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>
            <v>2</v>
          </cell>
          <cell r="L6">
            <v>70000</v>
          </cell>
          <cell r="N6">
            <v>252500</v>
          </cell>
          <cell r="O6">
            <v>108.21428571428572</v>
          </cell>
          <cell r="P6">
            <v>23333.333333333332</v>
          </cell>
          <cell r="Q6">
            <v>93333.333333333328</v>
          </cell>
          <cell r="R6">
            <v>0</v>
          </cell>
          <cell r="S6">
            <v>7</v>
          </cell>
          <cell r="T6" t="str">
            <v>S</v>
          </cell>
          <cell r="U6">
            <v>0.23200000000000001</v>
          </cell>
          <cell r="V6" t="str">
            <v>Wonderful Meals Co. شركة الوجبات العجيبة التجارية</v>
          </cell>
          <cell r="W6">
            <v>0</v>
          </cell>
          <cell r="X6">
            <v>16240</v>
          </cell>
          <cell r="Z6" t="str">
            <v>PM-00259</v>
          </cell>
          <cell r="AA6" t="str">
            <v>Four cup holder حامل اكواب رباعي</v>
          </cell>
          <cell r="AB6" t="str">
            <v>PM-00259</v>
          </cell>
          <cell r="AC6" t="str">
            <v>Four cup holder حامل اكواب رباعي</v>
          </cell>
          <cell r="AD6">
            <v>0.23200000000000001</v>
          </cell>
          <cell r="AE6" t="str">
            <v xml:space="preserve">نابكو </v>
          </cell>
        </row>
        <row r="7">
          <cell r="B7" t="str">
            <v>PM-00260</v>
          </cell>
          <cell r="C7" t="str">
            <v>two cup holder حامل اكواب ثنائي</v>
          </cell>
          <cell r="D7" t="str">
            <v>two cup holder حامل اكواب ثنائي</v>
          </cell>
          <cell r="E7" t="str">
            <v>✓</v>
          </cell>
          <cell r="F7" t="str">
            <v>✓</v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>
            <v>2</v>
          </cell>
          <cell r="L7">
            <v>220000</v>
          </cell>
          <cell r="N7">
            <v>131800</v>
          </cell>
          <cell r="O7">
            <v>17.972727272727273</v>
          </cell>
          <cell r="P7">
            <v>73333.333333333328</v>
          </cell>
          <cell r="Q7">
            <v>293333.33333333331</v>
          </cell>
          <cell r="R7">
            <v>161533.33333333331</v>
          </cell>
          <cell r="S7">
            <v>7</v>
          </cell>
          <cell r="T7" t="str">
            <v>S</v>
          </cell>
          <cell r="U7">
            <v>0.11600000000000001</v>
          </cell>
          <cell r="V7" t="str">
            <v>Wonderful Meals Co. شركة الوجبات العجيبة التجارية</v>
          </cell>
          <cell r="W7">
            <v>18737.866666666665</v>
          </cell>
          <cell r="X7">
            <v>25520</v>
          </cell>
          <cell r="Z7" t="str">
            <v>PM-00260</v>
          </cell>
          <cell r="AA7" t="str">
            <v>two cup holder حامل اكواب ثنائي</v>
          </cell>
          <cell r="AB7" t="str">
            <v>PM-00260</v>
          </cell>
          <cell r="AC7" t="str">
            <v>two cup holder حامل اكواب ثنائي</v>
          </cell>
          <cell r="AD7">
            <v>0.11600000000000001</v>
          </cell>
          <cell r="AE7" t="str">
            <v xml:space="preserve">نابكو </v>
          </cell>
        </row>
        <row r="8">
          <cell r="B8" t="str">
            <v>PM-00065</v>
          </cell>
          <cell r="C8" t="str">
            <v>Takeawy Sweet Box Namq - OUTER BOX علبة الحلى سفري نمق</v>
          </cell>
          <cell r="D8" t="str">
            <v>Takeawy Sweet Box Namq علبة الحلى سفري نمق</v>
          </cell>
          <cell r="E8" t="str">
            <v>✓</v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>
            <v>1</v>
          </cell>
          <cell r="L8">
            <v>270000</v>
          </cell>
          <cell r="N8">
            <v>225200</v>
          </cell>
          <cell r="O8">
            <v>25.022222222222222</v>
          </cell>
          <cell r="P8">
            <v>972000</v>
          </cell>
          <cell r="Q8">
            <v>1242000</v>
          </cell>
          <cell r="R8">
            <v>1016800</v>
          </cell>
          <cell r="S8">
            <v>105</v>
          </cell>
          <cell r="T8" t="str">
            <v>S</v>
          </cell>
          <cell r="U8">
            <v>0.24</v>
          </cell>
          <cell r="V8" t="str">
            <v>Alpha Pack Packaging Company شركة ألفا باك للتغليف</v>
          </cell>
          <cell r="W8">
            <v>244032</v>
          </cell>
          <cell r="X8">
            <v>64800</v>
          </cell>
          <cell r="Z8" t="str">
            <v>PM-00065</v>
          </cell>
          <cell r="AA8" t="str">
            <v>Takeawy Sweet Box Namq علبة الحلى سفري نمق</v>
          </cell>
          <cell r="AB8" t="str">
            <v>PM-00065</v>
          </cell>
          <cell r="AC8" t="str">
            <v>Takeawy Sweet Box Namq - OUTER BOX علبة الحلى سفري نمق</v>
          </cell>
          <cell r="AD8">
            <v>0.32</v>
          </cell>
          <cell r="AE8" t="str">
            <v>Alpha Pack Packaging Company شركة ألفا باك للتغليف</v>
          </cell>
        </row>
        <row r="9">
          <cell r="B9" t="str">
            <v>PM-00805</v>
          </cell>
          <cell r="C9" t="str">
            <v>Takeawy Sweet Box Namq - Drawer Box علبة الحلى سفري نمق</v>
          </cell>
          <cell r="D9" t="str">
            <v>Takeawy Sweet Box Namq - Drawer Box علبة الحلى سفري نمق</v>
          </cell>
          <cell r="E9" t="str">
            <v>✓</v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>
            <v>1</v>
          </cell>
          <cell r="L9">
            <v>270000</v>
          </cell>
          <cell r="N9">
            <v>0</v>
          </cell>
          <cell r="O9">
            <v>0</v>
          </cell>
          <cell r="P9">
            <v>972000</v>
          </cell>
          <cell r="Q9">
            <v>1242000</v>
          </cell>
          <cell r="R9">
            <v>1242000</v>
          </cell>
          <cell r="S9">
            <v>105</v>
          </cell>
          <cell r="T9" t="str">
            <v>S</v>
          </cell>
          <cell r="V9" t="str">
            <v>Alpha Pack Packaging Company شركة ألفا باك للتغليف</v>
          </cell>
          <cell r="W9">
            <v>0</v>
          </cell>
          <cell r="X9">
            <v>0</v>
          </cell>
          <cell r="Z9" t="str">
            <v>PM-00805</v>
          </cell>
          <cell r="AA9" t="str">
            <v>Takeawy Sweet Box Namq - Drawer Box علبة الحلى سفري نمق</v>
          </cell>
          <cell r="AB9" t="str">
            <v>PM-00805</v>
          </cell>
          <cell r="AC9" t="str">
            <v>Takeawy Sweet Box Namq - Drawer Box علبة الحلى سفري نمق</v>
          </cell>
          <cell r="AD9">
            <v>0.35</v>
          </cell>
          <cell r="AE9" t="str">
            <v>Alpha Pack Packaging Company شركة ألفا باك للتغليف</v>
          </cell>
        </row>
        <row r="10">
          <cell r="B10" t="str">
            <v>PM-00570</v>
          </cell>
          <cell r="C10" t="str">
            <v>صحن دائري تقديم الحلا  المحلي17سم (نمق)Sugarcane plate</v>
          </cell>
          <cell r="D10" t="str">
            <v>صحن دائري تقديم الحلا  المحلي17سم (نمق)Sugarcane plate</v>
          </cell>
          <cell r="E10" t="str">
            <v>✓</v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>
            <v>1</v>
          </cell>
          <cell r="L10">
            <v>190000</v>
          </cell>
          <cell r="N10">
            <v>269000</v>
          </cell>
          <cell r="O10">
            <v>42.473684210526315</v>
          </cell>
          <cell r="P10">
            <v>589000</v>
          </cell>
          <cell r="Q10">
            <v>779000</v>
          </cell>
          <cell r="R10">
            <v>510000</v>
          </cell>
          <cell r="S10">
            <v>90</v>
          </cell>
          <cell r="T10" t="str">
            <v>S</v>
          </cell>
          <cell r="U10">
            <v>4.6199999999999998E-2</v>
          </cell>
          <cell r="V10" t="str">
            <v>GUANGZHOU MAIBAO PACKAGE CO. LTD</v>
          </cell>
          <cell r="W10">
            <v>23562</v>
          </cell>
          <cell r="X10">
            <v>8778</v>
          </cell>
          <cell r="Z10" t="str">
            <v>PM-00570</v>
          </cell>
          <cell r="AA10" t="str">
            <v>صحن دائري تقديم الحلا  المحلي17سم (نمق)Sugarcane plate</v>
          </cell>
          <cell r="AB10" t="str">
            <v>PM-00570</v>
          </cell>
          <cell r="AC10" t="str">
            <v>صحن دائري تقديم الحلا  المحلي17سم (نمق)Sugarcane plate</v>
          </cell>
          <cell r="AD10">
            <v>0.16</v>
          </cell>
          <cell r="AE10" t="str">
            <v>GUANGZHOU MAIBAO PACKAGE CO. LTD</v>
          </cell>
        </row>
        <row r="11">
          <cell r="B11" t="str">
            <v>PM-00568</v>
          </cell>
          <cell r="C11" t="str">
            <v>كيس مخبوزات مطبوع مقاس 10 × 14.5 cm (نمق)-Printed Bakery Paper Bag, 10 × 14.5 cm(Namq)</v>
          </cell>
          <cell r="D11" t="str">
            <v>كيس مخبوزات مطبوع مقاس 10 × 14.5 cm (نمق)-Printed Bakery Paper Bag, 10 × 14.5 cm(Namq)</v>
          </cell>
          <cell r="E11" t="str">
            <v>✓</v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>
            <v>1</v>
          </cell>
          <cell r="L11">
            <v>60000</v>
          </cell>
          <cell r="N11">
            <v>28650</v>
          </cell>
          <cell r="O11">
            <v>14.324999999999999</v>
          </cell>
          <cell r="P11">
            <v>186000</v>
          </cell>
          <cell r="Q11">
            <v>246000</v>
          </cell>
          <cell r="R11">
            <v>217350</v>
          </cell>
          <cell r="S11">
            <v>90</v>
          </cell>
          <cell r="T11" t="str">
            <v>S</v>
          </cell>
          <cell r="U11">
            <v>0.34</v>
          </cell>
          <cell r="V11" t="str">
            <v>Alpha Pack Packaging Company شركة ألفا باك للتغليف</v>
          </cell>
          <cell r="W11">
            <v>73899</v>
          </cell>
          <cell r="X11">
            <v>20400</v>
          </cell>
          <cell r="Z11" t="str">
            <v>PM-00568</v>
          </cell>
          <cell r="AA11" t="str">
            <v>كيس مخبوزات مطبوع مقاس 10 × 14.5 cm (نمق)-Printed Bakery Paper Bag, 10 × 14.5 cm(Namq)</v>
          </cell>
          <cell r="AB11" t="str">
            <v>PM-00568</v>
          </cell>
          <cell r="AC11" t="str">
            <v>كيس مخبوزات مطبوع مقاس 10 × 14.5 cm (نمق)-Printed Bakery Paper Bag, 10 × 14.5 cm(Namq)</v>
          </cell>
          <cell r="AD11">
            <v>0.34</v>
          </cell>
          <cell r="AE11" t="str">
            <v>Alpha Pack Packaging Company شركة ألفا باك للتغليف</v>
          </cell>
        </row>
        <row r="12">
          <cell r="B12" t="str">
            <v>PM-00042</v>
          </cell>
          <cell r="C12" t="str">
            <v>كيس بلاستيك ضبابي نمق مقاس 44سم *40سم مع لاصق اغلاق Namq Foggy Plastic Bag 44cm*40cm</v>
          </cell>
          <cell r="D12" t="str">
            <v>كيس بلاستيك ضبابي نمق مقاس 44سم *40سم مع لاصق اغلاق Namq Foggy Plastic Bag 44cm*40cm</v>
          </cell>
          <cell r="E12" t="str">
            <v>✓</v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>
            <v>1</v>
          </cell>
          <cell r="L12">
            <v>160000</v>
          </cell>
          <cell r="N12">
            <v>105390</v>
          </cell>
          <cell r="O12">
            <v>19.760625000000001</v>
          </cell>
          <cell r="P12">
            <v>122666.66666666667</v>
          </cell>
          <cell r="Q12">
            <v>282666.66666666669</v>
          </cell>
          <cell r="R12">
            <v>177276.66666666669</v>
          </cell>
          <cell r="S12">
            <v>20</v>
          </cell>
          <cell r="T12" t="str">
            <v>S</v>
          </cell>
          <cell r="U12">
            <v>0.23300000000000001</v>
          </cell>
          <cell r="V12" t="str">
            <v>Riyadh Green Plastic Factory مصنع الرياض الاخضر للبلاستيك</v>
          </cell>
          <cell r="W12">
            <v>41305.46333333334</v>
          </cell>
          <cell r="X12">
            <v>37280</v>
          </cell>
          <cell r="Z12" t="str">
            <v>PM-00042</v>
          </cell>
          <cell r="AA12" t="str">
            <v>كيس بلاستيك ضبابي نمق مقاس 44سم *40سم مع لاصق اغلاق Namq Foggy Plastic Bag 44cm*40cm</v>
          </cell>
          <cell r="AB12" t="str">
            <v>PM-00042</v>
          </cell>
          <cell r="AC12" t="str">
            <v>كيس بلاستيك ضبابي نمق مقاس 44سم *40سم مع لاصق اغلاق Namq Foggy Plastic Bag 44cm*40cm</v>
          </cell>
          <cell r="AD12">
            <v>0.23300000000000001</v>
          </cell>
          <cell r="AE12" t="str">
            <v>Riyadh Green Plastic Factory مصنع الرياض الاخضر للبلاستيك</v>
          </cell>
        </row>
        <row r="13">
          <cell r="B13" t="str">
            <v>PM-00041</v>
          </cell>
          <cell r="C13" t="str">
            <v>كيس بلاستيك ضبابي نمق الكبير مقاس 60سم *35سم مع لاصق اغلاق Namq Large Foggy Plastic Bag 60cm*35cm</v>
          </cell>
          <cell r="D13" t="str">
            <v>كيس بلاستيك ضبابي نمق الكبير مقاس 60سم *35سم مع لاصق اغلاق Namq Large Foggy Plastic Bag 60cm*35cm</v>
          </cell>
          <cell r="E13" t="str">
            <v>✓</v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>
            <v>1</v>
          </cell>
          <cell r="L13">
            <v>63000</v>
          </cell>
          <cell r="N13">
            <v>12250</v>
          </cell>
          <cell r="O13">
            <v>5.833333333333333</v>
          </cell>
          <cell r="P13">
            <v>48300</v>
          </cell>
          <cell r="Q13">
            <v>111300</v>
          </cell>
          <cell r="R13">
            <v>99050</v>
          </cell>
          <cell r="S13">
            <v>20</v>
          </cell>
          <cell r="T13" t="str">
            <v>S</v>
          </cell>
          <cell r="U13">
            <v>0.31</v>
          </cell>
          <cell r="V13" t="str">
            <v>Riyadh Green Plastic Factory مصنع الرياض الاخضر للبلاستيك</v>
          </cell>
          <cell r="W13">
            <v>30705.5</v>
          </cell>
          <cell r="X13">
            <v>19530</v>
          </cell>
          <cell r="Z13" t="str">
            <v>PM-00041</v>
          </cell>
          <cell r="AA13" t="str">
            <v>كيس بلاستيك ضبابي نمق الكبير مقاس 60سم *35سم مع لاصق اغلاق Namq Large Foggy Plastic Bag 60cm*35cm</v>
          </cell>
          <cell r="AB13" t="str">
            <v>PM-00041</v>
          </cell>
          <cell r="AC13" t="str">
            <v>كيس بلاستيك ضبابي نمق الكبير مقاس 60سم *35سم مع لاصق اغلاق Namq Large Foggy Plastic Bag 60cm*35cm</v>
          </cell>
          <cell r="AD13">
            <v>0.31</v>
          </cell>
          <cell r="AE13" t="str">
            <v>Riyadh Green Plastic Factory مصنع الرياض الاخضر للبلاستيك</v>
          </cell>
        </row>
        <row r="14">
          <cell r="B14" t="str">
            <v>PM-00057</v>
          </cell>
          <cell r="C14" t="str">
            <v>كيس بلاستيك ضبابي نمق  لحامل الاكواب الثنائي  مقاس 30سم *33سم مع لاصق اغلاق Namq Small Foggy Plastic Bag 33cm*30cm</v>
          </cell>
          <cell r="D14" t="str">
            <v>كيس بلاستيك ضبابي نمق  لحامل الاكواب الثنائي  مقاس 30سم *33سم مع لاصق اغلاق Namq Small Foggy Plastic Bag 33cm*30cm</v>
          </cell>
          <cell r="E14" t="str">
            <v>✓</v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>
            <v>1</v>
          </cell>
          <cell r="L14">
            <v>250000</v>
          </cell>
          <cell r="N14">
            <v>80235</v>
          </cell>
          <cell r="O14">
            <v>9.6281999999999996</v>
          </cell>
          <cell r="P14">
            <v>191666.66666666669</v>
          </cell>
          <cell r="Q14">
            <v>441666.66666666669</v>
          </cell>
          <cell r="R14">
            <v>361431.66666666669</v>
          </cell>
          <cell r="S14">
            <v>20</v>
          </cell>
          <cell r="T14" t="str">
            <v>S</v>
          </cell>
          <cell r="U14">
            <v>0.14499999999999999</v>
          </cell>
          <cell r="V14" t="str">
            <v>Riyadh Green Plastic Factory مصنع الرياض الاخضر للبلاستيك</v>
          </cell>
          <cell r="W14">
            <v>52407.591666666667</v>
          </cell>
          <cell r="X14">
            <v>36250</v>
          </cell>
          <cell r="Z14" t="str">
            <v>PM-00057</v>
          </cell>
          <cell r="AA14" t="str">
            <v>كيس بلاستيك ضبابي نمق  لحامل الاكواب الثنائي  مقاس 30سم *33سم مع لاصق اغلاق Namq Small Foggy Plastic Bag 33cm*30cm</v>
          </cell>
          <cell r="AB14" t="str">
            <v>PM-00057</v>
          </cell>
          <cell r="AC14" t="str">
            <v>كيس بلاستيك ضبابي نمق  لحامل الاكواب الثنائي  مقاس 30سم *33سم مع لاصق اغلاق Namq Small Foggy Plastic Bag 33cm*30cm</v>
          </cell>
          <cell r="AD14">
            <v>0.14499999999999999</v>
          </cell>
          <cell r="AE14" t="str">
            <v>Riyadh Green Plastic Factory مصنع الرياض الاخضر للبلاستيك</v>
          </cell>
        </row>
        <row r="15">
          <cell r="B15" t="str">
            <v>PM-00565</v>
          </cell>
          <cell r="C15" t="str">
            <v>كيس ورقي مطبوع مقاس صغير نمق Small Printed Paper Bag</v>
          </cell>
          <cell r="D15" t="str">
            <v>كيس ورقي مطبوع مقاس صغير نمق Small Printed Paper Bag</v>
          </cell>
          <cell r="E15" t="str">
            <v>✓</v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>
            <v>1</v>
          </cell>
          <cell r="L15">
            <v>35000</v>
          </cell>
          <cell r="N15">
            <v>0</v>
          </cell>
          <cell r="O15">
            <v>0</v>
          </cell>
          <cell r="P15">
            <v>26833.333333333336</v>
          </cell>
          <cell r="Q15">
            <v>61833.333333333336</v>
          </cell>
          <cell r="R15">
            <v>61833.333333333336</v>
          </cell>
          <cell r="S15">
            <v>20</v>
          </cell>
          <cell r="T15" t="str">
            <v>S</v>
          </cell>
          <cell r="U15">
            <v>0.31</v>
          </cell>
          <cell r="V15" t="str">
            <v>GUANGZHOU MAIBAO PACKAGE CO. LTD</v>
          </cell>
          <cell r="W15">
            <v>19168.333333333336</v>
          </cell>
          <cell r="X15">
            <v>10850</v>
          </cell>
          <cell r="Z15" t="str">
            <v>PM-00565</v>
          </cell>
          <cell r="AA15" t="str">
            <v>كيس ورقي مطبوع مقاس صغير نمق Small Printed Paper Bag</v>
          </cell>
          <cell r="AB15" t="str">
            <v>PM-00565</v>
          </cell>
          <cell r="AC15" t="str">
            <v>كيس ورقي مطبوع مقاس صغير نمق Small Printed Paper Bag</v>
          </cell>
          <cell r="AD15">
            <v>1.0578799999999999</v>
          </cell>
          <cell r="AE15" t="str">
            <v>GUANGZHOU MAIBAO PACKAGE CO. LTD</v>
          </cell>
        </row>
        <row r="16">
          <cell r="B16" t="str">
            <v>PM-00611</v>
          </cell>
          <cell r="C16" t="str">
            <v>Coffee Day Box 1 Lt with cup holder | بوكس  قهوة اليوم 1 لتر  مع قاعدة اكواب</v>
          </cell>
          <cell r="D16" t="str">
            <v>Coffee Day Box 1 Lt with cup holder | بوكس  قهوة اليوم 1 لتر  مع قاعدة اكواب</v>
          </cell>
          <cell r="E16" t="str">
            <v>✓</v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>
            <v>1</v>
          </cell>
          <cell r="L16">
            <v>40000</v>
          </cell>
          <cell r="N16">
            <v>88200</v>
          </cell>
          <cell r="O16">
            <v>66.150000000000006</v>
          </cell>
          <cell r="P16">
            <v>30666.666666666668</v>
          </cell>
          <cell r="Q16">
            <v>70666.666666666672</v>
          </cell>
          <cell r="R16">
            <v>0</v>
          </cell>
          <cell r="S16">
            <v>20</v>
          </cell>
          <cell r="T16" t="str">
            <v>S</v>
          </cell>
          <cell r="U16">
            <v>1.1000000000000001</v>
          </cell>
          <cell r="V16" t="str">
            <v>Alpha Pack Packaging Company شركة ألفا باك للتغليف</v>
          </cell>
          <cell r="W16">
            <v>0</v>
          </cell>
          <cell r="X16">
            <v>44000</v>
          </cell>
          <cell r="Z16" t="str">
            <v>PM-00611</v>
          </cell>
          <cell r="AA16" t="str">
            <v>Coffee Day Box 1 Lt with cup holder | بوكس  قهوة اليوم 1 لتر  مع قاعدة اكواب</v>
          </cell>
          <cell r="AB16" t="str">
            <v>PM-00611</v>
          </cell>
          <cell r="AC16" t="str">
            <v>Coffee Day Box 1 Lt with cup holder | بوكس  قهوة اليوم 1 لتر  مع قاعدة اكواب</v>
          </cell>
          <cell r="AD16">
            <v>1.1499999999999999</v>
          </cell>
          <cell r="AE16" t="str">
            <v>شركة الماس باك للتغليف</v>
          </cell>
        </row>
        <row r="17">
          <cell r="B17" t="str">
            <v>PM-00012</v>
          </cell>
          <cell r="C17" t="str">
            <v>Aluminium coffee thermal bag 1 Ltr كيس حراري ألومنيوم للقهوة سعة 1 لتر</v>
          </cell>
          <cell r="D17" t="str">
            <v>Aluminium coffee thermal bag 1 Ltr كيس حراري ألومنيوم للقهوة سعة 1 لتر</v>
          </cell>
          <cell r="E17" t="str">
            <v>✓</v>
          </cell>
          <cell r="F17" t="str">
            <v>✓</v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>
            <v>2</v>
          </cell>
          <cell r="L17">
            <v>50000</v>
          </cell>
          <cell r="N17">
            <v>113800</v>
          </cell>
          <cell r="O17">
            <v>68.28</v>
          </cell>
          <cell r="P17">
            <v>38333.333333333336</v>
          </cell>
          <cell r="Q17">
            <v>88333.333333333343</v>
          </cell>
          <cell r="R17">
            <v>0</v>
          </cell>
          <cell r="S17">
            <v>20</v>
          </cell>
          <cell r="T17" t="str">
            <v>S</v>
          </cell>
          <cell r="U17">
            <v>1</v>
          </cell>
          <cell r="V17" t="str">
            <v>Alpha Pack Packaging Company شركة ألفا باك للتغليف</v>
          </cell>
          <cell r="W17">
            <v>0</v>
          </cell>
          <cell r="X17">
            <v>50000</v>
          </cell>
          <cell r="Z17" t="str">
            <v>PM-00012</v>
          </cell>
          <cell r="AA17" t="str">
            <v>Aluminium coffee thermal bag 1 Ltr كيس حراري ألومنيوم للقهوة سعة 1 لتر</v>
          </cell>
          <cell r="AB17" t="str">
            <v>PM-00012</v>
          </cell>
          <cell r="AC17" t="str">
            <v>Aluminium coffee thermal bag 1 Ltr كيس حراري ألومنيوم للقهوة سعة 1 لتر</v>
          </cell>
          <cell r="AD17">
            <v>1</v>
          </cell>
          <cell r="AE17" t="str">
            <v>Alpha Pack Packaging Company شركة ألفا باك للتغليف</v>
          </cell>
        </row>
        <row r="18">
          <cell r="B18" t="str">
            <v>PM-00253</v>
          </cell>
          <cell r="C18" t="str">
            <v>2 Oz Sauce Cup plasticعلبة صوص 2 اونصه بلاستيك</v>
          </cell>
          <cell r="D18" t="str">
            <v>2 Oz Sauce Cup plasticعلبة صوص 2 اونصه بلاستيك</v>
          </cell>
          <cell r="E18" t="str">
            <v>✓</v>
          </cell>
          <cell r="F18" t="str">
            <v>✓</v>
          </cell>
          <cell r="G18" t="str">
            <v/>
          </cell>
          <cell r="H18" t="str">
            <v>✓</v>
          </cell>
          <cell r="I18" t="str">
            <v/>
          </cell>
          <cell r="J18" t="str">
            <v/>
          </cell>
          <cell r="K18">
            <v>3</v>
          </cell>
          <cell r="L18">
            <v>130000</v>
          </cell>
          <cell r="N18">
            <v>571000</v>
          </cell>
          <cell r="O18">
            <v>131.76923076923077</v>
          </cell>
          <cell r="P18">
            <v>43333.333333333328</v>
          </cell>
          <cell r="Q18">
            <v>173333.33333333331</v>
          </cell>
          <cell r="R18">
            <v>0</v>
          </cell>
          <cell r="S18">
            <v>7</v>
          </cell>
          <cell r="T18" t="str">
            <v>A</v>
          </cell>
          <cell r="U18">
            <v>3.7499999999999999E-2</v>
          </cell>
          <cell r="V18" t="str">
            <v>شركة بوابة المبدعون للتجارة</v>
          </cell>
          <cell r="W18">
            <v>0</v>
          </cell>
          <cell r="X18">
            <v>4875</v>
          </cell>
          <cell r="Z18" t="str">
            <v>PM-00253</v>
          </cell>
          <cell r="AA18" t="str">
            <v xml:space="preserve">2 Oz Sauce Cup plasticعلبة صوص 2 اونصه بلاستيك </v>
          </cell>
          <cell r="AB18" t="str">
            <v>PM-00253</v>
          </cell>
          <cell r="AC18" t="str">
            <v>2 Oz Sauce Cup plasticعلبة صوص 2 اونصه بلاستيك</v>
          </cell>
          <cell r="AD18">
            <v>0.04</v>
          </cell>
          <cell r="AE18" t="str">
            <v>مؤسسة دخيل دخيل الله الحمراني</v>
          </cell>
        </row>
        <row r="19">
          <cell r="B19" t="str">
            <v>PM-00254</v>
          </cell>
          <cell r="C19" t="str">
            <v>2 Oz Sauce Lid plasticاغطية علبة صوص 2 اونصه بلاستيك</v>
          </cell>
          <cell r="D19" t="str">
            <v>2 Oz Sauce Lid plasticاغطية علبة صوص 2 اونصه بلاستيك</v>
          </cell>
          <cell r="E19" t="str">
            <v>✓</v>
          </cell>
          <cell r="F19" t="str">
            <v/>
          </cell>
          <cell r="G19" t="str">
            <v/>
          </cell>
          <cell r="H19" t="str">
            <v>✓</v>
          </cell>
          <cell r="I19" t="str">
            <v/>
          </cell>
          <cell r="J19" t="str">
            <v/>
          </cell>
          <cell r="K19">
            <v>2</v>
          </cell>
          <cell r="L19">
            <v>20000</v>
          </cell>
          <cell r="N19">
            <v>647000</v>
          </cell>
          <cell r="O19">
            <v>970.5</v>
          </cell>
          <cell r="P19">
            <v>6666.6666666666661</v>
          </cell>
          <cell r="Q19">
            <v>26666.666666666664</v>
          </cell>
          <cell r="R19">
            <v>0</v>
          </cell>
          <cell r="S19">
            <v>7</v>
          </cell>
          <cell r="T19" t="str">
            <v>B</v>
          </cell>
          <cell r="U19">
            <v>3.7499999999999999E-2</v>
          </cell>
          <cell r="V19" t="str">
            <v>شركة بوابة المبدعون للتجارة</v>
          </cell>
          <cell r="W19">
            <v>0</v>
          </cell>
          <cell r="X19">
            <v>750</v>
          </cell>
          <cell r="Z19" t="str">
            <v>PM-00254</v>
          </cell>
          <cell r="AA19" t="str">
            <v xml:space="preserve">2 Oz Sauce Lid plasticاغطية علبة صوص 2 اونصه بلاستيك </v>
          </cell>
          <cell r="AB19" t="str">
            <v>PM-00254</v>
          </cell>
          <cell r="AC19" t="str">
            <v>2 Oz Sauce Lid plasticاغطية علبة صوص 2 اونصه بلاستيك</v>
          </cell>
          <cell r="AD19">
            <v>3.7499999999999999E-2</v>
          </cell>
          <cell r="AE19" t="str">
            <v>شركة بوابة المبدعون للتجارة</v>
          </cell>
        </row>
        <row r="20">
          <cell r="B20" t="str">
            <v>PM-00251</v>
          </cell>
          <cell r="C20" t="str">
            <v xml:space="preserve">4 Oz Sauce Cup plasticعلبة صوص 4 اونصه بلاستيك </v>
          </cell>
          <cell r="D20" t="str">
            <v>4 Oz Sauce Cup plasticعلبة صوص 4 اونصه بلاستيك</v>
          </cell>
          <cell r="E20" t="str">
            <v>✓</v>
          </cell>
          <cell r="F20" t="str">
            <v>✓</v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>
            <v>2</v>
          </cell>
          <cell r="L20">
            <v>220000</v>
          </cell>
          <cell r="N20">
            <v>128500</v>
          </cell>
          <cell r="O20">
            <v>17.522727272727273</v>
          </cell>
          <cell r="P20">
            <v>73333.333333333328</v>
          </cell>
          <cell r="Q20">
            <v>293333.33333333331</v>
          </cell>
          <cell r="R20">
            <v>164833.33333333331</v>
          </cell>
          <cell r="S20">
            <v>7</v>
          </cell>
          <cell r="T20" t="str">
            <v>A</v>
          </cell>
          <cell r="U20">
            <v>8.5000000000000006E-2</v>
          </cell>
          <cell r="V20" t="str">
            <v>Abdulqader Mohammed Jilani Trading Est "JAWAD" مؤسسة عبد القادر محمد جیلاني للتجارة (جواد)</v>
          </cell>
          <cell r="W20">
            <v>14010.833333333332</v>
          </cell>
          <cell r="X20">
            <v>18700</v>
          </cell>
          <cell r="Z20" t="str">
            <v>PM-00251</v>
          </cell>
          <cell r="AA20" t="str">
            <v xml:space="preserve">4 Oz Sauce Cup plasticعلبة صوص 4 اونصه بلاستيك </v>
          </cell>
          <cell r="AB20" t="str">
            <v>PM-00251</v>
          </cell>
          <cell r="AC20" t="str">
            <v xml:space="preserve">4 Oz Sauce Cup plasticعلبة صوص 4 اونصه بلاستيك </v>
          </cell>
          <cell r="AD20">
            <v>0.1</v>
          </cell>
          <cell r="AE20" t="str">
            <v>Protea Trading Co. شركة بروتيا للتجارة</v>
          </cell>
        </row>
        <row r="21">
          <cell r="B21" t="str">
            <v>PM-00252</v>
          </cell>
          <cell r="C21" t="str">
            <v xml:space="preserve">4 Oz Sauce Lid plasticاغطية علبة صوص 4 اونصه بلاستيك </v>
          </cell>
          <cell r="D21" t="str">
            <v>4 Oz Sauce Lid plasticاغطية علبة صوص 4 اونصه بلاستيك</v>
          </cell>
          <cell r="E21" t="str">
            <v>✓</v>
          </cell>
          <cell r="F21" t="str">
            <v>✓</v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>
            <v>2</v>
          </cell>
          <cell r="L21">
            <v>30000</v>
          </cell>
          <cell r="N21">
            <v>204500</v>
          </cell>
          <cell r="O21">
            <v>204.5</v>
          </cell>
          <cell r="P21">
            <v>10000</v>
          </cell>
          <cell r="Q21">
            <v>40000</v>
          </cell>
          <cell r="R21">
            <v>0</v>
          </cell>
          <cell r="S21">
            <v>7</v>
          </cell>
          <cell r="T21" t="str">
            <v>B</v>
          </cell>
          <cell r="U21">
            <v>8.5000000000000006E-2</v>
          </cell>
          <cell r="V21" t="str">
            <v>Abdulqader Mohammed Jilani Trading Est "JAWAD" مؤسسة عبد القادر محمد جیلاني للتجارة (جواد)</v>
          </cell>
          <cell r="W21">
            <v>0</v>
          </cell>
          <cell r="X21">
            <v>2550</v>
          </cell>
          <cell r="Z21" t="str">
            <v>PM-00252</v>
          </cell>
          <cell r="AA21" t="str">
            <v xml:space="preserve">4 Oz Sauce Lid plasticاغطية علبة صوص 4 اونصه بلاستيك </v>
          </cell>
          <cell r="AB21" t="str">
            <v>PM-00252</v>
          </cell>
          <cell r="AC21" t="str">
            <v xml:space="preserve">4 Oz Sauce Lid plasticاغطية علبة صوص 4 اونصه بلاستيك </v>
          </cell>
          <cell r="AD21">
            <v>8.5000000000000006E-2</v>
          </cell>
          <cell r="AE21" t="str">
            <v>Abdulqader Mohammed Jilani Trading Est "JAWAD" مؤسسة عبد القادر محمد جیلاني للتجارة (جواد)</v>
          </cell>
        </row>
        <row r="22">
          <cell r="B22" t="str">
            <v>PM-00562</v>
          </cell>
          <cell r="C22" t="str">
            <v>4 oz Double Wall Paper Cup كوب ورقي 4 اونص دبل نمق</v>
          </cell>
          <cell r="D22" t="str">
            <v>4 oz Double Wall Paper Cup كوب ورقي 4 اونص دبل نمق</v>
          </cell>
          <cell r="E22" t="str">
            <v>✓</v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>
            <v>1</v>
          </cell>
          <cell r="L22">
            <v>30000</v>
          </cell>
          <cell r="N22">
            <v>0</v>
          </cell>
          <cell r="O22">
            <v>0</v>
          </cell>
          <cell r="P22">
            <v>108000</v>
          </cell>
          <cell r="Q22">
            <v>138000</v>
          </cell>
          <cell r="R22">
            <v>138000</v>
          </cell>
          <cell r="S22">
            <v>105</v>
          </cell>
          <cell r="T22" t="str">
            <v>S</v>
          </cell>
          <cell r="U22">
            <v>3.7999999999999999E-2</v>
          </cell>
          <cell r="V22" t="str">
            <v>GUANGZHOU MAIBAO PACKAGE CO. LTD</v>
          </cell>
          <cell r="W22">
            <v>5244</v>
          </cell>
          <cell r="X22">
            <v>1140</v>
          </cell>
          <cell r="Z22" t="str">
            <v>PM-00562</v>
          </cell>
          <cell r="AA22" t="str">
            <v>4 oz Double Wall Paper Cup كوب ورقي 4 اونص دبل نمق</v>
          </cell>
          <cell r="AB22" t="str">
            <v>PM-00562</v>
          </cell>
          <cell r="AC22" t="str">
            <v>4 oz Double Wall Paper Cup كوب ورقي 4 اونص دبل نمق</v>
          </cell>
          <cell r="AD22">
            <v>0.12967999999999999</v>
          </cell>
          <cell r="AE22" t="str">
            <v>GUANGZHOU MAIBAO PACKAGE CO. LTD</v>
          </cell>
        </row>
        <row r="23">
          <cell r="B23" t="str">
            <v>PM-00177</v>
          </cell>
          <cell r="C23" t="str">
            <v>Main Paper cup 7 Oz كوب ورقي 7 اونصه تصميم اساسي</v>
          </cell>
          <cell r="D23" t="str">
            <v>Main Paper cup 7 Oz كوب ورقي 7 اونصه تصميم اساسي</v>
          </cell>
          <cell r="E23" t="str">
            <v>✓</v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>✓</v>
          </cell>
          <cell r="K23">
            <v>2</v>
          </cell>
          <cell r="L23">
            <v>50000</v>
          </cell>
          <cell r="N23">
            <v>191000</v>
          </cell>
          <cell r="O23">
            <v>114.6</v>
          </cell>
          <cell r="P23">
            <v>180000</v>
          </cell>
          <cell r="Q23">
            <v>230000</v>
          </cell>
          <cell r="R23">
            <v>39000</v>
          </cell>
          <cell r="S23">
            <v>105</v>
          </cell>
          <cell r="T23" t="str">
            <v>S</v>
          </cell>
          <cell r="U23">
            <v>4.2500000000000003E-2</v>
          </cell>
          <cell r="V23" t="str">
            <v>GUANGZHOU MAIBAO PACKAGE CO. LTD</v>
          </cell>
          <cell r="W23">
            <v>1657.5000000000002</v>
          </cell>
          <cell r="X23">
            <v>2125</v>
          </cell>
          <cell r="Z23" t="str">
            <v>PM-00177</v>
          </cell>
          <cell r="AA23" t="str">
            <v>Main Paper cup 7 Oz كوب ورقي 7 اونصه تصميم اساسي</v>
          </cell>
          <cell r="AB23" t="str">
            <v>PM-00177</v>
          </cell>
          <cell r="AC23" t="str">
            <v>Main Paper cup 7 Oz كوب ورقي 7 اونصه تصميم اساسي</v>
          </cell>
          <cell r="AD23">
            <v>0.14505000000000001</v>
          </cell>
          <cell r="AE23" t="str">
            <v>GUANGZHOU MAIBAO PACKAGE CO. LTD</v>
          </cell>
        </row>
        <row r="24">
          <cell r="B24" t="str">
            <v>PM-00573</v>
          </cell>
          <cell r="C24" t="str">
            <v>Paper Cup 8 oz, Doubleكوب ورقي 8 اونص دبل (نمق)</v>
          </cell>
          <cell r="D24" t="str">
            <v>Paper Cup 8 oz, Doubleكوب ورقي 8 اونص دبل (نمق)</v>
          </cell>
          <cell r="E24" t="str">
            <v>✓</v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>
            <v>1</v>
          </cell>
          <cell r="L24">
            <v>430000</v>
          </cell>
          <cell r="N24">
            <v>1025000</v>
          </cell>
          <cell r="O24">
            <v>71.511627906976742</v>
          </cell>
          <cell r="P24">
            <v>473000.00000000006</v>
          </cell>
          <cell r="Q24">
            <v>903000</v>
          </cell>
          <cell r="R24">
            <v>0</v>
          </cell>
          <cell r="S24">
            <v>30</v>
          </cell>
          <cell r="T24" t="str">
            <v>S</v>
          </cell>
          <cell r="U24">
            <v>0.16994999999999999</v>
          </cell>
          <cell r="V24" t="str">
            <v>GUANGZHOU MAIBAO PACKAGE CO. LTD</v>
          </cell>
          <cell r="W24">
            <v>0</v>
          </cell>
          <cell r="X24">
            <v>73078.5</v>
          </cell>
          <cell r="Z24" t="str">
            <v>PM-00573</v>
          </cell>
          <cell r="AA24" t="str">
            <v>Paper Cup 8 oz, Doubleكوب ورقي 8 اونص دبل (نمق)</v>
          </cell>
          <cell r="AB24" t="str">
            <v>PM-00573</v>
          </cell>
          <cell r="AC24" t="str">
            <v>Paper Cup 8 oz, Doubleكوب ورقي 8 اونص دبل (نمق)</v>
          </cell>
          <cell r="AD24">
            <v>0.16994999999999999</v>
          </cell>
          <cell r="AE24" t="str">
            <v>GUANGZHOU MAIBAO PACKAGE CO. LTD</v>
          </cell>
        </row>
        <row r="25">
          <cell r="B25" t="str">
            <v>PM-00179</v>
          </cell>
          <cell r="C25" t="str">
            <v>Main Paper cup 12 Oz كوب ورقي 12 اونصه تصميم اساسي</v>
          </cell>
          <cell r="D25" t="str">
            <v>Main Paper cup 12 Oz كوب ورقي 12 اونصه تصميم اساسي</v>
          </cell>
          <cell r="E25" t="str">
            <v>✓</v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>
            <v>1</v>
          </cell>
          <cell r="L25">
            <v>430000</v>
          </cell>
          <cell r="N25">
            <v>640280</v>
          </cell>
          <cell r="O25">
            <v>44.670697674418605</v>
          </cell>
          <cell r="P25">
            <v>1548000</v>
          </cell>
          <cell r="Q25">
            <v>1978000</v>
          </cell>
          <cell r="R25">
            <v>1337720</v>
          </cell>
          <cell r="S25">
            <v>105</v>
          </cell>
          <cell r="T25" t="str">
            <v>S</v>
          </cell>
          <cell r="U25">
            <v>0.18490000000000001</v>
          </cell>
          <cell r="V25" t="str">
            <v>GUANGZHOU MAIBAO PACKAGE CO. LTD</v>
          </cell>
          <cell r="W25">
            <v>247344.42800000001</v>
          </cell>
          <cell r="X25">
            <v>79507</v>
          </cell>
          <cell r="Z25" t="str">
            <v>PM-00179</v>
          </cell>
          <cell r="AA25" t="str">
            <v>Main Paper cup 12 Oz كوب ورقي 12 اونصه تصميم اساسي</v>
          </cell>
          <cell r="AB25" t="str">
            <v>PM-00179</v>
          </cell>
          <cell r="AC25" t="str">
            <v>Main Paper cup 12 Oz كوب ورقي 12 اونصه تصميم اساسي</v>
          </cell>
          <cell r="AD25">
            <v>0.18490000000000001</v>
          </cell>
          <cell r="AE25" t="str">
            <v>GUANGZHOU MAIBAO PACKAGE CO. LTD</v>
          </cell>
        </row>
        <row r="26">
          <cell r="B26" t="str">
            <v>PM-00291</v>
          </cell>
          <cell r="C26" t="str">
            <v>Lids Cups Wide NAMQ with stick اغطية اكواب القهوة فتحة واسعة - نمق</v>
          </cell>
          <cell r="D26" t="str">
            <v>ids Cups Wide NAMQ with stick اغطية اكواب القهوة فتحة واسعة - نمق</v>
          </cell>
          <cell r="E26" t="str">
            <v/>
          </cell>
          <cell r="F26" t="str">
            <v/>
          </cell>
          <cell r="G26" t="str">
            <v>✓</v>
          </cell>
          <cell r="H26" t="str">
            <v/>
          </cell>
          <cell r="I26" t="str">
            <v/>
          </cell>
          <cell r="J26" t="str">
            <v/>
          </cell>
          <cell r="K26">
            <v>1</v>
          </cell>
          <cell r="L26">
            <v>490000</v>
          </cell>
          <cell r="M26" t="str">
            <v>Adj</v>
          </cell>
          <cell r="N26">
            <v>39500</v>
          </cell>
          <cell r="O26">
            <v>2.4183673469387754</v>
          </cell>
          <cell r="P26">
            <v>1764000</v>
          </cell>
          <cell r="Q26">
            <v>2254000</v>
          </cell>
          <cell r="R26">
            <v>2214500</v>
          </cell>
          <cell r="S26">
            <v>105</v>
          </cell>
          <cell r="T26" t="str">
            <v>S</v>
          </cell>
          <cell r="U26">
            <v>3.0499999999999999E-2</v>
          </cell>
          <cell r="V26" t="str">
            <v>GUANGZHOU MAIBAO PACKAGE CO. LTD</v>
          </cell>
          <cell r="W26">
            <v>67542.25</v>
          </cell>
          <cell r="X26">
            <v>14945</v>
          </cell>
          <cell r="Z26" t="str">
            <v>PM-00320</v>
          </cell>
          <cell r="AA26" t="str">
            <v>Lids Cups Wide NAMQ with stick اغطية اكواب القهوة فتحة واسعة - نمق</v>
          </cell>
          <cell r="AB26" t="str">
            <v>PM-00291</v>
          </cell>
          <cell r="AC26" t="str">
            <v>Lids Cups Wide NAMQ with stick اغطية اكواب القهوة فتحة واسعة - نمق</v>
          </cell>
          <cell r="AD26">
            <v>0.1041</v>
          </cell>
          <cell r="AE26" t="str">
            <v>GUANGZHOU MAIBAO PACKAGE CO. LTD</v>
          </cell>
        </row>
        <row r="27">
          <cell r="B27" t="str">
            <v>PM-00579</v>
          </cell>
          <cell r="C27" t="str">
            <v>Lid Paper Cup  80ml - اغطية الاكواب الورقية مقاس 80 ملي</v>
          </cell>
          <cell r="D27" t="str">
            <v>Lid Paper Cup  80ml - اغطية الاكواب الورقية مقاس 80 ملي</v>
          </cell>
          <cell r="E27" t="str">
            <v>✓</v>
          </cell>
          <cell r="F27" t="str">
            <v/>
          </cell>
          <cell r="G27" t="str">
            <v>✓</v>
          </cell>
          <cell r="H27" t="str">
            <v/>
          </cell>
          <cell r="I27" t="str">
            <v/>
          </cell>
          <cell r="J27" t="str">
            <v/>
          </cell>
          <cell r="K27">
            <v>2</v>
          </cell>
          <cell r="L27">
            <v>310000</v>
          </cell>
          <cell r="N27">
            <v>808000</v>
          </cell>
          <cell r="O27">
            <v>78.193548387096769</v>
          </cell>
          <cell r="P27">
            <v>1116000</v>
          </cell>
          <cell r="Q27">
            <v>1426000</v>
          </cell>
          <cell r="R27">
            <v>618000</v>
          </cell>
          <cell r="S27">
            <v>105</v>
          </cell>
          <cell r="T27" t="str">
            <v>S</v>
          </cell>
          <cell r="U27">
            <v>2.8500000000000001E-2</v>
          </cell>
          <cell r="V27" t="str">
            <v>GUANGZHOU MAIBAO PACKAGE CO. LTD</v>
          </cell>
          <cell r="W27">
            <v>17613</v>
          </cell>
          <cell r="X27">
            <v>8835</v>
          </cell>
          <cell r="Z27" t="str">
            <v>PM-00579</v>
          </cell>
          <cell r="AA27" t="str">
            <v>Lid Paper Cup  80ml - اغطية الاكواب الورقية مقاس 80 ملي</v>
          </cell>
          <cell r="AB27" t="str">
            <v>PM-00579</v>
          </cell>
          <cell r="AC27" t="str">
            <v>Lid Paper Cup  80ml - اغطية الاكواب الورقية مقاس 80 ملي</v>
          </cell>
          <cell r="AD27">
            <v>9.7280000000000005E-2</v>
          </cell>
          <cell r="AE27" t="str">
            <v>GUANGZHOU MAIBAO PACKAGE CO. LTD</v>
          </cell>
        </row>
        <row r="28">
          <cell r="B28" t="str">
            <v>PM-00224</v>
          </cell>
          <cell r="C28" t="str">
            <v>Lid 7oz غطاء كاسة قهوة نمق 7 اونصه</v>
          </cell>
          <cell r="D28" t="str">
            <v>Lid 7oz غطاء كاسة قهوة نمق 7 اونصه</v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>
            <v>0</v>
          </cell>
          <cell r="L28">
            <v>22000</v>
          </cell>
          <cell r="M28" t="str">
            <v>Adj</v>
          </cell>
          <cell r="N28">
            <v>152000</v>
          </cell>
          <cell r="O28">
            <v>207.27272727272728</v>
          </cell>
          <cell r="P28">
            <v>79200</v>
          </cell>
          <cell r="Q28">
            <v>101200</v>
          </cell>
          <cell r="R28">
            <v>0</v>
          </cell>
          <cell r="S28">
            <v>105</v>
          </cell>
          <cell r="T28" t="str">
            <v>A</v>
          </cell>
          <cell r="U28">
            <v>1.0800000000000001E-2</v>
          </cell>
          <cell r="V28" t="str">
            <v>GUANGZHOU MAIBAO PACKAGE CO. LTD</v>
          </cell>
          <cell r="W28">
            <v>0</v>
          </cell>
          <cell r="X28">
            <v>237.60000000000002</v>
          </cell>
          <cell r="Z28" t="str">
            <v>PM-00151</v>
          </cell>
          <cell r="AA28" t="str">
            <v>كوب ورقي 9 اونصه تصميم موسم الصيف ( بريهانت ) (BREEHANT) Summer Season Paper cup Double 9 Oz</v>
          </cell>
          <cell r="AB28" t="str">
            <v>PM-00224</v>
          </cell>
          <cell r="AC28" t="str">
            <v>Lid 7oz غطاء كاسة قهوة نمق 7 اونصه</v>
          </cell>
          <cell r="AD28">
            <v>3.6859999999999997E-2</v>
          </cell>
          <cell r="AE28" t="str">
            <v>GUANGZHOU MAIBAO PACKAGE CO. LTD</v>
          </cell>
        </row>
        <row r="29">
          <cell r="B29" t="str">
            <v>PM-00149</v>
          </cell>
          <cell r="C29" t="str">
            <v>Lid 4 oz غطاء كاسة قهوة نمق 4 اونصه</v>
          </cell>
          <cell r="D29" t="str">
            <v>Lid 4 oz غطاء كاسة قهوة نمق 4 اونصه</v>
          </cell>
          <cell r="E29" t="str">
            <v>✓</v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>
            <v>1</v>
          </cell>
          <cell r="L29">
            <v>11000</v>
          </cell>
          <cell r="N29">
            <v>126000</v>
          </cell>
          <cell r="O29">
            <v>343.63636363636363</v>
          </cell>
          <cell r="P29">
            <v>39600</v>
          </cell>
          <cell r="Q29">
            <v>50600</v>
          </cell>
          <cell r="R29">
            <v>0</v>
          </cell>
          <cell r="S29">
            <v>105</v>
          </cell>
          <cell r="T29" t="str">
            <v>A</v>
          </cell>
          <cell r="U29">
            <v>4.4999999999999998E-2</v>
          </cell>
          <cell r="V29" t="str">
            <v>مصنع الكوب الذهبي للمنتجات الورقية</v>
          </cell>
          <cell r="W29">
            <v>0</v>
          </cell>
          <cell r="X29">
            <v>495</v>
          </cell>
          <cell r="Z29" t="str">
            <v>PM-00149</v>
          </cell>
          <cell r="AA29" t="str">
            <v>Lid 4 oz غطاء كاسة قهوة نمق 4 اونصه</v>
          </cell>
          <cell r="AB29" t="str">
            <v>PM-00149</v>
          </cell>
          <cell r="AC29" t="str">
            <v>Lid 4 oz غطاء كاسة قهوة نمق 4 اونصه</v>
          </cell>
          <cell r="AD29">
            <v>3.2779999999999997E-2</v>
          </cell>
          <cell r="AE29" t="str">
            <v>GUANGZHOU MAIBAO PACKAGE CO. LTD</v>
          </cell>
        </row>
        <row r="30">
          <cell r="B30" t="str">
            <v>PM-00197</v>
          </cell>
          <cell r="C30" t="str">
            <v>Plastic cup Full Printed 14oz كوب بلاستيك مطبوعه 14 اونصه</v>
          </cell>
          <cell r="D30" t="str">
            <v>Plastic cup Full Printed 14oz كوب بلاستيك مطبوعه 14 اونصه</v>
          </cell>
          <cell r="E30" t="str">
            <v>✓</v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>
            <v>1</v>
          </cell>
          <cell r="L30">
            <v>90000</v>
          </cell>
          <cell r="N30">
            <v>0</v>
          </cell>
          <cell r="O30">
            <v>0</v>
          </cell>
          <cell r="P30">
            <v>324000</v>
          </cell>
          <cell r="Q30">
            <v>414000</v>
          </cell>
          <cell r="R30">
            <v>414000</v>
          </cell>
          <cell r="S30">
            <v>105</v>
          </cell>
          <cell r="T30" t="str">
            <v>S</v>
          </cell>
          <cell r="U30">
            <v>6.1600000000000002E-2</v>
          </cell>
          <cell r="V30" t="str">
            <v>GUANGZHOU MAIBAO PACKAGE CO. LTD</v>
          </cell>
          <cell r="W30">
            <v>25502.400000000001</v>
          </cell>
          <cell r="X30">
            <v>5544</v>
          </cell>
          <cell r="Z30" t="str">
            <v>PM-00197</v>
          </cell>
          <cell r="AA30" t="str">
            <v>Plastic cup Full Printed 14oz كوب بلاستيك مطبوعه 14 اونصه</v>
          </cell>
          <cell r="AB30" t="str">
            <v>PM-00197</v>
          </cell>
          <cell r="AC30" t="str">
            <v>Plastic cup Full Printed 14oz كوب بلاستيك مطبوعه 14 اونصه</v>
          </cell>
          <cell r="AD30">
            <v>0.21023</v>
          </cell>
          <cell r="AE30" t="str">
            <v>GUANGZHOU MAIBAO PACKAGE CO. LTD</v>
          </cell>
        </row>
        <row r="31">
          <cell r="B31" t="str">
            <v>PM-00198</v>
          </cell>
          <cell r="C31" t="str">
            <v>Lid 14 oz cold غطاء كاسة نمق14اونصه البارده</v>
          </cell>
          <cell r="D31" t="str">
            <v>Lid 14 oz cold غطاء كاسة نمق14اونصه البارده</v>
          </cell>
          <cell r="E31" t="str">
            <v>✓</v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>
            <v>1</v>
          </cell>
          <cell r="L31">
            <v>70000</v>
          </cell>
          <cell r="N31">
            <v>190000</v>
          </cell>
          <cell r="O31">
            <v>81.428571428571431</v>
          </cell>
          <cell r="P31">
            <v>252000</v>
          </cell>
          <cell r="Q31">
            <v>322000</v>
          </cell>
          <cell r="R31">
            <v>132000</v>
          </cell>
          <cell r="S31">
            <v>105</v>
          </cell>
          <cell r="T31" t="str">
            <v>S</v>
          </cell>
          <cell r="U31">
            <v>0.02</v>
          </cell>
          <cell r="V31" t="str">
            <v>GUANGZHOU MAIBAO PACKAGE CO. LTD</v>
          </cell>
          <cell r="W31">
            <v>2640</v>
          </cell>
          <cell r="X31">
            <v>1400</v>
          </cell>
          <cell r="Z31" t="str">
            <v>PM-00198</v>
          </cell>
          <cell r="AA31" t="str">
            <v>Lid 14 oz cold غطاء كاسة نمق14اونصه البارده</v>
          </cell>
          <cell r="AB31" t="str">
            <v>PM-00198</v>
          </cell>
          <cell r="AC31" t="str">
            <v>Lid 14 oz cold غطاء كاسة نمق14اونصه البارده</v>
          </cell>
          <cell r="AD31">
            <v>6.8250000000000005E-2</v>
          </cell>
          <cell r="AE31" t="str">
            <v>GUANGZHOU MAIBAO PACKAGE CO. LTD</v>
          </cell>
        </row>
        <row r="32">
          <cell r="B32" t="str">
            <v>PM-00345</v>
          </cell>
          <cell r="C32" t="str">
            <v>Rap paper for paper cupsورق زبدة دائري 12 سم للاكواب الورقيه</v>
          </cell>
          <cell r="D32" t="str">
            <v>Rap paper for paper cupsورق زبدة دائري 12 سم للاكواب الورقيه</v>
          </cell>
          <cell r="E32" t="str">
            <v>✓</v>
          </cell>
          <cell r="F32" t="str">
            <v>✓</v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>
            <v>2</v>
          </cell>
          <cell r="L32">
            <v>200000</v>
          </cell>
          <cell r="N32">
            <v>567500</v>
          </cell>
          <cell r="O32">
            <v>85.125</v>
          </cell>
          <cell r="P32">
            <v>66666.666666666657</v>
          </cell>
          <cell r="Q32">
            <v>266666.66666666663</v>
          </cell>
          <cell r="R32">
            <v>0</v>
          </cell>
          <cell r="S32">
            <v>7</v>
          </cell>
          <cell r="T32" t="str">
            <v>S</v>
          </cell>
          <cell r="U32">
            <v>0.03</v>
          </cell>
          <cell r="V32" t="str">
            <v>شركة مطابع الأمل الحديثة</v>
          </cell>
          <cell r="W32">
            <v>0</v>
          </cell>
          <cell r="X32">
            <v>6000</v>
          </cell>
          <cell r="Z32" t="str">
            <v>PM-00345</v>
          </cell>
          <cell r="AA32" t="str">
            <v>Rap paper for paper cupsورق زبدة دائري 12 سم للاكواب الورقيه</v>
          </cell>
          <cell r="AB32" t="str">
            <v>PM-00345</v>
          </cell>
          <cell r="AC32" t="str">
            <v>No match found</v>
          </cell>
          <cell r="AD32">
            <v>2.5999999999999999E-2</v>
          </cell>
          <cell r="AE32" t="str">
            <v>شركة مطابع الأمل الحديثة</v>
          </cell>
        </row>
        <row r="33">
          <cell r="B33" t="str">
            <v>PM-00664</v>
          </cell>
          <cell r="C33" t="str">
            <v>ورق زبدة دائري 12 سم | round butter paper 12 sm</v>
          </cell>
          <cell r="D33" t="str">
            <v>ورق زبدة دائري 12 سم | round butter paper 12 sm</v>
          </cell>
          <cell r="E33" t="str">
            <v>✓</v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>
            <v>1</v>
          </cell>
          <cell r="L33">
            <v>200000</v>
          </cell>
          <cell r="N33">
            <v>120000</v>
          </cell>
          <cell r="O33">
            <v>18</v>
          </cell>
          <cell r="P33">
            <v>66666.666666666657</v>
          </cell>
          <cell r="Q33">
            <v>266666.66666666663</v>
          </cell>
          <cell r="R33">
            <v>146666.66666666663</v>
          </cell>
          <cell r="S33">
            <v>7</v>
          </cell>
          <cell r="T33" t="str">
            <v>S</v>
          </cell>
          <cell r="U33">
            <v>2.92E-2</v>
          </cell>
          <cell r="V33" t="str">
            <v>مطابع عبدالمجيد عبدلله الفارس للطباعة</v>
          </cell>
          <cell r="W33">
            <v>4282.6666666666652</v>
          </cell>
          <cell r="X33">
            <v>5840</v>
          </cell>
          <cell r="Y33" t="str">
            <v>الصحن المحلي نمق</v>
          </cell>
          <cell r="Z33" t="str">
            <v>PM-00664</v>
          </cell>
          <cell r="AA33" t="str">
            <v>ورق زبدة دائري 12 سم | round butter paper 12 sm</v>
          </cell>
          <cell r="AB33" t="str">
            <v>PM-00664</v>
          </cell>
          <cell r="AC33" t="str">
            <v>ورق زبدة دائري 12 سم | round butter paper 12 sm</v>
          </cell>
          <cell r="AD33">
            <v>2.92E-2</v>
          </cell>
          <cell r="AE33" t="str">
            <v>مطابع عبدالمجيد عبدلله الفارس للطباعة</v>
          </cell>
        </row>
        <row r="34">
          <cell r="B34" t="str">
            <v>PM-00262</v>
          </cell>
          <cell r="C34" t="str">
            <v>Glass Bottle (Ice Tea &amp; Cold brew ) 200 mlعلبة زجاجية 200 مل ايس تي ، كولد برو</v>
          </cell>
          <cell r="D34" t="str">
            <v>Glass Bottle (Ice Tea &amp; Cold brew ) 200 mlعلبة زجاجية 200 مل ايس تي ، كولد برو</v>
          </cell>
          <cell r="E34" t="str">
            <v>✓</v>
          </cell>
          <cell r="F34" t="str">
            <v>✓</v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>
            <v>2</v>
          </cell>
          <cell r="L34">
            <v>40000</v>
          </cell>
          <cell r="N34">
            <v>73960</v>
          </cell>
          <cell r="O34">
            <v>55.47</v>
          </cell>
          <cell r="P34">
            <v>22666.666666666668</v>
          </cell>
          <cell r="Q34">
            <v>62666.666666666672</v>
          </cell>
          <cell r="R34">
            <v>0</v>
          </cell>
          <cell r="S34">
            <v>14</v>
          </cell>
          <cell r="T34" t="str">
            <v>A</v>
          </cell>
          <cell r="U34">
            <v>2.0289799999999998</v>
          </cell>
          <cell r="V34" t="str">
            <v>مؤسسة حسين القطان للتجارة</v>
          </cell>
          <cell r="W34">
            <v>0</v>
          </cell>
          <cell r="X34">
            <v>81159.199999999997</v>
          </cell>
          <cell r="Z34" t="str">
            <v>PM-00262</v>
          </cell>
          <cell r="AA34" t="str">
            <v xml:space="preserve">Glass Bottle (Ice Tea &amp; Cold brew ) 200 mlعلبة زجاجية 200 مل ايس تي ، كولد برو </v>
          </cell>
          <cell r="AB34" t="str">
            <v>PM-00262</v>
          </cell>
          <cell r="AC34" t="str">
            <v>Glass Bottle (Ice Tea &amp; Cold brew ) 200 mlعلبة زجاجية 200 مل ايس تي ، كولد برو</v>
          </cell>
          <cell r="AD34">
            <v>2.0289799999999998</v>
          </cell>
          <cell r="AE34" t="str">
            <v>مؤسسة حسين القطان للتجارة</v>
          </cell>
        </row>
        <row r="35">
          <cell r="B35" t="str">
            <v>PM-00239</v>
          </cell>
          <cell r="C35" t="str">
            <v>FETCO Paper Filter فلتر ورقي لمكائن فتكو</v>
          </cell>
          <cell r="D35" t="str">
            <v>FETCO Paper Filter فلتر ورقي لمكائن فتكو</v>
          </cell>
          <cell r="E35" t="str">
            <v>✓</v>
          </cell>
          <cell r="F35" t="str">
            <v>✓</v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>
            <v>2</v>
          </cell>
          <cell r="L35">
            <v>150000</v>
          </cell>
          <cell r="N35">
            <v>229500</v>
          </cell>
          <cell r="O35">
            <v>45.9</v>
          </cell>
          <cell r="P35">
            <v>50000</v>
          </cell>
          <cell r="Q35">
            <v>200000</v>
          </cell>
          <cell r="R35">
            <v>0</v>
          </cell>
          <cell r="S35">
            <v>7</v>
          </cell>
          <cell r="T35" t="str">
            <v>S</v>
          </cell>
          <cell r="U35">
            <v>0.38</v>
          </cell>
          <cell r="V35" t="str">
            <v>12 Cups Ltd شركة اثنى عشر كوب المحدوده</v>
          </cell>
          <cell r="W35">
            <v>0</v>
          </cell>
          <cell r="X35">
            <v>57000</v>
          </cell>
          <cell r="Z35" t="str">
            <v>PM-00239</v>
          </cell>
          <cell r="AA35" t="str">
            <v>FETCO Paper Filter فلتر ورقي لمكائن فتكو</v>
          </cell>
          <cell r="AB35" t="str">
            <v>PM-00239</v>
          </cell>
          <cell r="AC35" t="str">
            <v>FETCO Paper Filter فلتر ورقي لمكائن فتكو</v>
          </cell>
          <cell r="AD35">
            <v>0.38</v>
          </cell>
          <cell r="AE35" t="str">
            <v>12 Cups Ltd شركة اثنى عشر كوب المحدوده</v>
          </cell>
        </row>
        <row r="36">
          <cell r="B36" t="str">
            <v>PM-00242</v>
          </cell>
          <cell r="C36" t="str">
            <v>Cafec V60 Filter 02 Coffee Filter كافيك فلاتر ترشيح ورقية - مقاس 02</v>
          </cell>
          <cell r="D36" t="str">
            <v>Cafec V60 Filter 02 Coffee Filter كافيك فلاتر ترشيح ورقية - مقاس 02</v>
          </cell>
          <cell r="E36" t="str">
            <v>✓</v>
          </cell>
          <cell r="F36" t="str">
            <v>✓</v>
          </cell>
          <cell r="G36" t="str">
            <v>✓</v>
          </cell>
          <cell r="H36" t="str">
            <v/>
          </cell>
          <cell r="I36" t="str">
            <v/>
          </cell>
          <cell r="J36" t="str">
            <v/>
          </cell>
          <cell r="K36">
            <v>3</v>
          </cell>
          <cell r="L36">
            <v>270000</v>
          </cell>
          <cell r="N36">
            <v>157400</v>
          </cell>
          <cell r="O36">
            <v>17.488888888888891</v>
          </cell>
          <cell r="P36">
            <v>90000</v>
          </cell>
          <cell r="Q36">
            <v>360000</v>
          </cell>
          <cell r="R36">
            <v>202600</v>
          </cell>
          <cell r="S36">
            <v>7</v>
          </cell>
          <cell r="T36" t="str">
            <v>S</v>
          </cell>
          <cell r="U36">
            <v>0.2</v>
          </cell>
          <cell r="V36" t="str">
            <v>12 Cups Ltd شركة اثنى عشر كوب المحدوده</v>
          </cell>
          <cell r="W36">
            <v>40520</v>
          </cell>
          <cell r="X36">
            <v>54000</v>
          </cell>
          <cell r="Z36" t="str">
            <v>PM-00242</v>
          </cell>
          <cell r="AA36" t="str">
            <v>Cafec V60 Filter 02 Coffee Filter كافيك فلاتر ترشيح ورقية - مقاس 02</v>
          </cell>
          <cell r="AB36" t="str">
            <v>PM-00242</v>
          </cell>
          <cell r="AC36" t="str">
            <v>Cafec V60 Filter 02 Coffee Filter كافيك فلاتر ترشيح ورقية - مقاس 02</v>
          </cell>
          <cell r="AD36">
            <v>3.6859999999999997E-2</v>
          </cell>
          <cell r="AE36" t="str">
            <v>GUANGZHOU MAIBAO PACKAGE CO. LTD</v>
          </cell>
        </row>
        <row r="37">
          <cell r="B37" t="str">
            <v>PM-00238</v>
          </cell>
          <cell r="C37" t="str">
            <v>Toddy Cold Brew Filter تودي فلتر كولد برو</v>
          </cell>
          <cell r="D37" t="str">
            <v>Toddy Cold Brew Filter تودي فلتر كولد برو</v>
          </cell>
          <cell r="E37" t="str">
            <v>✓</v>
          </cell>
          <cell r="F37" t="str">
            <v>✓</v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>
            <v>2</v>
          </cell>
          <cell r="L37">
            <v>2000</v>
          </cell>
          <cell r="M37" t="str">
            <v>Category</v>
          </cell>
          <cell r="N37">
            <v>848</v>
          </cell>
          <cell r="O37">
            <v>12.719999999999999</v>
          </cell>
          <cell r="P37">
            <v>666.66666666666663</v>
          </cell>
          <cell r="Q37">
            <v>2666.6666666666665</v>
          </cell>
          <cell r="R37">
            <v>1818.6666666666665</v>
          </cell>
          <cell r="S37">
            <v>7</v>
          </cell>
          <cell r="T37" t="str">
            <v>S</v>
          </cell>
          <cell r="U37">
            <v>7.1230000000000002</v>
          </cell>
          <cell r="V37" t="str">
            <v>شركة بشريات الموسم للتجارة</v>
          </cell>
          <cell r="W37">
            <v>12954.362666666666</v>
          </cell>
          <cell r="X37">
            <v>14246</v>
          </cell>
          <cell r="Z37" t="str">
            <v>PM-00238</v>
          </cell>
          <cell r="AA37" t="str">
            <v>Toddy Cold Brew Filter تودي فلتر كولد برو</v>
          </cell>
          <cell r="AB37" t="str">
            <v>PM-00238</v>
          </cell>
          <cell r="AC37" t="str">
            <v>Toddy Cold Brew Filter تودي فلتر كولد برو</v>
          </cell>
          <cell r="AD37">
            <v>7.1230000000000002</v>
          </cell>
          <cell r="AE37" t="str">
            <v>شركة بشريات الموسم للتجارة</v>
          </cell>
        </row>
        <row r="38">
          <cell r="B38" t="str">
            <v>PM-00660</v>
          </cell>
          <cell r="C38" t="str">
            <v>سليف صحن البروكيز | tray sleeve for brokes</v>
          </cell>
          <cell r="D38" t="str">
            <v>سليف صحن البروكيز | tray sleeve for brokes</v>
          </cell>
          <cell r="E38" t="str">
            <v>✓</v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>
            <v>1</v>
          </cell>
          <cell r="L38">
            <v>3000</v>
          </cell>
          <cell r="N38">
            <v>0</v>
          </cell>
          <cell r="O38">
            <v>0</v>
          </cell>
          <cell r="P38">
            <v>1700</v>
          </cell>
          <cell r="Q38">
            <v>4700</v>
          </cell>
          <cell r="R38">
            <v>4700</v>
          </cell>
          <cell r="S38">
            <v>14</v>
          </cell>
          <cell r="T38" t="str">
            <v>A</v>
          </cell>
          <cell r="U38">
            <v>0.2</v>
          </cell>
          <cell r="V38" t="str">
            <v>شركة مطابع الأمل الحديثة</v>
          </cell>
          <cell r="W38">
            <v>940</v>
          </cell>
          <cell r="X38">
            <v>600</v>
          </cell>
          <cell r="Z38" t="str">
            <v>PM-00660</v>
          </cell>
          <cell r="AA38" t="str">
            <v>سليف صحن البروكيز | tray sleeve for brokes</v>
          </cell>
          <cell r="AB38" t="str">
            <v>PM-00660</v>
          </cell>
          <cell r="AC38" t="str">
            <v>سليف صحن البروكيز | tray sleeve for brokes</v>
          </cell>
          <cell r="AD38">
            <v>0.2</v>
          </cell>
          <cell r="AE38" t="str">
            <v>شركة مطابع الأمل الحديثة</v>
          </cell>
        </row>
        <row r="39">
          <cell r="B39" t="str">
            <v>PM-00533</v>
          </cell>
          <cell r="C39" t="str">
            <v>كوب فخار 110 ملي محفور عليى شعار من الداخل والخارج قليز شفاف مطفي (لتقديم الاسبريسو)</v>
          </cell>
          <cell r="D39" t="str">
            <v>كوب فخار 110 ملي محفور عليى شعار من الداخل والخارج قليز شفاف مطفي (لتقديم الاسبريسو)</v>
          </cell>
          <cell r="E39" t="str">
            <v>✓</v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>
            <v>1</v>
          </cell>
          <cell r="L39">
            <v>200</v>
          </cell>
          <cell r="N39">
            <v>0</v>
          </cell>
          <cell r="O39">
            <v>0</v>
          </cell>
          <cell r="P39">
            <v>220.00000000000003</v>
          </cell>
          <cell r="Q39">
            <v>420</v>
          </cell>
          <cell r="R39">
            <v>420</v>
          </cell>
          <cell r="S39">
            <v>30</v>
          </cell>
          <cell r="T39" t="str">
            <v>A</v>
          </cell>
          <cell r="U39">
            <v>20</v>
          </cell>
          <cell r="V39" t="str">
            <v>شركة مصنع خزف كهفة للصناعات</v>
          </cell>
          <cell r="W39">
            <v>8400</v>
          </cell>
          <cell r="X39">
            <v>4000</v>
          </cell>
          <cell r="Z39" t="str">
            <v>PM-00533</v>
          </cell>
          <cell r="AA39" t="str">
            <v>كوب فخار 110 ملي محفور عليى شعار  من الداخل والخارج قليز شفاف مطفي (لتقديم الاسبريسو)</v>
          </cell>
          <cell r="AB39" t="str">
            <v>PM-00533</v>
          </cell>
          <cell r="AC39" t="str">
            <v>كوب فخار 110 ملي محفور عليى شعار من الداخل والخارج قليز شفاف مطفي (لتقديم الاسبريسو)</v>
          </cell>
          <cell r="AD39">
            <v>20</v>
          </cell>
          <cell r="AE39" t="str">
            <v>شركة مصنع خزف كهفة للصناعات</v>
          </cell>
        </row>
        <row r="40">
          <cell r="B40" t="str">
            <v>PM-00527</v>
          </cell>
          <cell r="C40" t="str">
            <v>كوب فخار 200 مل - محفور بشعار من الخارج - قليز شفاف لامع من الداخل والخارج</v>
          </cell>
          <cell r="D40" t="str">
            <v>كوب فخار 200 مل - محفور بشعار من الخارج - قليز شفاف لامع من الداخل والخارج</v>
          </cell>
          <cell r="E40" t="str">
            <v>✓</v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>
            <v>1</v>
          </cell>
          <cell r="L40">
            <v>80</v>
          </cell>
          <cell r="N40">
            <v>0</v>
          </cell>
          <cell r="O40">
            <v>0</v>
          </cell>
          <cell r="P40">
            <v>88</v>
          </cell>
          <cell r="Q40">
            <v>168</v>
          </cell>
          <cell r="R40">
            <v>168</v>
          </cell>
          <cell r="S40">
            <v>30</v>
          </cell>
          <cell r="T40" t="str">
            <v>A</v>
          </cell>
          <cell r="U40">
            <v>25</v>
          </cell>
          <cell r="V40" t="str">
            <v>شركة مصنع خزف كهفة للصناعات</v>
          </cell>
          <cell r="W40">
            <v>4200</v>
          </cell>
          <cell r="X40">
            <v>2000</v>
          </cell>
          <cell r="Z40" t="str">
            <v>PM-00527</v>
          </cell>
          <cell r="AA40" t="str">
            <v>كوب فخار 200 مل - محفور بشعار من الخارج - قليز شفاف لامع من الداخل والخارج</v>
          </cell>
          <cell r="AB40" t="str">
            <v>PM-00527</v>
          </cell>
          <cell r="AC40" t="str">
            <v>كوب فخار 200 مل - محفور بشعار من الخارج - قليز شفاف لامع من الداخل والخارج</v>
          </cell>
          <cell r="AD40">
            <v>25</v>
          </cell>
          <cell r="AE40" t="str">
            <v>شركة مصنع خزف كهفة للصناعات</v>
          </cell>
        </row>
        <row r="41">
          <cell r="B41" t="str">
            <v>PM-00528</v>
          </cell>
          <cell r="C41" t="str">
            <v>كوب فخار 200 مل - محفور بشعار من الداخل والخارج - قليز شفاف مطفي</v>
          </cell>
          <cell r="D41" t="str">
            <v>كوب فخار 200 مل - محفور بشعار من الداخل والخارج - قليز شفاف مطفي</v>
          </cell>
          <cell r="E41" t="str">
            <v>✓</v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>
            <v>1</v>
          </cell>
          <cell r="L41">
            <v>80</v>
          </cell>
          <cell r="N41">
            <v>0</v>
          </cell>
          <cell r="O41">
            <v>0</v>
          </cell>
          <cell r="P41">
            <v>88</v>
          </cell>
          <cell r="Q41">
            <v>168</v>
          </cell>
          <cell r="R41">
            <v>168</v>
          </cell>
          <cell r="S41">
            <v>30</v>
          </cell>
          <cell r="T41" t="str">
            <v>A</v>
          </cell>
          <cell r="U41">
            <v>25</v>
          </cell>
          <cell r="V41" t="str">
            <v>شركة مصنع خزف كهفة للصناعات</v>
          </cell>
          <cell r="W41">
            <v>4200</v>
          </cell>
          <cell r="X41">
            <v>2000</v>
          </cell>
          <cell r="Z41" t="str">
            <v>PM-00528</v>
          </cell>
          <cell r="AA41" t="str">
            <v>كوب فخار 200 مل - محفور بشعار من الداخل والخارج - قليز شفاف مطفي</v>
          </cell>
          <cell r="AB41" t="str">
            <v>PM-00528</v>
          </cell>
          <cell r="AC41" t="str">
            <v>كوب فخار 200 مل - محفور بشعار من الداخل والخارج - قليز شفاف مطفي</v>
          </cell>
          <cell r="AD41">
            <v>25</v>
          </cell>
          <cell r="AE41" t="str">
            <v>شركة مصنع خزف كهفة للصناعات</v>
          </cell>
        </row>
        <row r="42">
          <cell r="B42" t="str">
            <v>PM-00530</v>
          </cell>
          <cell r="C42" t="str">
            <v>كوب فخار 300 مل - محفور عليه شعار من الداخل والخارج - قليز شفاف مطفي - STONEWARE</v>
          </cell>
          <cell r="D42" t="str">
            <v>كوب فخار 300 مل - محفور عليه شعار من الداخل والخارج - قليز شفاف مطفي - STONEWARE</v>
          </cell>
          <cell r="E42" t="str">
            <v>✓</v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>
            <v>1</v>
          </cell>
          <cell r="L42">
            <v>70</v>
          </cell>
          <cell r="N42">
            <v>0</v>
          </cell>
          <cell r="O42">
            <v>0</v>
          </cell>
          <cell r="P42">
            <v>77</v>
          </cell>
          <cell r="Q42">
            <v>147</v>
          </cell>
          <cell r="R42">
            <v>147</v>
          </cell>
          <cell r="S42">
            <v>30</v>
          </cell>
          <cell r="T42" t="str">
            <v>A</v>
          </cell>
          <cell r="U42">
            <v>28</v>
          </cell>
          <cell r="V42" t="str">
            <v>شركة مصنع خزف كهفة للصناعات</v>
          </cell>
          <cell r="W42">
            <v>4116</v>
          </cell>
          <cell r="X42">
            <v>1960</v>
          </cell>
          <cell r="Z42" t="str">
            <v>PM-00530</v>
          </cell>
          <cell r="AA42" t="str">
            <v>كوب فخار 300 مل - محفور عليه شعار من الداخل والخارج - قليز شفاف مطفي - STONEWARE</v>
          </cell>
          <cell r="AB42" t="str">
            <v>PM-00530</v>
          </cell>
          <cell r="AC42" t="str">
            <v>كوب فخار 300 مل - محفور عليه شعار من الداخل والخارج - قليز شفاف مطفي - STONEWARE</v>
          </cell>
          <cell r="AD42">
            <v>28</v>
          </cell>
          <cell r="AE42" t="str">
            <v>شركة مصنع خزف كهفة للصناعات</v>
          </cell>
        </row>
        <row r="43">
          <cell r="B43" t="str">
            <v>PM-00534</v>
          </cell>
          <cell r="C43" t="str">
            <v>صحن فخار مقاس 20*20*15 محفور عليه الشعار في المنتصف</v>
          </cell>
          <cell r="D43" t="str">
            <v>صحن فخار مقاس 20*20*15 محفور عليه الشعار في المنتصف</v>
          </cell>
          <cell r="E43" t="str">
            <v>✓</v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>
            <v>1</v>
          </cell>
          <cell r="L43">
            <v>250</v>
          </cell>
          <cell r="N43">
            <v>0</v>
          </cell>
          <cell r="O43">
            <v>0</v>
          </cell>
          <cell r="P43">
            <v>275</v>
          </cell>
          <cell r="Q43">
            <v>525</v>
          </cell>
          <cell r="R43">
            <v>525</v>
          </cell>
          <cell r="S43">
            <v>30</v>
          </cell>
          <cell r="T43" t="str">
            <v>A</v>
          </cell>
          <cell r="U43">
            <v>80</v>
          </cell>
          <cell r="V43" t="str">
            <v>شركة مصنع خزف كهفة للصناعات</v>
          </cell>
          <cell r="W43">
            <v>42000</v>
          </cell>
          <cell r="X43">
            <v>20000</v>
          </cell>
          <cell r="Z43" t="str">
            <v>PM-00534</v>
          </cell>
          <cell r="AA43" t="str">
            <v>صحن فخار  مقاس 20*20*15 محفور عليه الشعار في المنتصف</v>
          </cell>
          <cell r="AB43" t="str">
            <v>PM-00534</v>
          </cell>
          <cell r="AC43" t="str">
            <v>صحن فخار مقاس 20*20*15 محفور عليه الشعار في المنتصف</v>
          </cell>
          <cell r="AD43">
            <v>80</v>
          </cell>
          <cell r="AE43" t="str">
            <v>شركة مصنع خزف كهفة للصناعات</v>
          </cell>
        </row>
        <row r="44">
          <cell r="B44" t="str">
            <v>PM-00258</v>
          </cell>
          <cell r="C44" t="str">
            <v>Wooden Stirrer اعواد التحريك الخشب</v>
          </cell>
          <cell r="D44" t="str">
            <v>Wooden Stirrer اعواد التحريك الخشب</v>
          </cell>
          <cell r="E44" t="str">
            <v>✓</v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>
            <v>1</v>
          </cell>
          <cell r="L44">
            <v>60000</v>
          </cell>
          <cell r="N44">
            <v>0</v>
          </cell>
          <cell r="O44">
            <v>0</v>
          </cell>
          <cell r="P44">
            <v>20000</v>
          </cell>
          <cell r="Q44">
            <v>80000</v>
          </cell>
          <cell r="R44">
            <v>80000</v>
          </cell>
          <cell r="S44">
            <v>7</v>
          </cell>
          <cell r="T44" t="str">
            <v>A</v>
          </cell>
          <cell r="U44">
            <v>0.02</v>
          </cell>
          <cell r="V44" t="str">
            <v>شركة ألان للمنتجات الورقية</v>
          </cell>
          <cell r="W44">
            <v>1600</v>
          </cell>
          <cell r="X44">
            <v>1200</v>
          </cell>
          <cell r="Z44" t="str">
            <v>PM-00258</v>
          </cell>
          <cell r="AA44" t="str">
            <v>Wooden Stirrer اعواد التحريك الخشب</v>
          </cell>
          <cell r="AB44" t="str">
            <v>PM-00258</v>
          </cell>
          <cell r="AC44" t="str">
            <v>Wooden Stirrer اعواد التحريك الخشب</v>
          </cell>
          <cell r="AD44">
            <v>2.1000000000000001E-2</v>
          </cell>
          <cell r="AE44" t="str">
            <v> مؤسسة دخيل دخيل الله الحمراني</v>
          </cell>
        </row>
        <row r="45">
          <cell r="B45" t="str">
            <v>PM-00003</v>
          </cell>
          <cell r="C45" t="str">
            <v>Cream bags أكياس كريمة</v>
          </cell>
          <cell r="D45" t="str">
            <v>Cream bags أكياس كريمة</v>
          </cell>
          <cell r="E45" t="str">
            <v>✓</v>
          </cell>
          <cell r="F45" t="str">
            <v/>
          </cell>
          <cell r="G45" t="str">
            <v/>
          </cell>
          <cell r="H45" t="str">
            <v>✓</v>
          </cell>
          <cell r="I45" t="str">
            <v/>
          </cell>
          <cell r="J45" t="str">
            <v>✓</v>
          </cell>
          <cell r="K45">
            <v>3</v>
          </cell>
          <cell r="L45">
            <v>10000</v>
          </cell>
          <cell r="N45">
            <v>688</v>
          </cell>
          <cell r="O45">
            <v>2.0640000000000001</v>
          </cell>
          <cell r="P45">
            <v>3333.333333333333</v>
          </cell>
          <cell r="Q45">
            <v>13333.333333333332</v>
          </cell>
          <cell r="R45">
            <v>12645.333333333332</v>
          </cell>
          <cell r="S45">
            <v>7</v>
          </cell>
          <cell r="T45" t="str">
            <v>A</v>
          </cell>
          <cell r="U45">
            <v>0.12</v>
          </cell>
          <cell r="V45" t="str">
            <v>AL Nawar International For Trading Co. شركة النوار العالمية للتجارة</v>
          </cell>
          <cell r="W45">
            <v>1517.4399999999998</v>
          </cell>
          <cell r="X45">
            <v>1200</v>
          </cell>
          <cell r="Z45" t="str">
            <v>PM-00003</v>
          </cell>
          <cell r="AA45" t="str">
            <v>Cream bags أكياس كريمة</v>
          </cell>
          <cell r="AB45" t="str">
            <v>PM-00003</v>
          </cell>
          <cell r="AC45" t="str">
            <v>Cream bags أكياس كريمة</v>
          </cell>
          <cell r="AD45">
            <v>0.12</v>
          </cell>
          <cell r="AE45" t="str">
            <v>Protea Trading Co. شركة بروتيا للتجارة</v>
          </cell>
        </row>
        <row r="46">
          <cell r="B46" t="str">
            <v>PM-00662</v>
          </cell>
          <cell r="C46" t="str">
            <v>قاعدة صحن ألمنيوم ورقية 235 مل | Aluminum paper plat base 235ml</v>
          </cell>
          <cell r="D46" t="str">
            <v>قاعدة صحن ألمنيوم ورقية 235 مل | Aluminum paper plat base 235ml</v>
          </cell>
          <cell r="E46" t="str">
            <v>✓</v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>
            <v>1</v>
          </cell>
          <cell r="L46">
            <v>5000</v>
          </cell>
          <cell r="N46">
            <v>0</v>
          </cell>
          <cell r="O46">
            <v>0</v>
          </cell>
          <cell r="P46">
            <v>2833.3333333333335</v>
          </cell>
          <cell r="Q46">
            <v>7833.3333333333339</v>
          </cell>
          <cell r="R46">
            <v>7833.3333333333339</v>
          </cell>
          <cell r="S46">
            <v>14</v>
          </cell>
          <cell r="T46" t="str">
            <v>A</v>
          </cell>
          <cell r="U46">
            <v>0.1</v>
          </cell>
          <cell r="V46" t="str">
            <v>شركة مطابع الأمل الحديثة</v>
          </cell>
          <cell r="W46">
            <v>783.33333333333348</v>
          </cell>
          <cell r="X46">
            <v>500</v>
          </cell>
          <cell r="Z46" t="str">
            <v>PM-00662</v>
          </cell>
          <cell r="AA46" t="str">
            <v>قاعدة صحن ألمنيوم ورقية 235 مل | Aluminum paper plat base 235ml</v>
          </cell>
          <cell r="AB46" t="str">
            <v>PM-00662</v>
          </cell>
          <cell r="AC46" t="str">
            <v>قاعدة صحن ألمنيوم ورقية 235 مل | Aluminum paper plat base 235ml</v>
          </cell>
          <cell r="AD46">
            <v>0.1</v>
          </cell>
          <cell r="AE46" t="str">
            <v>شركة مطابع الأمل الحديثة</v>
          </cell>
        </row>
        <row r="47">
          <cell r="B47" t="str">
            <v>PM-00325</v>
          </cell>
          <cell r="C47" t="str">
            <v>Printed cash roll Four colors size 80 x 70 , 37 meter (NAMQ ) ورق كاشير مطبوع ( نمق )</v>
          </cell>
          <cell r="D47" t="str">
            <v>Printed cash roll Four colors size 80 x 70 , 37 meter (NAMQ ) ورق كاشير مطبوع ( نمق )</v>
          </cell>
          <cell r="E47" t="str">
            <v/>
          </cell>
          <cell r="F47" t="str">
            <v/>
          </cell>
          <cell r="G47" t="str">
            <v/>
          </cell>
          <cell r="H47" t="str">
            <v>✓</v>
          </cell>
          <cell r="I47" t="str">
            <v/>
          </cell>
          <cell r="J47" t="str">
            <v/>
          </cell>
          <cell r="K47">
            <v>1</v>
          </cell>
          <cell r="L47">
            <v>4500</v>
          </cell>
          <cell r="M47" t="str">
            <v>Adj</v>
          </cell>
          <cell r="N47">
            <v>10297</v>
          </cell>
          <cell r="O47">
            <v>68.646666666666661</v>
          </cell>
          <cell r="P47">
            <v>1500</v>
          </cell>
          <cell r="Q47">
            <v>6000</v>
          </cell>
          <cell r="R47">
            <v>0</v>
          </cell>
          <cell r="S47">
            <v>7</v>
          </cell>
          <cell r="T47" t="str">
            <v>A</v>
          </cell>
          <cell r="U47">
            <v>2.2000000000000002</v>
          </cell>
          <cell r="V47" t="str">
            <v>شركة الالصقات الاضافية التجارية</v>
          </cell>
          <cell r="W47">
            <v>0</v>
          </cell>
          <cell r="X47">
            <v>9900</v>
          </cell>
          <cell r="Z47" t="str">
            <v>PM-00332</v>
          </cell>
          <cell r="AA47" t="str">
            <v>Printed cash roll Four colors size 80 x 70 , 37 meter (NAMQ ) ورق كاشير مطبوع ( نمق )</v>
          </cell>
          <cell r="AB47" t="str">
            <v>PM-00325</v>
          </cell>
          <cell r="AC47" t="str">
            <v>Printed cash roll Four colors size 80 x 70 , 37 meter (NAMQ ) ورق كاشير مطبوع ( نمق )</v>
          </cell>
          <cell r="AD47">
            <v>2.2000000000000002</v>
          </cell>
          <cell r="AE47" t="str">
            <v>شركة الاوراق الذهبية الصناعية</v>
          </cell>
        </row>
        <row r="48">
          <cell r="B48" t="str">
            <v>PM-00277</v>
          </cell>
          <cell r="C48" t="str">
            <v>knife ( NAMQ ) سكين ( نمق )</v>
          </cell>
          <cell r="D48" t="str">
            <v>knife ( NAMQ ) سكين ( نمق )</v>
          </cell>
          <cell r="E48" t="str">
            <v>✓</v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>
            <v>1</v>
          </cell>
          <cell r="L48">
            <v>19000</v>
          </cell>
          <cell r="N48">
            <v>0</v>
          </cell>
          <cell r="O48">
            <v>0</v>
          </cell>
          <cell r="P48">
            <v>10766.666666666666</v>
          </cell>
          <cell r="Q48">
            <v>29766.666666666664</v>
          </cell>
          <cell r="R48">
            <v>29766.666666666664</v>
          </cell>
          <cell r="S48">
            <v>14</v>
          </cell>
          <cell r="T48" t="str">
            <v>S</v>
          </cell>
          <cell r="U48">
            <v>6.7000000000000004E-2</v>
          </cell>
          <cell r="V48" t="str">
            <v>شركة مصنع عسق للبلاستيك</v>
          </cell>
          <cell r="W48">
            <v>1994.3666666666666</v>
          </cell>
          <cell r="X48">
            <v>1273</v>
          </cell>
          <cell r="Z48" t="str">
            <v>PM-00277</v>
          </cell>
          <cell r="AA48" t="str">
            <v>knife ( NAMQ ) سكين ( نمق )</v>
          </cell>
          <cell r="AB48" t="str">
            <v>PM-00277</v>
          </cell>
          <cell r="AC48" t="str">
            <v>knife ( NAMQ ) سكين ( نمق )</v>
          </cell>
          <cell r="AD48">
            <v>8.3760000000000001E-2</v>
          </cell>
          <cell r="AE48" t="str">
            <v>شركة مصنع عسق للبلاستيك</v>
          </cell>
        </row>
        <row r="49">
          <cell r="B49" t="str">
            <v>PM-00448</v>
          </cell>
          <cell r="C49" t="str">
            <v>Sticker Date ستيكر التاريخ</v>
          </cell>
          <cell r="D49" t="str">
            <v>Sticker Date ستيكر التاريخ</v>
          </cell>
          <cell r="E49" t="str">
            <v>✓</v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>
            <v>1</v>
          </cell>
          <cell r="L49">
            <v>1000</v>
          </cell>
          <cell r="N49">
            <v>0</v>
          </cell>
          <cell r="O49">
            <v>0</v>
          </cell>
          <cell r="P49">
            <v>333.33333333333331</v>
          </cell>
          <cell r="Q49">
            <v>1333.3333333333333</v>
          </cell>
          <cell r="R49">
            <v>1333.3333333333333</v>
          </cell>
          <cell r="S49">
            <v>7</v>
          </cell>
          <cell r="T49" t="str">
            <v>A</v>
          </cell>
          <cell r="V49" t="str">
            <v>Active Square مؤسسة المربع الفعال التجارية</v>
          </cell>
          <cell r="W49">
            <v>0</v>
          </cell>
          <cell r="X49">
            <v>0</v>
          </cell>
          <cell r="Z49" t="str">
            <v>PM-00448</v>
          </cell>
          <cell r="AA49" t="str">
            <v>Sticker Date ستيكر التاريخ</v>
          </cell>
          <cell r="AB49" t="str">
            <v>PM-00448</v>
          </cell>
          <cell r="AC49" t="str">
            <v>Sticker Date ستيكر التاريخ</v>
          </cell>
          <cell r="AD49">
            <v>0.12</v>
          </cell>
          <cell r="AE49" t="str">
            <v>Active Square مؤسسة المربع الفعال التجارية</v>
          </cell>
        </row>
        <row r="50">
          <cell r="B50" t="str">
            <v>PM-00261</v>
          </cell>
          <cell r="C50" t="str">
            <v>Baking Paper 60*40 ورق خبازة 60*40</v>
          </cell>
          <cell r="D50" t="str">
            <v>Baking Paper 60*40 ورق خبازة 60*40</v>
          </cell>
          <cell r="E50" t="str">
            <v>✓</v>
          </cell>
          <cell r="F50" t="str">
            <v>✓</v>
          </cell>
          <cell r="G50" t="str">
            <v/>
          </cell>
          <cell r="H50" t="str">
            <v>✓</v>
          </cell>
          <cell r="I50" t="str">
            <v/>
          </cell>
          <cell r="J50" t="str">
            <v>✓</v>
          </cell>
          <cell r="K50">
            <v>4</v>
          </cell>
          <cell r="L50">
            <v>50000</v>
          </cell>
          <cell r="N50">
            <v>202000</v>
          </cell>
          <cell r="O50">
            <v>121.2</v>
          </cell>
          <cell r="P50">
            <v>28333.333333333332</v>
          </cell>
          <cell r="Q50">
            <v>78333.333333333328</v>
          </cell>
          <cell r="R50">
            <v>0</v>
          </cell>
          <cell r="S50">
            <v>14</v>
          </cell>
          <cell r="T50" t="str">
            <v>S</v>
          </cell>
          <cell r="U50">
            <v>0.11</v>
          </cell>
          <cell r="V50" t="str">
            <v>شركة جنا الدولية للتجارة - JANA</v>
          </cell>
          <cell r="W50">
            <v>0</v>
          </cell>
          <cell r="X50">
            <v>5500</v>
          </cell>
          <cell r="Z50" t="str">
            <v>PM-00261</v>
          </cell>
          <cell r="AA50" t="str">
            <v>Baking Paper 60*40 | ورق خبازة 60*40</v>
          </cell>
          <cell r="AB50" t="str">
            <v>PM-00261</v>
          </cell>
          <cell r="AC50" t="str">
            <v>Baking Paper 60*40 ورق خبازة 60*40</v>
          </cell>
          <cell r="AD50">
            <v>0.125</v>
          </cell>
          <cell r="AE50" t="str">
            <v>Protea Trading Co. شركة بروتيا للتجارة</v>
          </cell>
        </row>
        <row r="51">
          <cell r="B51" t="str">
            <v>PM-00263</v>
          </cell>
          <cell r="C51" t="str">
            <v>Cling Film رول تغليف نايلون</v>
          </cell>
          <cell r="D51" t="str">
            <v>Cling Film رول تغليف نايلون</v>
          </cell>
          <cell r="E51" t="str">
            <v>✓</v>
          </cell>
          <cell r="F51" t="str">
            <v>✓</v>
          </cell>
          <cell r="G51" t="str">
            <v/>
          </cell>
          <cell r="H51" t="str">
            <v>✓</v>
          </cell>
          <cell r="I51" t="str">
            <v/>
          </cell>
          <cell r="J51" t="str">
            <v>✓</v>
          </cell>
          <cell r="K51">
            <v>4</v>
          </cell>
          <cell r="L51">
            <v>100</v>
          </cell>
          <cell r="N51">
            <v>378</v>
          </cell>
          <cell r="O51">
            <v>113.39999999999999</v>
          </cell>
          <cell r="P51">
            <v>33.333333333333329</v>
          </cell>
          <cell r="Q51">
            <v>133.33333333333331</v>
          </cell>
          <cell r="R51">
            <v>0</v>
          </cell>
          <cell r="S51">
            <v>7</v>
          </cell>
          <cell r="T51" t="str">
            <v>S</v>
          </cell>
          <cell r="U51">
            <v>43.48</v>
          </cell>
          <cell r="V51" t="str">
            <v>مؤسسة ركن البيدق التجارية</v>
          </cell>
          <cell r="W51">
            <v>0</v>
          </cell>
          <cell r="X51">
            <v>4348</v>
          </cell>
          <cell r="Z51" t="str">
            <v>PM-00263</v>
          </cell>
          <cell r="AA51" t="str">
            <v xml:space="preserve">Cling Film رول تغليف نايلون </v>
          </cell>
          <cell r="AB51" t="str">
            <v>PM-00263</v>
          </cell>
          <cell r="AC51" t="str">
            <v>Cling Film رول تغليف نايلون</v>
          </cell>
          <cell r="AD51">
            <v>43.48</v>
          </cell>
          <cell r="AE51" t="str">
            <v>مؤسسة ركن البيدق التجارية</v>
          </cell>
        </row>
        <row r="52">
          <cell r="B52" t="str">
            <v>PM-00586</v>
          </cell>
          <cell r="C52" t="str">
            <v>Namq Thermal Stainless Steel Cup with Two Lids – Sky Blue Color</v>
          </cell>
          <cell r="D52" t="str">
            <v>Namq Thermal Stainless Steel Cup with Two Lids – Sky Blue Color</v>
          </cell>
          <cell r="E52" t="str">
            <v>✓</v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>
            <v>1</v>
          </cell>
          <cell r="L52">
            <v>6000</v>
          </cell>
          <cell r="N52">
            <v>8</v>
          </cell>
          <cell r="O52">
            <v>0.04</v>
          </cell>
          <cell r="P52">
            <v>21600</v>
          </cell>
          <cell r="Q52">
            <v>27600</v>
          </cell>
          <cell r="R52">
            <v>27592</v>
          </cell>
          <cell r="S52">
            <v>105</v>
          </cell>
          <cell r="T52" t="str">
            <v>A</v>
          </cell>
          <cell r="U52">
            <v>9.99</v>
          </cell>
          <cell r="V52" t="str">
            <v>مؤسسة الانتقال التجارية</v>
          </cell>
          <cell r="W52">
            <v>275644.08</v>
          </cell>
          <cell r="X52">
            <v>59940</v>
          </cell>
          <cell r="Z52" t="str">
            <v>PM-00586</v>
          </cell>
          <cell r="AA52" t="str">
            <v>Namq Thermal Stainless Steel Cup with Two Lids – Sky Blue Color</v>
          </cell>
          <cell r="AB52" t="str">
            <v>PM-00586</v>
          </cell>
          <cell r="AC52" t="str">
            <v>Namq Thermal Stainless Steel Cup with Two Lids – Sky Blue Color</v>
          </cell>
          <cell r="AD52">
            <v>9.99</v>
          </cell>
          <cell r="AE52" t="str">
            <v>مؤسسة الانتقال التجارية</v>
          </cell>
        </row>
        <row r="53">
          <cell r="B53" t="str">
            <v>PM-00582</v>
          </cell>
          <cell r="C53" t="str">
            <v>Namq Thermal Stainless Steel Cup with Two Lids – Olive Green Color</v>
          </cell>
          <cell r="D53" t="str">
            <v>Namq Thermal Stainless Steel Cup with Two Lids – Olive Green Color</v>
          </cell>
          <cell r="E53" t="str">
            <v>✓</v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>
            <v>1</v>
          </cell>
          <cell r="L53">
            <v>6000</v>
          </cell>
          <cell r="N53">
            <v>420</v>
          </cell>
          <cell r="O53">
            <v>2.1</v>
          </cell>
          <cell r="P53">
            <v>21600</v>
          </cell>
          <cell r="Q53">
            <v>27600</v>
          </cell>
          <cell r="R53">
            <v>27180</v>
          </cell>
          <cell r="S53">
            <v>105</v>
          </cell>
          <cell r="T53" t="str">
            <v>A</v>
          </cell>
          <cell r="U53">
            <v>9.99</v>
          </cell>
          <cell r="V53" t="str">
            <v>مؤسسة الانتقال التجارية</v>
          </cell>
          <cell r="W53">
            <v>271528.2</v>
          </cell>
          <cell r="X53">
            <v>59940</v>
          </cell>
          <cell r="Z53" t="str">
            <v>PM-00582</v>
          </cell>
          <cell r="AA53" t="str">
            <v>Namq Thermal Stainless Steel Cup with Two Lids – Olive Green Color</v>
          </cell>
          <cell r="AB53" t="str">
            <v>PM-00582</v>
          </cell>
          <cell r="AC53" t="str">
            <v>Namq Thermal Stainless Steel Cup with Two Lids – Olive Green Color</v>
          </cell>
          <cell r="AD53">
            <v>9.99</v>
          </cell>
          <cell r="AE53" t="str">
            <v>مؤسسة الانتقال التجارية</v>
          </cell>
        </row>
        <row r="54">
          <cell r="B54" t="str">
            <v>PM-00583</v>
          </cell>
          <cell r="C54" t="str">
            <v>Namq Thermal Stainless Steel Cup with Two Lids - Burgundy Color</v>
          </cell>
          <cell r="D54" t="str">
            <v>Namq Thermal Stainless Steel Cup with Two Lids - Burgundy Color</v>
          </cell>
          <cell r="E54" t="str">
            <v>✓</v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>
            <v>1</v>
          </cell>
          <cell r="L54">
            <v>6000</v>
          </cell>
          <cell r="N54">
            <v>338</v>
          </cell>
          <cell r="O54">
            <v>1.69</v>
          </cell>
          <cell r="P54">
            <v>21600</v>
          </cell>
          <cell r="Q54">
            <v>27600</v>
          </cell>
          <cell r="R54">
            <v>27262</v>
          </cell>
          <cell r="S54">
            <v>105</v>
          </cell>
          <cell r="T54" t="str">
            <v>A</v>
          </cell>
          <cell r="U54">
            <v>9.99</v>
          </cell>
          <cell r="V54" t="str">
            <v>مؤسسة الانتقال التجارية</v>
          </cell>
          <cell r="W54">
            <v>272347.38</v>
          </cell>
          <cell r="X54">
            <v>59940</v>
          </cell>
          <cell r="Z54" t="str">
            <v>PM-00583</v>
          </cell>
          <cell r="AA54" t="str">
            <v>Namq Thermal Stainless Steel Cup with Two Lids – Burgundy Color</v>
          </cell>
          <cell r="AB54" t="str">
            <v>PM-00583</v>
          </cell>
          <cell r="AC54" t="str">
            <v>Namq Thermal Stainless Steel Cup with Two Lids - Burgundy Color</v>
          </cell>
          <cell r="AD54">
            <v>9.99</v>
          </cell>
          <cell r="AE54" t="str">
            <v>مؤسسة الانتقال التجارية</v>
          </cell>
        </row>
        <row r="55">
          <cell r="B55" t="str">
            <v>PM-00584</v>
          </cell>
          <cell r="C55" t="str">
            <v>Namq Thermal Stainless Steel Cup with Two Lids – Beige Color</v>
          </cell>
          <cell r="D55" t="str">
            <v>Namq Thermal Stainless Steel Cup with Two Lids – Beige Color</v>
          </cell>
          <cell r="E55" t="str">
            <v>✓</v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>
            <v>1</v>
          </cell>
          <cell r="L55">
            <v>6000</v>
          </cell>
          <cell r="N55">
            <v>22</v>
          </cell>
          <cell r="O55">
            <v>0.11</v>
          </cell>
          <cell r="P55">
            <v>21600</v>
          </cell>
          <cell r="Q55">
            <v>27600</v>
          </cell>
          <cell r="R55">
            <v>27578</v>
          </cell>
          <cell r="S55">
            <v>105</v>
          </cell>
          <cell r="T55" t="str">
            <v>A</v>
          </cell>
          <cell r="U55">
            <v>9.99</v>
          </cell>
          <cell r="V55" t="str">
            <v>مؤسسة الانتقال التجارية</v>
          </cell>
          <cell r="W55">
            <v>275504.22000000003</v>
          </cell>
          <cell r="X55">
            <v>59940</v>
          </cell>
          <cell r="Z55" t="str">
            <v>PM-00584</v>
          </cell>
          <cell r="AA55" t="str">
            <v>Namq Thermal Stainless Steel Cup with Two Lids – Beige Color</v>
          </cell>
          <cell r="AB55" t="str">
            <v>PM-00584</v>
          </cell>
          <cell r="AC55" t="str">
            <v>Namq Thermal Stainless Steel Cup with Two Lids – Beige Color</v>
          </cell>
          <cell r="AD55">
            <v>9.99</v>
          </cell>
          <cell r="AE55" t="str">
            <v>مؤسسة الانتقال التجارية</v>
          </cell>
        </row>
        <row r="56">
          <cell r="B56" t="str">
            <v>PM-00585</v>
          </cell>
          <cell r="C56" t="str">
            <v>Thermal Stainless Steel Cup with Two Lids – Navy Blue</v>
          </cell>
          <cell r="D56" t="str">
            <v>Thermal Stainless Steel Cup with Two Lids – Navy Blue</v>
          </cell>
          <cell r="E56" t="str">
            <v>✓</v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>
            <v>1</v>
          </cell>
          <cell r="L56">
            <v>6000</v>
          </cell>
          <cell r="N56">
            <v>789</v>
          </cell>
          <cell r="O56">
            <v>3.9450000000000003</v>
          </cell>
          <cell r="P56">
            <v>21600</v>
          </cell>
          <cell r="Q56">
            <v>27600</v>
          </cell>
          <cell r="R56">
            <v>26811</v>
          </cell>
          <cell r="S56">
            <v>105</v>
          </cell>
          <cell r="T56" t="str">
            <v>A</v>
          </cell>
          <cell r="U56">
            <v>9.99</v>
          </cell>
          <cell r="V56" t="str">
            <v>مؤسسة الانتقال التجارية</v>
          </cell>
          <cell r="W56">
            <v>267841.89</v>
          </cell>
          <cell r="X56">
            <v>59940</v>
          </cell>
          <cell r="Z56" t="str">
            <v>PM-00585</v>
          </cell>
          <cell r="AA56" t="str">
            <v>Namq Thermal Stainless Steel Cup with Two Lids – Navy Blue</v>
          </cell>
          <cell r="AB56" t="str">
            <v>PM-00585</v>
          </cell>
          <cell r="AC56" t="str">
            <v>Thermal Stainless Steel Cup with Two Lids – Navy Blue</v>
          </cell>
          <cell r="AD56">
            <v>9.99</v>
          </cell>
          <cell r="AE56" t="str">
            <v>مؤسسة الانتقال التجارية</v>
          </cell>
        </row>
        <row r="57">
          <cell r="B57" t="str">
            <v>PM-00327</v>
          </cell>
          <cell r="C57" t="str">
            <v>Price lable stickerورق رول تواريخ واسعار</v>
          </cell>
          <cell r="D57" t="str">
            <v>Price lable stickerورق رول تواريخ واسعار</v>
          </cell>
          <cell r="E57" t="str">
            <v>✓</v>
          </cell>
          <cell r="F57" t="str">
            <v>✓</v>
          </cell>
          <cell r="G57" t="str">
            <v>✓</v>
          </cell>
          <cell r="H57" t="str">
            <v/>
          </cell>
          <cell r="I57" t="str">
            <v/>
          </cell>
          <cell r="J57" t="str">
            <v>✓</v>
          </cell>
          <cell r="K57">
            <v>4</v>
          </cell>
          <cell r="L57">
            <v>1000</v>
          </cell>
          <cell r="N57">
            <v>5292</v>
          </cell>
          <cell r="O57">
            <v>158.76</v>
          </cell>
          <cell r="P57">
            <v>333.33333333333331</v>
          </cell>
          <cell r="Q57">
            <v>1333.3333333333333</v>
          </cell>
          <cell r="R57">
            <v>0</v>
          </cell>
          <cell r="S57">
            <v>7</v>
          </cell>
          <cell r="T57" t="str">
            <v>A</v>
          </cell>
          <cell r="U57">
            <v>2</v>
          </cell>
          <cell r="V57" t="str">
            <v>شركة ألان للمنتجات الورقية</v>
          </cell>
          <cell r="W57">
            <v>0</v>
          </cell>
          <cell r="X57">
            <v>2000</v>
          </cell>
          <cell r="Z57" t="str">
            <v>PM-00327</v>
          </cell>
          <cell r="AA57" t="str">
            <v xml:space="preserve">Price lable stickerورق رول تواريخ واسعار </v>
          </cell>
          <cell r="AB57" t="str">
            <v>PM-00327</v>
          </cell>
          <cell r="AC57" t="str">
            <v>Price lable stickerورق رول تواريخ واسعار</v>
          </cell>
          <cell r="AD57">
            <v>2.63889</v>
          </cell>
          <cell r="AE57" t="str">
            <v>شركة بوابة المبدعون للتجارة</v>
          </cell>
        </row>
        <row r="58">
          <cell r="B58" t="str">
            <v>PM-00725</v>
          </cell>
          <cell r="C58" t="str">
            <v>بوكس جمعات حلى نمق | Gathering namq cake</v>
          </cell>
          <cell r="D58" t="str">
            <v>بوكس جمعات حلى نمق | Gathering namq cake</v>
          </cell>
          <cell r="E58" t="str">
            <v>✓</v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>
            <v>1</v>
          </cell>
          <cell r="L58">
            <v>1000</v>
          </cell>
          <cell r="N58">
            <v>20000</v>
          </cell>
          <cell r="O58">
            <v>600</v>
          </cell>
          <cell r="P58">
            <v>766.66666666666674</v>
          </cell>
          <cell r="Q58">
            <v>1766.6666666666667</v>
          </cell>
          <cell r="R58">
            <v>0</v>
          </cell>
          <cell r="S58">
            <v>20</v>
          </cell>
          <cell r="T58" t="str">
            <v>S</v>
          </cell>
          <cell r="U58">
            <v>2.5499999999999998</v>
          </cell>
          <cell r="V58" t="str">
            <v>شركة مطابع الأمل الحديثة</v>
          </cell>
          <cell r="W58">
            <v>0</v>
          </cell>
          <cell r="X58">
            <v>2550</v>
          </cell>
          <cell r="Z58" t="str">
            <v>PM-00725</v>
          </cell>
          <cell r="AA58" t="str">
            <v>بوكس جمعات حلى نمق | Gathering namq cake</v>
          </cell>
          <cell r="AB58" t="str">
            <v>PM-00725</v>
          </cell>
          <cell r="AC58" t="str">
            <v>بوكس جمعات حلى نمق | Gathering namq cake</v>
          </cell>
          <cell r="AD58">
            <v>2.5499999999999998</v>
          </cell>
          <cell r="AE58" t="str">
            <v>شركة مطابع الأمل الحديثة</v>
          </cell>
        </row>
        <row r="59">
          <cell r="B59" t="str">
            <v>PM-00759</v>
          </cell>
          <cell r="C59" t="str">
            <v>كرت أيس تي كركديه | Hibiscus Iced Tea Card</v>
          </cell>
          <cell r="D59" t="str">
            <v>كرت ايس تي كركديه</v>
          </cell>
          <cell r="E59" t="str">
            <v>✓</v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>
            <v>1</v>
          </cell>
          <cell r="L59">
            <v>12000</v>
          </cell>
          <cell r="N59">
            <v>0</v>
          </cell>
          <cell r="O59">
            <v>0</v>
          </cell>
          <cell r="P59">
            <v>6800</v>
          </cell>
          <cell r="Q59">
            <v>18800</v>
          </cell>
          <cell r="R59">
            <v>18800</v>
          </cell>
          <cell r="S59">
            <v>14</v>
          </cell>
          <cell r="T59" t="str">
            <v>S</v>
          </cell>
          <cell r="U59">
            <v>0.12</v>
          </cell>
          <cell r="V59" t="str">
            <v>شركة الاوراق الذهبية الصناعية</v>
          </cell>
          <cell r="W59">
            <v>2256</v>
          </cell>
          <cell r="X59">
            <v>1440</v>
          </cell>
          <cell r="Z59" t="str">
            <v>PM-00759</v>
          </cell>
          <cell r="AA59" t="str">
            <v>كرت أيس تي كركديه | Hibiscus Iced Tea Card</v>
          </cell>
          <cell r="AB59" t="str">
            <v>PM-00759</v>
          </cell>
          <cell r="AC59" t="str">
            <v>كرت أيس تي كركديه | Hibiscus Iced Tea Card</v>
          </cell>
          <cell r="AD59">
            <v>0.24</v>
          </cell>
          <cell r="AE59" t="str">
            <v>شركة الماس باك للتغليف</v>
          </cell>
        </row>
        <row r="60">
          <cell r="B60" t="str">
            <v>PM-00760</v>
          </cell>
          <cell r="C60" t="str">
            <v>كرت أيس تي خوخ | Peach Iced Tea Card</v>
          </cell>
          <cell r="D60" t="str">
            <v>كرت ايس تي خوخ</v>
          </cell>
          <cell r="E60" t="str">
            <v>✓</v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>
            <v>1</v>
          </cell>
          <cell r="L60">
            <v>12000</v>
          </cell>
          <cell r="N60">
            <v>0</v>
          </cell>
          <cell r="O60">
            <v>0</v>
          </cell>
          <cell r="P60">
            <v>6800</v>
          </cell>
          <cell r="Q60">
            <v>18800</v>
          </cell>
          <cell r="R60">
            <v>18800</v>
          </cell>
          <cell r="S60">
            <v>14</v>
          </cell>
          <cell r="T60" t="str">
            <v>S</v>
          </cell>
          <cell r="U60">
            <v>0.12</v>
          </cell>
          <cell r="V60" t="str">
            <v>شركة الاوراق الذهبية الصناعية</v>
          </cell>
          <cell r="W60">
            <v>2256</v>
          </cell>
          <cell r="X60">
            <v>1440</v>
          </cell>
          <cell r="Z60" t="str">
            <v>PM-00760</v>
          </cell>
          <cell r="AA60" t="str">
            <v>كرت أيس تي خوخ | Peach Iced Tea Card</v>
          </cell>
          <cell r="AB60" t="str">
            <v>PM-00760</v>
          </cell>
          <cell r="AC60" t="str">
            <v>كرت أيس تي خوخ | Peach Iced Tea Card</v>
          </cell>
          <cell r="AD60">
            <v>0.24</v>
          </cell>
          <cell r="AE60" t="str">
            <v>شركة الماس باك للتغليف</v>
          </cell>
        </row>
        <row r="61">
          <cell r="B61" t="str">
            <v>PM-00761</v>
          </cell>
          <cell r="C61" t="str">
            <v>كرت أيس تي كولد برو | Cold Brew Iced Tea Card</v>
          </cell>
          <cell r="D61" t="str">
            <v>كرت كولد برو</v>
          </cell>
          <cell r="E61" t="str">
            <v>✓</v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>
            <v>1</v>
          </cell>
          <cell r="L61">
            <v>12000</v>
          </cell>
          <cell r="N61">
            <v>8700</v>
          </cell>
          <cell r="O61">
            <v>21.75</v>
          </cell>
          <cell r="P61">
            <v>6800</v>
          </cell>
          <cell r="Q61">
            <v>18800</v>
          </cell>
          <cell r="R61">
            <v>10100</v>
          </cell>
          <cell r="S61">
            <v>14</v>
          </cell>
          <cell r="T61" t="str">
            <v>S</v>
          </cell>
          <cell r="U61">
            <v>0.12</v>
          </cell>
          <cell r="V61" t="str">
            <v>شركة الاوراق الذهبية الصناعية</v>
          </cell>
          <cell r="W61">
            <v>1212</v>
          </cell>
          <cell r="X61">
            <v>1440</v>
          </cell>
          <cell r="Z61" t="str">
            <v>PM-00761</v>
          </cell>
          <cell r="AA61" t="str">
            <v>كرت أيس تي كولد برو | Cold Brew Iced Tea Card</v>
          </cell>
          <cell r="AB61" t="str">
            <v>PM-00761</v>
          </cell>
          <cell r="AC61" t="str">
            <v>كرت أيس تي كولد برو | Cold Brew Iced Tea Card</v>
          </cell>
          <cell r="AD61">
            <v>0.24</v>
          </cell>
          <cell r="AE61" t="str">
            <v>شركة الماس باك للتغليف</v>
          </cell>
        </row>
        <row r="62">
          <cell r="B62" t="str">
            <v>RM-00077</v>
          </cell>
          <cell r="C62" t="str">
            <v>Milk chocolate drops 37% ( CREA )شوكولاتة بالحليب اقراص ( كريا )</v>
          </cell>
          <cell r="D62" t="str">
            <v>Milk chocolate drops 37% ( CREA )شوكولاتة بالحليب اقراص ( كريا )</v>
          </cell>
          <cell r="E62" t="str">
            <v>✓</v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>✓</v>
          </cell>
          <cell r="K62">
            <v>2</v>
          </cell>
          <cell r="L62">
            <v>18000</v>
          </cell>
          <cell r="N62">
            <v>66216</v>
          </cell>
          <cell r="O62">
            <v>110.36</v>
          </cell>
          <cell r="P62">
            <v>55800</v>
          </cell>
          <cell r="Q62">
            <v>73800</v>
          </cell>
          <cell r="R62">
            <v>7584</v>
          </cell>
          <cell r="S62">
            <v>90</v>
          </cell>
          <cell r="T62" t="str">
            <v>S</v>
          </cell>
          <cell r="U62">
            <v>22.1</v>
          </cell>
          <cell r="V62" t="str">
            <v>Crea Chocoalte Italy</v>
          </cell>
          <cell r="W62">
            <v>167606.40000000002</v>
          </cell>
          <cell r="X62">
            <v>397800</v>
          </cell>
          <cell r="Z62" t="str">
            <v>RM-00077</v>
          </cell>
          <cell r="AA62" t="str">
            <v>Milk chocolate drops 37% ( CREA )شوكولاتة بالحليب اقراص ( كريا )</v>
          </cell>
          <cell r="AB62" t="str">
            <v>RM-00077</v>
          </cell>
          <cell r="AC62" t="str">
            <v>Milk chocolate drops 37% ( CREA )شوكولاتة بالحليب اقراص ( كريا )</v>
          </cell>
          <cell r="AD62">
            <v>22.1</v>
          </cell>
          <cell r="AE62" t="str">
            <v>Crea Chocoalte Italy</v>
          </cell>
        </row>
        <row r="63">
          <cell r="B63" t="str">
            <v>RM-00055</v>
          </cell>
          <cell r="C63" t="str">
            <v>White chocolate drops 30% ( CREA ) شوكولاتة بيضاء اقراص 30% ( كريا )</v>
          </cell>
          <cell r="D63" t="str">
            <v>White chocolate drops 30% ( CREA ) شوكولاتة بيضاء اقراص 30% ( كريا )</v>
          </cell>
          <cell r="E63" t="str">
            <v>✓</v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>✓</v>
          </cell>
          <cell r="K63">
            <v>2</v>
          </cell>
          <cell r="L63">
            <v>11000</v>
          </cell>
          <cell r="N63">
            <v>38932</v>
          </cell>
          <cell r="O63">
            <v>106.17818181818183</v>
          </cell>
          <cell r="P63">
            <v>34100</v>
          </cell>
          <cell r="Q63">
            <v>45100</v>
          </cell>
          <cell r="R63">
            <v>6168</v>
          </cell>
          <cell r="S63">
            <v>90</v>
          </cell>
          <cell r="T63" t="str">
            <v>S</v>
          </cell>
          <cell r="U63">
            <v>22.1</v>
          </cell>
          <cell r="V63" t="str">
            <v>Crea Chocoalte Italy</v>
          </cell>
          <cell r="W63">
            <v>136312.80000000002</v>
          </cell>
          <cell r="X63">
            <v>243100.00000000003</v>
          </cell>
          <cell r="Z63" t="str">
            <v>RM-00055</v>
          </cell>
          <cell r="AA63" t="str">
            <v>White chocolate drops 30% ( CREA ) شوكولاتة بيضاء اقراص 30% ( كريا )</v>
          </cell>
          <cell r="AB63" t="str">
            <v>RM-00055</v>
          </cell>
          <cell r="AC63" t="str">
            <v>White chocolate drops 30% ( CREA ) شوكولاتة بيضاء اقراص 30% ( كريا )</v>
          </cell>
          <cell r="AD63">
            <v>22.1</v>
          </cell>
          <cell r="AE63" t="str">
            <v>Crea Chocoalte Italy</v>
          </cell>
        </row>
        <row r="64">
          <cell r="B64" t="str">
            <v>RM-00267</v>
          </cell>
          <cell r="C64" t="str">
            <v>PANNA SOFT ICE CREME خليط ايس كريم فانيلا بانا</v>
          </cell>
          <cell r="D64" t="str">
            <v>PANNA SOFT ICE CREME خليط ايس كريم فانيلا بانا</v>
          </cell>
          <cell r="E64" t="str">
            <v>✓</v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>
            <v>1</v>
          </cell>
          <cell r="L64">
            <v>4500</v>
          </cell>
          <cell r="N64">
            <v>9120</v>
          </cell>
          <cell r="O64">
            <v>60.800000000000004</v>
          </cell>
          <cell r="P64">
            <v>2550</v>
          </cell>
          <cell r="Q64">
            <v>7050</v>
          </cell>
          <cell r="R64">
            <v>0</v>
          </cell>
          <cell r="S64">
            <v>14</v>
          </cell>
          <cell r="T64" t="str">
            <v>S</v>
          </cell>
          <cell r="U64">
            <v>30</v>
          </cell>
          <cell r="V64" t="str">
            <v>شركة شمس القهوة للتجارة المحدودة</v>
          </cell>
          <cell r="W64">
            <v>0</v>
          </cell>
          <cell r="X64">
            <v>135000</v>
          </cell>
          <cell r="Z64" t="str">
            <v>RM-00267</v>
          </cell>
          <cell r="AA64" t="str">
            <v>PANNA SOFT ICE CREME خليط ايس كريم فانيلا بانا</v>
          </cell>
          <cell r="AB64" t="str">
            <v>RM-00267</v>
          </cell>
          <cell r="AC64" t="str">
            <v>PANNA SOFT ICE CREME خليط ايس كريم فانيلا بانا</v>
          </cell>
          <cell r="AD64">
            <v>30</v>
          </cell>
          <cell r="AE64" t="str">
            <v>شركة شمس القهوة للتجارة المحدودة</v>
          </cell>
        </row>
        <row r="65">
          <cell r="B65" t="str">
            <v>RM00503</v>
          </cell>
          <cell r="C65" t="str">
            <v>White Sugar Sachetاظرف سكر ابيض</v>
          </cell>
          <cell r="D65" t="str">
            <v>White Sugar Sachetاظرف سكر ابيض</v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>
            <v>0</v>
          </cell>
          <cell r="L65">
            <v>65000</v>
          </cell>
          <cell r="M65" t="str">
            <v>Adj</v>
          </cell>
          <cell r="N65">
            <v>156000</v>
          </cell>
          <cell r="O65">
            <v>72</v>
          </cell>
          <cell r="P65">
            <v>21666.666666666664</v>
          </cell>
          <cell r="Q65">
            <v>86666.666666666657</v>
          </cell>
          <cell r="R65">
            <v>0</v>
          </cell>
          <cell r="S65">
            <v>7</v>
          </cell>
          <cell r="T65" t="str">
            <v>A</v>
          </cell>
          <cell r="U65">
            <v>3.5049999999999998E-2</v>
          </cell>
          <cell r="V65" t="str">
            <v>Ashraf Saleh Aldazaz Factory مصنع اشرف صالح الدعزازا للتعبئة والتغليف</v>
          </cell>
          <cell r="W65">
            <v>0</v>
          </cell>
          <cell r="X65">
            <v>2278.25</v>
          </cell>
          <cell r="Z65" t="str">
            <v>RM-00506</v>
          </cell>
          <cell r="AA65" t="str">
            <v xml:space="preserve">White Sugar Sachetاظرف سكر ابيض </v>
          </cell>
          <cell r="AB65" t="str">
            <v>RM00503</v>
          </cell>
          <cell r="AC65" t="str">
            <v>White Sugar Sachetاظرف سكر ابيض</v>
          </cell>
          <cell r="AD65">
            <v>3.5049999999999998E-2</v>
          </cell>
          <cell r="AE65" t="str">
            <v>Ashraf Saleh Aldazaz Factory مصنع اشرف صالح الدعزازا للتعبئة والتغليف</v>
          </cell>
        </row>
        <row r="66">
          <cell r="B66" t="str">
            <v>RM-00496</v>
          </cell>
          <cell r="C66" t="str">
            <v>Brown Sugar Sachet ( NAMQ ) اظرف سكر بني ( نمق )</v>
          </cell>
          <cell r="D66" t="str">
            <v>Brown Sugar Sachet ( NAMQ ) اظرف سكر بني ( نمق )</v>
          </cell>
          <cell r="E66" t="str">
            <v>✓</v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>
            <v>1</v>
          </cell>
          <cell r="L66">
            <v>35000</v>
          </cell>
          <cell r="N66">
            <v>74000</v>
          </cell>
          <cell r="O66">
            <v>63.428571428571431</v>
          </cell>
          <cell r="P66">
            <v>11666.666666666666</v>
          </cell>
          <cell r="Q66">
            <v>46666.666666666664</v>
          </cell>
          <cell r="R66">
            <v>0</v>
          </cell>
          <cell r="S66">
            <v>7</v>
          </cell>
          <cell r="T66" t="str">
            <v>A</v>
          </cell>
          <cell r="U66">
            <v>6.8000000000000005E-2</v>
          </cell>
          <cell r="V66" t="str">
            <v>Ashraf Saleh Aldazaz Factory مصنع اشرف صالح الدعزازا للتعبئة والتغليف</v>
          </cell>
          <cell r="W66">
            <v>0</v>
          </cell>
          <cell r="X66">
            <v>2380</v>
          </cell>
          <cell r="Z66" t="str">
            <v>RM-00496</v>
          </cell>
          <cell r="AA66" t="str">
            <v>Brown Sugar Sachet ( NAMQ ) اظرف سكر بني ( نمق )</v>
          </cell>
          <cell r="AB66" t="str">
            <v>RM-00496</v>
          </cell>
          <cell r="AC66" t="str">
            <v>Brown Sugar Sachet ( NAMQ ) اظرف سكر بني ( نمق )</v>
          </cell>
          <cell r="AD66">
            <v>6.8000000000000005E-2</v>
          </cell>
          <cell r="AE66" t="str">
            <v>Ashraf Saleh Aldazaz Factory مصنع اشرف صالح الدعزازا للتعبئة والتغليف</v>
          </cell>
        </row>
        <row r="67">
          <cell r="B67" t="str">
            <v>RM-00507</v>
          </cell>
          <cell r="C67" t="str">
            <v>MARGUERITE SWEET DUSTING POWDER - CONDINEIGE| بودرة سكر للزينه</v>
          </cell>
          <cell r="D67" t="str">
            <v>MARGUERITE SWEET DUSTING POWDER - CONDINEIGE| بودرة سكر للزينه</v>
          </cell>
          <cell r="E67" t="str">
            <v>✓</v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>
            <v>1</v>
          </cell>
          <cell r="L67">
            <v>3</v>
          </cell>
          <cell r="N67">
            <v>20</v>
          </cell>
          <cell r="O67">
            <v>200</v>
          </cell>
          <cell r="P67">
            <v>1</v>
          </cell>
          <cell r="Q67">
            <v>4</v>
          </cell>
          <cell r="R67">
            <v>0</v>
          </cell>
          <cell r="S67">
            <v>7</v>
          </cell>
          <cell r="T67" t="str">
            <v>A</v>
          </cell>
          <cell r="U67">
            <v>35</v>
          </cell>
          <cell r="V67" t="str">
            <v>شركة ناف الجود- NAF AL JOOD</v>
          </cell>
          <cell r="W67">
            <v>0</v>
          </cell>
          <cell r="X67">
            <v>105</v>
          </cell>
          <cell r="Z67" t="str">
            <v>RM-00507</v>
          </cell>
          <cell r="AA67" t="str">
            <v xml:space="preserve">MARGUERITE SWEET DUSTING POWDER - CONDINEIGE| بودرة سكر للزينه </v>
          </cell>
          <cell r="AB67" t="str">
            <v>RM-00507</v>
          </cell>
          <cell r="AC67" t="str">
            <v>MARGUERITE SWEET DUSTING POWDER - CONDINEIGE| بودرة سكر للزينه</v>
          </cell>
          <cell r="AD67">
            <v>35</v>
          </cell>
          <cell r="AE67" t="str">
            <v>شركة ناف الجود- NAF AL JOOD</v>
          </cell>
        </row>
        <row r="68">
          <cell r="B68" t="str">
            <v>RM-00518</v>
          </cell>
          <cell r="C68" t="str">
            <v>بايسون مشروب طاقة  Bison energy drink 250 ml</v>
          </cell>
          <cell r="D68" t="str">
            <v>بايسون مشروب طاقة  Bison energy drink 250 ml</v>
          </cell>
          <cell r="E68" t="str">
            <v>✓</v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>
            <v>1</v>
          </cell>
          <cell r="L68">
            <v>4700</v>
          </cell>
          <cell r="N68">
            <v>3360</v>
          </cell>
          <cell r="O68">
            <v>21.446808510638299</v>
          </cell>
          <cell r="P68">
            <v>1566.6666666666665</v>
          </cell>
          <cell r="Q68">
            <v>6266.6666666666661</v>
          </cell>
          <cell r="R68">
            <v>2906.6666666666661</v>
          </cell>
          <cell r="S68">
            <v>7</v>
          </cell>
          <cell r="T68" t="str">
            <v>S</v>
          </cell>
          <cell r="U68">
            <v>3.3879199999999998</v>
          </cell>
          <cell r="V68" t="str">
            <v>Matrix Business Co. شركة مصفوفة الأعمال التجارية</v>
          </cell>
          <cell r="W68">
            <v>9847.5541333333313</v>
          </cell>
          <cell r="X68">
            <v>15923.223999999998</v>
          </cell>
          <cell r="Z68" t="str">
            <v>RM-00518</v>
          </cell>
          <cell r="AA68" t="str">
            <v>بايسون مشروب طاقة  Bison energy drink 250 ml</v>
          </cell>
          <cell r="AB68" t="str">
            <v>RM-00518</v>
          </cell>
          <cell r="AC68" t="str">
            <v>بايسون مشروب طاقة  Bison energy drink 250 ml</v>
          </cell>
          <cell r="AD68">
            <v>3.3879199999999998</v>
          </cell>
          <cell r="AE68" t="str">
            <v>شركة ناف الجود- NAF AL JOOD</v>
          </cell>
        </row>
        <row r="69">
          <cell r="B69" t="str">
            <v>RM-00068</v>
          </cell>
          <cell r="C69" t="str">
            <v>Kunafa Chocolate Bar | تشوكلت بار كنافة</v>
          </cell>
          <cell r="D69" t="str">
            <v>Kunafa Chocolate Bar | تشوكلت بار كنافة</v>
          </cell>
          <cell r="E69" t="str">
            <v>✓</v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>
            <v>1</v>
          </cell>
          <cell r="L69">
            <v>3600</v>
          </cell>
          <cell r="N69">
            <v>8590</v>
          </cell>
          <cell r="O69">
            <v>71.583333333333329</v>
          </cell>
          <cell r="P69">
            <v>2760</v>
          </cell>
          <cell r="Q69">
            <v>6360</v>
          </cell>
          <cell r="R69">
            <v>0</v>
          </cell>
          <cell r="S69">
            <v>20</v>
          </cell>
          <cell r="T69" t="str">
            <v>S</v>
          </cell>
          <cell r="U69">
            <v>5.5</v>
          </cell>
          <cell r="V69" t="str">
            <v>HISSAH AHMAD ALAMER TRENDING</v>
          </cell>
          <cell r="W69">
            <v>0</v>
          </cell>
          <cell r="X69">
            <v>19800</v>
          </cell>
          <cell r="Z69" t="str">
            <v>RM-00068</v>
          </cell>
          <cell r="AA69" t="str">
            <v xml:space="preserve">Kunafa chocolate bar | تشوكلت بار كنافة </v>
          </cell>
          <cell r="AB69" t="str">
            <v>RM-00068</v>
          </cell>
          <cell r="AC69" t="str">
            <v>Kunafa Chocolate Bar | تشوكلت بار كنافة</v>
          </cell>
          <cell r="AD69">
            <v>5.5</v>
          </cell>
          <cell r="AE69" t="str">
            <v>HISSAH AHMAD ALAMER TRENDING</v>
          </cell>
        </row>
        <row r="70">
          <cell r="B70" t="str">
            <v>RM-00037</v>
          </cell>
          <cell r="C70" t="str">
            <v>Flake Chocolate شوكولاتة فليك</v>
          </cell>
          <cell r="D70" t="str">
            <v>Flake Chocolate شوكولاتة فليك</v>
          </cell>
          <cell r="E70" t="str">
            <v>✓</v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>
            <v>1</v>
          </cell>
          <cell r="L70">
            <v>7500</v>
          </cell>
          <cell r="N70">
            <v>729.35</v>
          </cell>
          <cell r="O70">
            <v>2.9174000000000002</v>
          </cell>
          <cell r="P70">
            <v>2500</v>
          </cell>
          <cell r="Q70">
            <v>10000</v>
          </cell>
          <cell r="R70">
            <v>9270.65</v>
          </cell>
          <cell r="S70">
            <v>7</v>
          </cell>
          <cell r="T70" t="str">
            <v>S</v>
          </cell>
          <cell r="U70">
            <v>71.703869999999995</v>
          </cell>
          <cell r="V70" t="str">
            <v>Sanabel United Trading Co. شركة سنابل المتحدة للتجارة</v>
          </cell>
          <cell r="W70">
            <v>664741.48241549998</v>
          </cell>
          <cell r="X70">
            <v>537779.02499999991</v>
          </cell>
          <cell r="Z70" t="str">
            <v>RM-00037</v>
          </cell>
          <cell r="AA70" t="str">
            <v>Flake Chocolate شوكولاتة فليك</v>
          </cell>
          <cell r="AB70" t="str">
            <v>RM-00037</v>
          </cell>
          <cell r="AC70" t="str">
            <v>Flake Chocolate شوكولاتة فليك</v>
          </cell>
          <cell r="AD70">
            <v>71.703869999999995</v>
          </cell>
          <cell r="AE70" t="str">
            <v>Sanabel United Trading Co. شركة سنابل المتحدة للتجارة</v>
          </cell>
        </row>
        <row r="71">
          <cell r="B71" t="str">
            <v>RM-00320</v>
          </cell>
          <cell r="C71" t="str">
            <v>صوص جوز البيكان VARIEGATO NOCE PECAN</v>
          </cell>
          <cell r="D71" t="str">
            <v>صوص جوز البيكان VARIEGATO NOCE PECAN</v>
          </cell>
          <cell r="E71" t="str">
            <v>✓</v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>
            <v>1</v>
          </cell>
          <cell r="L71">
            <v>750</v>
          </cell>
          <cell r="N71">
            <v>1320</v>
          </cell>
          <cell r="O71">
            <v>52.8</v>
          </cell>
          <cell r="P71">
            <v>250</v>
          </cell>
          <cell r="Q71">
            <v>1000</v>
          </cell>
          <cell r="R71">
            <v>0</v>
          </cell>
          <cell r="S71">
            <v>7</v>
          </cell>
          <cell r="T71" t="str">
            <v>A</v>
          </cell>
          <cell r="U71">
            <v>84.8</v>
          </cell>
          <cell r="V71" t="str">
            <v>AL Babtain Food Co. شركة عبدالعزيز ومنصور إبراهيم البابطين</v>
          </cell>
          <cell r="W71">
            <v>0</v>
          </cell>
          <cell r="X71">
            <v>63600</v>
          </cell>
          <cell r="Z71" t="str">
            <v>RM-00320</v>
          </cell>
          <cell r="AA71" t="str">
            <v>صوص جوز البيكان VARIEGATO NOCE PECAN</v>
          </cell>
          <cell r="AB71" t="str">
            <v>RM-00320</v>
          </cell>
          <cell r="AC71" t="str">
            <v>صوص جوز البيكان VARIEGATO NOCE PECAN</v>
          </cell>
          <cell r="AD71">
            <v>84.8</v>
          </cell>
          <cell r="AE71" t="str">
            <v>AL Babtain Food Co. شركة عبدالعزيز ومنصور إبراهيم البابطين</v>
          </cell>
        </row>
        <row r="72">
          <cell r="B72" t="str">
            <v>RM-00515</v>
          </cell>
          <cell r="C72" t="str">
            <v>Mango filling &amp; Topping FRUTTOSE 85% حشوة مانجو</v>
          </cell>
          <cell r="D72" t="str">
            <v>Mango filling &amp; Topping FRUTTOSE 85% حشوة مانجو</v>
          </cell>
          <cell r="E72" t="str">
            <v>✓</v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>
            <v>1</v>
          </cell>
          <cell r="L72">
            <v>300</v>
          </cell>
          <cell r="N72">
            <v>190</v>
          </cell>
          <cell r="O72">
            <v>19</v>
          </cell>
          <cell r="P72">
            <v>170</v>
          </cell>
          <cell r="Q72">
            <v>470</v>
          </cell>
          <cell r="R72">
            <v>280</v>
          </cell>
          <cell r="S72">
            <v>14</v>
          </cell>
          <cell r="T72" t="str">
            <v>A</v>
          </cell>
          <cell r="U72">
            <v>65</v>
          </cell>
          <cell r="V72" t="str">
            <v>شركة اضافات العالمية للتجارة-Edafat</v>
          </cell>
          <cell r="W72">
            <v>18200</v>
          </cell>
          <cell r="X72">
            <v>19500</v>
          </cell>
          <cell r="Z72" t="str">
            <v>RM-00515</v>
          </cell>
          <cell r="AA72" t="str">
            <v>Mango filling &amp; Topping FRUTTOSE 85% حشوة مانجو</v>
          </cell>
          <cell r="AB72" t="str">
            <v>RM-00515</v>
          </cell>
          <cell r="AC72" t="str">
            <v>Mango filling &amp; Topping FRUTTOSE 85% حشوة مانجو</v>
          </cell>
          <cell r="AD72">
            <v>65</v>
          </cell>
          <cell r="AE72" t="str">
            <v>شركة اضافات العالمية للتجارة-Edafat</v>
          </cell>
        </row>
        <row r="73">
          <cell r="B73" t="str">
            <v>RM-00740</v>
          </cell>
          <cell r="C73" t="str">
            <v>Matcha Powder GRADE C مسحوق الماتشا  C</v>
          </cell>
          <cell r="D73" t="str">
            <v>Matcha Powder GRADE C مسحوق الماتشا  C</v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>
            <v>0</v>
          </cell>
          <cell r="L73">
            <v>2100</v>
          </cell>
          <cell r="N73">
            <v>506</v>
          </cell>
          <cell r="O73">
            <v>7.2285714285714286</v>
          </cell>
          <cell r="P73">
            <v>6510</v>
          </cell>
          <cell r="Q73">
            <v>8610</v>
          </cell>
          <cell r="R73">
            <v>8104</v>
          </cell>
          <cell r="S73">
            <v>90</v>
          </cell>
          <cell r="T73" t="str">
            <v>A</v>
          </cell>
          <cell r="U73">
            <v>65</v>
          </cell>
          <cell r="V73" t="str">
            <v>Xi’an Pincredit Bio-Tech Co.,Ltd</v>
          </cell>
          <cell r="W73">
            <v>526760</v>
          </cell>
          <cell r="X73">
            <v>136500</v>
          </cell>
          <cell r="Z73" t="str">
            <v>SF-00014</v>
          </cell>
          <cell r="AA73" t="e">
            <v>#N/A</v>
          </cell>
          <cell r="AB73" t="str">
            <v>RM-00740</v>
          </cell>
          <cell r="AC73" t="str">
            <v>Matcha Powder GRADE C مسحوق الماتشا  C</v>
          </cell>
          <cell r="AD73">
            <v>245.05</v>
          </cell>
          <cell r="AE73" t="str">
            <v>Xi’an Pincredit Bio-Tech Co.,Ltd</v>
          </cell>
        </row>
        <row r="74">
          <cell r="B74" t="str">
            <v>RM-00588</v>
          </cell>
          <cell r="C74" t="str">
            <v>Soya Milkحليب الصويا</v>
          </cell>
          <cell r="D74" t="str">
            <v>Soya Milkحليب الصويا</v>
          </cell>
          <cell r="E74" t="str">
            <v>✓</v>
          </cell>
          <cell r="F74" t="str">
            <v>✓</v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>
            <v>2</v>
          </cell>
          <cell r="L74">
            <v>150</v>
          </cell>
          <cell r="N74">
            <v>96</v>
          </cell>
          <cell r="O74">
            <v>19.2</v>
          </cell>
          <cell r="P74">
            <v>50</v>
          </cell>
          <cell r="Q74">
            <v>200</v>
          </cell>
          <cell r="R74">
            <v>104</v>
          </cell>
          <cell r="S74">
            <v>7</v>
          </cell>
          <cell r="T74" t="str">
            <v>A</v>
          </cell>
          <cell r="U74">
            <v>14</v>
          </cell>
          <cell r="V74" t="str">
            <v>Hawader AlKhaleej Trading Co. شركة حواضر الخليج للتجارة</v>
          </cell>
          <cell r="W74">
            <v>1456</v>
          </cell>
          <cell r="X74">
            <v>2100</v>
          </cell>
          <cell r="Z74" t="str">
            <v>RM-00588</v>
          </cell>
          <cell r="AA74" t="str">
            <v>Soya Milkحليب الصويا</v>
          </cell>
          <cell r="AB74" t="str">
            <v>RM-00588</v>
          </cell>
          <cell r="AC74" t="str">
            <v>Soya Milkحليب الصويا</v>
          </cell>
          <cell r="AD74">
            <v>14</v>
          </cell>
          <cell r="AE74" t="str">
            <v>شركة أعمال الضيافة للخدمات التموينية</v>
          </cell>
        </row>
        <row r="75">
          <cell r="B75" t="str">
            <v>RM-00583</v>
          </cell>
          <cell r="C75" t="str">
            <v>Almond Milk حليب لوز</v>
          </cell>
          <cell r="D75" t="str">
            <v>Almond Milk حليب لوز</v>
          </cell>
          <cell r="E75" t="str">
            <v>✓</v>
          </cell>
          <cell r="F75" t="str">
            <v>✓</v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>
            <v>2</v>
          </cell>
          <cell r="L75">
            <v>350</v>
          </cell>
          <cell r="N75">
            <v>40</v>
          </cell>
          <cell r="O75">
            <v>3.4285714285714284</v>
          </cell>
          <cell r="P75">
            <v>116.66666666666666</v>
          </cell>
          <cell r="Q75">
            <v>466.66666666666663</v>
          </cell>
          <cell r="R75">
            <v>426.66666666666663</v>
          </cell>
          <cell r="S75">
            <v>7</v>
          </cell>
          <cell r="T75" t="str">
            <v>A</v>
          </cell>
          <cell r="U75">
            <v>14</v>
          </cell>
          <cell r="V75" t="str">
            <v>Hawader AlKhaleej Trading Co. شركة حواضر الخليج للتجارة</v>
          </cell>
          <cell r="W75">
            <v>5973.333333333333</v>
          </cell>
          <cell r="X75">
            <v>4900</v>
          </cell>
          <cell r="Z75" t="str">
            <v>RM-00583</v>
          </cell>
          <cell r="AA75" t="str">
            <v>Almond Milk حليب لوز</v>
          </cell>
          <cell r="AB75" t="str">
            <v>RM-00583</v>
          </cell>
          <cell r="AC75" t="str">
            <v>Almond Milk حليب لوز</v>
          </cell>
          <cell r="AD75">
            <v>14</v>
          </cell>
          <cell r="AE75" t="str">
            <v>شركة أعمال الضيافة للخدمات التموينية</v>
          </cell>
        </row>
        <row r="76">
          <cell r="B76" t="str">
            <v>RM-00584</v>
          </cell>
          <cell r="C76" t="str">
            <v>coconut milk حليب جوز هند</v>
          </cell>
          <cell r="D76" t="str">
            <v>coconut milk حليب جوز هند</v>
          </cell>
          <cell r="E76" t="str">
            <v>✓</v>
          </cell>
          <cell r="F76" t="str">
            <v>✓</v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>
            <v>2</v>
          </cell>
          <cell r="L76">
            <v>1000</v>
          </cell>
          <cell r="N76">
            <v>184</v>
          </cell>
          <cell r="O76">
            <v>5.52</v>
          </cell>
          <cell r="P76">
            <v>333.33333333333331</v>
          </cell>
          <cell r="Q76">
            <v>1333.3333333333333</v>
          </cell>
          <cell r="R76">
            <v>1149.3333333333333</v>
          </cell>
          <cell r="S76">
            <v>7</v>
          </cell>
          <cell r="T76" t="str">
            <v>A</v>
          </cell>
          <cell r="U76">
            <v>14</v>
          </cell>
          <cell r="V76" t="str">
            <v>Hawader AlKhaleej Trading Co. شركة حواضر الخليج للتجارة</v>
          </cell>
          <cell r="W76">
            <v>16090.666666666666</v>
          </cell>
          <cell r="X76">
            <v>14000</v>
          </cell>
          <cell r="Z76" t="str">
            <v>RM-00584</v>
          </cell>
          <cell r="AA76" t="str">
            <v>coconut milk حليب جوز هند</v>
          </cell>
          <cell r="AB76" t="str">
            <v>RM-00584</v>
          </cell>
          <cell r="AC76" t="str">
            <v>coconut milk حليب جوز هند</v>
          </cell>
          <cell r="AD76">
            <v>14</v>
          </cell>
          <cell r="AE76" t="str">
            <v>شركة أعمال الضيافة للخدمات التموينية</v>
          </cell>
        </row>
        <row r="77">
          <cell r="B77" t="str">
            <v>RM-00085</v>
          </cell>
          <cell r="C77" t="str">
            <v>CARAMEL SPECIALTY | حشوة سولتيد كراميل</v>
          </cell>
          <cell r="D77" t="str">
            <v>CARAMEL SPECIALTY | حشوة سولتيد كراميل</v>
          </cell>
          <cell r="E77" t="str">
            <v>✓</v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>✓</v>
          </cell>
          <cell r="K77">
            <v>2</v>
          </cell>
          <cell r="L77">
            <v>220</v>
          </cell>
          <cell r="N77">
            <v>2424</v>
          </cell>
          <cell r="O77">
            <v>330.5454545454545</v>
          </cell>
          <cell r="P77">
            <v>124.66666666666666</v>
          </cell>
          <cell r="Q77">
            <v>344.66666666666663</v>
          </cell>
          <cell r="R77">
            <v>0</v>
          </cell>
          <cell r="S77">
            <v>14</v>
          </cell>
          <cell r="T77" t="str">
            <v>S</v>
          </cell>
          <cell r="U77">
            <v>41</v>
          </cell>
          <cell r="V77" t="str">
            <v>BanoPuratos Arabia Co. "Sweet Mix Co. شركة خليط الحلى المتحدة"</v>
          </cell>
          <cell r="W77">
            <v>0</v>
          </cell>
          <cell r="X77">
            <v>9020</v>
          </cell>
          <cell r="Z77" t="str">
            <v>RM-00085</v>
          </cell>
          <cell r="AA77" t="str">
            <v>CARAMEL SPECIALTY | حشوة سولتيد كراميل</v>
          </cell>
          <cell r="AB77" t="str">
            <v>RM-00085</v>
          </cell>
          <cell r="AC77" t="str">
            <v>CARAMEL SPECIALTY | حشوة سولتيد كراميل</v>
          </cell>
          <cell r="AD77">
            <v>41</v>
          </cell>
          <cell r="AE77" t="str">
            <v>BanoPuratos Arabia Co. "Sweet Mix Co. شركة خليط الحلى المتحدة"</v>
          </cell>
        </row>
        <row r="78">
          <cell r="B78" t="str">
            <v>RM-00741</v>
          </cell>
          <cell r="C78" t="str">
            <v>Zamzam Water ماء زمزم</v>
          </cell>
          <cell r="D78" t="str">
            <v>Zamzam Water ماء زمزم</v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>
            <v>0</v>
          </cell>
          <cell r="L78">
            <v>90</v>
          </cell>
          <cell r="N78">
            <v>229</v>
          </cell>
          <cell r="O78">
            <v>76.333333333333329</v>
          </cell>
          <cell r="P78">
            <v>30</v>
          </cell>
          <cell r="Q78">
            <v>120</v>
          </cell>
          <cell r="R78">
            <v>0</v>
          </cell>
          <cell r="S78">
            <v>7</v>
          </cell>
          <cell r="T78" t="str">
            <v>A</v>
          </cell>
          <cell r="U78">
            <v>9.85</v>
          </cell>
          <cell r="V78" t="str">
            <v>شركة ناف الجود- NAF AL JOOD</v>
          </cell>
          <cell r="W78">
            <v>0</v>
          </cell>
          <cell r="X78">
            <v>886.5</v>
          </cell>
          <cell r="Z78" t="str">
            <v>SF-00199</v>
          </cell>
          <cell r="AA78" t="e">
            <v>#N/A</v>
          </cell>
          <cell r="AB78" t="str">
            <v>RM-00741</v>
          </cell>
          <cell r="AC78" t="str">
            <v>Zamzam Water ماء زمزم</v>
          </cell>
          <cell r="AD78">
            <v>9.85</v>
          </cell>
          <cell r="AE78" t="str">
            <v>شركة ناف الجود- NAF AL JOOD</v>
          </cell>
        </row>
        <row r="79">
          <cell r="B79" t="str">
            <v>RM-00296</v>
          </cell>
          <cell r="C79" t="str">
            <v>Sukkari coated dates تمر سكري مغلف</v>
          </cell>
          <cell r="D79" t="str">
            <v>Sukkari coated dates تمر سكري مغلف</v>
          </cell>
          <cell r="E79" t="str">
            <v>✓</v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>
            <v>1</v>
          </cell>
          <cell r="L79">
            <v>280</v>
          </cell>
          <cell r="N79">
            <v>20</v>
          </cell>
          <cell r="O79">
            <v>2.1428571428571428</v>
          </cell>
          <cell r="P79">
            <v>93.333333333333329</v>
          </cell>
          <cell r="Q79">
            <v>373.33333333333331</v>
          </cell>
          <cell r="R79">
            <v>353.33333333333331</v>
          </cell>
          <cell r="S79">
            <v>7</v>
          </cell>
          <cell r="T79" t="str">
            <v>A</v>
          </cell>
          <cell r="U79">
            <v>33.909999999999997</v>
          </cell>
          <cell r="V79" t="str">
            <v>Najdyh Dates Co. شركة تمور نجدية للتجارة</v>
          </cell>
          <cell r="W79">
            <v>11981.533333333331</v>
          </cell>
          <cell r="X79">
            <v>9494.7999999999993</v>
          </cell>
          <cell r="Z79" t="str">
            <v>RM-00296</v>
          </cell>
          <cell r="AA79" t="str">
            <v>Sukkari coated dates تمر سكري مغلف</v>
          </cell>
          <cell r="AB79" t="str">
            <v>RM-00296</v>
          </cell>
          <cell r="AC79" t="str">
            <v>Sukkari coated dates تمر سكري مغلف</v>
          </cell>
          <cell r="AD79">
            <v>33.909999999999997</v>
          </cell>
          <cell r="AE79" t="str">
            <v>Najdyh Dates Co. شركة تمور نجدية للتجارة</v>
          </cell>
        </row>
        <row r="80">
          <cell r="B80" t="str">
            <v>RM-00158</v>
          </cell>
          <cell r="C80" t="str">
            <v>English breakfast tea شاي الفطور الانجليزي</v>
          </cell>
          <cell r="D80" t="str">
            <v>English breakfast tea شاي الفطور الانجليزي</v>
          </cell>
          <cell r="E80" t="str">
            <v>✓</v>
          </cell>
          <cell r="F80" t="str">
            <v/>
          </cell>
          <cell r="G80" t="str">
            <v/>
          </cell>
          <cell r="H80" t="str">
            <v>✓</v>
          </cell>
          <cell r="I80" t="str">
            <v/>
          </cell>
          <cell r="J80" t="str">
            <v/>
          </cell>
          <cell r="K80">
            <v>2</v>
          </cell>
          <cell r="L80">
            <v>5000</v>
          </cell>
          <cell r="N80">
            <v>599</v>
          </cell>
          <cell r="O80">
            <v>3.5940000000000003</v>
          </cell>
          <cell r="P80">
            <v>1666.6666666666665</v>
          </cell>
          <cell r="Q80">
            <v>6666.6666666666661</v>
          </cell>
          <cell r="R80">
            <v>6067.6666666666661</v>
          </cell>
          <cell r="S80">
            <v>7</v>
          </cell>
          <cell r="T80" t="str">
            <v>A</v>
          </cell>
          <cell r="U80">
            <v>0.21082999999999999</v>
          </cell>
          <cell r="V80" t="str">
            <v>Tanzeem Al Afkar Trading Company | شركة تنظيم الافكار للتجارة</v>
          </cell>
          <cell r="W80">
            <v>1279.2461633333332</v>
          </cell>
          <cell r="X80">
            <v>1054.1499999999999</v>
          </cell>
          <cell r="Z80" t="str">
            <v>RM-00158</v>
          </cell>
          <cell r="AA80" t="str">
            <v>English breakfast tea شاي الفطور الانجليزي</v>
          </cell>
          <cell r="AB80" t="str">
            <v>RM-00158</v>
          </cell>
          <cell r="AC80" t="str">
            <v>English breakfast tea شاي الفطور الانجليزي</v>
          </cell>
          <cell r="AD80">
            <v>0.21082999999999999</v>
          </cell>
          <cell r="AE80" t="str">
            <v>Tanzeem Al Afkar Trading Company | شركة تنظيم الافكار للتجارة</v>
          </cell>
        </row>
        <row r="81">
          <cell r="B81" t="str">
            <v>RM-00050</v>
          </cell>
          <cell r="C81" t="str">
            <v>Happy cao Cocoa powder بودرة كاكاو هابي كاو</v>
          </cell>
          <cell r="D81" t="str">
            <v>Happy cao Cocoa powder بودرة كاكاو هابي كاو</v>
          </cell>
          <cell r="E81" t="str">
            <v>✓</v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>
            <v>1</v>
          </cell>
          <cell r="L81">
            <v>180</v>
          </cell>
          <cell r="N81">
            <v>0</v>
          </cell>
          <cell r="O81">
            <v>0</v>
          </cell>
          <cell r="P81">
            <v>60</v>
          </cell>
          <cell r="Q81">
            <v>240</v>
          </cell>
          <cell r="R81">
            <v>240</v>
          </cell>
          <cell r="S81">
            <v>7</v>
          </cell>
          <cell r="T81" t="str">
            <v>S</v>
          </cell>
          <cell r="U81">
            <v>70</v>
          </cell>
          <cell r="V81" t="str">
            <v>شركة رماح الشرق الأوسط المحدودة</v>
          </cell>
          <cell r="W81">
            <v>16800</v>
          </cell>
          <cell r="X81">
            <v>12600</v>
          </cell>
          <cell r="Z81" t="str">
            <v>RM-00050</v>
          </cell>
          <cell r="AA81" t="str">
            <v>Happy cao Cocoa powder بودرة كاكاو هابي كاو</v>
          </cell>
          <cell r="AB81" t="str">
            <v>RM-00050</v>
          </cell>
          <cell r="AC81" t="str">
            <v>Happy cao Cocoa powder بودرة كاكاو هابي كاو</v>
          </cell>
          <cell r="AD81">
            <v>70</v>
          </cell>
          <cell r="AE81" t="str">
            <v>شركة رماح الشرق الأوسط المحدودة</v>
          </cell>
        </row>
        <row r="82">
          <cell r="B82" t="str">
            <v>RM-00415</v>
          </cell>
          <cell r="C82" t="str">
            <v>جوز البيكان | Pecan nuts</v>
          </cell>
          <cell r="D82" t="str">
            <v>جوز البيكان | Pecan nuts</v>
          </cell>
          <cell r="E82" t="str">
            <v>✓</v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>✓</v>
          </cell>
          <cell r="K82">
            <v>2</v>
          </cell>
          <cell r="L82">
            <v>500</v>
          </cell>
          <cell r="N82">
            <v>613.35</v>
          </cell>
          <cell r="O82">
            <v>36.801000000000002</v>
          </cell>
          <cell r="P82">
            <v>166.66666666666666</v>
          </cell>
          <cell r="Q82">
            <v>666.66666666666663</v>
          </cell>
          <cell r="R82">
            <v>53.316666666666606</v>
          </cell>
          <cell r="S82">
            <v>7</v>
          </cell>
          <cell r="T82" t="str">
            <v>A</v>
          </cell>
          <cell r="U82">
            <v>59.852939999999997</v>
          </cell>
          <cell r="V82" t="str">
            <v>شركة الوصيل التجاريه - AL WASEEL</v>
          </cell>
          <cell r="W82">
            <v>3191.1592509999964</v>
          </cell>
          <cell r="X82">
            <v>29926.469999999998</v>
          </cell>
          <cell r="Z82" t="str">
            <v>RM-00415</v>
          </cell>
          <cell r="AA82" t="str">
            <v>جوز البيكان | Pecan nuts</v>
          </cell>
          <cell r="AB82" t="str">
            <v>RM-00415</v>
          </cell>
          <cell r="AC82" t="str">
            <v>جوز البيكان | Pecan nuts</v>
          </cell>
          <cell r="AD82">
            <v>59.852939999999997</v>
          </cell>
          <cell r="AE82" t="str">
            <v>شركة خالد درع الدرع وشريكة المحدودة</v>
          </cell>
        </row>
        <row r="83">
          <cell r="B83" t="str">
            <v>RM-00283</v>
          </cell>
          <cell r="C83" t="str">
            <v>Roselle | كركديه</v>
          </cell>
          <cell r="D83" t="str">
            <v>Roselle | كركديه</v>
          </cell>
          <cell r="E83" t="str">
            <v>✓</v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>
            <v>1</v>
          </cell>
          <cell r="L83">
            <v>80</v>
          </cell>
          <cell r="N83">
            <v>380</v>
          </cell>
          <cell r="O83">
            <v>142.5</v>
          </cell>
          <cell r="P83">
            <v>26.666666666666664</v>
          </cell>
          <cell r="Q83">
            <v>106.66666666666666</v>
          </cell>
          <cell r="R83">
            <v>0</v>
          </cell>
          <cell r="S83">
            <v>7</v>
          </cell>
          <cell r="T83" t="str">
            <v>S</v>
          </cell>
          <cell r="U83">
            <v>17</v>
          </cell>
          <cell r="V83" t="str">
            <v>شركة بشريات الموسم للتجارة</v>
          </cell>
          <cell r="W83">
            <v>0</v>
          </cell>
          <cell r="X83">
            <v>1360</v>
          </cell>
          <cell r="Z83" t="str">
            <v>RM-00283</v>
          </cell>
          <cell r="AA83" t="str">
            <v>Roselle | كركديه</v>
          </cell>
          <cell r="AB83" t="str">
            <v>RM-00283</v>
          </cell>
          <cell r="AC83" t="str">
            <v>Roselle | كركديه</v>
          </cell>
          <cell r="AD83">
            <v>17</v>
          </cell>
          <cell r="AE83" t="str">
            <v>شركة بشريات الموسم للتجارة</v>
          </cell>
        </row>
        <row r="84">
          <cell r="B84" t="str">
            <v>RM-00537</v>
          </cell>
          <cell r="C84" t="str">
            <v>Syrup Mango Teisseire سيروب تيسير مانجو</v>
          </cell>
          <cell r="D84" t="str">
            <v>Syrup Mango Teisseireسيروب المانجو</v>
          </cell>
          <cell r="E84" t="str">
            <v/>
          </cell>
          <cell r="F84" t="str">
            <v>✓</v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>
            <v>1</v>
          </cell>
          <cell r="L84">
            <v>90</v>
          </cell>
          <cell r="M84" t="str">
            <v>Adj</v>
          </cell>
          <cell r="N84">
            <v>414.79999999999995</v>
          </cell>
          <cell r="O84">
            <v>138.26666666666665</v>
          </cell>
          <cell r="P84">
            <v>30</v>
          </cell>
          <cell r="Q84">
            <v>120</v>
          </cell>
          <cell r="R84">
            <v>0</v>
          </cell>
          <cell r="S84">
            <v>7</v>
          </cell>
          <cell r="T84" t="str">
            <v>S</v>
          </cell>
          <cell r="U84">
            <v>54.285710000000002</v>
          </cell>
          <cell r="V84" t="str">
            <v>شركة شمس القهوة للتجارة المحدودة</v>
          </cell>
          <cell r="W84">
            <v>0</v>
          </cell>
          <cell r="X84">
            <v>4885.7138999999997</v>
          </cell>
          <cell r="Z84" t="str">
            <v>RM-00582</v>
          </cell>
          <cell r="AA84" t="str">
            <v>Syrup Mango Teisseireسيروب المانجو</v>
          </cell>
          <cell r="AB84" t="str">
            <v>RM-00537</v>
          </cell>
          <cell r="AC84" t="str">
            <v>Syrup Mango Teisseire سيروب تيسير مانجو</v>
          </cell>
          <cell r="AD84">
            <v>54.285710000000002</v>
          </cell>
          <cell r="AE84" t="str">
            <v>شركة شمس القهوة للتجارة المحدودة</v>
          </cell>
        </row>
        <row r="85">
          <cell r="B85" t="str">
            <v>RM-00513</v>
          </cell>
          <cell r="C85" t="str">
            <v>Enzo Syrup Watermelon اينزو سيروب البطيخ</v>
          </cell>
          <cell r="D85" t="str">
            <v>Enzo Syrup Watermelon اينزو سيروب البطيخ</v>
          </cell>
          <cell r="E85" t="str">
            <v>✓</v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>
            <v>1</v>
          </cell>
          <cell r="L85">
            <v>75</v>
          </cell>
          <cell r="N85">
            <v>0</v>
          </cell>
          <cell r="O85">
            <v>0</v>
          </cell>
          <cell r="P85">
            <v>25</v>
          </cell>
          <cell r="Q85">
            <v>100</v>
          </cell>
          <cell r="R85">
            <v>100</v>
          </cell>
          <cell r="S85">
            <v>7</v>
          </cell>
          <cell r="T85" t="str">
            <v>A</v>
          </cell>
          <cell r="U85">
            <v>40</v>
          </cell>
          <cell r="V85" t="str">
            <v>شركة بشريات الموسم للتجارة</v>
          </cell>
          <cell r="W85">
            <v>4000</v>
          </cell>
          <cell r="X85">
            <v>3000</v>
          </cell>
          <cell r="Z85" t="str">
            <v>RM-00513</v>
          </cell>
          <cell r="AA85" t="str">
            <v>Enzo Syrup Watermelon اينزو سيروب البطيخ</v>
          </cell>
          <cell r="AB85" t="str">
            <v>RM-00513</v>
          </cell>
          <cell r="AC85" t="str">
            <v>Enzo Syrup Watermelon اينزو سيروب البطيخ</v>
          </cell>
          <cell r="AD85">
            <v>40</v>
          </cell>
          <cell r="AE85" t="str">
            <v>شركة بشريات الموسم للتجارة</v>
          </cell>
        </row>
        <row r="86">
          <cell r="B86" t="str">
            <v>RM-00568</v>
          </cell>
          <cell r="C86" t="str">
            <v>Syrup lemon Teisseire سيروب تيسير ليمون</v>
          </cell>
          <cell r="D86" t="str">
            <v>Syrup lemon Teisseire سيروب تيسير ليمون</v>
          </cell>
          <cell r="E86" t="str">
            <v>✓</v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>
            <v>1</v>
          </cell>
          <cell r="L86">
            <v>105</v>
          </cell>
          <cell r="N86">
            <v>167</v>
          </cell>
          <cell r="O86">
            <v>47.714285714285708</v>
          </cell>
          <cell r="P86">
            <v>35</v>
          </cell>
          <cell r="Q86">
            <v>140</v>
          </cell>
          <cell r="R86">
            <v>0</v>
          </cell>
          <cell r="S86">
            <v>7</v>
          </cell>
          <cell r="T86" t="str">
            <v>A</v>
          </cell>
          <cell r="U86">
            <v>40</v>
          </cell>
          <cell r="V86" t="str">
            <v>شركة شمس القهوة للتجارة المحدودة</v>
          </cell>
          <cell r="W86">
            <v>0</v>
          </cell>
          <cell r="X86">
            <v>4200</v>
          </cell>
          <cell r="Z86" t="str">
            <v>RM-00568</v>
          </cell>
          <cell r="AA86" t="str">
            <v>Syrup lemon Teisseire سيروب تيسير ليمون</v>
          </cell>
          <cell r="AB86" t="str">
            <v>RM-00568</v>
          </cell>
          <cell r="AC86" t="str">
            <v>Syrup lemon Teisseire سيروب تيسير ليمون</v>
          </cell>
          <cell r="AD86">
            <v>40</v>
          </cell>
          <cell r="AE86" t="str">
            <v>شركة شمس القهوة للتجارة المحدودة</v>
          </cell>
        </row>
        <row r="87">
          <cell r="B87" t="str">
            <v>RM-00536</v>
          </cell>
          <cell r="C87" t="str">
            <v>SYRUP RASPBERRY 1883 سيروب توت احمر</v>
          </cell>
          <cell r="D87" t="str">
            <v>SYRUP RASPBERRY 1883 سيروب توت احمر</v>
          </cell>
          <cell r="E87" t="str">
            <v>✓</v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>✓</v>
          </cell>
          <cell r="K87">
            <v>2</v>
          </cell>
          <cell r="L87">
            <v>150</v>
          </cell>
          <cell r="N87">
            <v>12</v>
          </cell>
          <cell r="O87">
            <v>2.4</v>
          </cell>
          <cell r="P87">
            <v>50</v>
          </cell>
          <cell r="Q87">
            <v>200</v>
          </cell>
          <cell r="R87">
            <v>188</v>
          </cell>
          <cell r="S87">
            <v>7</v>
          </cell>
          <cell r="T87" t="str">
            <v>S</v>
          </cell>
          <cell r="U87">
            <v>44.79083</v>
          </cell>
          <cell r="V87" t="str">
            <v>شركة مصدر الامداد - Masdar Food Supply</v>
          </cell>
          <cell r="W87">
            <v>8420.6760400000003</v>
          </cell>
          <cell r="X87">
            <v>6718.6244999999999</v>
          </cell>
          <cell r="Z87" t="str">
            <v>RM-00536</v>
          </cell>
          <cell r="AA87" t="str">
            <v>SYRUP RASPBERRY 1883 سيروب توت احمر</v>
          </cell>
          <cell r="AB87" t="str">
            <v>RM-00536</v>
          </cell>
          <cell r="AC87" t="str">
            <v>SYRUP RASPBERRY 1883 سيروب توت احمر</v>
          </cell>
          <cell r="AD87">
            <v>44.79083</v>
          </cell>
          <cell r="AE87" t="str">
            <v>شركة مصدر الامداد - Masdar Food Supply</v>
          </cell>
        </row>
        <row r="88">
          <cell r="B88" t="str">
            <v>RM-00509</v>
          </cell>
          <cell r="C88" t="str">
            <v>Syrup Raspberry Polot  توت أحمر سيروب - بولوت</v>
          </cell>
          <cell r="D88" t="str">
            <v>Syrup Raspberry Polot  توت أحمر سيروب - بولوت</v>
          </cell>
          <cell r="E88" t="str">
            <v>✓</v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>
            <v>1</v>
          </cell>
          <cell r="L88">
            <v>615</v>
          </cell>
          <cell r="N88">
            <v>840</v>
          </cell>
          <cell r="O88">
            <v>40.975609756097562</v>
          </cell>
          <cell r="P88">
            <v>205</v>
          </cell>
          <cell r="Q88">
            <v>820</v>
          </cell>
          <cell r="R88">
            <v>0</v>
          </cell>
          <cell r="S88">
            <v>7</v>
          </cell>
          <cell r="T88" t="str">
            <v>A</v>
          </cell>
          <cell r="U88">
            <v>40</v>
          </cell>
          <cell r="V88" t="str">
            <v>شركة اضافات العالمية للتجارة-Edafat</v>
          </cell>
          <cell r="W88">
            <v>0</v>
          </cell>
          <cell r="X88">
            <v>24600</v>
          </cell>
          <cell r="Z88" t="str">
            <v>RM-00509</v>
          </cell>
          <cell r="AA88" t="str">
            <v>Syrup Raspberry Polot  توت أحمر سيروب - بولوت</v>
          </cell>
          <cell r="AB88" t="str">
            <v>RM-00509</v>
          </cell>
          <cell r="AC88" t="str">
            <v>Syrup Raspberry Polot  توت أحمر سيروب - بولوت</v>
          </cell>
          <cell r="AD88">
            <v>40</v>
          </cell>
          <cell r="AE88" t="str">
            <v>شركة اضافات العالمية للتجارة-Edafat</v>
          </cell>
        </row>
        <row r="89">
          <cell r="B89" t="str">
            <v>RM-00560</v>
          </cell>
          <cell r="C89" t="str">
            <v>SYRUP BLACKBERRY 1883 سيروب توت اسود</v>
          </cell>
          <cell r="D89" t="str">
            <v>SYRUP BLACKBERRY 1883 سيروب توت اسود</v>
          </cell>
          <cell r="E89" t="str">
            <v>✓</v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>
            <v>1</v>
          </cell>
          <cell r="L89">
            <v>90</v>
          </cell>
          <cell r="N89">
            <v>323</v>
          </cell>
          <cell r="O89">
            <v>107.66666666666667</v>
          </cell>
          <cell r="P89">
            <v>30</v>
          </cell>
          <cell r="Q89">
            <v>120</v>
          </cell>
          <cell r="R89">
            <v>0</v>
          </cell>
          <cell r="S89">
            <v>7</v>
          </cell>
          <cell r="T89" t="str">
            <v>A</v>
          </cell>
          <cell r="U89">
            <v>46.887</v>
          </cell>
          <cell r="V89" t="str">
            <v>شركة مصدر الامداد - Masdar Food Supply</v>
          </cell>
          <cell r="W89">
            <v>0</v>
          </cell>
          <cell r="X89">
            <v>4219.83</v>
          </cell>
          <cell r="Z89" t="str">
            <v>RM-00560</v>
          </cell>
          <cell r="AA89" t="str">
            <v xml:space="preserve">SYRUP BLACKBERRY 1883 سيروب توت اسود </v>
          </cell>
          <cell r="AB89" t="str">
            <v>RM-00560</v>
          </cell>
          <cell r="AC89" t="str">
            <v>SYRUP BLACKBERRY 1883 سيروب توت اسود</v>
          </cell>
          <cell r="AD89">
            <v>45.885289999999998</v>
          </cell>
          <cell r="AE89" t="str">
            <v>شركة مصدر الامداد - Masdar Food Supply</v>
          </cell>
        </row>
        <row r="90">
          <cell r="B90" t="str">
            <v>RM-00580</v>
          </cell>
          <cell r="C90" t="str">
            <v>Syrup passion fruit Teisseireباشن فروت سيروب - تيسير</v>
          </cell>
          <cell r="D90" t="str">
            <v>Syrup passion fruit Polot  باشن فروت سيروب - بولوت</v>
          </cell>
          <cell r="E90" t="str">
            <v>✓</v>
          </cell>
          <cell r="F90" t="str">
            <v>✓</v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>
            <v>2</v>
          </cell>
          <cell r="L90">
            <v>190</v>
          </cell>
          <cell r="N90">
            <v>95</v>
          </cell>
          <cell r="O90">
            <v>15</v>
          </cell>
          <cell r="P90">
            <v>63.333333333333329</v>
          </cell>
          <cell r="Q90">
            <v>253.33333333333331</v>
          </cell>
          <cell r="R90">
            <v>158.33333333333331</v>
          </cell>
          <cell r="S90">
            <v>7</v>
          </cell>
          <cell r="T90" t="str">
            <v>A</v>
          </cell>
          <cell r="U90">
            <v>42.142859999999999</v>
          </cell>
          <cell r="V90" t="str">
            <v>شركة اضافات العالمية للتجارة-Edafat</v>
          </cell>
          <cell r="W90">
            <v>6672.6194999999989</v>
          </cell>
          <cell r="X90">
            <v>8007.1433999999999</v>
          </cell>
          <cell r="Z90" t="str">
            <v>RM-00564</v>
          </cell>
          <cell r="AA90" t="str">
            <v>Syrup passion fruit Polot  باشن فروت سيروب - بولوت</v>
          </cell>
          <cell r="AB90" t="str">
            <v>RM-00580</v>
          </cell>
          <cell r="AC90" t="str">
            <v>Syrup passion fruit Teisseireباشن فروت سيروب - تيسير</v>
          </cell>
          <cell r="AD90">
            <v>42.142859999999999</v>
          </cell>
          <cell r="AE90" t="str">
            <v>شركة اضافات العالمية للتجارة-Edafat</v>
          </cell>
        </row>
        <row r="91">
          <cell r="B91" t="str">
            <v>RM-00561</v>
          </cell>
          <cell r="C91" t="str">
            <v>Syrup LEMON liqued Moj Polot  فاكهة الليمون سيروب - بولوت</v>
          </cell>
          <cell r="D91" t="str">
            <v>Syrup LEMON liqued Moj Polot  فاكهة الليمون سيروب - بولوت</v>
          </cell>
          <cell r="E91" t="str">
            <v>✓</v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>✓</v>
          </cell>
          <cell r="K91">
            <v>2</v>
          </cell>
          <cell r="L91">
            <v>100</v>
          </cell>
          <cell r="N91">
            <v>519.6</v>
          </cell>
          <cell r="O91">
            <v>155.88000000000002</v>
          </cell>
          <cell r="P91">
            <v>33.333333333333329</v>
          </cell>
          <cell r="Q91">
            <v>133.33333333333331</v>
          </cell>
          <cell r="R91">
            <v>0</v>
          </cell>
          <cell r="S91">
            <v>7</v>
          </cell>
          <cell r="T91" t="str">
            <v>A</v>
          </cell>
          <cell r="U91">
            <v>40</v>
          </cell>
          <cell r="V91" t="str">
            <v>شركة اضافات العالمية للتجارة-Edafat</v>
          </cell>
          <cell r="W91">
            <v>0</v>
          </cell>
          <cell r="X91">
            <v>4000</v>
          </cell>
          <cell r="Z91" t="str">
            <v>RM-00561</v>
          </cell>
          <cell r="AA91" t="str">
            <v>Syrup LEMON liqued Moj Polot  فاكهة الليمون سيروب - بولوت</v>
          </cell>
          <cell r="AB91" t="str">
            <v>RM-00561</v>
          </cell>
          <cell r="AC91" t="str">
            <v>Syrup LEMON liqued Moj Polot  فاكهة الليمون سيروب - بولوت</v>
          </cell>
          <cell r="AD91">
            <v>40</v>
          </cell>
          <cell r="AE91" t="str">
            <v>شركة اضافات العالمية للتجارة-Edafat</v>
          </cell>
        </row>
        <row r="92">
          <cell r="B92" t="str">
            <v>RM-00565</v>
          </cell>
          <cell r="C92" t="str">
            <v>Syrup Peach Teisseire سيروب تيسير خوخ</v>
          </cell>
          <cell r="D92" t="str">
            <v>Syrup Peach Teisseire سيروب تيسير خوخ</v>
          </cell>
          <cell r="E92" t="str">
            <v>✓</v>
          </cell>
          <cell r="F92" t="str">
            <v>✓</v>
          </cell>
          <cell r="G92" t="str">
            <v/>
          </cell>
          <cell r="H92" t="str">
            <v/>
          </cell>
          <cell r="I92" t="str">
            <v/>
          </cell>
          <cell r="J92" t="str">
            <v>✓</v>
          </cell>
          <cell r="K92">
            <v>3</v>
          </cell>
          <cell r="L92">
            <v>40</v>
          </cell>
          <cell r="N92">
            <v>727</v>
          </cell>
          <cell r="O92">
            <v>545.25</v>
          </cell>
          <cell r="P92">
            <v>13.333333333333332</v>
          </cell>
          <cell r="Q92">
            <v>53.333333333333329</v>
          </cell>
          <cell r="R92">
            <v>0</v>
          </cell>
          <cell r="S92">
            <v>7</v>
          </cell>
          <cell r="T92" t="str">
            <v>A</v>
          </cell>
          <cell r="U92">
            <v>40</v>
          </cell>
          <cell r="V92" t="str">
            <v>شركة شمس القهوة للتجارة المحدودة</v>
          </cell>
          <cell r="W92">
            <v>0</v>
          </cell>
          <cell r="X92">
            <v>1600</v>
          </cell>
          <cell r="Z92" t="str">
            <v>RM-00565</v>
          </cell>
          <cell r="AA92" t="str">
            <v>Syrup Peach Teisseire سيروب تيسير خوخ</v>
          </cell>
          <cell r="AB92" t="str">
            <v>RM-00565</v>
          </cell>
          <cell r="AC92" t="str">
            <v>Syrup Peach Teisseire سيروب تيسير خوخ</v>
          </cell>
          <cell r="AD92">
            <v>40</v>
          </cell>
          <cell r="AE92" t="str">
            <v>شركة شمس القهوة للتجارة المحدودة</v>
          </cell>
        </row>
        <row r="93">
          <cell r="B93" t="str">
            <v>RM-00580</v>
          </cell>
          <cell r="C93" t="str">
            <v>Syrup passion fruit Teisseireباشن فروت سيروب - تيسير</v>
          </cell>
          <cell r="D93" t="str">
            <v>Syrup passion fruit Teisseireباشن فروت سيروب - تيسير</v>
          </cell>
          <cell r="E93" t="str">
            <v>✓</v>
          </cell>
          <cell r="F93" t="str">
            <v>✓</v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>
            <v>2</v>
          </cell>
          <cell r="L93">
            <v>20</v>
          </cell>
          <cell r="N93">
            <v>95</v>
          </cell>
          <cell r="O93">
            <v>142.5</v>
          </cell>
          <cell r="P93">
            <v>6.6666666666666661</v>
          </cell>
          <cell r="Q93">
            <v>26.666666666666664</v>
          </cell>
          <cell r="R93">
            <v>0</v>
          </cell>
          <cell r="S93">
            <v>7</v>
          </cell>
          <cell r="T93" t="str">
            <v>A</v>
          </cell>
          <cell r="U93">
            <v>40</v>
          </cell>
          <cell r="V93" t="str">
            <v>شركة شمس القهوة للتجارة المحدودة</v>
          </cell>
          <cell r="W93">
            <v>0</v>
          </cell>
          <cell r="X93">
            <v>800</v>
          </cell>
          <cell r="Z93" t="str">
            <v>RM-00580</v>
          </cell>
          <cell r="AA93" t="str">
            <v>Syrup passion fruit Teisseireباشن فروت سيروب - تيسير</v>
          </cell>
          <cell r="AB93" t="str">
            <v>RM-00580</v>
          </cell>
          <cell r="AC93" t="str">
            <v>Syrup passion fruit Teisseireباشن فروت سيروب - تيسير</v>
          </cell>
          <cell r="AD93">
            <v>42.142859999999999</v>
          </cell>
          <cell r="AE93" t="str">
            <v>شركة اضافات العالمية للتجارة-Edafat</v>
          </cell>
        </row>
        <row r="94">
          <cell r="B94" t="str">
            <v>RM-00539</v>
          </cell>
          <cell r="C94" t="str">
            <v>SYRUP BLUEBERRY 1883 سيروب توت ازرق</v>
          </cell>
          <cell r="D94" t="str">
            <v>SYRUP BLUEBERRY 1883 سيروب توت ازرق</v>
          </cell>
          <cell r="E94" t="str">
            <v>✓</v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>
            <v>1</v>
          </cell>
          <cell r="L94">
            <v>90</v>
          </cell>
          <cell r="N94">
            <v>203</v>
          </cell>
          <cell r="O94">
            <v>67.666666666666671</v>
          </cell>
          <cell r="P94">
            <v>30</v>
          </cell>
          <cell r="Q94">
            <v>120</v>
          </cell>
          <cell r="R94">
            <v>0</v>
          </cell>
          <cell r="S94">
            <v>7</v>
          </cell>
          <cell r="T94" t="str">
            <v>A</v>
          </cell>
          <cell r="U94">
            <v>45.885289999999998</v>
          </cell>
          <cell r="V94" t="str">
            <v>شركة مصدر الامداد - Masdar Food Supply</v>
          </cell>
          <cell r="W94">
            <v>0</v>
          </cell>
          <cell r="X94">
            <v>4129.6760999999997</v>
          </cell>
          <cell r="Z94" t="str">
            <v>RM-00539</v>
          </cell>
          <cell r="AA94" t="str">
            <v>SYRUP BLUEBERRY 1883 سيروب توت ازرق</v>
          </cell>
          <cell r="AB94" t="str">
            <v>RM-00539</v>
          </cell>
          <cell r="AC94" t="str">
            <v>SYRUP BLUEBERRY 1883 سيروب توت ازرق</v>
          </cell>
          <cell r="AD94">
            <v>45.885289999999998</v>
          </cell>
          <cell r="AE94" t="str">
            <v>شركة مصدر الامداد - Masdar Food Supply</v>
          </cell>
        </row>
        <row r="95">
          <cell r="B95" t="str">
            <v>RM-00737</v>
          </cell>
          <cell r="C95" t="str">
            <v>Monin PEACH TEA Syrup 1L مونین شراب شاي الخوخ 1لتر</v>
          </cell>
          <cell r="D95" t="str">
            <v>Monin PEACH TEA Syrup 1L مونین شراب شاي الخوخ 1لتر</v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>
            <v>0</v>
          </cell>
          <cell r="L95">
            <v>140</v>
          </cell>
          <cell r="N95">
            <v>0</v>
          </cell>
          <cell r="O95">
            <v>0</v>
          </cell>
          <cell r="P95">
            <v>46.666666666666664</v>
          </cell>
          <cell r="Q95">
            <v>186.66666666666666</v>
          </cell>
          <cell r="R95">
            <v>186.66666666666666</v>
          </cell>
          <cell r="S95">
            <v>7</v>
          </cell>
          <cell r="T95" t="str">
            <v>A</v>
          </cell>
          <cell r="U95">
            <v>48.333329999999997</v>
          </cell>
          <cell r="V95" t="str">
            <v>شركة أعمال الضيافة للخدمات التموينية</v>
          </cell>
          <cell r="W95">
            <v>9022.2215999999989</v>
          </cell>
          <cell r="X95">
            <v>6766.6661999999997</v>
          </cell>
          <cell r="Z95" t="str">
            <v>SF-00154</v>
          </cell>
          <cell r="AA95" t="e">
            <v>#N/A</v>
          </cell>
          <cell r="AB95" t="str">
            <v>RM-00737</v>
          </cell>
          <cell r="AC95" t="str">
            <v>Monin PEACH TEA Syrup 1L مونین شراب شاي الخوخ 1لتر</v>
          </cell>
          <cell r="AD95">
            <v>48.333329999999997</v>
          </cell>
          <cell r="AE95" t="str">
            <v>شركة أعمال الضيافة للخدمات التموينية</v>
          </cell>
        </row>
        <row r="96">
          <cell r="B96" t="str">
            <v>RM-00538</v>
          </cell>
          <cell r="C96" t="str">
            <v>SYRUP LEMONADE 1883 سيروب ليموناضة</v>
          </cell>
          <cell r="D96" t="str">
            <v>SYRUP LEMONADE 1883 سيروب ليموناضة</v>
          </cell>
          <cell r="E96" t="str">
            <v>✓</v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>
            <v>1</v>
          </cell>
          <cell r="L96">
            <v>45</v>
          </cell>
          <cell r="N96">
            <v>114</v>
          </cell>
          <cell r="O96">
            <v>76</v>
          </cell>
          <cell r="P96">
            <v>15</v>
          </cell>
          <cell r="Q96">
            <v>60</v>
          </cell>
          <cell r="R96">
            <v>0</v>
          </cell>
          <cell r="S96">
            <v>7</v>
          </cell>
          <cell r="T96" t="str">
            <v>A</v>
          </cell>
          <cell r="U96">
            <v>41.383499999999998</v>
          </cell>
          <cell r="V96" t="str">
            <v>شركة مصدر الامداد - Masdar Food Supply</v>
          </cell>
          <cell r="W96">
            <v>0</v>
          </cell>
          <cell r="X96">
            <v>1862.2574999999999</v>
          </cell>
          <cell r="Z96" t="str">
            <v>RM-00538</v>
          </cell>
          <cell r="AA96" t="str">
            <v>SYRUP LEMONADE 1883 سيروب ليموناضة</v>
          </cell>
          <cell r="AB96" t="str">
            <v>RM-00538</v>
          </cell>
          <cell r="AC96" t="str">
            <v>SYRUP LEMONADE 1883 سيروب ليموناضة</v>
          </cell>
          <cell r="AD96">
            <v>41.383499999999998</v>
          </cell>
          <cell r="AE96" t="str">
            <v>شركة مصدر الامداد - Masdar Food Supply</v>
          </cell>
        </row>
        <row r="97">
          <cell r="B97" t="str">
            <v>RM-00520</v>
          </cell>
          <cell r="C97" t="str">
            <v>Monin Vanilla Syrup 1L مونین شراب الفانیلا 1لتر</v>
          </cell>
          <cell r="D97" t="str">
            <v>Monin Vanilla Syrup 1L مونین شراب الفانیلا 1لتر</v>
          </cell>
          <cell r="E97" t="str">
            <v>✓</v>
          </cell>
          <cell r="F97" t="str">
            <v>✓</v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>
            <v>2</v>
          </cell>
          <cell r="L97">
            <v>360</v>
          </cell>
          <cell r="N97">
            <v>93</v>
          </cell>
          <cell r="O97">
            <v>7.7500000000000009</v>
          </cell>
          <cell r="P97">
            <v>120</v>
          </cell>
          <cell r="Q97">
            <v>480</v>
          </cell>
          <cell r="R97">
            <v>387</v>
          </cell>
          <cell r="S97">
            <v>7</v>
          </cell>
          <cell r="T97" t="str">
            <v>S</v>
          </cell>
          <cell r="U97">
            <v>48.333329999999997</v>
          </cell>
          <cell r="V97" t="str">
            <v>شركة أعمال الضيافة للخدمات التموينية</v>
          </cell>
          <cell r="W97">
            <v>18704.99871</v>
          </cell>
          <cell r="X97">
            <v>17399.998799999998</v>
          </cell>
          <cell r="Z97" t="str">
            <v>RM-00520</v>
          </cell>
          <cell r="AA97" t="str">
            <v>Monin Vanilla Syrup 1L مونین شراب الفانیلا 1لتر</v>
          </cell>
          <cell r="AB97" t="str">
            <v>RM-00520</v>
          </cell>
          <cell r="AC97" t="str">
            <v>Monin Vanilla Syrup 1L مونین شراب الفانیلا 1لتر</v>
          </cell>
          <cell r="AD97">
            <v>48.333329999999997</v>
          </cell>
          <cell r="AE97" t="str">
            <v>شركة أعمال الضيافة للخدمات التموينية</v>
          </cell>
        </row>
        <row r="98">
          <cell r="B98" t="str">
            <v>RM-00571</v>
          </cell>
          <cell r="C98" t="str">
            <v>Syrup teisseire raspberry  teisseire سيروب توت احمر - تيسير</v>
          </cell>
          <cell r="D98" t="str">
            <v>Syrup teisseire raspberry  teisseire سيروب توت احمر - تيسير</v>
          </cell>
          <cell r="E98" t="str">
            <v>✓</v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>
            <v>1</v>
          </cell>
          <cell r="L98">
            <v>150</v>
          </cell>
          <cell r="N98">
            <v>750</v>
          </cell>
          <cell r="O98">
            <v>150</v>
          </cell>
          <cell r="P98">
            <v>50</v>
          </cell>
          <cell r="Q98">
            <v>200</v>
          </cell>
          <cell r="R98">
            <v>0</v>
          </cell>
          <cell r="S98">
            <v>7</v>
          </cell>
          <cell r="T98" t="str">
            <v>A</v>
          </cell>
          <cell r="U98">
            <v>40</v>
          </cell>
          <cell r="V98" t="str">
            <v>شركة شمس القهوة للتجارة المحدودة</v>
          </cell>
          <cell r="W98">
            <v>0</v>
          </cell>
          <cell r="X98">
            <v>6000</v>
          </cell>
          <cell r="Z98" t="str">
            <v>RM-00571</v>
          </cell>
          <cell r="AA98" t="str">
            <v>Syrup teisseire raspberry  teisseire سيروب توت احمر - تيسير</v>
          </cell>
          <cell r="AB98" t="str">
            <v>RM-00571</v>
          </cell>
          <cell r="AC98" t="str">
            <v>Syrup teisseire raspberry  teisseire سيروب توت احمر - تيسير</v>
          </cell>
          <cell r="AD98">
            <v>40</v>
          </cell>
          <cell r="AE98" t="str">
            <v>شركة خطوط الافكار للتجارة</v>
          </cell>
        </row>
        <row r="99">
          <cell r="B99" t="str">
            <v>RM-00006</v>
          </cell>
          <cell r="C99" t="str">
            <v>Goody Creamy Peanut Butte | قودي زبدة الفول السوداني الناعمة</v>
          </cell>
          <cell r="D99" t="str">
            <v>Goody Creamy Peanut Butte | قودي زبدة الفول السوداني الناعمة</v>
          </cell>
          <cell r="E99" t="str">
            <v>✓</v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>✓</v>
          </cell>
          <cell r="K99">
            <v>2</v>
          </cell>
          <cell r="L99">
            <v>100</v>
          </cell>
          <cell r="N99">
            <v>1050.4000000000001</v>
          </cell>
          <cell r="O99">
            <v>315.12000000000006</v>
          </cell>
          <cell r="P99">
            <v>33.333333333333329</v>
          </cell>
          <cell r="Q99">
            <v>133.33333333333331</v>
          </cell>
          <cell r="R99">
            <v>0</v>
          </cell>
          <cell r="S99">
            <v>7</v>
          </cell>
          <cell r="T99" t="str">
            <v>A</v>
          </cell>
          <cell r="U99">
            <v>25.78125</v>
          </cell>
          <cell r="V99" t="str">
            <v>الشركة السعودية المتخصصة لخدمات الاطعمة المحدودة - SFS</v>
          </cell>
          <cell r="W99">
            <v>0</v>
          </cell>
          <cell r="X99">
            <v>2578.125</v>
          </cell>
          <cell r="Z99" t="str">
            <v>RM-00006</v>
          </cell>
          <cell r="AA99" t="str">
            <v xml:space="preserve">Goody Creamy Peanut Butte | قودي زبدة الفول السوداني الناعمة </v>
          </cell>
          <cell r="AB99" t="str">
            <v>RM-00006</v>
          </cell>
          <cell r="AC99" t="str">
            <v>Goody Creamy Peanut Butte | قودي زبدة الفول السوداني الناعمة</v>
          </cell>
          <cell r="AD99">
            <v>25.78125</v>
          </cell>
          <cell r="AE99" t="str">
            <v>الشركة السعودية المتخصصة لخدمات الاطعمة المحدودة - SFS</v>
          </cell>
        </row>
        <row r="100">
          <cell r="B100" t="str">
            <v>RM-00673</v>
          </cell>
          <cell r="C100" t="str">
            <v>Valrhona Javira 40% / شوكولاته فالرهونا</v>
          </cell>
          <cell r="D100" t="str">
            <v>Valrhona Javira 40% / شوكولاته فالرهونا</v>
          </cell>
          <cell r="E100" t="str">
            <v>✓</v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>
            <v>1</v>
          </cell>
          <cell r="L100">
            <v>25</v>
          </cell>
          <cell r="N100">
            <v>0</v>
          </cell>
          <cell r="O100">
            <v>0</v>
          </cell>
          <cell r="P100">
            <v>8.3333333333333321</v>
          </cell>
          <cell r="Q100">
            <v>33.333333333333329</v>
          </cell>
          <cell r="R100">
            <v>33.333333333333329</v>
          </cell>
          <cell r="S100">
            <v>7</v>
          </cell>
          <cell r="T100" t="str">
            <v>A</v>
          </cell>
          <cell r="U100">
            <v>128.88889</v>
          </cell>
          <cell r="V100" t="str">
            <v>Hawader AlKhaleej Trading Co. شركة حواضر الخليج للتجارة</v>
          </cell>
          <cell r="W100">
            <v>4296.2963333333328</v>
          </cell>
          <cell r="X100">
            <v>3222.2222500000003</v>
          </cell>
          <cell r="Z100" t="str">
            <v>RM-00673</v>
          </cell>
          <cell r="AA100" t="str">
            <v>Valrhona Javira 40% / شوكولاته فالرهونا</v>
          </cell>
          <cell r="AB100" t="str">
            <v>RM-00673</v>
          </cell>
          <cell r="AC100" t="str">
            <v>Valrhona Javira 40% / شوكولاته فالرهونا</v>
          </cell>
          <cell r="AD100">
            <v>128.88889</v>
          </cell>
          <cell r="AE100" t="str">
            <v>شركة أعمال الضيافة للخدمات التموينية</v>
          </cell>
        </row>
        <row r="101">
          <cell r="B101" t="str">
            <v>RM-00439</v>
          </cell>
          <cell r="C101" t="str">
            <v>Unroasted peanuts | فول سوداني</v>
          </cell>
          <cell r="D101" t="str">
            <v>Unroasted peanuts | فول سوداني</v>
          </cell>
          <cell r="E101" t="str">
            <v>✓</v>
          </cell>
          <cell r="F101" t="str">
            <v/>
          </cell>
          <cell r="G101" t="str">
            <v/>
          </cell>
          <cell r="H101" t="str">
            <v/>
          </cell>
          <cell r="I101" t="str">
            <v/>
          </cell>
          <cell r="J101" t="str">
            <v>✓</v>
          </cell>
          <cell r="K101">
            <v>2</v>
          </cell>
          <cell r="L101">
            <v>25</v>
          </cell>
          <cell r="N101">
            <v>860</v>
          </cell>
          <cell r="O101">
            <v>1032</v>
          </cell>
          <cell r="P101">
            <v>8.3333333333333321</v>
          </cell>
          <cell r="Q101">
            <v>33.333333333333329</v>
          </cell>
          <cell r="R101">
            <v>0</v>
          </cell>
          <cell r="S101">
            <v>7</v>
          </cell>
          <cell r="T101" t="str">
            <v>A</v>
          </cell>
          <cell r="U101">
            <v>15.12</v>
          </cell>
          <cell r="V101" t="str">
            <v>Tanzeem Al Afkar Trading Company | شركة تنظيم الافكار للتجارة</v>
          </cell>
          <cell r="W101">
            <v>0</v>
          </cell>
          <cell r="X101">
            <v>378</v>
          </cell>
          <cell r="Z101" t="str">
            <v>RM-00439</v>
          </cell>
          <cell r="AA101" t="str">
            <v xml:space="preserve">Unroasted peanuts | فول سوداني </v>
          </cell>
          <cell r="AB101" t="str">
            <v>RM-00439</v>
          </cell>
          <cell r="AC101" t="str">
            <v>Unroasted peanuts | فول سوداني</v>
          </cell>
          <cell r="AD101">
            <v>15.12</v>
          </cell>
          <cell r="AE101" t="str">
            <v>Tanzeem Al Afkar Trading Company | شركة تنظيم الافكار للتجارة</v>
          </cell>
        </row>
        <row r="102">
          <cell r="B102" t="str">
            <v>RM-00606</v>
          </cell>
          <cell r="C102" t="str">
            <v>Edible Dried Flowers | ورد مجفف</v>
          </cell>
          <cell r="D102" t="str">
            <v>Begonia Bottels (30 Pcs.)</v>
          </cell>
          <cell r="E102" t="str">
            <v>✓</v>
          </cell>
          <cell r="F102" t="str">
            <v>✓</v>
          </cell>
          <cell r="G102" t="str">
            <v/>
          </cell>
          <cell r="H102" t="str">
            <v/>
          </cell>
          <cell r="I102" t="str">
            <v/>
          </cell>
          <cell r="J102" t="str">
            <v/>
          </cell>
          <cell r="K102">
            <v>2</v>
          </cell>
          <cell r="L102">
            <v>15000</v>
          </cell>
          <cell r="N102">
            <v>86580</v>
          </cell>
          <cell r="O102">
            <v>173.16</v>
          </cell>
          <cell r="P102">
            <v>5000</v>
          </cell>
          <cell r="Q102">
            <v>20000</v>
          </cell>
          <cell r="R102">
            <v>0</v>
          </cell>
          <cell r="S102">
            <v>7</v>
          </cell>
          <cell r="T102" t="str">
            <v>S</v>
          </cell>
          <cell r="U102">
            <v>0.93</v>
          </cell>
          <cell r="V102" t="str">
            <v>شركة السلة الخضراء الزراعیة - BATHER SMART FARM</v>
          </cell>
          <cell r="W102">
            <v>0</v>
          </cell>
          <cell r="X102">
            <v>13950</v>
          </cell>
          <cell r="Z102" t="str">
            <v>RM-00606</v>
          </cell>
          <cell r="AA102" t="str">
            <v>Edible Dried Flowers | ورد مجفف</v>
          </cell>
          <cell r="AB102" t="str">
            <v>RM-00606</v>
          </cell>
          <cell r="AC102" t="str">
            <v>Edible Dried Flowers | ورد مجفف</v>
          </cell>
          <cell r="AD102">
            <v>0.93</v>
          </cell>
          <cell r="AE102" t="str">
            <v>شركة السلة الخضراء الزراعیة - BATHER SMART FARM</v>
          </cell>
        </row>
        <row r="103">
          <cell r="B103" t="str">
            <v>RM-00224</v>
          </cell>
          <cell r="C103" t="str">
            <v>Creme Caramel كريم كراميل</v>
          </cell>
          <cell r="D103" t="str">
            <v>Creme Caramel كريم كراميل</v>
          </cell>
          <cell r="E103" t="str">
            <v>✓</v>
          </cell>
          <cell r="F103" t="str">
            <v/>
          </cell>
          <cell r="G103" t="str">
            <v/>
          </cell>
          <cell r="H103" t="str">
            <v/>
          </cell>
          <cell r="I103" t="str">
            <v/>
          </cell>
          <cell r="J103" t="str">
            <v>✓</v>
          </cell>
          <cell r="K103">
            <v>2</v>
          </cell>
          <cell r="L103">
            <v>60</v>
          </cell>
          <cell r="N103">
            <v>460.59399999999994</v>
          </cell>
          <cell r="O103">
            <v>230.29699999999997</v>
          </cell>
          <cell r="P103">
            <v>34</v>
          </cell>
          <cell r="Q103">
            <v>94</v>
          </cell>
          <cell r="R103">
            <v>0</v>
          </cell>
          <cell r="S103">
            <v>14</v>
          </cell>
          <cell r="T103" t="str">
            <v>S</v>
          </cell>
          <cell r="U103">
            <v>31.17914</v>
          </cell>
          <cell r="V103" t="str">
            <v>Tanzeem Al Afkar Trading Company | شركة تنظيم الافكار للتجارة</v>
          </cell>
          <cell r="W103">
            <v>0</v>
          </cell>
          <cell r="X103">
            <v>1870.7483999999999</v>
          </cell>
          <cell r="Z103" t="str">
            <v>RM-00224</v>
          </cell>
          <cell r="AA103" t="str">
            <v>Creme Caramel كريم كراميل</v>
          </cell>
          <cell r="AB103" t="str">
            <v>RM-00224</v>
          </cell>
          <cell r="AC103" t="str">
            <v>Creme Caramel كريم كراميل</v>
          </cell>
          <cell r="AD103">
            <v>31.17914</v>
          </cell>
          <cell r="AE103" t="str">
            <v>Tanzeem Al Afkar Trading Company | شركة تنظيم الافكار للتجارة</v>
          </cell>
        </row>
        <row r="104">
          <cell r="B104" t="str">
            <v>FA-00031</v>
          </cell>
          <cell r="C104" t="str">
            <v>Barista space Pitcher 350 Sandy Rainbow بتشر تبخير الحاد - 350مل</v>
          </cell>
          <cell r="D104" t="str">
            <v>Barista space Pitcher 350 Sandy Rainbow بتشر تبخير الحاد - 350مل</v>
          </cell>
          <cell r="E104" t="str">
            <v>✓</v>
          </cell>
          <cell r="F104" t="str">
            <v/>
          </cell>
          <cell r="G104" t="str">
            <v/>
          </cell>
          <cell r="H104" t="str">
            <v/>
          </cell>
          <cell r="I104" t="str">
            <v/>
          </cell>
          <cell r="J104" t="str">
            <v/>
          </cell>
          <cell r="K104">
            <v>1</v>
          </cell>
          <cell r="L104">
            <v>6</v>
          </cell>
          <cell r="N104">
            <v>350</v>
          </cell>
          <cell r="O104">
            <v>1750</v>
          </cell>
          <cell r="P104">
            <v>2</v>
          </cell>
          <cell r="Q104">
            <v>8</v>
          </cell>
          <cell r="R104">
            <v>0</v>
          </cell>
          <cell r="S104">
            <v>7</v>
          </cell>
          <cell r="T104" t="str">
            <v>A</v>
          </cell>
          <cell r="U104">
            <v>88</v>
          </cell>
          <cell r="V104" t="str">
            <v>مؤسسة سلالات القهوة للتجارة</v>
          </cell>
          <cell r="W104">
            <v>0</v>
          </cell>
          <cell r="X104">
            <v>528</v>
          </cell>
          <cell r="Z104" t="str">
            <v>FA-00031</v>
          </cell>
          <cell r="AA104" t="str">
            <v>Barista space Pitcher 350 Sandy Rainbow بتشر تبخير الحاد - 350مل</v>
          </cell>
          <cell r="AB104" t="str">
            <v>FA-00031</v>
          </cell>
          <cell r="AC104" t="str">
            <v>Barista space Pitcher 350 Sandy Rainbow بتشر تبخير الحاد - 350مل</v>
          </cell>
          <cell r="AD104">
            <v>88</v>
          </cell>
          <cell r="AE104" t="str">
            <v>مؤسسة سلالات القهوة للتجارة</v>
          </cell>
        </row>
        <row r="105">
          <cell r="B105" t="str">
            <v>FA-00328</v>
          </cell>
          <cell r="C105" t="str">
            <v>Server 600ml BLACK سيرفر V60 اسود شفاف 600 مل</v>
          </cell>
          <cell r="D105" t="str">
            <v>Server 600ml BLACK سيرفر V60 اسود شفاف 600 مل</v>
          </cell>
          <cell r="E105" t="str">
            <v>✓</v>
          </cell>
          <cell r="F105" t="str">
            <v>✓</v>
          </cell>
          <cell r="G105" t="str">
            <v/>
          </cell>
          <cell r="H105" t="str">
            <v/>
          </cell>
          <cell r="I105" t="str">
            <v/>
          </cell>
          <cell r="J105" t="str">
            <v/>
          </cell>
          <cell r="K105">
            <v>2</v>
          </cell>
          <cell r="L105">
            <v>200</v>
          </cell>
          <cell r="N105">
            <v>0</v>
          </cell>
          <cell r="O105">
            <v>0</v>
          </cell>
          <cell r="P105">
            <v>66.666666666666657</v>
          </cell>
          <cell r="Q105">
            <v>266.66666666666663</v>
          </cell>
          <cell r="R105">
            <v>266.66666666666663</v>
          </cell>
          <cell r="S105">
            <v>7</v>
          </cell>
          <cell r="T105" t="str">
            <v>A</v>
          </cell>
          <cell r="U105">
            <v>105</v>
          </cell>
          <cell r="V105" t="str">
            <v>12 Cups Ltd شركة اثنى عشر كوب المحدوده</v>
          </cell>
          <cell r="W105">
            <v>27999.999999999996</v>
          </cell>
          <cell r="X105">
            <v>21000</v>
          </cell>
          <cell r="Z105" t="str">
            <v>FA-00328</v>
          </cell>
          <cell r="AA105" t="str">
            <v>Server 600ml BLACK سيرفر V60 اسود شفاف 600 مل</v>
          </cell>
          <cell r="AB105" t="str">
            <v>FA-00328</v>
          </cell>
          <cell r="AC105" t="str">
            <v>Server 600ml BLACK سيرفر V60 اسود شفاف 600 مل</v>
          </cell>
          <cell r="AD105">
            <v>105</v>
          </cell>
          <cell r="AE105" t="str">
            <v>12 Cups Ltd شركة اثنى عشر كوب المحدوده</v>
          </cell>
        </row>
        <row r="106">
          <cell r="B106" t="str">
            <v>FA-00308</v>
          </cell>
          <cell r="C106" t="str">
            <v>Server Hario 02 سيرفر هايرو 02</v>
          </cell>
          <cell r="D106" t="str">
            <v>Server Hario 02 سيرفر هايرو 02</v>
          </cell>
          <cell r="E106" t="str">
            <v>✓</v>
          </cell>
          <cell r="F106" t="str">
            <v/>
          </cell>
          <cell r="G106" t="str">
            <v/>
          </cell>
          <cell r="H106" t="str">
            <v/>
          </cell>
          <cell r="I106" t="str">
            <v/>
          </cell>
          <cell r="J106" t="str">
            <v/>
          </cell>
          <cell r="K106">
            <v>1</v>
          </cell>
          <cell r="L106">
            <v>22</v>
          </cell>
          <cell r="N106">
            <v>0</v>
          </cell>
          <cell r="O106">
            <v>0</v>
          </cell>
          <cell r="P106">
            <v>7.333333333333333</v>
          </cell>
          <cell r="Q106">
            <v>29.333333333333332</v>
          </cell>
          <cell r="R106">
            <v>29.333333333333332</v>
          </cell>
          <cell r="S106">
            <v>7</v>
          </cell>
          <cell r="T106" t="str">
            <v>O</v>
          </cell>
          <cell r="V106" t="str">
            <v>12 Cups Ltd شركة اثنى عشر كوب المحدوده</v>
          </cell>
          <cell r="W106">
            <v>0</v>
          </cell>
          <cell r="X106">
            <v>0</v>
          </cell>
          <cell r="Z106" t="str">
            <v>FA-00308</v>
          </cell>
          <cell r="AA106" t="str">
            <v>Server Hario 02 سيرفر هايرو 02</v>
          </cell>
          <cell r="AB106" t="str">
            <v>FA-00308</v>
          </cell>
          <cell r="AC106" t="str">
            <v>Server Hario 02 سيرفر هايرو 02</v>
          </cell>
          <cell r="AD106">
            <v>0</v>
          </cell>
          <cell r="AE106" t="str">
            <v>12 Cups Ltd شركة اثنى عشر كوب المحدوده</v>
          </cell>
        </row>
        <row r="107">
          <cell r="B107" t="str">
            <v>FA-00324</v>
          </cell>
          <cell r="C107" t="str">
            <v>Acaia lunar espresso ميزان اسبريسو</v>
          </cell>
          <cell r="D107" t="str">
            <v>Acaia lunar espresso ميزان اسبريسو</v>
          </cell>
          <cell r="E107" t="str">
            <v>✓</v>
          </cell>
          <cell r="F107" t="str">
            <v/>
          </cell>
          <cell r="G107" t="str">
            <v/>
          </cell>
          <cell r="H107" t="str">
            <v/>
          </cell>
          <cell r="I107" t="str">
            <v/>
          </cell>
          <cell r="J107" t="str">
            <v/>
          </cell>
          <cell r="K107">
            <v>1</v>
          </cell>
          <cell r="L107">
            <v>11</v>
          </cell>
          <cell r="N107">
            <v>0</v>
          </cell>
          <cell r="O107">
            <v>0</v>
          </cell>
          <cell r="P107">
            <v>3.6666666666666665</v>
          </cell>
          <cell r="Q107">
            <v>14.666666666666666</v>
          </cell>
          <cell r="R107">
            <v>14.666666666666666</v>
          </cell>
          <cell r="S107">
            <v>7</v>
          </cell>
          <cell r="T107" t="str">
            <v>O</v>
          </cell>
          <cell r="U107">
            <v>1050</v>
          </cell>
          <cell r="V107" t="str">
            <v>شركة بشريات الموسم للتجارة</v>
          </cell>
          <cell r="W107">
            <v>15400</v>
          </cell>
          <cell r="X107">
            <v>11550</v>
          </cell>
          <cell r="Z107" t="str">
            <v>FA-00324</v>
          </cell>
          <cell r="AA107" t="str">
            <v>Acaia lunar espresso ميزان اسبريسو</v>
          </cell>
          <cell r="AB107" t="str">
            <v>FA-00324</v>
          </cell>
          <cell r="AC107" t="str">
            <v>Acaia lunar espresso ميزان اسبريسو</v>
          </cell>
          <cell r="AD107">
            <v>1050</v>
          </cell>
          <cell r="AE107" t="str">
            <v>شركة بشريات الموسم للتجارة</v>
          </cell>
        </row>
        <row r="108">
          <cell r="B108" t="str">
            <v>FA-00006</v>
          </cell>
          <cell r="C108" t="str">
            <v>BECIC3 Krampouz BECIC3 Triple Topping Warmer" سخان كرامبوز الكهربائي ثلاث فتحات</v>
          </cell>
          <cell r="D108" t="str">
            <v>BECIC3 Krampouz BECIC3 Triple Topping Warmer" سخان كرامبوز الكهربائي ثلاث فتحات</v>
          </cell>
          <cell r="E108" t="str">
            <v>✓</v>
          </cell>
          <cell r="F108" t="str">
            <v>✓</v>
          </cell>
          <cell r="G108" t="str">
            <v/>
          </cell>
          <cell r="H108" t="str">
            <v/>
          </cell>
          <cell r="I108" t="str">
            <v/>
          </cell>
          <cell r="J108" t="str">
            <v/>
          </cell>
          <cell r="K108">
            <v>2</v>
          </cell>
          <cell r="L108">
            <v>8</v>
          </cell>
          <cell r="N108">
            <v>2</v>
          </cell>
          <cell r="O108">
            <v>7.5</v>
          </cell>
          <cell r="P108">
            <v>2.6666666666666665</v>
          </cell>
          <cell r="Q108">
            <v>10.666666666666666</v>
          </cell>
          <cell r="R108">
            <v>8.6666666666666661</v>
          </cell>
          <cell r="S108">
            <v>7</v>
          </cell>
          <cell r="T108" t="str">
            <v>O</v>
          </cell>
          <cell r="U108">
            <v>4400</v>
          </cell>
          <cell r="V108" t="str">
            <v>EL-Reem شركة الريم الذهبية</v>
          </cell>
          <cell r="W108">
            <v>38133.333333333328</v>
          </cell>
          <cell r="X108">
            <v>35200</v>
          </cell>
          <cell r="Z108" t="str">
            <v>FA-00006</v>
          </cell>
          <cell r="AA108" t="str">
            <v>BECIC3 Krampouz BECIC3 Triple Topping Warmer" سخان كرامبوز الكهربائي ثلاث فتحات</v>
          </cell>
          <cell r="AB108" t="str">
            <v>FA-00006</v>
          </cell>
          <cell r="AC108" t="str">
            <v>BECIC3 Krampouz BECIC3 Triple Topping Warmer" سخان كرامبوز الكهربائي ثلاث فتحات</v>
          </cell>
          <cell r="AD108">
            <v>4400</v>
          </cell>
          <cell r="AE108" t="str">
            <v>EL-Reem شركة الريم الذهبية</v>
          </cell>
        </row>
        <row r="109">
          <cell r="B109" t="str">
            <v>FA-00095</v>
          </cell>
          <cell r="C109" t="str">
            <v>Pitcher JIBBI 420ml بتشر تبخير جيبي الحاد - 420 مل</v>
          </cell>
          <cell r="D109" t="str">
            <v>Pitcher JIBBI 420ml بتشر تبخير جيبي الحاد - 420 مل</v>
          </cell>
          <cell r="E109" t="str">
            <v>✓</v>
          </cell>
          <cell r="F109" t="str">
            <v/>
          </cell>
          <cell r="G109" t="str">
            <v/>
          </cell>
          <cell r="H109" t="str">
            <v/>
          </cell>
          <cell r="I109" t="str">
            <v/>
          </cell>
          <cell r="J109" t="str">
            <v/>
          </cell>
          <cell r="K109">
            <v>1</v>
          </cell>
          <cell r="L109">
            <v>10</v>
          </cell>
          <cell r="N109">
            <v>383</v>
          </cell>
          <cell r="O109">
            <v>1149</v>
          </cell>
          <cell r="P109">
            <v>3.333333333333333</v>
          </cell>
          <cell r="Q109">
            <v>13.333333333333332</v>
          </cell>
          <cell r="R109">
            <v>0</v>
          </cell>
          <cell r="S109">
            <v>7</v>
          </cell>
          <cell r="T109" t="str">
            <v>A</v>
          </cell>
          <cell r="U109">
            <v>84</v>
          </cell>
          <cell r="V109" t="str">
            <v>سبيشلتي هاب ,, Archive</v>
          </cell>
          <cell r="W109">
            <v>0</v>
          </cell>
          <cell r="X109">
            <v>840</v>
          </cell>
          <cell r="Z109" t="str">
            <v>FA-00095</v>
          </cell>
          <cell r="AA109" t="str">
            <v>Pitcher JIBBI 420ml بتشر تبخير جيبي الحاد - 420 مل</v>
          </cell>
          <cell r="AB109" t="str">
            <v>FA-00095</v>
          </cell>
          <cell r="AC109" t="str">
            <v>Pitcher JIBBI 420ml بتشر تبخير جيبي الحاد - 420 مل</v>
          </cell>
          <cell r="AD109">
            <v>84</v>
          </cell>
          <cell r="AE109" t="str">
            <v>سبيشلتي هاب ,, Archive</v>
          </cell>
        </row>
        <row r="110">
          <cell r="B110" t="str">
            <v>CO-00220</v>
          </cell>
          <cell r="C110" t="str">
            <v>ATLAS PRICE MATCHINE ITALY PL700 ماكينة تواريخ واسعار</v>
          </cell>
          <cell r="D110" t="str">
            <v>ATLAS PRICE MATCHINE ITALY PL700 ماكينة تواريخ واسعار</v>
          </cell>
          <cell r="E110" t="str">
            <v>✓</v>
          </cell>
          <cell r="F110" t="str">
            <v>✓</v>
          </cell>
          <cell r="G110" t="str">
            <v/>
          </cell>
          <cell r="H110" t="str">
            <v/>
          </cell>
          <cell r="I110" t="str">
            <v/>
          </cell>
          <cell r="J110" t="str">
            <v/>
          </cell>
          <cell r="K110">
            <v>2</v>
          </cell>
          <cell r="L110">
            <v>20</v>
          </cell>
          <cell r="N110">
            <v>32</v>
          </cell>
          <cell r="O110">
            <v>48</v>
          </cell>
          <cell r="P110">
            <v>6.6666666666666661</v>
          </cell>
          <cell r="Q110">
            <v>26.666666666666664</v>
          </cell>
          <cell r="R110">
            <v>0</v>
          </cell>
          <cell r="S110">
            <v>7</v>
          </cell>
          <cell r="T110" t="str">
            <v>A</v>
          </cell>
          <cell r="U110">
            <v>175</v>
          </cell>
          <cell r="V110" t="str">
            <v>مؤسسة مستر شيف</v>
          </cell>
          <cell r="W110">
            <v>0</v>
          </cell>
          <cell r="X110">
            <v>3500</v>
          </cell>
          <cell r="Z110" t="str">
            <v>CO-00220</v>
          </cell>
          <cell r="AA110" t="str">
            <v>ATLAS PRICE MATCHINE ITALY PL700 ماكينة تواريخ واسعار</v>
          </cell>
          <cell r="AB110" t="str">
            <v>CO-00220</v>
          </cell>
          <cell r="AC110" t="str">
            <v>ATLAS PRICE MATCHINE ITALY PL700 ماكينة تواريخ واسعار</v>
          </cell>
          <cell r="AD110">
            <v>175</v>
          </cell>
          <cell r="AE110" t="str">
            <v>مؤسسة مستر شيف</v>
          </cell>
        </row>
        <row r="111">
          <cell r="B111" t="str">
            <v>No match found</v>
          </cell>
          <cell r="C111" t="str">
            <v>No match found</v>
          </cell>
          <cell r="D111" t="str">
            <v>Brother Label Maker Printer - طابعه ملصقات</v>
          </cell>
          <cell r="E111" t="str">
            <v/>
          </cell>
          <cell r="F111" t="str">
            <v/>
          </cell>
          <cell r="G111" t="str">
            <v/>
          </cell>
          <cell r="H111" t="str">
            <v/>
          </cell>
          <cell r="I111" t="str">
            <v/>
          </cell>
          <cell r="J111" t="str">
            <v/>
          </cell>
          <cell r="K111">
            <v>0</v>
          </cell>
          <cell r="L111">
            <v>11</v>
          </cell>
          <cell r="N111">
            <v>0</v>
          </cell>
          <cell r="O111">
            <v>0</v>
          </cell>
          <cell r="P111">
            <v>3.6666666666666665</v>
          </cell>
          <cell r="Q111">
            <v>14.666666666666666</v>
          </cell>
          <cell r="R111">
            <v>14.666666666666666</v>
          </cell>
          <cell r="S111">
            <v>7</v>
          </cell>
          <cell r="T111" t="str">
            <v>A</v>
          </cell>
          <cell r="U111">
            <v>25</v>
          </cell>
          <cell r="V111" t="str">
            <v>Albostan Alraqamiya Co. ﺷﺮﻛﺔ اﻟﺒﺴﺘﺎن اﻟﺮﻗﻤﻴﺔ</v>
          </cell>
          <cell r="W111">
            <v>366.66666666666663</v>
          </cell>
          <cell r="X111">
            <v>275</v>
          </cell>
          <cell r="Z111" t="str">
            <v>CO-00393</v>
          </cell>
          <cell r="AA111" t="str">
            <v>Brother Label Maker Printer - طابعه ملصقات</v>
          </cell>
          <cell r="AB111" t="str">
            <v>FA-00171</v>
          </cell>
          <cell r="AC111" t="str">
            <v>Brother Label Maker Printer - طابعه ملصقات</v>
          </cell>
          <cell r="AD111" t="e">
            <v>#REF!</v>
          </cell>
          <cell r="AE111">
            <v>0</v>
          </cell>
        </row>
        <row r="112">
          <cell r="B112" t="str">
            <v>CO-00608</v>
          </cell>
          <cell r="C112" t="str">
            <v>حامل أكواب ستيل | Steel cups holder</v>
          </cell>
          <cell r="D112" t="str">
            <v>حامل أكواب ستيل | Steel cups holder</v>
          </cell>
          <cell r="E112" t="str">
            <v>✓</v>
          </cell>
          <cell r="F112" t="str">
            <v>✓</v>
          </cell>
          <cell r="G112" t="str">
            <v/>
          </cell>
          <cell r="H112" t="str">
            <v/>
          </cell>
          <cell r="I112" t="str">
            <v/>
          </cell>
          <cell r="J112" t="str">
            <v/>
          </cell>
          <cell r="K112">
            <v>2</v>
          </cell>
          <cell r="L112">
            <v>10</v>
          </cell>
          <cell r="N112">
            <v>106</v>
          </cell>
          <cell r="O112">
            <v>318</v>
          </cell>
          <cell r="P112">
            <v>3.333333333333333</v>
          </cell>
          <cell r="Q112">
            <v>13.333333333333332</v>
          </cell>
          <cell r="R112">
            <v>0</v>
          </cell>
          <cell r="S112">
            <v>7</v>
          </cell>
          <cell r="T112" t="str">
            <v>O</v>
          </cell>
          <cell r="U112">
            <v>118.2608</v>
          </cell>
          <cell r="V112" t="str">
            <v>Petty Cash Musab Taha</v>
          </cell>
          <cell r="W112">
            <v>0</v>
          </cell>
          <cell r="X112">
            <v>1182.6079999999999</v>
          </cell>
          <cell r="Z112" t="str">
            <v>CO-00608</v>
          </cell>
          <cell r="AA112" t="str">
            <v>حامل أكواب ستيل | Steel cups holder</v>
          </cell>
          <cell r="AB112" t="str">
            <v>CO-00608</v>
          </cell>
          <cell r="AC112" t="str">
            <v>حامل أكواب ستيل | Steel cups holder</v>
          </cell>
          <cell r="AD112">
            <v>118.2608</v>
          </cell>
          <cell r="AE112" t="str">
            <v>Petty Cash Musab Taha</v>
          </cell>
        </row>
        <row r="113">
          <cell r="B113" t="str">
            <v>CO-00500</v>
          </cell>
          <cell r="C113" t="str">
            <v>Squeeze bottle with 3 nozzle علبة التشوكليت بثلاث فتحات</v>
          </cell>
          <cell r="D113" t="str">
            <v>Squeeze bottle with 3 nozzle علبة التشوكليت بثلاث فتحات</v>
          </cell>
          <cell r="E113" t="str">
            <v>✓</v>
          </cell>
          <cell r="F113" t="str">
            <v>✓</v>
          </cell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  <cell r="K113">
            <v>2</v>
          </cell>
          <cell r="L113">
            <v>50</v>
          </cell>
          <cell r="N113">
            <v>46</v>
          </cell>
          <cell r="O113">
            <v>27.6</v>
          </cell>
          <cell r="P113">
            <v>28.333333333333332</v>
          </cell>
          <cell r="Q113">
            <v>78.333333333333329</v>
          </cell>
          <cell r="R113">
            <v>32.333333333333329</v>
          </cell>
          <cell r="S113">
            <v>14</v>
          </cell>
          <cell r="T113" t="str">
            <v>A</v>
          </cell>
          <cell r="U113">
            <v>46.82</v>
          </cell>
          <cell r="V113" t="str">
            <v>Kawader Al Jazeerah Trading Est. مؤسسة كوادر الجزيرة للتجارة</v>
          </cell>
          <cell r="W113">
            <v>1513.8466666666664</v>
          </cell>
          <cell r="X113">
            <v>2341</v>
          </cell>
          <cell r="Z113" t="str">
            <v>CO-00500</v>
          </cell>
          <cell r="AA113" t="str">
            <v>Squeeze bottle with 3 nozzle علبة التشوكليت بثلاث فتحات</v>
          </cell>
          <cell r="AB113" t="str">
            <v>CO-00500</v>
          </cell>
          <cell r="AC113" t="str">
            <v>Squeeze bottle with 3 nozzle علبة التشوكليت بثلاث فتحات</v>
          </cell>
          <cell r="AD113">
            <v>7</v>
          </cell>
          <cell r="AE113" t="str">
            <v>مؤسسة مستر شيف</v>
          </cell>
        </row>
        <row r="114">
          <cell r="B114" t="str">
            <v>CO-00320</v>
          </cell>
          <cell r="C114" t="str">
            <v>Espresso measuring cup 70 LTR كوب قياس اسبريسو 70 مل</v>
          </cell>
          <cell r="D114" t="str">
            <v>Espresso measuring cup 70 ml كوب قياس اسبريسو 70 مل</v>
          </cell>
          <cell r="E114" t="str">
            <v>✓</v>
          </cell>
          <cell r="F114" t="str">
            <v/>
          </cell>
          <cell r="G114" t="str">
            <v/>
          </cell>
          <cell r="H114" t="str">
            <v/>
          </cell>
          <cell r="I114" t="str">
            <v/>
          </cell>
          <cell r="J114" t="str">
            <v/>
          </cell>
          <cell r="K114">
            <v>1</v>
          </cell>
          <cell r="L114">
            <v>50</v>
          </cell>
          <cell r="N114">
            <v>119</v>
          </cell>
          <cell r="O114">
            <v>71.399999999999991</v>
          </cell>
          <cell r="P114">
            <v>16.666666666666664</v>
          </cell>
          <cell r="Q114">
            <v>66.666666666666657</v>
          </cell>
          <cell r="R114">
            <v>0</v>
          </cell>
          <cell r="S114">
            <v>7</v>
          </cell>
          <cell r="T114" t="str">
            <v>A</v>
          </cell>
          <cell r="U114">
            <v>30</v>
          </cell>
          <cell r="V114" t="str">
            <v>12 Cups Ltd شركة اثنى عشر كوب المحدوده</v>
          </cell>
          <cell r="W114">
            <v>0</v>
          </cell>
          <cell r="X114">
            <v>1500</v>
          </cell>
          <cell r="Z114" t="str">
            <v>CO-00320</v>
          </cell>
          <cell r="AA114" t="str">
            <v>Espresso measuring cup 70 ml كوب قياس اسبريسو 70 مل</v>
          </cell>
          <cell r="AB114" t="str">
            <v>CO-00320</v>
          </cell>
          <cell r="AC114" t="str">
            <v>Espresso measuring cup 70 LTR كوب قياس اسبريسو 70 مل</v>
          </cell>
          <cell r="AD114">
            <v>30</v>
          </cell>
          <cell r="AE114" t="str">
            <v>12 Cups Ltd شركة اثنى عشر كوب المحدوده</v>
          </cell>
        </row>
        <row r="115">
          <cell r="B115" t="str">
            <v>CO-00490</v>
          </cell>
          <cell r="C115" t="str">
            <v>Toddy Timerمؤقت تودي</v>
          </cell>
          <cell r="D115" t="str">
            <v>Toddy Timerمؤقت تودي</v>
          </cell>
          <cell r="E115" t="str">
            <v>✓</v>
          </cell>
          <cell r="F115" t="str">
            <v>✓</v>
          </cell>
          <cell r="G115" t="str">
            <v/>
          </cell>
          <cell r="H115" t="str">
            <v/>
          </cell>
          <cell r="I115" t="str">
            <v/>
          </cell>
          <cell r="J115" t="str">
            <v/>
          </cell>
          <cell r="K115">
            <v>2</v>
          </cell>
          <cell r="L115">
            <v>50</v>
          </cell>
          <cell r="N115">
            <v>0</v>
          </cell>
          <cell r="O115">
            <v>0</v>
          </cell>
          <cell r="P115">
            <v>16.666666666666664</v>
          </cell>
          <cell r="Q115">
            <v>66.666666666666657</v>
          </cell>
          <cell r="R115">
            <v>66.666666666666657</v>
          </cell>
          <cell r="S115">
            <v>7</v>
          </cell>
          <cell r="T115" t="str">
            <v>A</v>
          </cell>
          <cell r="U115">
            <v>50</v>
          </cell>
          <cell r="V115" t="str">
            <v>شركة بشريات الموسم للتجارة</v>
          </cell>
          <cell r="W115">
            <v>3333.333333333333</v>
          </cell>
          <cell r="X115">
            <v>2500</v>
          </cell>
          <cell r="Z115" t="str">
            <v>CO-00490</v>
          </cell>
          <cell r="AA115" t="str">
            <v>Toddy Timerمؤقت تودي</v>
          </cell>
          <cell r="AB115" t="str">
            <v>CO-00490</v>
          </cell>
          <cell r="AC115" t="str">
            <v>Toddy Timerمؤقت تودي</v>
          </cell>
          <cell r="AD115">
            <v>50</v>
          </cell>
          <cell r="AE115" t="str">
            <v>شركة بشريات الموسم للتجارة</v>
          </cell>
        </row>
        <row r="116">
          <cell r="B116" t="str">
            <v>CO-00491</v>
          </cell>
          <cell r="C116" t="str">
            <v>Toddy cold brew Container   وعاء تودي  لتحضير القهوة الباردة</v>
          </cell>
          <cell r="D116" t="str">
            <v>Toddy cold brew Container   وعاء تودي  لتحضير القهوة الباردة</v>
          </cell>
          <cell r="E116" t="str">
            <v>✓</v>
          </cell>
          <cell r="F116" t="str">
            <v/>
          </cell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  <cell r="K116">
            <v>1</v>
          </cell>
          <cell r="L116">
            <v>10</v>
          </cell>
          <cell r="N116">
            <v>12</v>
          </cell>
          <cell r="O116">
            <v>36</v>
          </cell>
          <cell r="P116">
            <v>3.333333333333333</v>
          </cell>
          <cell r="Q116">
            <v>13.333333333333332</v>
          </cell>
          <cell r="R116">
            <v>1.3333333333333321</v>
          </cell>
          <cell r="S116">
            <v>7</v>
          </cell>
          <cell r="T116" t="str">
            <v>A</v>
          </cell>
          <cell r="U116">
            <v>495.24</v>
          </cell>
          <cell r="V116" t="str">
            <v>سبيشلتي هاب ,, Archive</v>
          </cell>
          <cell r="W116">
            <v>660.31999999999948</v>
          </cell>
          <cell r="X116">
            <v>4952.3999999999996</v>
          </cell>
          <cell r="Z116" t="str">
            <v>CO-00491</v>
          </cell>
          <cell r="AA116" t="str">
            <v>Toddy cold brew Container   وعاء تودي  لتحضير القهوة الباردة</v>
          </cell>
          <cell r="AB116" t="str">
            <v>CO-00491</v>
          </cell>
          <cell r="AC116" t="str">
            <v>Toddy cold brew Container   وعاء تودي  لتحضير القهوة الباردة</v>
          </cell>
          <cell r="AD116">
            <v>495.24</v>
          </cell>
          <cell r="AE116" t="str">
            <v>سبيشلتي هاب ,, Archive</v>
          </cell>
        </row>
        <row r="117">
          <cell r="B117" t="str">
            <v>CO-00498</v>
          </cell>
          <cell r="C117" t="str">
            <v xml:space="preserve">Namq Syscall GP -101R 10c (set) Digital Coaster pager +charger base with power supply" جهاز بيجر سانكول </v>
          </cell>
          <cell r="D117" t="str">
            <v>"Syscall GP -101R 10c (set) Digital Coaster pager +charger base with power supply"	جهاز بيجر سانكول لنمق</v>
          </cell>
          <cell r="E117" t="str">
            <v>✓</v>
          </cell>
          <cell r="F117" t="str">
            <v/>
          </cell>
          <cell r="G117" t="str">
            <v/>
          </cell>
          <cell r="H117" t="str">
            <v/>
          </cell>
          <cell r="I117" t="str">
            <v/>
          </cell>
          <cell r="J117" t="str">
            <v/>
          </cell>
          <cell r="K117">
            <v>1</v>
          </cell>
          <cell r="L117">
            <v>0</v>
          </cell>
          <cell r="M117" t="str">
            <v>Order Item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7</v>
          </cell>
          <cell r="T117" t="str">
            <v>O</v>
          </cell>
          <cell r="U117">
            <v>1475</v>
          </cell>
          <cell r="V117" t="str">
            <v>مؤسسة حسن محمد حبيب للتجارة</v>
          </cell>
          <cell r="W117">
            <v>0</v>
          </cell>
          <cell r="X117">
            <v>0</v>
          </cell>
          <cell r="Z117" t="str">
            <v>CO-00498</v>
          </cell>
          <cell r="AA117" t="str">
            <v xml:space="preserve">Namq Syscall GP -101R 10c (set) Digital Coaster pager +charger base with power supply" جهاز بيجر سانكول </v>
          </cell>
          <cell r="AB117" t="str">
            <v>CO-00498</v>
          </cell>
          <cell r="AC117" t="str">
            <v xml:space="preserve">Namq Syscall GP -101R 10c (set) Digital Coaster pager +charger base with power supply" جهاز بيجر سانكول </v>
          </cell>
          <cell r="AD117">
            <v>1475</v>
          </cell>
          <cell r="AE117" t="str">
            <v>مؤسسة حسن محمد حبيب للتجارة</v>
          </cell>
        </row>
        <row r="118">
          <cell r="B118" t="str">
            <v>CO-00327</v>
          </cell>
          <cell r="C118" t="str">
            <v>Ice Cream Spoon ملعقة آيس كريم</v>
          </cell>
          <cell r="D118" t="str">
            <v>Ice Cream Spoon ملعقة آيس كريم</v>
          </cell>
          <cell r="E118" t="str">
            <v>✓</v>
          </cell>
          <cell r="F118" t="str">
            <v>✓</v>
          </cell>
          <cell r="G118" t="str">
            <v/>
          </cell>
          <cell r="H118" t="str">
            <v/>
          </cell>
          <cell r="I118" t="str">
            <v/>
          </cell>
          <cell r="J118" t="str">
            <v/>
          </cell>
          <cell r="K118">
            <v>2</v>
          </cell>
          <cell r="L118">
            <v>4</v>
          </cell>
          <cell r="N118">
            <v>44</v>
          </cell>
          <cell r="O118">
            <v>330</v>
          </cell>
          <cell r="P118">
            <v>1.3333333333333333</v>
          </cell>
          <cell r="Q118">
            <v>5.333333333333333</v>
          </cell>
          <cell r="R118">
            <v>0</v>
          </cell>
          <cell r="S118">
            <v>7</v>
          </cell>
          <cell r="T118" t="str">
            <v>O</v>
          </cell>
          <cell r="U118">
            <v>20</v>
          </cell>
          <cell r="V118" t="str">
            <v>مؤسسة مستر شيف</v>
          </cell>
          <cell r="W118">
            <v>0</v>
          </cell>
          <cell r="X118">
            <v>80</v>
          </cell>
          <cell r="Z118" t="str">
            <v>CO-00327</v>
          </cell>
          <cell r="AA118" t="str">
            <v>Ice Cream Spoon ملعقة آيس كريم</v>
          </cell>
          <cell r="AB118" t="str">
            <v>CO-00327</v>
          </cell>
          <cell r="AC118" t="str">
            <v>Ice Cream Spoon ملعقة آيس كريم</v>
          </cell>
          <cell r="AD118">
            <v>20</v>
          </cell>
          <cell r="AE118" t="str">
            <v>مؤسسة مستر شيف</v>
          </cell>
        </row>
        <row r="119">
          <cell r="B119" t="str">
            <v>PM-00711</v>
          </cell>
          <cell r="C119" t="str">
            <v>ملعقة اسبريسو لون فضي | Coffee spoon silver</v>
          </cell>
          <cell r="D119" t="str">
            <v>ملعقة اسبريسو لون فضي | Coffee spoon silver</v>
          </cell>
          <cell r="E119" t="str">
            <v/>
          </cell>
          <cell r="F119" t="str">
            <v/>
          </cell>
          <cell r="G119" t="str">
            <v/>
          </cell>
          <cell r="H119" t="str">
            <v/>
          </cell>
          <cell r="I119" t="str">
            <v/>
          </cell>
          <cell r="J119" t="str">
            <v/>
          </cell>
          <cell r="K119">
            <v>0</v>
          </cell>
          <cell r="L119">
            <v>20</v>
          </cell>
          <cell r="M119" t="str">
            <v>add</v>
          </cell>
          <cell r="N119">
            <v>0</v>
          </cell>
          <cell r="O119">
            <v>0</v>
          </cell>
          <cell r="P119">
            <v>6.6666666666666661</v>
          </cell>
          <cell r="Q119">
            <v>26.666666666666664</v>
          </cell>
          <cell r="R119">
            <v>26.666666666666664</v>
          </cell>
          <cell r="S119">
            <v>7</v>
          </cell>
          <cell r="T119" t="str">
            <v>A</v>
          </cell>
          <cell r="U119">
            <v>3.3</v>
          </cell>
          <cell r="V119" t="str">
            <v>مؤسسة عمد المختصة التجارية</v>
          </cell>
          <cell r="W119">
            <v>87.999999999999986</v>
          </cell>
          <cell r="X119">
            <v>66</v>
          </cell>
          <cell r="Z119" t="str">
            <v>CO-00471</v>
          </cell>
          <cell r="AA119" t="str">
            <v>كوب سراميك 110ملي لتقديم الاسبريسو لون وردي مع بيج (نمق)Ceramic cup, 110 ml, for serving espresso pink and beige color</v>
          </cell>
          <cell r="AB119" t="str">
            <v>PM-00711</v>
          </cell>
          <cell r="AC119" t="str">
            <v>ملعقة اسبريسو لون فضي | Coffee spoon silver</v>
          </cell>
          <cell r="AD119">
            <v>3.3</v>
          </cell>
          <cell r="AE119" t="str">
            <v>مؤسسة عمد المختصة التجارية</v>
          </cell>
        </row>
        <row r="120">
          <cell r="B120" t="str">
            <v>CO-00497</v>
          </cell>
          <cell r="C120" t="str">
            <v>Syrup Pumps مضخة سيروب</v>
          </cell>
          <cell r="D120" t="str">
            <v>Syrup Pumps مضخة سيروب</v>
          </cell>
          <cell r="E120" t="str">
            <v>✓</v>
          </cell>
          <cell r="F120" t="str">
            <v/>
          </cell>
          <cell r="G120" t="str">
            <v/>
          </cell>
          <cell r="H120" t="str">
            <v/>
          </cell>
          <cell r="I120" t="str">
            <v/>
          </cell>
          <cell r="J120" t="str">
            <v/>
          </cell>
          <cell r="K120">
            <v>1</v>
          </cell>
          <cell r="L120">
            <v>15</v>
          </cell>
          <cell r="N120">
            <v>0</v>
          </cell>
          <cell r="O120">
            <v>0</v>
          </cell>
          <cell r="P120">
            <v>5</v>
          </cell>
          <cell r="Q120">
            <v>20</v>
          </cell>
          <cell r="R120">
            <v>20</v>
          </cell>
          <cell r="S120">
            <v>7</v>
          </cell>
          <cell r="T120" t="str">
            <v>A</v>
          </cell>
          <cell r="U120">
            <v>15</v>
          </cell>
          <cell r="V120" t="str">
            <v>شركة شمس القهوة للتجارة المحدودة</v>
          </cell>
          <cell r="W120">
            <v>300</v>
          </cell>
          <cell r="X120">
            <v>225</v>
          </cell>
          <cell r="Z120" t="str">
            <v>CO-00497</v>
          </cell>
          <cell r="AA120" t="str">
            <v>Syrup Pumps مضخة سيروب</v>
          </cell>
          <cell r="AB120" t="str">
            <v>CO-00497</v>
          </cell>
          <cell r="AC120" t="str">
            <v>Syrup Pumps مضخة سيروب</v>
          </cell>
          <cell r="AD120">
            <v>15</v>
          </cell>
          <cell r="AE120" t="str">
            <v>شركة شمس القهوة للتجارة المحدودة</v>
          </cell>
        </row>
        <row r="121">
          <cell r="B121" t="str">
            <v>CO-00325</v>
          </cell>
          <cell r="C121" t="str">
            <v>CLEAR FOOD STORAGE CONTAINER W/LID 18 LTR وعاء شفاف سعة 18 لتر للمشروبات الباردة</v>
          </cell>
          <cell r="D121" t="str">
            <v>CLEAR FOOD STORAGE CONTAINER W/LID 18 LTR وعاء شفاف سعة 18 لتر للمشروبات الباردة</v>
          </cell>
          <cell r="E121" t="str">
            <v>✓</v>
          </cell>
          <cell r="F121" t="str">
            <v/>
          </cell>
          <cell r="G121" t="str">
            <v/>
          </cell>
          <cell r="H121" t="str">
            <v/>
          </cell>
          <cell r="I121" t="str">
            <v/>
          </cell>
          <cell r="J121" t="str">
            <v/>
          </cell>
          <cell r="K121">
            <v>1</v>
          </cell>
          <cell r="L121">
            <v>20</v>
          </cell>
          <cell r="N121">
            <v>221</v>
          </cell>
          <cell r="O121">
            <v>331.5</v>
          </cell>
          <cell r="P121">
            <v>6.6666666666666661</v>
          </cell>
          <cell r="Q121">
            <v>26.666666666666664</v>
          </cell>
          <cell r="R121">
            <v>0</v>
          </cell>
          <cell r="S121">
            <v>7</v>
          </cell>
          <cell r="T121" t="str">
            <v>A</v>
          </cell>
          <cell r="U121">
            <v>108.7</v>
          </cell>
          <cell r="V121" t="str">
            <v>مؤسسة زاهي الرياض للتجارة   ZAAHI ALRIYADH TRADING EST</v>
          </cell>
          <cell r="W121">
            <v>0</v>
          </cell>
          <cell r="X121">
            <v>2174</v>
          </cell>
          <cell r="Z121" t="str">
            <v>CO-00325</v>
          </cell>
          <cell r="AA121" t="str">
            <v>CLEAR FOOD STORAGE CONTAINER W/LID 18 LTR وعاء شفاف سعة 18 لتر للمشروبات الباردة</v>
          </cell>
          <cell r="AB121" t="str">
            <v>CO-00325</v>
          </cell>
          <cell r="AC121" t="str">
            <v>CLEAR FOOD STORAGE CONTAINER W/LID 18 LTR وعاء شفاف سعة 18 لتر للمشروبات الباردة</v>
          </cell>
          <cell r="AD121">
            <v>108.7</v>
          </cell>
          <cell r="AE121" t="str">
            <v>مؤسسة زاهي الرياض للتجارة   ZAAHI ALRIYADH TRADING EST</v>
          </cell>
        </row>
        <row r="122">
          <cell r="B122" t="str">
            <v>CO-00516</v>
          </cell>
          <cell r="C122" t="str">
            <v>ribl ربل</v>
          </cell>
          <cell r="D122" t="str">
            <v>ribl ربل</v>
          </cell>
          <cell r="E122" t="str">
            <v>✓</v>
          </cell>
          <cell r="F122" t="str">
            <v>✓</v>
          </cell>
          <cell r="G122" t="str">
            <v/>
          </cell>
          <cell r="H122" t="str">
            <v/>
          </cell>
          <cell r="I122" t="str">
            <v/>
          </cell>
          <cell r="J122" t="str">
            <v/>
          </cell>
          <cell r="K122">
            <v>2</v>
          </cell>
          <cell r="L122">
            <v>120</v>
          </cell>
          <cell r="N122">
            <v>0</v>
          </cell>
          <cell r="O122">
            <v>0</v>
          </cell>
          <cell r="P122">
            <v>40</v>
          </cell>
          <cell r="Q122">
            <v>160</v>
          </cell>
          <cell r="R122">
            <v>160</v>
          </cell>
          <cell r="S122">
            <v>7</v>
          </cell>
          <cell r="T122" t="str">
            <v>A</v>
          </cell>
          <cell r="U122">
            <v>18</v>
          </cell>
          <cell r="V122" t="str">
            <v>شركة بشريات الموسم للتجارة</v>
          </cell>
          <cell r="W122">
            <v>2880</v>
          </cell>
          <cell r="X122">
            <v>2160</v>
          </cell>
          <cell r="Z122" t="str">
            <v>CO-00516</v>
          </cell>
          <cell r="AA122" t="str">
            <v>ribl ربل</v>
          </cell>
          <cell r="AB122" t="str">
            <v>CO-00516</v>
          </cell>
          <cell r="AC122" t="str">
            <v>ribl ربل</v>
          </cell>
          <cell r="AD122">
            <v>18</v>
          </cell>
          <cell r="AE122" t="str">
            <v>شركة بشريات الموسم للتجارة</v>
          </cell>
        </row>
        <row r="123">
          <cell r="B123" t="str">
            <v>CO-00489</v>
          </cell>
          <cell r="C123" t="str">
            <v>02 V60 Ceramic Dripper قمع هايرو سيراميك 02</v>
          </cell>
          <cell r="D123" t="str">
            <v>02 V60 Ceramic Dripper قمع هايرو سيراميك 02</v>
          </cell>
          <cell r="E123" t="str">
            <v>✓</v>
          </cell>
          <cell r="F123" t="str">
            <v>✓</v>
          </cell>
          <cell r="G123" t="str">
            <v/>
          </cell>
          <cell r="H123" t="str">
            <v/>
          </cell>
          <cell r="I123" t="str">
            <v/>
          </cell>
          <cell r="J123" t="str">
            <v/>
          </cell>
          <cell r="K123">
            <v>2</v>
          </cell>
          <cell r="L123">
            <v>50</v>
          </cell>
          <cell r="N123">
            <v>97</v>
          </cell>
          <cell r="O123">
            <v>58.199999999999996</v>
          </cell>
          <cell r="P123">
            <v>16.666666666666664</v>
          </cell>
          <cell r="Q123">
            <v>66.666666666666657</v>
          </cell>
          <cell r="R123">
            <v>0</v>
          </cell>
          <cell r="S123">
            <v>7</v>
          </cell>
          <cell r="T123" t="str">
            <v>A</v>
          </cell>
          <cell r="U123">
            <v>52</v>
          </cell>
          <cell r="V123" t="str">
            <v>شركة بشريات الموسم للتجارة</v>
          </cell>
          <cell r="W123">
            <v>0</v>
          </cell>
          <cell r="X123">
            <v>2600</v>
          </cell>
          <cell r="Z123" t="str">
            <v>CO-00489</v>
          </cell>
          <cell r="AA123" t="str">
            <v>02 V60 Ceramic Dripper قمع هايرو سيراميك 02</v>
          </cell>
          <cell r="AB123" t="str">
            <v>CO-00489</v>
          </cell>
          <cell r="AC123" t="str">
            <v>02 V60 Ceramic Dripper قمع هايرو سيراميك 02</v>
          </cell>
          <cell r="AD123">
            <v>52</v>
          </cell>
          <cell r="AE123" t="str">
            <v>شركة بشريات الموسم للتجارة</v>
          </cell>
        </row>
        <row r="124">
          <cell r="B124" t="str">
            <v>CO-00494</v>
          </cell>
          <cell r="C124" t="str">
            <v>Water Tester جهاز قياس الأملاح</v>
          </cell>
          <cell r="D124" t="str">
            <v>Water Tester جهاز قياس الأملاح</v>
          </cell>
          <cell r="E124" t="str">
            <v>✓</v>
          </cell>
          <cell r="F124" t="str">
            <v>✓</v>
          </cell>
          <cell r="G124" t="str">
            <v/>
          </cell>
          <cell r="H124" t="str">
            <v/>
          </cell>
          <cell r="I124" t="str">
            <v/>
          </cell>
          <cell r="J124" t="str">
            <v/>
          </cell>
          <cell r="K124">
            <v>2</v>
          </cell>
          <cell r="L124">
            <v>15</v>
          </cell>
          <cell r="N124">
            <v>26</v>
          </cell>
          <cell r="O124">
            <v>52</v>
          </cell>
          <cell r="P124">
            <v>5</v>
          </cell>
          <cell r="Q124">
            <v>20</v>
          </cell>
          <cell r="R124">
            <v>0</v>
          </cell>
          <cell r="S124">
            <v>7</v>
          </cell>
          <cell r="T124" t="str">
            <v>A</v>
          </cell>
          <cell r="U124">
            <v>60</v>
          </cell>
          <cell r="V124" t="str">
            <v>Petty Cash Hanafy</v>
          </cell>
          <cell r="W124">
            <v>0</v>
          </cell>
          <cell r="X124">
            <v>900</v>
          </cell>
          <cell r="Z124" t="str">
            <v>CO-00494</v>
          </cell>
          <cell r="AA124" t="str">
            <v>Water Tester جهاز قياس الأملاح</v>
          </cell>
          <cell r="AB124" t="str">
            <v>CO-00494</v>
          </cell>
          <cell r="AC124" t="str">
            <v>Water Tester جهاز قياس الأملاح</v>
          </cell>
          <cell r="AD124">
            <v>60</v>
          </cell>
          <cell r="AE124" t="str">
            <v>Petty Cash Hanafy</v>
          </cell>
        </row>
        <row r="125">
          <cell r="B125" t="str">
            <v>CO-00324</v>
          </cell>
          <cell r="C125" t="str">
            <v>IMS SHOWER SCREEN LM 200 NT شاور سكرين لمكاين الاسبريسو 200</v>
          </cell>
          <cell r="D125" t="str">
            <v>IMS SHOWER SCREEN LM 200 NT شاور سكرين لمكاين الاسبريسو 200</v>
          </cell>
          <cell r="E125" t="str">
            <v>✓</v>
          </cell>
          <cell r="F125" t="str">
            <v/>
          </cell>
          <cell r="G125" t="str">
            <v/>
          </cell>
          <cell r="H125" t="str">
            <v/>
          </cell>
          <cell r="I125" t="str">
            <v/>
          </cell>
          <cell r="J125" t="str">
            <v/>
          </cell>
          <cell r="K125">
            <v>1</v>
          </cell>
          <cell r="L125">
            <v>70</v>
          </cell>
          <cell r="N125">
            <v>0</v>
          </cell>
          <cell r="O125">
            <v>0</v>
          </cell>
          <cell r="P125">
            <v>23.333333333333332</v>
          </cell>
          <cell r="Q125">
            <v>93.333333333333329</v>
          </cell>
          <cell r="R125">
            <v>93.333333333333329</v>
          </cell>
          <cell r="S125">
            <v>7</v>
          </cell>
          <cell r="T125" t="str">
            <v>A</v>
          </cell>
          <cell r="U125">
            <v>123.81</v>
          </cell>
          <cell r="V125" t="str">
            <v>سبيشلتي هاب ,, Archive</v>
          </cell>
          <cell r="W125">
            <v>11555.6</v>
          </cell>
          <cell r="X125">
            <v>8666.7000000000007</v>
          </cell>
          <cell r="Z125" t="str">
            <v>CO-00324</v>
          </cell>
          <cell r="AA125" t="str">
            <v>IMS SHOWER SCREEN LM 200 NT شاور سكرين لمكاين الاسبريسو 200</v>
          </cell>
          <cell r="AB125" t="str">
            <v>CO-00324</v>
          </cell>
          <cell r="AC125" t="str">
            <v>IMS SHOWER SCREEN LM 200 NT شاور سكرين لمكاين الاسبريسو 200</v>
          </cell>
          <cell r="AD125">
            <v>123.81</v>
          </cell>
          <cell r="AE125" t="str">
            <v>سبيشلتي هاب ,, Archive</v>
          </cell>
        </row>
        <row r="126">
          <cell r="B126" t="str">
            <v>CO-00526</v>
          </cell>
          <cell r="C126" t="str">
            <v>Utility Tongs ملقط</v>
          </cell>
          <cell r="D126" t="str">
            <v>Sprig Tongs S/S 12 ملقط 12 بوصة</v>
          </cell>
          <cell r="E126" t="str">
            <v/>
          </cell>
          <cell r="F126" t="str">
            <v/>
          </cell>
          <cell r="G126" t="str">
            <v/>
          </cell>
          <cell r="H126" t="str">
            <v/>
          </cell>
          <cell r="I126" t="str">
            <v/>
          </cell>
          <cell r="J126" t="str">
            <v/>
          </cell>
          <cell r="K126">
            <v>0</v>
          </cell>
          <cell r="L126">
            <v>25</v>
          </cell>
          <cell r="M126" t="str">
            <v>Adj</v>
          </cell>
          <cell r="N126">
            <v>37</v>
          </cell>
          <cell r="O126">
            <v>44.4</v>
          </cell>
          <cell r="P126">
            <v>8.3333333333333321</v>
          </cell>
          <cell r="Q126">
            <v>33.333333333333329</v>
          </cell>
          <cell r="R126">
            <v>0</v>
          </cell>
          <cell r="S126">
            <v>7</v>
          </cell>
          <cell r="T126" t="str">
            <v>O</v>
          </cell>
          <cell r="U126">
            <v>16</v>
          </cell>
          <cell r="V126" t="str">
            <v>مؤسسة مستر شيف</v>
          </cell>
          <cell r="W126">
            <v>0</v>
          </cell>
          <cell r="X126">
            <v>400</v>
          </cell>
          <cell r="Z126" t="str">
            <v>CO-00527</v>
          </cell>
          <cell r="AA126" t="str">
            <v>Sprig Tongs S/S 12 ملقط 12 بوصة</v>
          </cell>
          <cell r="AB126" t="str">
            <v>CO-00526</v>
          </cell>
          <cell r="AC126" t="str">
            <v>Utility Tongs ملقط</v>
          </cell>
          <cell r="AD126">
            <v>16</v>
          </cell>
          <cell r="AE126" t="str">
            <v>مؤسسة مستر شيف</v>
          </cell>
        </row>
        <row r="127">
          <cell r="B127" t="str">
            <v>CO-00560</v>
          </cell>
          <cell r="C127" t="str">
            <v>Pitcher JIBBI1000LTR بتشر تبخير جيبي الحاد - 1000 مل</v>
          </cell>
          <cell r="D127" t="str">
            <v>Pitcher JIBBI1000ml بتشر تبخير جيبي الحاد - 1000 مل</v>
          </cell>
          <cell r="E127" t="str">
            <v>✓</v>
          </cell>
          <cell r="F127" t="str">
            <v/>
          </cell>
          <cell r="G127" t="str">
            <v/>
          </cell>
          <cell r="H127" t="str">
            <v/>
          </cell>
          <cell r="I127" t="str">
            <v/>
          </cell>
          <cell r="J127" t="str">
            <v/>
          </cell>
          <cell r="K127">
            <v>1</v>
          </cell>
          <cell r="L127">
            <v>6</v>
          </cell>
          <cell r="N127">
            <v>0</v>
          </cell>
          <cell r="O127">
            <v>0</v>
          </cell>
          <cell r="P127">
            <v>2</v>
          </cell>
          <cell r="Q127">
            <v>8</v>
          </cell>
          <cell r="R127">
            <v>8</v>
          </cell>
          <cell r="S127">
            <v>7</v>
          </cell>
          <cell r="T127" t="str">
            <v>A</v>
          </cell>
          <cell r="U127">
            <v>158.30000000000001</v>
          </cell>
          <cell r="V127" t="str">
            <v>سبيشلتي هاب ,, Archive</v>
          </cell>
          <cell r="W127">
            <v>1266.4000000000001</v>
          </cell>
          <cell r="X127">
            <v>949.80000000000007</v>
          </cell>
          <cell r="Z127" t="str">
            <v>CO-00560</v>
          </cell>
          <cell r="AA127" t="str">
            <v>Pitcher JIBBI1000ml بتشر تبخير جيبي الحاد - 1000 مل</v>
          </cell>
          <cell r="AB127" t="str">
            <v>CO-00560</v>
          </cell>
          <cell r="AC127" t="str">
            <v>Pitcher JIBBI1000LTR بتشر تبخير جيبي الحاد - 1000 مل</v>
          </cell>
          <cell r="AD127">
            <v>158.30000000000001</v>
          </cell>
          <cell r="AE127" t="str">
            <v>سبيشلتي هاب ,, Archive</v>
          </cell>
        </row>
        <row r="128">
          <cell r="B128" t="str">
            <v>CO-00206</v>
          </cell>
          <cell r="C128" t="str">
            <v>Blue Plastic Box Size 9 صندوق بلاستيك ازرق مقاس 9</v>
          </cell>
          <cell r="D128" t="str">
            <v>Blue Plastic Box Size 9 صندوق بلاستيك ازرق مقاس 9</v>
          </cell>
          <cell r="E128" t="str">
            <v>✓</v>
          </cell>
          <cell r="F128" t="str">
            <v>✓</v>
          </cell>
          <cell r="G128" t="str">
            <v/>
          </cell>
          <cell r="H128" t="str">
            <v/>
          </cell>
          <cell r="I128" t="str">
            <v/>
          </cell>
          <cell r="J128" t="str">
            <v/>
          </cell>
          <cell r="K128">
            <v>2</v>
          </cell>
          <cell r="L128">
            <v>150</v>
          </cell>
          <cell r="N128">
            <v>0</v>
          </cell>
          <cell r="O128">
            <v>0</v>
          </cell>
          <cell r="P128">
            <v>50</v>
          </cell>
          <cell r="Q128">
            <v>200</v>
          </cell>
          <cell r="R128">
            <v>200</v>
          </cell>
          <cell r="S128">
            <v>7</v>
          </cell>
          <cell r="T128" t="str">
            <v>A</v>
          </cell>
          <cell r="U128">
            <v>21.739000000000001</v>
          </cell>
          <cell r="V128" t="str">
            <v>Hofuf Shelves Trading Est. مؤسسة هفوف الرفوف للتجارة</v>
          </cell>
          <cell r="W128">
            <v>4347.8</v>
          </cell>
          <cell r="X128">
            <v>3260.85</v>
          </cell>
          <cell r="Z128" t="str">
            <v>CO-00206</v>
          </cell>
          <cell r="AA128" t="str">
            <v>Blue Plastic Box Size 9 صندوق بلاستيك ازرق مقاس 9</v>
          </cell>
          <cell r="AB128" t="str">
            <v>CO-00206</v>
          </cell>
          <cell r="AC128" t="str">
            <v>Blue Plastic Box Size 9 صندوق بلاستيك ازرق مقاس 9</v>
          </cell>
          <cell r="AD128">
            <v>21.739000000000001</v>
          </cell>
          <cell r="AE128" t="str">
            <v>Hofuf Shelves Trading Est. مؤسسة هفوف الرفوف للتجارة</v>
          </cell>
        </row>
        <row r="129">
          <cell r="B129" t="str">
            <v>CO-00207</v>
          </cell>
          <cell r="C129" t="str">
            <v>Blue Plastic Box Size 7 صندوق بلاستيك ازرق مقاس 7</v>
          </cell>
          <cell r="D129" t="str">
            <v>Blue Plastic Box Size 7	صندوق بلاستيك ازرق مقاس 7</v>
          </cell>
          <cell r="E129" t="str">
            <v>✓</v>
          </cell>
          <cell r="F129" t="str">
            <v>✓</v>
          </cell>
          <cell r="G129" t="str">
            <v/>
          </cell>
          <cell r="H129" t="str">
            <v/>
          </cell>
          <cell r="I129" t="str">
            <v/>
          </cell>
          <cell r="J129" t="str">
            <v/>
          </cell>
          <cell r="K129">
            <v>2</v>
          </cell>
          <cell r="L129">
            <v>60</v>
          </cell>
          <cell r="N129">
            <v>0</v>
          </cell>
          <cell r="O129">
            <v>0</v>
          </cell>
          <cell r="P129">
            <v>20</v>
          </cell>
          <cell r="Q129">
            <v>80</v>
          </cell>
          <cell r="R129">
            <v>80</v>
          </cell>
          <cell r="S129">
            <v>7</v>
          </cell>
          <cell r="T129" t="str">
            <v>A</v>
          </cell>
          <cell r="U129">
            <v>17.390999999999998</v>
          </cell>
          <cell r="V129" t="str">
            <v>Hofuf Shelves Trading Est. مؤسسة هفوف الرفوف للتجارة</v>
          </cell>
          <cell r="W129">
            <v>1391.2799999999997</v>
          </cell>
          <cell r="X129">
            <v>1043.4599999999998</v>
          </cell>
          <cell r="Z129" t="str">
            <v>CO-00207</v>
          </cell>
          <cell r="AA129" t="str">
            <v>Blue Plastic Box Size 7 صندوق بلاستيك ازرق مقاس 7</v>
          </cell>
          <cell r="AB129" t="str">
            <v>CO-00207</v>
          </cell>
          <cell r="AC129" t="str">
            <v>Blue Plastic Box Size 7 صندوق بلاستيك ازرق مقاس 7</v>
          </cell>
          <cell r="AD129">
            <v>17.390999999999998</v>
          </cell>
          <cell r="AE129" t="str">
            <v>Hofuf Shelves Trading Est. مؤسسة هفوف الرفوف للتجارة</v>
          </cell>
        </row>
        <row r="130">
          <cell r="B130" t="str">
            <v>CO-00330</v>
          </cell>
          <cell r="C130" t="str">
            <v>Jambo Filter 1st Phase فلتر جامبو شوائب مياه فيتنامي 20 إنش مرحلة اولى</v>
          </cell>
          <cell r="D130" t="str">
            <v>Jambo Filter 1st Phase فلتر جامبو شوائب مياه فيتنامي 20 إنش مرحلة اولى</v>
          </cell>
          <cell r="E130" t="str">
            <v>✓</v>
          </cell>
          <cell r="F130" t="str">
            <v/>
          </cell>
          <cell r="G130" t="str">
            <v/>
          </cell>
          <cell r="H130" t="str">
            <v/>
          </cell>
          <cell r="I130" t="str">
            <v/>
          </cell>
          <cell r="J130" t="str">
            <v/>
          </cell>
          <cell r="K130">
            <v>1</v>
          </cell>
          <cell r="L130">
            <v>50</v>
          </cell>
          <cell r="N130">
            <v>0</v>
          </cell>
          <cell r="O130">
            <v>0</v>
          </cell>
          <cell r="P130">
            <v>16.666666666666664</v>
          </cell>
          <cell r="Q130">
            <v>66.666666666666657</v>
          </cell>
          <cell r="R130">
            <v>66.666666666666657</v>
          </cell>
          <cell r="S130">
            <v>7</v>
          </cell>
          <cell r="T130" t="str">
            <v>A</v>
          </cell>
          <cell r="U130">
            <v>34.78</v>
          </cell>
          <cell r="V130" t="str">
            <v>شركة نثال الوادي لتقنية المياة</v>
          </cell>
          <cell r="W130">
            <v>2318.6666666666665</v>
          </cell>
          <cell r="X130">
            <v>1739</v>
          </cell>
          <cell r="Z130" t="str">
            <v>CO-00330</v>
          </cell>
          <cell r="AA130" t="str">
            <v>Jambo Filter 1st Phase فلتر جامبو شوائب مياه فيتنامي 20 إنش مرحلة اولى</v>
          </cell>
          <cell r="AB130" t="str">
            <v>CO-00330</v>
          </cell>
          <cell r="AC130" t="str">
            <v>Jambo Filter 1st Phase فلتر جامبو شوائب مياه فيتنامي 20 إنش مرحلة اولى</v>
          </cell>
          <cell r="AD130">
            <v>34.78</v>
          </cell>
          <cell r="AE130" t="str">
            <v>شركة نثال الوادي لتقنية المياة</v>
          </cell>
        </row>
        <row r="131">
          <cell r="B131" t="str">
            <v>CO-00499</v>
          </cell>
          <cell r="C131" t="str">
            <v>Vietnamese filter 10 PCS -فلتر شوائب فيتنامي 10 إنش</v>
          </cell>
          <cell r="D131" t="str">
            <v>Vietnamese filter 10 inch -فلتر شوائب فيتنامي 10 إنش</v>
          </cell>
          <cell r="E131" t="str">
            <v>✓</v>
          </cell>
          <cell r="F131" t="str">
            <v/>
          </cell>
          <cell r="G131" t="str">
            <v/>
          </cell>
          <cell r="H131" t="str">
            <v/>
          </cell>
          <cell r="I131" t="str">
            <v/>
          </cell>
          <cell r="J131" t="str">
            <v/>
          </cell>
          <cell r="K131">
            <v>1</v>
          </cell>
          <cell r="L131">
            <v>50</v>
          </cell>
          <cell r="N131">
            <v>46</v>
          </cell>
          <cell r="O131">
            <v>27.6</v>
          </cell>
          <cell r="P131">
            <v>16.666666666666664</v>
          </cell>
          <cell r="Q131">
            <v>66.666666666666657</v>
          </cell>
          <cell r="R131">
            <v>20.666666666666657</v>
          </cell>
          <cell r="S131">
            <v>7</v>
          </cell>
          <cell r="T131" t="str">
            <v>A</v>
          </cell>
          <cell r="U131">
            <v>6</v>
          </cell>
          <cell r="V131" t="str">
            <v>شركة نثال الوادي لتقنية المياة</v>
          </cell>
          <cell r="W131">
            <v>123.99999999999994</v>
          </cell>
          <cell r="X131">
            <v>300</v>
          </cell>
          <cell r="Z131" t="str">
            <v>CO-00499</v>
          </cell>
          <cell r="AA131" t="str">
            <v>فلتر شوائب فيتنامي 10 انش(شراء)</v>
          </cell>
          <cell r="AB131" t="str">
            <v>CO-00499</v>
          </cell>
          <cell r="AC131" t="str">
            <v>Vietnamese filter 10 PCS -فلتر شوائب فيتنامي 10 إنش</v>
          </cell>
          <cell r="AD131">
            <v>6</v>
          </cell>
          <cell r="AE131" t="str">
            <v>شركة نثال الوادي لتقنية المياة</v>
          </cell>
        </row>
        <row r="132">
          <cell r="B132" t="str">
            <v>CO-00135</v>
          </cell>
          <cell r="C132" t="str">
            <v>Puly Caff - Group Cleaning Powder 900g بودرة تنظيف مكائن الإسبريسو بولي كاف 900 جرام</v>
          </cell>
          <cell r="D132" t="str">
            <v>Puly Caff - Group Cleaning Powder 900g بودرة تنظيف مكائن الإسبريسو بولي كاف 900 جرام</v>
          </cell>
          <cell r="E132" t="str">
            <v>✓</v>
          </cell>
          <cell r="F132" t="str">
            <v>✓</v>
          </cell>
          <cell r="G132" t="str">
            <v/>
          </cell>
          <cell r="H132" t="str">
            <v/>
          </cell>
          <cell r="I132" t="str">
            <v/>
          </cell>
          <cell r="J132" t="str">
            <v/>
          </cell>
          <cell r="K132">
            <v>2</v>
          </cell>
          <cell r="L132">
            <v>430</v>
          </cell>
          <cell r="N132">
            <v>331</v>
          </cell>
          <cell r="O132">
            <v>23.093023255813954</v>
          </cell>
          <cell r="P132">
            <v>143.33333333333331</v>
          </cell>
          <cell r="Q132">
            <v>573.33333333333326</v>
          </cell>
          <cell r="R132">
            <v>242.33333333333326</v>
          </cell>
          <cell r="S132">
            <v>7</v>
          </cell>
          <cell r="T132" t="str">
            <v>S</v>
          </cell>
          <cell r="U132">
            <v>45.832999999999998</v>
          </cell>
          <cell r="V132" t="str">
            <v>شركة بشريات الموسم للتجارة</v>
          </cell>
          <cell r="W132">
            <v>11106.863666666663</v>
          </cell>
          <cell r="X132">
            <v>19708.189999999999</v>
          </cell>
          <cell r="Z132" t="str">
            <v>CO-00135</v>
          </cell>
          <cell r="AA132" t="str">
            <v>Puly Caff - Group Cleaning Powder 900g بودرة تنظيف مكائن الإسبريسو بولي كاف 900 جرام</v>
          </cell>
          <cell r="AB132" t="str">
            <v>CO-00135</v>
          </cell>
          <cell r="AC132" t="str">
            <v>Puly Caff - Group Cleaning Powder 900g بودرة تنظيف مكائن الإسبريسو بولي كاف 900 جرام</v>
          </cell>
          <cell r="AD132">
            <v>45.832999999999998</v>
          </cell>
          <cell r="AE132" t="str">
            <v>شركة بشريات الموسم للتجارة</v>
          </cell>
        </row>
        <row r="133">
          <cell r="B133" t="str">
            <v>CO-00134</v>
          </cell>
          <cell r="C133" t="str">
            <v>Puly Caff - Group Cleaning Powder 570g بودرة تنظيف مكائن الإسبريسو بولي كاف 570 جرام</v>
          </cell>
          <cell r="D133" t="str">
            <v>Puly Caff - Group Cleaning Powder 570g بودرة تنظيف مكائن الإسبريسو بولي كاف 570 جرام</v>
          </cell>
          <cell r="E133" t="str">
            <v>✓</v>
          </cell>
          <cell r="F133" t="str">
            <v>✓</v>
          </cell>
          <cell r="G133" t="str">
            <v/>
          </cell>
          <cell r="H133" t="str">
            <v/>
          </cell>
          <cell r="I133" t="str">
            <v/>
          </cell>
          <cell r="J133" t="str">
            <v/>
          </cell>
          <cell r="K133">
            <v>2</v>
          </cell>
          <cell r="L133">
            <v>8</v>
          </cell>
          <cell r="N133">
            <v>0</v>
          </cell>
          <cell r="O133">
            <v>0</v>
          </cell>
          <cell r="P133">
            <v>2.6666666666666665</v>
          </cell>
          <cell r="Q133">
            <v>10.666666666666666</v>
          </cell>
          <cell r="R133">
            <v>10.666666666666666</v>
          </cell>
          <cell r="S133">
            <v>7</v>
          </cell>
          <cell r="T133" t="str">
            <v>S</v>
          </cell>
          <cell r="U133">
            <v>45.832999999999998</v>
          </cell>
          <cell r="V133" t="str">
            <v>شركة بشريات الموسم للتجارة</v>
          </cell>
          <cell r="W133">
            <v>488.88533333333328</v>
          </cell>
          <cell r="X133">
            <v>366.66399999999999</v>
          </cell>
          <cell r="Z133" t="str">
            <v>CO-00134</v>
          </cell>
          <cell r="AA133" t="str">
            <v>Puly Caff - Group Cleaning Powder 570g بودرة تنظيف مكائن الإسبريسو بولي كاف 570 جرام</v>
          </cell>
          <cell r="AB133" t="str">
            <v>CO-00134</v>
          </cell>
          <cell r="AC133" t="str">
            <v>Puly Caff - Group Cleaning Powder 570g بودرة تنظيف مكائن الإسبريسو بولي كاف 570 جرام</v>
          </cell>
          <cell r="AD133">
            <v>45.832999999999998</v>
          </cell>
          <cell r="AE133" t="str">
            <v>شركة بشريات الموسم للتجارة</v>
          </cell>
        </row>
        <row r="134">
          <cell r="B134" t="str">
            <v>CO-00053</v>
          </cell>
          <cell r="C134" t="str">
            <v>Grinder Cleaner 430g منظف مطحنة بن القهوة 430 جرام</v>
          </cell>
          <cell r="D134" t="str">
            <v>Grinder Cleaner 430g منظف مطحنة بن القهوة 430 جرام</v>
          </cell>
          <cell r="E134" t="str">
            <v>✓</v>
          </cell>
          <cell r="F134" t="str">
            <v>✓</v>
          </cell>
          <cell r="G134" t="str">
            <v/>
          </cell>
          <cell r="H134" t="str">
            <v/>
          </cell>
          <cell r="I134" t="str">
            <v/>
          </cell>
          <cell r="J134" t="str">
            <v/>
          </cell>
          <cell r="K134">
            <v>2</v>
          </cell>
          <cell r="L134">
            <v>300</v>
          </cell>
          <cell r="N134">
            <v>0</v>
          </cell>
          <cell r="O134">
            <v>0</v>
          </cell>
          <cell r="P134">
            <v>100</v>
          </cell>
          <cell r="Q134">
            <v>400</v>
          </cell>
          <cell r="R134">
            <v>400</v>
          </cell>
          <cell r="S134">
            <v>7</v>
          </cell>
          <cell r="T134" t="str">
            <v>A</v>
          </cell>
          <cell r="U134">
            <v>29.585000000000001</v>
          </cell>
          <cell r="V134" t="str">
            <v>شركة بشريات الموسم للتجارة</v>
          </cell>
          <cell r="W134">
            <v>11834</v>
          </cell>
          <cell r="X134">
            <v>8875.5</v>
          </cell>
          <cell r="Z134" t="str">
            <v>CO-00053</v>
          </cell>
          <cell r="AA134" t="str">
            <v>Grinder Cleaner 430g منظف مطحنة بن القهوة 430 جرام</v>
          </cell>
          <cell r="AB134" t="str">
            <v>CO-00053</v>
          </cell>
          <cell r="AC134" t="str">
            <v>Grinder Cleaner 430g منظف مطحنة بن القهوة 430 جرام</v>
          </cell>
          <cell r="AD134">
            <v>29.585000000000001</v>
          </cell>
          <cell r="AE134" t="str">
            <v>شركة بشريات الموسم للتجارة</v>
          </cell>
        </row>
        <row r="135">
          <cell r="B135" t="str">
            <v>CO-00068</v>
          </cell>
          <cell r="C135" t="str">
            <v>hopper cleaner منظف الهوبر</v>
          </cell>
          <cell r="D135" t="str">
            <v>hopper cleaner منظف الهوبر</v>
          </cell>
          <cell r="E135" t="str">
            <v>✓</v>
          </cell>
          <cell r="F135" t="str">
            <v>✓</v>
          </cell>
          <cell r="G135" t="str">
            <v/>
          </cell>
          <cell r="H135" t="str">
            <v/>
          </cell>
          <cell r="I135" t="str">
            <v/>
          </cell>
          <cell r="J135" t="str">
            <v/>
          </cell>
          <cell r="K135">
            <v>2</v>
          </cell>
          <cell r="L135">
            <v>75</v>
          </cell>
          <cell r="N135">
            <v>190</v>
          </cell>
          <cell r="O135">
            <v>76</v>
          </cell>
          <cell r="P135">
            <v>25</v>
          </cell>
          <cell r="Q135">
            <v>100</v>
          </cell>
          <cell r="R135">
            <v>0</v>
          </cell>
          <cell r="S135">
            <v>7</v>
          </cell>
          <cell r="T135" t="str">
            <v>A</v>
          </cell>
          <cell r="U135">
            <v>29.585000000000001</v>
          </cell>
          <cell r="V135" t="str">
            <v>شركة بشريات الموسم للتجارة</v>
          </cell>
          <cell r="W135">
            <v>0</v>
          </cell>
          <cell r="X135">
            <v>2218.875</v>
          </cell>
          <cell r="Z135" t="str">
            <v>CO-00068</v>
          </cell>
          <cell r="AA135" t="str">
            <v>hopper cleaner منظف الهوبر</v>
          </cell>
          <cell r="AB135" t="str">
            <v>CO-00068</v>
          </cell>
          <cell r="AC135" t="str">
            <v>hopper cleaner منظف الهوبر</v>
          </cell>
          <cell r="AD135">
            <v>29.585000000000001</v>
          </cell>
          <cell r="AE135" t="str">
            <v>شركة بشريات الموسم للتجارة</v>
          </cell>
        </row>
        <row r="136">
          <cell r="B136" t="str">
            <v>CO-00046</v>
          </cell>
          <cell r="C136" t="str">
            <v>Ubermilk Cleaning Agent 1 (Red)محلول تنظيف اوبر ميلك احمر</v>
          </cell>
          <cell r="D136" t="str">
            <v>Ubermilk Cleaning Agent 1 (Red)محلول تنظيف اوبر ميلك احمر</v>
          </cell>
          <cell r="E136" t="str">
            <v>✓</v>
          </cell>
          <cell r="F136" t="str">
            <v>✓</v>
          </cell>
          <cell r="G136" t="str">
            <v/>
          </cell>
          <cell r="H136" t="str">
            <v/>
          </cell>
          <cell r="I136" t="str">
            <v/>
          </cell>
          <cell r="J136" t="str">
            <v/>
          </cell>
          <cell r="K136">
            <v>2</v>
          </cell>
          <cell r="L136">
            <v>350</v>
          </cell>
          <cell r="N136">
            <v>4</v>
          </cell>
          <cell r="O136">
            <v>0.34285714285714286</v>
          </cell>
          <cell r="P136">
            <v>116.66666666666666</v>
          </cell>
          <cell r="Q136">
            <v>466.66666666666663</v>
          </cell>
          <cell r="R136">
            <v>462.66666666666663</v>
          </cell>
          <cell r="S136">
            <v>7</v>
          </cell>
          <cell r="T136" t="str">
            <v>S</v>
          </cell>
          <cell r="U136">
            <v>150</v>
          </cell>
          <cell r="V136" t="str">
            <v>مؤسسة منحنى الحمص للتجارة - Profilers</v>
          </cell>
          <cell r="W136">
            <v>69400</v>
          </cell>
          <cell r="X136">
            <v>52500</v>
          </cell>
          <cell r="Z136" t="str">
            <v>CO-00046</v>
          </cell>
          <cell r="AA136" t="str">
            <v xml:space="preserve">Ubermilk Cleaning Agent 1 (Red)محلول تنظيف اوبر ميلك احمر </v>
          </cell>
          <cell r="AB136" t="str">
            <v>CO-00046</v>
          </cell>
          <cell r="AC136" t="str">
            <v>Ubermilk Cleaning Agent 1 (Red)محلول تنظيف اوبر ميلك احمر</v>
          </cell>
          <cell r="AD136">
            <v>150</v>
          </cell>
          <cell r="AE136" t="str">
            <v>مؤسسة منحنى الحمص للتجارة - Profilers</v>
          </cell>
        </row>
        <row r="137">
          <cell r="B137" t="str">
            <v>CO-00047</v>
          </cell>
          <cell r="C137" t="str">
            <v>Ubermilk Cleaning Agent 2 (Blue)محلول تنظيف اوبر ميلك ازرق</v>
          </cell>
          <cell r="D137" t="str">
            <v>Ubermilk Cleaning Agent 2 (Blue)محلول تنظيف اوبر ميلك ازرق</v>
          </cell>
          <cell r="E137" t="str">
            <v>✓</v>
          </cell>
          <cell r="F137" t="str">
            <v>✓</v>
          </cell>
          <cell r="G137" t="str">
            <v/>
          </cell>
          <cell r="H137" t="str">
            <v/>
          </cell>
          <cell r="I137" t="str">
            <v/>
          </cell>
          <cell r="J137" t="str">
            <v/>
          </cell>
          <cell r="K137">
            <v>2</v>
          </cell>
          <cell r="L137">
            <v>100</v>
          </cell>
          <cell r="N137">
            <v>0</v>
          </cell>
          <cell r="O137">
            <v>0</v>
          </cell>
          <cell r="P137">
            <v>33.333333333333329</v>
          </cell>
          <cell r="Q137">
            <v>133.33333333333331</v>
          </cell>
          <cell r="R137">
            <v>133.33333333333331</v>
          </cell>
          <cell r="S137">
            <v>7</v>
          </cell>
          <cell r="T137" t="str">
            <v>S</v>
          </cell>
          <cell r="U137">
            <v>150</v>
          </cell>
          <cell r="V137" t="str">
            <v>مؤسسة منحنى الحمص للتجارة - Profilers</v>
          </cell>
          <cell r="W137">
            <v>19999.999999999996</v>
          </cell>
          <cell r="X137">
            <v>15000</v>
          </cell>
          <cell r="Z137" t="str">
            <v>CO-00047</v>
          </cell>
          <cell r="AA137" t="str">
            <v>Ubermilk Cleaning Agent 2 (Blue)محلول تنظيف اوبر ميلك ازرق</v>
          </cell>
          <cell r="AB137" t="str">
            <v>CO-00047</v>
          </cell>
          <cell r="AC137" t="str">
            <v>Ubermilk Cleaning Agent 2 (Blue)محلول تنظيف اوبر ميلك ازرق</v>
          </cell>
          <cell r="AD137">
            <v>150</v>
          </cell>
          <cell r="AE137" t="str">
            <v>مؤسسة منحنى الحمص للتجارة - Profilers</v>
          </cell>
        </row>
        <row r="138">
          <cell r="B138" t="str">
            <v>CO-00061</v>
          </cell>
          <cell r="C138" t="str">
            <v>Steam cleaner 1 liter منظف الاستيم 1 لتر</v>
          </cell>
          <cell r="D138" t="str">
            <v>Steam cleaner 1 liter منظف الاستيم 1 لتر</v>
          </cell>
          <cell r="E138" t="str">
            <v>✓</v>
          </cell>
          <cell r="F138" t="str">
            <v>✓</v>
          </cell>
          <cell r="G138" t="str">
            <v/>
          </cell>
          <cell r="H138" t="str">
            <v/>
          </cell>
          <cell r="I138" t="str">
            <v/>
          </cell>
          <cell r="J138" t="str">
            <v/>
          </cell>
          <cell r="K138">
            <v>2</v>
          </cell>
          <cell r="L138">
            <v>127</v>
          </cell>
          <cell r="N138">
            <v>27</v>
          </cell>
          <cell r="O138">
            <v>6.377952755905512</v>
          </cell>
          <cell r="P138">
            <v>42.333333333333329</v>
          </cell>
          <cell r="Q138">
            <v>169.33333333333331</v>
          </cell>
          <cell r="R138">
            <v>142.33333333333331</v>
          </cell>
          <cell r="S138">
            <v>7</v>
          </cell>
          <cell r="T138" t="str">
            <v>A</v>
          </cell>
          <cell r="U138">
            <v>50</v>
          </cell>
          <cell r="V138" t="str">
            <v>شركة بشريات الموسم للتجارة</v>
          </cell>
          <cell r="W138">
            <v>7116.6666666666661</v>
          </cell>
          <cell r="X138">
            <v>6350</v>
          </cell>
          <cell r="Z138" t="str">
            <v>CO-00061</v>
          </cell>
          <cell r="AA138" t="str">
            <v>Steam cleaner 1 liter منظف الاستيم 1 لتر</v>
          </cell>
          <cell r="AB138" t="str">
            <v>CO-00061</v>
          </cell>
          <cell r="AC138" t="str">
            <v>Steam cleaner 1 liter منظف الاستيم 1 لتر</v>
          </cell>
          <cell r="AD138">
            <v>50</v>
          </cell>
          <cell r="AE138" t="str">
            <v>شركة بشريات الموسم للتجارة</v>
          </cell>
        </row>
        <row r="139">
          <cell r="B139" t="str">
            <v>CO-00094</v>
          </cell>
          <cell r="C139" t="str">
            <v>Cafetto Grinder Clean اقراص تنظيف طاحونة كافييتو</v>
          </cell>
          <cell r="D139" t="str">
            <v>Cafetto Grinder Clean اقراص تنظيف طاحونة كافييتو</v>
          </cell>
          <cell r="E139" t="str">
            <v>✓</v>
          </cell>
          <cell r="F139" t="str">
            <v>✓</v>
          </cell>
          <cell r="G139" t="str">
            <v/>
          </cell>
          <cell r="H139" t="str">
            <v/>
          </cell>
          <cell r="I139" t="str">
            <v/>
          </cell>
          <cell r="J139" t="str">
            <v/>
          </cell>
          <cell r="K139">
            <v>2</v>
          </cell>
          <cell r="L139">
            <v>370</v>
          </cell>
          <cell r="N139">
            <v>0</v>
          </cell>
          <cell r="O139">
            <v>0</v>
          </cell>
          <cell r="P139">
            <v>123.33333333333333</v>
          </cell>
          <cell r="Q139">
            <v>493.33333333333331</v>
          </cell>
          <cell r="R139">
            <v>493.33333333333331</v>
          </cell>
          <cell r="S139">
            <v>7</v>
          </cell>
          <cell r="T139" t="str">
            <v>A</v>
          </cell>
          <cell r="U139">
            <v>115</v>
          </cell>
          <cell r="V139" t="str">
            <v>12 Cups Ltd شركة اثنى عشر كوب المحدوده</v>
          </cell>
          <cell r="W139">
            <v>56733.333333333328</v>
          </cell>
          <cell r="X139">
            <v>42550</v>
          </cell>
          <cell r="Z139" t="str">
            <v>CO-00094</v>
          </cell>
          <cell r="AA139" t="str">
            <v>Cafetto Grinder Clean اقراص تنظيف طاحونة كافييتو</v>
          </cell>
          <cell r="AB139" t="str">
            <v>CO-00094</v>
          </cell>
          <cell r="AC139" t="str">
            <v>Cafetto Grinder Clean اقراص تنظيف طاحونة كافييتو</v>
          </cell>
          <cell r="AD139">
            <v>115</v>
          </cell>
          <cell r="AE139" t="str">
            <v>12 Cups Ltd شركة اثنى عشر كوب المحدوده</v>
          </cell>
        </row>
        <row r="140">
          <cell r="B140" t="str">
            <v>CO-00326</v>
          </cell>
          <cell r="C140" t="str">
            <v>Essprsso Machine Cleaning Brush - Pallo فرشاة تنظيف ماكينة اسبريسو</v>
          </cell>
          <cell r="D140" t="str">
            <v>Essprsso Machine Cleaning Brush - Pallo فرشاة تنظيف ماكينة اسبريسو</v>
          </cell>
          <cell r="E140" t="str">
            <v>✓</v>
          </cell>
          <cell r="F140" t="str">
            <v/>
          </cell>
          <cell r="G140" t="str">
            <v/>
          </cell>
          <cell r="H140" t="str">
            <v/>
          </cell>
          <cell r="I140" t="str">
            <v/>
          </cell>
          <cell r="J140" t="str">
            <v/>
          </cell>
          <cell r="K140">
            <v>1</v>
          </cell>
          <cell r="L140">
            <v>10</v>
          </cell>
          <cell r="N140">
            <v>0</v>
          </cell>
          <cell r="O140">
            <v>0</v>
          </cell>
          <cell r="P140">
            <v>3.333333333333333</v>
          </cell>
          <cell r="Q140">
            <v>13.333333333333332</v>
          </cell>
          <cell r="R140">
            <v>13.333333333333332</v>
          </cell>
          <cell r="S140">
            <v>7</v>
          </cell>
          <cell r="T140" t="str">
            <v>A</v>
          </cell>
          <cell r="U140">
            <v>17</v>
          </cell>
          <cell r="V140" t="str">
            <v>شركة بشريات الموسم للتجارة</v>
          </cell>
          <cell r="W140">
            <v>226.66666666666666</v>
          </cell>
          <cell r="X140">
            <v>170</v>
          </cell>
          <cell r="Z140" t="str">
            <v>CO-00326</v>
          </cell>
          <cell r="AA140" t="str">
            <v>Essprsso Machine Cleaning Brush - Pallo فرشاة تنظيف ماكينة اسبريسو</v>
          </cell>
          <cell r="AB140" t="str">
            <v>CO-00326</v>
          </cell>
          <cell r="AC140" t="str">
            <v>Essprsso Machine Cleaning Brush - Pallo فرشاة تنظيف ماكينة اسبريسو</v>
          </cell>
          <cell r="AD140">
            <v>17</v>
          </cell>
          <cell r="AE140" t="str">
            <v>شركة بشريات الموسم للتجارة</v>
          </cell>
        </row>
        <row r="141">
          <cell r="B141" t="str">
            <v>CO-00043</v>
          </cell>
          <cell r="C141" t="str">
            <v>Large Tissue Roll - Auto Kitمناديل رول كبير - اوتو كيت</v>
          </cell>
          <cell r="D141" t="str">
            <v>Large Tissue Roll - Auto Kitمناديل رول كبير - اوتو كيت</v>
          </cell>
          <cell r="E141" t="str">
            <v>✓</v>
          </cell>
          <cell r="F141" t="str">
            <v>✓</v>
          </cell>
          <cell r="G141" t="str">
            <v/>
          </cell>
          <cell r="H141" t="str">
            <v>✓</v>
          </cell>
          <cell r="I141" t="str">
            <v/>
          </cell>
          <cell r="J141" t="str">
            <v>✓</v>
          </cell>
          <cell r="K141">
            <v>4</v>
          </cell>
          <cell r="L141">
            <v>7100</v>
          </cell>
          <cell r="N141">
            <v>6858</v>
          </cell>
          <cell r="O141">
            <v>28.977464788732394</v>
          </cell>
          <cell r="P141">
            <v>2366.6666666666665</v>
          </cell>
          <cell r="Q141">
            <v>9466.6666666666661</v>
          </cell>
          <cell r="R141">
            <v>2608.6666666666661</v>
          </cell>
          <cell r="S141">
            <v>7</v>
          </cell>
          <cell r="T141" t="str">
            <v>S</v>
          </cell>
          <cell r="U141">
            <v>8.1666699999999999</v>
          </cell>
          <cell r="V141" t="str">
            <v>شركة اركان الاندلس للتجارة</v>
          </cell>
          <cell r="W141">
            <v>21304.119806666662</v>
          </cell>
          <cell r="X141">
            <v>57983.356999999996</v>
          </cell>
          <cell r="Z141" t="str">
            <v>CO-00043</v>
          </cell>
          <cell r="AA141" t="str">
            <v>Large Tissue Roll - Auto Kitمناديل رول كبير - اوتو كيت</v>
          </cell>
          <cell r="AB141" t="str">
            <v>CO-00043</v>
          </cell>
          <cell r="AC141" t="str">
            <v>Large Tissue Roll - Auto Kitمناديل رول كبير - اوتو كيت</v>
          </cell>
          <cell r="AD141">
            <v>8.1666699999999999</v>
          </cell>
          <cell r="AE141" t="str">
            <v>شركة اركان الاندلس للتجارة</v>
          </cell>
        </row>
        <row r="142">
          <cell r="B142" t="str">
            <v>CO-00104</v>
          </cell>
          <cell r="C142" t="str">
            <v>Blue Steaming Roll Towelsمناشف رول للتبخير الزرقاء</v>
          </cell>
          <cell r="D142" t="str">
            <v>Blue Steaming Roll Towelsمناشف رول للتبخير الزرقاء</v>
          </cell>
          <cell r="E142" t="str">
            <v>✓</v>
          </cell>
          <cell r="F142" t="str">
            <v>✓</v>
          </cell>
          <cell r="G142" t="str">
            <v/>
          </cell>
          <cell r="H142" t="str">
            <v>✓</v>
          </cell>
          <cell r="I142" t="str">
            <v/>
          </cell>
          <cell r="J142" t="str">
            <v/>
          </cell>
          <cell r="K142">
            <v>3</v>
          </cell>
          <cell r="L142">
            <v>110</v>
          </cell>
          <cell r="N142">
            <v>629</v>
          </cell>
          <cell r="O142">
            <v>171.54545454545453</v>
          </cell>
          <cell r="P142">
            <v>36.666666666666664</v>
          </cell>
          <cell r="Q142">
            <v>146.66666666666666</v>
          </cell>
          <cell r="R142">
            <v>0</v>
          </cell>
          <cell r="S142">
            <v>7</v>
          </cell>
          <cell r="T142" t="str">
            <v>A</v>
          </cell>
          <cell r="U142">
            <v>135</v>
          </cell>
          <cell r="V142" t="str">
            <v>شركة اركان الاندلس للتجارة</v>
          </cell>
          <cell r="W142">
            <v>0</v>
          </cell>
          <cell r="X142">
            <v>14850</v>
          </cell>
          <cell r="Z142" t="str">
            <v>CO-00104</v>
          </cell>
          <cell r="AA142" t="str">
            <v>Blue Steaming Roll Towelsمناشف رول للتبخير الزرقاء</v>
          </cell>
          <cell r="AB142" t="str">
            <v>CO-00104</v>
          </cell>
          <cell r="AC142" t="str">
            <v>Blue Steaming Roll Towelsمناشف رول للتبخير الزرقاء</v>
          </cell>
          <cell r="AD142">
            <v>109</v>
          </cell>
          <cell r="AE142" t="str">
            <v xml:space="preserve">بروتيا </v>
          </cell>
        </row>
        <row r="143">
          <cell r="B143" t="str">
            <v>CO-00474</v>
          </cell>
          <cell r="C143" t="str">
            <v>Brush - Preparation surface cleaning brush [20565856] فرشاة تنظيف اسطح التحضير</v>
          </cell>
          <cell r="D143" t="str">
            <v>Brush - Preparation surface cleaning brush [20565856] فرشاة تنظيف اسطح التحضير</v>
          </cell>
          <cell r="E143" t="str">
            <v>✓</v>
          </cell>
          <cell r="F143" t="str">
            <v>✓</v>
          </cell>
          <cell r="G143" t="str">
            <v/>
          </cell>
          <cell r="H143" t="str">
            <v/>
          </cell>
          <cell r="I143" t="str">
            <v/>
          </cell>
          <cell r="J143" t="str">
            <v/>
          </cell>
          <cell r="K143">
            <v>2</v>
          </cell>
          <cell r="L143">
            <v>2</v>
          </cell>
          <cell r="N143">
            <v>32</v>
          </cell>
          <cell r="O143">
            <v>480</v>
          </cell>
          <cell r="P143">
            <v>0.66666666666666663</v>
          </cell>
          <cell r="Q143">
            <v>2.6666666666666665</v>
          </cell>
          <cell r="R143">
            <v>0</v>
          </cell>
          <cell r="S143">
            <v>7</v>
          </cell>
          <cell r="T143" t="str">
            <v>A</v>
          </cell>
          <cell r="U143">
            <v>4.3</v>
          </cell>
          <cell r="V143" t="str">
            <v>Petty Cash Hanafy</v>
          </cell>
          <cell r="W143">
            <v>0</v>
          </cell>
          <cell r="X143">
            <v>8.6</v>
          </cell>
          <cell r="Z143" t="str">
            <v>CO-00474</v>
          </cell>
          <cell r="AA143" t="str">
            <v>Brush - Preparation surface cleaning brush 20565856 فرشاة تنظيف اسطح التحضير</v>
          </cell>
          <cell r="AB143" t="str">
            <v>CO-00474</v>
          </cell>
          <cell r="AC143" t="str">
            <v>Brush - Preparation surface cleaning brush [20565856] فرشاة تنظيف اسطح التحضير</v>
          </cell>
          <cell r="AD143">
            <v>4.3</v>
          </cell>
          <cell r="AE143" t="str">
            <v>Petty Cash Hanafy</v>
          </cell>
        </row>
        <row r="144">
          <cell r="B144" t="str">
            <v>CO-00343</v>
          </cell>
          <cell r="C144" t="str">
            <v>Brush - Wash basin cleaning brush [30407814] فرشاة تنظيف حوض الغسيل</v>
          </cell>
          <cell r="D144" t="str">
            <v>Brush - Wash basin cleaning brush [30407814] فرشاة تنظيف حوض الغسيل</v>
          </cell>
          <cell r="E144" t="str">
            <v>✓</v>
          </cell>
          <cell r="F144" t="str">
            <v>✓</v>
          </cell>
          <cell r="G144" t="str">
            <v/>
          </cell>
          <cell r="H144" t="str">
            <v/>
          </cell>
          <cell r="I144" t="str">
            <v/>
          </cell>
          <cell r="J144" t="str">
            <v/>
          </cell>
          <cell r="K144">
            <v>2</v>
          </cell>
          <cell r="L144">
            <v>3</v>
          </cell>
          <cell r="N144">
            <v>10</v>
          </cell>
          <cell r="O144">
            <v>100</v>
          </cell>
          <cell r="P144">
            <v>1</v>
          </cell>
          <cell r="Q144">
            <v>4</v>
          </cell>
          <cell r="R144">
            <v>0</v>
          </cell>
          <cell r="S144">
            <v>7</v>
          </cell>
          <cell r="T144" t="str">
            <v>A</v>
          </cell>
          <cell r="U144">
            <v>4.3</v>
          </cell>
          <cell r="V144" t="str">
            <v>Petty Cash Hanafy</v>
          </cell>
          <cell r="W144">
            <v>0</v>
          </cell>
          <cell r="X144">
            <v>12.899999999999999</v>
          </cell>
          <cell r="Z144" t="str">
            <v>CO-00343</v>
          </cell>
          <cell r="AA144" t="str">
            <v>Brush - Wash basin cleaning brush 30407814 فرشاة تنظيف حوض الغسيل</v>
          </cell>
          <cell r="AB144" t="str">
            <v>CO-00343</v>
          </cell>
          <cell r="AC144" t="str">
            <v>Brush - Wash basin cleaning brush [30407814] فرشاة تنظيف حوض الغسيل</v>
          </cell>
          <cell r="AD144">
            <v>4.3</v>
          </cell>
          <cell r="AE144" t="str">
            <v>Petty Cash Hanafy</v>
          </cell>
        </row>
        <row r="145">
          <cell r="B145" t="str">
            <v>CO-00105</v>
          </cell>
          <cell r="C145" t="str">
            <v>CARPET CLEANER 1 Ltr - منظف كنب 1 لتر</v>
          </cell>
          <cell r="D145" t="str">
            <v>CARPET CLEANER 1 Ltr - منظف كنب 1 لتر</v>
          </cell>
          <cell r="E145" t="str">
            <v>✓</v>
          </cell>
          <cell r="F145" t="str">
            <v/>
          </cell>
          <cell r="G145" t="str">
            <v/>
          </cell>
          <cell r="H145" t="str">
            <v/>
          </cell>
          <cell r="I145" t="str">
            <v/>
          </cell>
          <cell r="J145" t="str">
            <v/>
          </cell>
          <cell r="K145">
            <v>1</v>
          </cell>
          <cell r="L145">
            <v>50</v>
          </cell>
          <cell r="N145">
            <v>0</v>
          </cell>
          <cell r="O145">
            <v>0</v>
          </cell>
          <cell r="P145">
            <v>16.666666666666664</v>
          </cell>
          <cell r="Q145">
            <v>66.666666666666657</v>
          </cell>
          <cell r="R145">
            <v>66.666666666666657</v>
          </cell>
          <cell r="S145">
            <v>7</v>
          </cell>
          <cell r="T145" t="str">
            <v>A</v>
          </cell>
          <cell r="U145">
            <v>7.22</v>
          </cell>
          <cell r="V145" t="str">
            <v>شركة ابراهيم الجفالي</v>
          </cell>
          <cell r="W145">
            <v>481.33333333333326</v>
          </cell>
          <cell r="X145">
            <v>361</v>
          </cell>
          <cell r="Z145" t="str">
            <v>CO-00105</v>
          </cell>
          <cell r="AA145" t="str">
            <v xml:space="preserve">CARPET CLEANER 1 Ltr - منظف كنب 1 لتر </v>
          </cell>
          <cell r="AB145" t="str">
            <v>CO-00105</v>
          </cell>
          <cell r="AC145" t="str">
            <v>CARPET CLEANER 1 Ltr - منظف كنب 1 لتر</v>
          </cell>
          <cell r="AD145">
            <v>7.22</v>
          </cell>
          <cell r="AE145" t="str">
            <v>شركة ابراهيم الجفالي</v>
          </cell>
        </row>
        <row r="146">
          <cell r="B146" t="str">
            <v>CO-00044</v>
          </cell>
          <cell r="C146" t="str">
            <v>Flash Toilet Bowl Cleaner منظف المراحيض فلاش</v>
          </cell>
          <cell r="D146" t="str">
            <v>Flash Toilet Bowl Cleaner منظف المراحيض فلاش</v>
          </cell>
          <cell r="E146" t="str">
            <v>✓</v>
          </cell>
          <cell r="F146" t="str">
            <v/>
          </cell>
          <cell r="G146" t="str">
            <v/>
          </cell>
          <cell r="H146" t="str">
            <v/>
          </cell>
          <cell r="I146" t="str">
            <v/>
          </cell>
          <cell r="J146" t="str">
            <v/>
          </cell>
          <cell r="K146">
            <v>1</v>
          </cell>
          <cell r="L146">
            <v>22</v>
          </cell>
          <cell r="N146">
            <v>279</v>
          </cell>
          <cell r="O146">
            <v>380.45454545454544</v>
          </cell>
          <cell r="P146">
            <v>7.333333333333333</v>
          </cell>
          <cell r="Q146">
            <v>29.333333333333332</v>
          </cell>
          <cell r="R146">
            <v>0</v>
          </cell>
          <cell r="S146">
            <v>7</v>
          </cell>
          <cell r="T146" t="str">
            <v>A</v>
          </cell>
          <cell r="U146">
            <v>68</v>
          </cell>
          <cell r="V146" t="str">
            <v>شركة نابكو للتجارة والتوزيع</v>
          </cell>
          <cell r="W146">
            <v>0</v>
          </cell>
          <cell r="X146">
            <v>1496</v>
          </cell>
          <cell r="Z146" t="str">
            <v>CO-00044</v>
          </cell>
          <cell r="AA146" t="str">
            <v>Flash Toilet Bowl Cleaner منظف المراحيض فلاش</v>
          </cell>
          <cell r="AB146" t="str">
            <v>CO-00044</v>
          </cell>
          <cell r="AC146" t="str">
            <v>Flash Toilet Bowl Cleaner منظف المراحيض فلاش</v>
          </cell>
          <cell r="AD146">
            <v>68</v>
          </cell>
          <cell r="AE146" t="str">
            <v>شركة نابكو للتجارة والتوزيع</v>
          </cell>
        </row>
        <row r="147">
          <cell r="B147" t="str">
            <v>CO-00139</v>
          </cell>
          <cell r="C147" t="str">
            <v>Sanita SK6 Duty Grease Cutter سانيتا منظف الأفران ومزيل الشحوم</v>
          </cell>
          <cell r="D147" t="str">
            <v>Sanita SK6 Duty Grease Cutter 	سانيتا منظف الأفران ومزيل الشحوم</v>
          </cell>
          <cell r="E147" t="str">
            <v>✓</v>
          </cell>
          <cell r="F147" t="str">
            <v/>
          </cell>
          <cell r="G147" t="str">
            <v/>
          </cell>
          <cell r="H147" t="str">
            <v/>
          </cell>
          <cell r="I147" t="str">
            <v/>
          </cell>
          <cell r="J147" t="str">
            <v/>
          </cell>
          <cell r="K147">
            <v>1</v>
          </cell>
          <cell r="L147">
            <v>10</v>
          </cell>
          <cell r="N147">
            <v>0</v>
          </cell>
          <cell r="O147">
            <v>0</v>
          </cell>
          <cell r="P147">
            <v>3.333333333333333</v>
          </cell>
          <cell r="Q147">
            <v>13.333333333333332</v>
          </cell>
          <cell r="R147">
            <v>13.333333333333332</v>
          </cell>
          <cell r="S147">
            <v>7</v>
          </cell>
          <cell r="T147" t="str">
            <v>A</v>
          </cell>
          <cell r="U147">
            <v>235</v>
          </cell>
          <cell r="V147" t="str">
            <v>شركة نابكو للتجارة والتوزيع</v>
          </cell>
          <cell r="W147">
            <v>3133.333333333333</v>
          </cell>
          <cell r="X147">
            <v>2350</v>
          </cell>
          <cell r="Z147" t="str">
            <v>CO-00139</v>
          </cell>
          <cell r="AA147" t="str">
            <v>Sanita SK6 Duty Grease Cutter سانيتا منظف الأفران ومزيل الشحوم</v>
          </cell>
          <cell r="AB147" t="str">
            <v>CO-00139</v>
          </cell>
          <cell r="AC147" t="str">
            <v>Sanita SK6 Duty Grease Cutter سانيتا منظف الأفران ومزيل الشحوم</v>
          </cell>
          <cell r="AD147">
            <v>235</v>
          </cell>
          <cell r="AE147" t="str">
            <v>شركة نابكو للتجارة والتوزيع</v>
          </cell>
        </row>
        <row r="148">
          <cell r="B148" t="str">
            <v>CO-00090</v>
          </cell>
          <cell r="C148" t="str">
            <v>Sanita SP21 Hand soap Anti - Bacterial سانيتا صابون اليد المضاد للبكتيريا</v>
          </cell>
          <cell r="D148" t="str">
            <v>Sanita SP21 Hand soap Anti - Bacterial 	سانيتا صابون اليد المضاد للبكتيريا</v>
          </cell>
          <cell r="E148" t="str">
            <v>✓</v>
          </cell>
          <cell r="F148" t="str">
            <v>✓</v>
          </cell>
          <cell r="G148" t="str">
            <v/>
          </cell>
          <cell r="H148" t="str">
            <v>✓</v>
          </cell>
          <cell r="I148" t="str">
            <v/>
          </cell>
          <cell r="J148" t="str">
            <v/>
          </cell>
          <cell r="K148">
            <v>3</v>
          </cell>
          <cell r="L148">
            <v>43</v>
          </cell>
          <cell r="N148">
            <v>679</v>
          </cell>
          <cell r="O148">
            <v>473.72093023255815</v>
          </cell>
          <cell r="P148">
            <v>14.333333333333332</v>
          </cell>
          <cell r="Q148">
            <v>57.333333333333329</v>
          </cell>
          <cell r="R148">
            <v>0</v>
          </cell>
          <cell r="S148">
            <v>7</v>
          </cell>
          <cell r="T148" t="str">
            <v>A</v>
          </cell>
          <cell r="U148">
            <v>50.75</v>
          </cell>
          <cell r="V148" t="str">
            <v>شركة نابكو للتجارة والتوزيع</v>
          </cell>
          <cell r="W148">
            <v>0</v>
          </cell>
          <cell r="X148">
            <v>2182.25</v>
          </cell>
          <cell r="Z148" t="str">
            <v>CO-00090</v>
          </cell>
          <cell r="AA148" t="str">
            <v>Sanita SP21 Hand soap Anti - Bacterial 	سانيتا صابون اليد المضاد للبكتيريا</v>
          </cell>
          <cell r="AB148" t="str">
            <v>CO-00090</v>
          </cell>
          <cell r="AC148" t="str">
            <v>Sanita SP21 Hand soap Anti - Bacterial سانيتا صابون اليد المضاد للبكتيريا</v>
          </cell>
          <cell r="AD148">
            <v>50.75</v>
          </cell>
          <cell r="AE148" t="str">
            <v>شركة نابكو للتجارة والتوزيع</v>
          </cell>
        </row>
        <row r="149">
          <cell r="B149" t="str">
            <v>CO-00091</v>
          </cell>
          <cell r="C149" t="str">
            <v>Sanita SH31 Toilet Sanitizer &amp; Deodorizer سانيتا مطهر ومعقم منظف الحمامات</v>
          </cell>
          <cell r="D149" t="str">
            <v>Sanita SH31 Toilet Sanitizer &amp; Deodorizer سانيتا مطهر ومعقم منظف الحمامات</v>
          </cell>
          <cell r="E149" t="str">
            <v>✓</v>
          </cell>
          <cell r="F149" t="str">
            <v>✓</v>
          </cell>
          <cell r="G149" t="str">
            <v/>
          </cell>
          <cell r="H149" t="str">
            <v/>
          </cell>
          <cell r="I149" t="str">
            <v/>
          </cell>
          <cell r="J149" t="str">
            <v/>
          </cell>
          <cell r="K149">
            <v>2</v>
          </cell>
          <cell r="L149">
            <v>60</v>
          </cell>
          <cell r="N149">
            <v>615</v>
          </cell>
          <cell r="O149">
            <v>307.5</v>
          </cell>
          <cell r="P149">
            <v>20</v>
          </cell>
          <cell r="Q149">
            <v>80</v>
          </cell>
          <cell r="R149">
            <v>0</v>
          </cell>
          <cell r="S149">
            <v>7</v>
          </cell>
          <cell r="T149" t="str">
            <v>A</v>
          </cell>
          <cell r="U149">
            <v>44.5</v>
          </cell>
          <cell r="V149" t="str">
            <v>شركة نابكو للتجارة والتوزيع</v>
          </cell>
          <cell r="W149">
            <v>0</v>
          </cell>
          <cell r="X149">
            <v>2670</v>
          </cell>
          <cell r="Z149" t="str">
            <v>CO-00091</v>
          </cell>
          <cell r="AA149" t="str">
            <v>Sanita SH31 Toilet Sanitizer &amp; Deodorizer سانيتا مطهر ومعقم منظف الحمامات</v>
          </cell>
          <cell r="AB149" t="str">
            <v>CO-00091</v>
          </cell>
          <cell r="AC149" t="str">
            <v>Sanita SH31 Toilet Sanitizer &amp; Deodorizer سانيتا مطهر ومعقم منظف الحمامات</v>
          </cell>
          <cell r="AD149">
            <v>44.5</v>
          </cell>
          <cell r="AE149" t="str">
            <v>شركة نابكو للتجارة والتوزيع</v>
          </cell>
        </row>
        <row r="150">
          <cell r="B150" t="str">
            <v>CO-00088</v>
          </cell>
          <cell r="C150" t="str">
            <v>Sanita SD11 Anti-Bacterial Pot Wash Non Perfumed غسيل الصحون اليدوى الغير معطر ضد البكتيريا</v>
          </cell>
          <cell r="D150" t="str">
            <v>Sanita SD11 Anti-Bacterial Pot Wash Non Perfumed غسيل الصحون اليدوى الغير معطر ضد البكتيريا</v>
          </cell>
          <cell r="E150" t="str">
            <v>✓</v>
          </cell>
          <cell r="F150" t="str">
            <v>✓</v>
          </cell>
          <cell r="G150" t="str">
            <v/>
          </cell>
          <cell r="H150" t="str">
            <v>✓</v>
          </cell>
          <cell r="I150" t="str">
            <v/>
          </cell>
          <cell r="J150" t="str">
            <v/>
          </cell>
          <cell r="K150">
            <v>3</v>
          </cell>
          <cell r="L150">
            <v>20</v>
          </cell>
          <cell r="N150">
            <v>2947</v>
          </cell>
          <cell r="O150">
            <v>4420.5</v>
          </cell>
          <cell r="P150">
            <v>6.6666666666666661</v>
          </cell>
          <cell r="Q150">
            <v>26.666666666666664</v>
          </cell>
          <cell r="R150">
            <v>0</v>
          </cell>
          <cell r="S150">
            <v>7</v>
          </cell>
          <cell r="T150" t="str">
            <v>A</v>
          </cell>
          <cell r="U150">
            <v>308</v>
          </cell>
          <cell r="V150" t="str">
            <v>شركة نابكو للتجارة والتوزيع</v>
          </cell>
          <cell r="W150">
            <v>0</v>
          </cell>
          <cell r="X150">
            <v>6160</v>
          </cell>
          <cell r="Z150" t="str">
            <v>CO-00088</v>
          </cell>
          <cell r="AA150" t="str">
            <v>Sanita SD11 Anti-Bacterial Pot Wash Non Perfumed غسيل الصحون اليدوى الغير معطر ضد البكتيريا</v>
          </cell>
          <cell r="AB150" t="str">
            <v>CO-00088</v>
          </cell>
          <cell r="AC150" t="str">
            <v>Sanita SD11 Anti-Bacterial Pot Wash Non Perfumed غسيل الصحون اليدوى الغير معطر ضد البكتيريا</v>
          </cell>
          <cell r="AD150">
            <v>308</v>
          </cell>
          <cell r="AE150" t="str">
            <v>شركة نابكو للتجارة والتوزيع</v>
          </cell>
        </row>
        <row r="151">
          <cell r="B151" t="str">
            <v>CO-00050</v>
          </cell>
          <cell r="C151" t="str">
            <v>Sanita Floor Mopping Sanitizer 5L سانيتا معقم لمسح الارضيات 5 لتر</v>
          </cell>
          <cell r="D151" t="str">
            <v>Sanita Floor Mopping Sanitizer 5L سانيتا معقم لمسح الارضيات 5 لتر</v>
          </cell>
          <cell r="E151" t="str">
            <v>✓</v>
          </cell>
          <cell r="F151" t="str">
            <v>✓</v>
          </cell>
          <cell r="G151" t="str">
            <v/>
          </cell>
          <cell r="H151" t="str">
            <v>✓</v>
          </cell>
          <cell r="I151" t="str">
            <v/>
          </cell>
          <cell r="J151" t="str">
            <v/>
          </cell>
          <cell r="K151">
            <v>3</v>
          </cell>
          <cell r="L151">
            <v>1300</v>
          </cell>
          <cell r="N151">
            <v>2235</v>
          </cell>
          <cell r="O151">
            <v>51.57692307692308</v>
          </cell>
          <cell r="P151">
            <v>433.33333333333331</v>
          </cell>
          <cell r="Q151">
            <v>1733.3333333333333</v>
          </cell>
          <cell r="R151">
            <v>0</v>
          </cell>
          <cell r="S151">
            <v>7</v>
          </cell>
          <cell r="T151" t="str">
            <v>A</v>
          </cell>
          <cell r="U151">
            <v>68.75</v>
          </cell>
          <cell r="V151" t="str">
            <v>شركة نابكو للتجارة والتوزيع</v>
          </cell>
          <cell r="W151">
            <v>0</v>
          </cell>
          <cell r="X151">
            <v>89375</v>
          </cell>
          <cell r="Z151" t="str">
            <v>CO-00050</v>
          </cell>
          <cell r="AA151" t="str">
            <v>Sanita Floor Mopping Sanitizer 5L سانيتا معقم لمسح الارضيات 5 لتر</v>
          </cell>
          <cell r="AB151" t="str">
            <v>CO-00050</v>
          </cell>
          <cell r="AC151" t="str">
            <v>Sanita Floor Mopping Sanitizer 5L سانيتا معقم لمسح الارضيات 5 لتر</v>
          </cell>
          <cell r="AD151">
            <v>68.75</v>
          </cell>
          <cell r="AE151" t="str">
            <v>شركة نابكو للتجارة والتوزيع</v>
          </cell>
        </row>
        <row r="152">
          <cell r="B152" t="str">
            <v>CO-00087</v>
          </cell>
          <cell r="C152" t="str">
            <v>Sanita SK4 Stainless Steel Polish سانيتا ملمع الستانلس</v>
          </cell>
          <cell r="D152" t="str">
            <v>Sanita SK4 Stainless Steel Polish سانيتا ملمع الستانلس</v>
          </cell>
          <cell r="E152" t="str">
            <v>✓</v>
          </cell>
          <cell r="F152" t="str">
            <v/>
          </cell>
          <cell r="G152" t="str">
            <v/>
          </cell>
          <cell r="H152" t="str">
            <v>✓</v>
          </cell>
          <cell r="I152" t="str">
            <v/>
          </cell>
          <cell r="J152" t="str">
            <v/>
          </cell>
          <cell r="K152">
            <v>2</v>
          </cell>
          <cell r="L152">
            <v>25</v>
          </cell>
          <cell r="N152">
            <v>244</v>
          </cell>
          <cell r="O152">
            <v>292.8</v>
          </cell>
          <cell r="P152">
            <v>8.3333333333333321</v>
          </cell>
          <cell r="Q152">
            <v>33.333333333333329</v>
          </cell>
          <cell r="R152">
            <v>0</v>
          </cell>
          <cell r="S152">
            <v>7</v>
          </cell>
          <cell r="T152" t="str">
            <v>A</v>
          </cell>
          <cell r="U152">
            <v>122.5</v>
          </cell>
          <cell r="V152" t="str">
            <v>شركة نابكو للتجارة والتوزيع</v>
          </cell>
          <cell r="W152">
            <v>0</v>
          </cell>
          <cell r="X152">
            <v>3062.5</v>
          </cell>
          <cell r="Z152" t="str">
            <v>CO-00087</v>
          </cell>
          <cell r="AA152" t="str">
            <v>Sanita SK4 Stainless Steel Polish سانيتا ملمع الستانلس</v>
          </cell>
          <cell r="AB152" t="str">
            <v>CO-00087</v>
          </cell>
          <cell r="AC152" t="str">
            <v>Sanita SK4 Stainless Steel Polish سانيتا ملمع الستانلس</v>
          </cell>
          <cell r="AD152">
            <v>122.5</v>
          </cell>
          <cell r="AE152" t="str">
            <v>شركة نابكو للتجارة والتوزيع</v>
          </cell>
        </row>
        <row r="153">
          <cell r="B153" t="str">
            <v>CO-00051</v>
          </cell>
          <cell r="C153" t="str">
            <v>Sanita Hand Gel Sanitizer 5L سانيتا جل معقم اليدين 5 لتر</v>
          </cell>
          <cell r="D153" t="str">
            <v>Sanita Hand Gel Sanitizer 5L سانيتا جل معقم اليدين 5 لتر</v>
          </cell>
          <cell r="E153" t="str">
            <v>✓</v>
          </cell>
          <cell r="F153" t="str">
            <v/>
          </cell>
          <cell r="G153" t="str">
            <v/>
          </cell>
          <cell r="H153" t="str">
            <v/>
          </cell>
          <cell r="I153" t="str">
            <v/>
          </cell>
          <cell r="J153" t="str">
            <v/>
          </cell>
          <cell r="K153">
            <v>1</v>
          </cell>
          <cell r="L153">
            <v>10</v>
          </cell>
          <cell r="N153">
            <v>134</v>
          </cell>
          <cell r="O153">
            <v>402</v>
          </cell>
          <cell r="P153">
            <v>3.333333333333333</v>
          </cell>
          <cell r="Q153">
            <v>13.333333333333332</v>
          </cell>
          <cell r="R153">
            <v>0</v>
          </cell>
          <cell r="S153">
            <v>7</v>
          </cell>
          <cell r="T153" t="str">
            <v>A</v>
          </cell>
          <cell r="U153">
            <v>71.5</v>
          </cell>
          <cell r="V153" t="str">
            <v>شركة نابكو للتجارة والتوزيع</v>
          </cell>
          <cell r="W153">
            <v>0</v>
          </cell>
          <cell r="X153">
            <v>715</v>
          </cell>
          <cell r="Z153" t="str">
            <v>CO-00051</v>
          </cell>
          <cell r="AA153" t="str">
            <v>Sanita Hand Gel Sanitizer 5L سانيتا جل معقم اليدين 5 لتر</v>
          </cell>
          <cell r="AB153" t="str">
            <v>CO-00051</v>
          </cell>
          <cell r="AC153" t="str">
            <v>Sanita Hand Gel Sanitizer 5L سانيتا جل معقم اليدين 5 لتر</v>
          </cell>
          <cell r="AD153">
            <v>71.5</v>
          </cell>
          <cell r="AE153" t="str">
            <v>شركة نابكو للتجارة والتوزيع</v>
          </cell>
        </row>
        <row r="154">
          <cell r="B154" t="str">
            <v>CO-00138</v>
          </cell>
          <cell r="C154" t="str">
            <v>Sanita Hand Foam 5L سانيتا صابون سائل لغسيل اليدين 5 لتر</v>
          </cell>
          <cell r="D154" t="str">
            <v>Sanita Hand Foam 5L سانيتا صابون سائل لغسيل اليدين 5 لتر</v>
          </cell>
          <cell r="E154" t="str">
            <v>✓</v>
          </cell>
          <cell r="F154" t="str">
            <v/>
          </cell>
          <cell r="G154" t="str">
            <v/>
          </cell>
          <cell r="H154" t="str">
            <v/>
          </cell>
          <cell r="I154" t="str">
            <v/>
          </cell>
          <cell r="J154" t="str">
            <v/>
          </cell>
          <cell r="K154">
            <v>1</v>
          </cell>
          <cell r="L154">
            <v>45</v>
          </cell>
          <cell r="N154">
            <v>347</v>
          </cell>
          <cell r="O154">
            <v>231.33333333333334</v>
          </cell>
          <cell r="P154">
            <v>15</v>
          </cell>
          <cell r="Q154">
            <v>60</v>
          </cell>
          <cell r="R154">
            <v>0</v>
          </cell>
          <cell r="S154">
            <v>7</v>
          </cell>
          <cell r="T154" t="str">
            <v>A</v>
          </cell>
          <cell r="U154">
            <v>33</v>
          </cell>
          <cell r="V154" t="str">
            <v>شركة نابكو للتجارة والتوزيع</v>
          </cell>
          <cell r="W154">
            <v>0</v>
          </cell>
          <cell r="X154">
            <v>1485</v>
          </cell>
          <cell r="Z154" t="str">
            <v>CO-00138</v>
          </cell>
          <cell r="AA154" t="str">
            <v>Sanita Hand Foam 5L سانيتا صابون سائل لغسيل اليدين 5 لتر</v>
          </cell>
          <cell r="AB154" t="str">
            <v>CO-00138</v>
          </cell>
          <cell r="AC154" t="str">
            <v>Sanita Hand Foam 5L سانيتا صابون سائل لغسيل اليدين 5 لتر</v>
          </cell>
          <cell r="AD154">
            <v>33</v>
          </cell>
          <cell r="AE154" t="str">
            <v>شركة نابكو للتجارة والتوزيع</v>
          </cell>
        </row>
        <row r="155">
          <cell r="B155" t="str">
            <v>CO-00048</v>
          </cell>
          <cell r="C155" t="str">
            <v>Sanita Glass Cleaner 2L سانيتا منظف الزجاج 2 لتر</v>
          </cell>
          <cell r="D155" t="str">
            <v>Sanita Glass Cleaner 2L سانيتا منظف الزجاج 2 لتر</v>
          </cell>
          <cell r="E155" t="str">
            <v>✓</v>
          </cell>
          <cell r="F155" t="str">
            <v>✓</v>
          </cell>
          <cell r="G155" t="str">
            <v/>
          </cell>
          <cell r="H155" t="str">
            <v>✓</v>
          </cell>
          <cell r="I155" t="str">
            <v/>
          </cell>
          <cell r="J155" t="str">
            <v/>
          </cell>
          <cell r="K155">
            <v>3</v>
          </cell>
          <cell r="L155">
            <v>60</v>
          </cell>
          <cell r="N155">
            <v>250</v>
          </cell>
          <cell r="O155">
            <v>125.00000000000001</v>
          </cell>
          <cell r="P155">
            <v>20</v>
          </cell>
          <cell r="Q155">
            <v>80</v>
          </cell>
          <cell r="R155">
            <v>0</v>
          </cell>
          <cell r="S155">
            <v>7</v>
          </cell>
          <cell r="T155" t="str">
            <v>A</v>
          </cell>
          <cell r="U155">
            <v>57.75</v>
          </cell>
          <cell r="V155" t="str">
            <v>شركة نابكو للتجارة والتوزيع</v>
          </cell>
          <cell r="W155">
            <v>0</v>
          </cell>
          <cell r="X155">
            <v>3465</v>
          </cell>
          <cell r="Z155" t="str">
            <v>CO-00048</v>
          </cell>
          <cell r="AA155" t="str">
            <v>Sanita Glass Cleaner 2L سانيتا منظف الزجاج 2 لتر</v>
          </cell>
          <cell r="AB155" t="str">
            <v>CO-00048</v>
          </cell>
          <cell r="AC155" t="str">
            <v>Sanita Glass Cleaner 2L سانيتا منظف الزجاج 2 لتر</v>
          </cell>
          <cell r="AD155">
            <v>57.75</v>
          </cell>
          <cell r="AE155" t="str">
            <v>شركة نابكو للتجارة والتوزيع</v>
          </cell>
        </row>
        <row r="156">
          <cell r="B156" t="str">
            <v>CO-00052</v>
          </cell>
          <cell r="C156" t="str">
            <v>(SK2) Sanita Kitchen Cleaner &amp; Degreaser 5L سانيتا منظف المطابخ ومزيل الدهون 5 لتر</v>
          </cell>
          <cell r="D156" t="str">
            <v>Sanita Kitchen Cleaner &amp; Degreaser 5L سانيتا منظف المطابخ ومزيل الدهون 5 لتر</v>
          </cell>
          <cell r="E156" t="str">
            <v>✓</v>
          </cell>
          <cell r="F156" t="str">
            <v/>
          </cell>
          <cell r="G156" t="str">
            <v/>
          </cell>
          <cell r="H156" t="str">
            <v/>
          </cell>
          <cell r="I156" t="str">
            <v/>
          </cell>
          <cell r="J156" t="str">
            <v/>
          </cell>
          <cell r="K156">
            <v>1</v>
          </cell>
          <cell r="L156">
            <v>25</v>
          </cell>
          <cell r="N156">
            <v>569</v>
          </cell>
          <cell r="O156">
            <v>682.80000000000007</v>
          </cell>
          <cell r="P156">
            <v>8.3333333333333321</v>
          </cell>
          <cell r="Q156">
            <v>33.333333333333329</v>
          </cell>
          <cell r="R156">
            <v>0</v>
          </cell>
          <cell r="S156">
            <v>7</v>
          </cell>
          <cell r="T156" t="str">
            <v>A</v>
          </cell>
          <cell r="U156">
            <v>50</v>
          </cell>
          <cell r="V156" t="str">
            <v>شركة نابكو للتجارة والتوزيع</v>
          </cell>
          <cell r="W156">
            <v>0</v>
          </cell>
          <cell r="X156">
            <v>1250</v>
          </cell>
          <cell r="Z156" t="str">
            <v>CO-00052</v>
          </cell>
          <cell r="AA156" t="str">
            <v>(SK2) Sanita Kitchen Cleaner &amp; Degreaser 5L سانيتا منظف المطابخ ومزيل الدهون 5 لتر</v>
          </cell>
          <cell r="AB156" t="str">
            <v>CO-00052</v>
          </cell>
          <cell r="AC156" t="str">
            <v>(SK2) Sanita Kitchen Cleaner &amp; Degreaser 5L سانيتا منظف المطابخ ومزيل الدهون 5 لتر</v>
          </cell>
          <cell r="AD156">
            <v>50</v>
          </cell>
          <cell r="AE156" t="str">
            <v>شركة نابكو للتجارة والتوزيع</v>
          </cell>
        </row>
        <row r="157">
          <cell r="B157" t="str">
            <v>CO-00062</v>
          </cell>
          <cell r="C157" t="str">
            <v>SK3 surface sanitizer 2l سانيتا معقم الاسطح 2 ليتر</v>
          </cell>
          <cell r="D157" t="str">
            <v>SK3 surface sanitizer 2l سانيتا معقم الاسطح 2 ليتر</v>
          </cell>
          <cell r="E157" t="str">
            <v>✓</v>
          </cell>
          <cell r="F157" t="str">
            <v/>
          </cell>
          <cell r="G157" t="str">
            <v/>
          </cell>
          <cell r="H157" t="str">
            <v/>
          </cell>
          <cell r="I157" t="str">
            <v/>
          </cell>
          <cell r="J157" t="str">
            <v/>
          </cell>
          <cell r="K157">
            <v>1</v>
          </cell>
          <cell r="L157">
            <v>95</v>
          </cell>
          <cell r="N157">
            <v>285</v>
          </cell>
          <cell r="O157">
            <v>90</v>
          </cell>
          <cell r="P157">
            <v>31.666666666666664</v>
          </cell>
          <cell r="Q157">
            <v>126.66666666666666</v>
          </cell>
          <cell r="R157">
            <v>0</v>
          </cell>
          <cell r="S157">
            <v>7</v>
          </cell>
          <cell r="T157" t="str">
            <v>A</v>
          </cell>
          <cell r="U157">
            <v>40.75</v>
          </cell>
          <cell r="V157" t="str">
            <v>شركة نابكو للتجارة والتوزيع</v>
          </cell>
          <cell r="W157">
            <v>0</v>
          </cell>
          <cell r="X157">
            <v>3871.25</v>
          </cell>
          <cell r="Z157" t="str">
            <v>CO-00062</v>
          </cell>
          <cell r="AA157" t="str">
            <v>SK3 surface sanitizer 2l سانيتا معقم الاسطح 2 ليتر</v>
          </cell>
          <cell r="AB157" t="str">
            <v>CO-00062</v>
          </cell>
          <cell r="AC157" t="str">
            <v>SK3 surface sanitizer 2l سانيتا معقم الاسطح 2 ليتر</v>
          </cell>
          <cell r="AD157">
            <v>40.75</v>
          </cell>
          <cell r="AE157" t="str">
            <v>شركة نابكو للتجارة والتوزيع</v>
          </cell>
        </row>
        <row r="158">
          <cell r="B158" t="str">
            <v>CO-00203</v>
          </cell>
          <cell r="C158" t="str">
            <v>GARBAGE BIN WITH WHEELS 120Ltr حاوية مهملات  120 لتر</v>
          </cell>
          <cell r="D158" t="str">
            <v>GARBAGE BIN WITH WHEELS 120Ltr حاوية مهملات  120 لتر</v>
          </cell>
          <cell r="E158" t="str">
            <v>✓</v>
          </cell>
          <cell r="F158" t="str">
            <v>✓</v>
          </cell>
          <cell r="G158" t="str">
            <v/>
          </cell>
          <cell r="H158" t="str">
            <v/>
          </cell>
          <cell r="I158" t="str">
            <v/>
          </cell>
          <cell r="J158" t="str">
            <v/>
          </cell>
          <cell r="K158">
            <v>2</v>
          </cell>
          <cell r="L158">
            <v>8</v>
          </cell>
          <cell r="N158">
            <v>0</v>
          </cell>
          <cell r="O158">
            <v>0</v>
          </cell>
          <cell r="P158">
            <v>2.6666666666666665</v>
          </cell>
          <cell r="Q158">
            <v>10.666666666666666</v>
          </cell>
          <cell r="R158">
            <v>10.666666666666666</v>
          </cell>
          <cell r="S158">
            <v>7</v>
          </cell>
          <cell r="T158" t="str">
            <v>A</v>
          </cell>
          <cell r="U158">
            <v>210</v>
          </cell>
          <cell r="V158" t="str">
            <v>شركة قصر البلاستيك للتجارة</v>
          </cell>
          <cell r="W158">
            <v>2240</v>
          </cell>
          <cell r="X158">
            <v>1680</v>
          </cell>
          <cell r="Z158" t="str">
            <v>CO-00203</v>
          </cell>
          <cell r="AA158" t="str">
            <v>GARBAGE BIN WITH WHEELS 120Ltr	حاوية مهملات  120 لتر</v>
          </cell>
          <cell r="AB158" t="str">
            <v>CO-00203</v>
          </cell>
          <cell r="AC158" t="str">
            <v>GARBAGE BIN WITH WHEELS 120Ltr حاوية مهملات  120 لتر</v>
          </cell>
          <cell r="AD158">
            <v>210</v>
          </cell>
          <cell r="AE158" t="str">
            <v>شركة قصر البلاستيك للتجارة</v>
          </cell>
        </row>
        <row r="159">
          <cell r="B159" t="str">
            <v>CO-00466</v>
          </cell>
          <cell r="C159" t="str">
            <v>30 liter stainless steel trash can سله مهملات استانلس ٣٠لتر</v>
          </cell>
          <cell r="D159" t="str">
            <v>30 liter stainless steel trash can سله مهملات استانلس ٣٠لتر</v>
          </cell>
          <cell r="E159" t="str">
            <v>✓</v>
          </cell>
          <cell r="F159" t="str">
            <v>✓</v>
          </cell>
          <cell r="G159" t="str">
            <v/>
          </cell>
          <cell r="H159" t="str">
            <v/>
          </cell>
          <cell r="I159" t="str">
            <v/>
          </cell>
          <cell r="J159" t="str">
            <v/>
          </cell>
          <cell r="K159">
            <v>2</v>
          </cell>
          <cell r="L159">
            <v>4</v>
          </cell>
          <cell r="N159">
            <v>0</v>
          </cell>
          <cell r="O159">
            <v>0</v>
          </cell>
          <cell r="P159">
            <v>1.3333333333333333</v>
          </cell>
          <cell r="Q159">
            <v>5.333333333333333</v>
          </cell>
          <cell r="R159">
            <v>5.333333333333333</v>
          </cell>
          <cell r="S159">
            <v>7</v>
          </cell>
          <cell r="T159" t="str">
            <v>A</v>
          </cell>
          <cell r="U159">
            <v>190</v>
          </cell>
          <cell r="V159" t="str">
            <v>مؤسسة مستر شيف</v>
          </cell>
          <cell r="W159">
            <v>1013.3333333333333</v>
          </cell>
          <cell r="X159">
            <v>760</v>
          </cell>
          <cell r="Z159" t="str">
            <v>CO-00466</v>
          </cell>
          <cell r="AA159" t="str">
            <v>30 liter  can  سله مهملات استانلس ٣٠لتر</v>
          </cell>
          <cell r="AB159" t="str">
            <v>CO-00466</v>
          </cell>
          <cell r="AC159" t="str">
            <v>30 liter stainless steel trash can سله مهملات استانلس ٣٠لتر</v>
          </cell>
          <cell r="AD159">
            <v>190</v>
          </cell>
          <cell r="AE159" t="str">
            <v>مؤسسة مستر شيف</v>
          </cell>
        </row>
        <row r="160">
          <cell r="B160" t="str">
            <v>CO-00508</v>
          </cell>
          <cell r="C160" t="str">
            <v>Step Bin Steel 12L - سلة مهملات دعاس 12</v>
          </cell>
          <cell r="D160" t="str">
            <v>Step Bin Steel 12L - سلة مهملات دعاس 12</v>
          </cell>
          <cell r="E160" t="str">
            <v>✓</v>
          </cell>
          <cell r="F160" t="str">
            <v>✓</v>
          </cell>
          <cell r="G160" t="str">
            <v/>
          </cell>
          <cell r="H160" t="str">
            <v/>
          </cell>
          <cell r="I160" t="str">
            <v/>
          </cell>
          <cell r="J160" t="str">
            <v/>
          </cell>
          <cell r="K160">
            <v>2</v>
          </cell>
          <cell r="L160">
            <v>15</v>
          </cell>
          <cell r="N160">
            <v>21</v>
          </cell>
          <cell r="O160">
            <v>42</v>
          </cell>
          <cell r="P160">
            <v>5</v>
          </cell>
          <cell r="Q160">
            <v>20</v>
          </cell>
          <cell r="R160">
            <v>0</v>
          </cell>
          <cell r="S160">
            <v>7</v>
          </cell>
          <cell r="T160" t="str">
            <v>A</v>
          </cell>
          <cell r="U160">
            <v>145</v>
          </cell>
          <cell r="V160" t="str">
            <v>شركة قصر البلاستيك للتجارة</v>
          </cell>
          <cell r="W160">
            <v>0</v>
          </cell>
          <cell r="X160">
            <v>2175</v>
          </cell>
          <cell r="Z160" t="str">
            <v>CO-00508</v>
          </cell>
          <cell r="AA160" t="str">
            <v>Step Bin Steel 12L - سلة مهملات دعاس 12</v>
          </cell>
          <cell r="AB160" t="str">
            <v>CO-00508</v>
          </cell>
          <cell r="AC160" t="str">
            <v>Step Bin Steel 12L - سلة مهملات دعاس 12</v>
          </cell>
          <cell r="AD160">
            <v>145</v>
          </cell>
          <cell r="AE160" t="str">
            <v>شركة قصر البلاستيك للتجارة</v>
          </cell>
        </row>
        <row r="161">
          <cell r="B161" t="str">
            <v>CO-00415</v>
          </cell>
          <cell r="C161" t="str">
            <v>Trash bags 55 gallon | اكياس نفايات 55 جالون</v>
          </cell>
          <cell r="D161" t="str">
            <v>Trash bags 55 gallon | اكياس نفايات 55 جالون</v>
          </cell>
          <cell r="E161" t="str">
            <v>✓</v>
          </cell>
          <cell r="F161" t="str">
            <v>✓</v>
          </cell>
          <cell r="G161" t="str">
            <v/>
          </cell>
          <cell r="H161" t="str">
            <v>✓</v>
          </cell>
          <cell r="I161" t="str">
            <v/>
          </cell>
          <cell r="J161" t="str">
            <v>✓</v>
          </cell>
          <cell r="K161">
            <v>4</v>
          </cell>
          <cell r="L161">
            <v>14700</v>
          </cell>
          <cell r="N161">
            <v>9281</v>
          </cell>
          <cell r="O161">
            <v>18.940816326530612</v>
          </cell>
          <cell r="P161">
            <v>4900</v>
          </cell>
          <cell r="Q161">
            <v>19600</v>
          </cell>
          <cell r="R161">
            <v>10319</v>
          </cell>
          <cell r="S161">
            <v>7</v>
          </cell>
          <cell r="T161" t="str">
            <v>S</v>
          </cell>
          <cell r="U161">
            <v>4.3</v>
          </cell>
          <cell r="V161" t="str">
            <v>Alshaya International Trading Co.</v>
          </cell>
          <cell r="W161">
            <v>44371.7</v>
          </cell>
          <cell r="X161">
            <v>63210</v>
          </cell>
          <cell r="Z161" t="str">
            <v>CO-00415</v>
          </cell>
          <cell r="AA161" t="str">
            <v>Trash bags 55 gallon | اكياس نفايات 55 جالون</v>
          </cell>
          <cell r="AB161" t="str">
            <v>CO-00415</v>
          </cell>
          <cell r="AC161" t="str">
            <v>Trash bags 55 gallon | اكياس نفايات 55 جالون</v>
          </cell>
          <cell r="AD161">
            <v>3.7</v>
          </cell>
          <cell r="AE161" t="str">
            <v>Alshaya International Trading Co.</v>
          </cell>
        </row>
        <row r="162">
          <cell r="B162" t="str">
            <v>CO-00414</v>
          </cell>
          <cell r="C162" t="str">
            <v>Trash bags 10 gallon | اكياس نفايات 10 جالون</v>
          </cell>
          <cell r="D162" t="str">
            <v>Trash bags 10 gallon | اكياس نفايات 10 جالون</v>
          </cell>
          <cell r="E162" t="str">
            <v>✓</v>
          </cell>
          <cell r="F162" t="str">
            <v>✓</v>
          </cell>
          <cell r="G162" t="str">
            <v/>
          </cell>
          <cell r="H162" t="str">
            <v/>
          </cell>
          <cell r="I162" t="str">
            <v/>
          </cell>
          <cell r="J162" t="str">
            <v/>
          </cell>
          <cell r="K162">
            <v>2</v>
          </cell>
          <cell r="L162">
            <v>42</v>
          </cell>
          <cell r="N162">
            <v>242</v>
          </cell>
          <cell r="O162">
            <v>172.85714285714286</v>
          </cell>
          <cell r="P162">
            <v>14</v>
          </cell>
          <cell r="Q162">
            <v>56</v>
          </cell>
          <cell r="R162">
            <v>0</v>
          </cell>
          <cell r="S162">
            <v>7</v>
          </cell>
          <cell r="T162" t="str">
            <v>S</v>
          </cell>
          <cell r="U162">
            <v>8.75</v>
          </cell>
          <cell r="V162" t="str">
            <v>شركة بوابة المبدعون للتجارة</v>
          </cell>
          <cell r="W162">
            <v>0</v>
          </cell>
          <cell r="X162">
            <v>367.5</v>
          </cell>
          <cell r="Z162" t="str">
            <v>CO-00414</v>
          </cell>
          <cell r="AA162" t="str">
            <v>Trash bags 10 gallon | اكياس نفايات 10 جالون</v>
          </cell>
          <cell r="AB162" t="str">
            <v>CO-00414</v>
          </cell>
          <cell r="AC162" t="str">
            <v>Trash bags 10 gallon | اكياس نفايات 10 جالون</v>
          </cell>
          <cell r="AD162">
            <v>8.75</v>
          </cell>
          <cell r="AE162" t="str">
            <v>شركة بوابة المبدعون للتجارة</v>
          </cell>
        </row>
        <row r="163">
          <cell r="B163" t="str">
            <v>CO-00072</v>
          </cell>
          <cell r="C163" t="str">
            <v>Tide تايد</v>
          </cell>
          <cell r="D163" t="str">
            <v>Tide تايد</v>
          </cell>
          <cell r="E163" t="str">
            <v>✓</v>
          </cell>
          <cell r="F163" t="str">
            <v/>
          </cell>
          <cell r="G163" t="str">
            <v/>
          </cell>
          <cell r="H163" t="str">
            <v/>
          </cell>
          <cell r="I163" t="str">
            <v/>
          </cell>
          <cell r="J163" t="str">
            <v/>
          </cell>
          <cell r="K163">
            <v>1</v>
          </cell>
          <cell r="L163">
            <v>15</v>
          </cell>
          <cell r="N163">
            <v>0</v>
          </cell>
          <cell r="O163">
            <v>0</v>
          </cell>
          <cell r="P163">
            <v>5</v>
          </cell>
          <cell r="Q163">
            <v>20</v>
          </cell>
          <cell r="R163">
            <v>20</v>
          </cell>
          <cell r="S163">
            <v>7</v>
          </cell>
          <cell r="T163" t="str">
            <v>O</v>
          </cell>
          <cell r="W163">
            <v>0</v>
          </cell>
          <cell r="X163">
            <v>0</v>
          </cell>
          <cell r="Z163" t="str">
            <v>CO-00072</v>
          </cell>
          <cell r="AA163" t="str">
            <v>Tide تايد</v>
          </cell>
          <cell r="AB163" t="str">
            <v>CO-00072</v>
          </cell>
          <cell r="AC163" t="str">
            <v>Tide تايد</v>
          </cell>
          <cell r="AD163">
            <v>0</v>
          </cell>
          <cell r="AE163">
            <v>0</v>
          </cell>
        </row>
        <row r="164">
          <cell r="B164" t="str">
            <v>CO-00049</v>
          </cell>
          <cell r="C164" t="str">
            <v>Sterilizer 500ml معقم 500 مل</v>
          </cell>
          <cell r="D164" t="str">
            <v>Sterilizer 500ml معقم 500 مل</v>
          </cell>
          <cell r="E164" t="str">
            <v>✓</v>
          </cell>
          <cell r="F164" t="str">
            <v/>
          </cell>
          <cell r="G164" t="str">
            <v/>
          </cell>
          <cell r="H164" t="str">
            <v>✓</v>
          </cell>
          <cell r="I164" t="str">
            <v/>
          </cell>
          <cell r="J164" t="str">
            <v/>
          </cell>
          <cell r="K164">
            <v>2</v>
          </cell>
          <cell r="L164">
            <v>25</v>
          </cell>
          <cell r="M164" t="str">
            <v>add</v>
          </cell>
          <cell r="N164">
            <v>0</v>
          </cell>
          <cell r="O164">
            <v>0</v>
          </cell>
          <cell r="P164">
            <v>8.3333333333333321</v>
          </cell>
          <cell r="Q164">
            <v>33.333333333333329</v>
          </cell>
          <cell r="R164">
            <v>33.333333333333329</v>
          </cell>
          <cell r="S164">
            <v>7</v>
          </cell>
          <cell r="T164" t="str">
            <v>A</v>
          </cell>
          <cell r="U164">
            <v>10.5</v>
          </cell>
          <cell r="V164" t="str">
            <v>شركة نابكو للتجارة والتوزيع</v>
          </cell>
          <cell r="W164">
            <v>349.99999999999994</v>
          </cell>
          <cell r="X164">
            <v>262.5</v>
          </cell>
          <cell r="Z164" t="str">
            <v>CO-00049</v>
          </cell>
          <cell r="AA164" t="str">
            <v>Sterilizer 500ml معقم 500 مل</v>
          </cell>
          <cell r="AB164" t="str">
            <v>CO-00049</v>
          </cell>
          <cell r="AC164" t="str">
            <v>Sterilizer 500ml معقم 500 مل</v>
          </cell>
          <cell r="AD164">
            <v>10.5</v>
          </cell>
          <cell r="AE164" t="str">
            <v>شركة نابكو للتجارة والتوزيع</v>
          </cell>
        </row>
        <row r="165">
          <cell r="B165" t="str">
            <v>CO-00098</v>
          </cell>
          <cell r="C165" t="str">
            <v>Hairnet Black Colorغطاء شعر لون اسود</v>
          </cell>
          <cell r="D165" t="str">
            <v>Hairnet Black Colorغطاء شعر لون اسود</v>
          </cell>
          <cell r="E165" t="str">
            <v>✓</v>
          </cell>
          <cell r="F165" t="str">
            <v>✓</v>
          </cell>
          <cell r="G165" t="str">
            <v/>
          </cell>
          <cell r="H165" t="str">
            <v>✓</v>
          </cell>
          <cell r="I165" t="str">
            <v/>
          </cell>
          <cell r="J165" t="str">
            <v>✓</v>
          </cell>
          <cell r="K165">
            <v>4</v>
          </cell>
          <cell r="L165">
            <v>45000</v>
          </cell>
          <cell r="N165">
            <v>420</v>
          </cell>
          <cell r="O165">
            <v>0.28000000000000003</v>
          </cell>
          <cell r="P165">
            <v>15000</v>
          </cell>
          <cell r="Q165">
            <v>60000</v>
          </cell>
          <cell r="R165">
            <v>59580</v>
          </cell>
          <cell r="S165">
            <v>7</v>
          </cell>
          <cell r="T165" t="str">
            <v>A</v>
          </cell>
          <cell r="U165">
            <v>3.5000000000000003E-2</v>
          </cell>
          <cell r="V165" t="str">
            <v>Yashfeen National Medical Co. شركة يشفين الوطنى الطبى</v>
          </cell>
          <cell r="W165">
            <v>2085.3000000000002</v>
          </cell>
          <cell r="X165">
            <v>1575.0000000000002</v>
          </cell>
          <cell r="Z165" t="str">
            <v>CO-00098</v>
          </cell>
          <cell r="AA165" t="str">
            <v xml:space="preserve">Hairnet Black Colorغطاء شعر لون اسود </v>
          </cell>
          <cell r="AB165" t="str">
            <v>CO-00098</v>
          </cell>
          <cell r="AC165" t="str">
            <v>Hairnet Black Colorغطاء شعر لون اسود</v>
          </cell>
          <cell r="AD165">
            <v>3.5000000000000003E-2</v>
          </cell>
          <cell r="AE165" t="str">
            <v>Yashfeen National Medical Co. شركة يشفين الوطنى الطبى</v>
          </cell>
        </row>
        <row r="166">
          <cell r="B166" t="str">
            <v>CO-00099</v>
          </cell>
          <cell r="C166" t="str">
            <v>hand sleevs غطا معصم</v>
          </cell>
          <cell r="D166" t="str">
            <v>hand sleevs غطا معصم</v>
          </cell>
          <cell r="E166" t="str">
            <v>✓</v>
          </cell>
          <cell r="F166" t="str">
            <v>✓</v>
          </cell>
          <cell r="G166" t="str">
            <v/>
          </cell>
          <cell r="H166" t="str">
            <v/>
          </cell>
          <cell r="I166" t="str">
            <v/>
          </cell>
          <cell r="J166" t="str">
            <v>✓</v>
          </cell>
          <cell r="K166">
            <v>3</v>
          </cell>
          <cell r="L166">
            <v>60000</v>
          </cell>
          <cell r="N166">
            <v>470</v>
          </cell>
          <cell r="O166">
            <v>0.23499999999999999</v>
          </cell>
          <cell r="P166">
            <v>20000</v>
          </cell>
          <cell r="Q166">
            <v>80000</v>
          </cell>
          <cell r="R166">
            <v>79530</v>
          </cell>
          <cell r="S166">
            <v>7</v>
          </cell>
          <cell r="T166" t="str">
            <v>A</v>
          </cell>
          <cell r="U166">
            <v>0.13500000000000001</v>
          </cell>
          <cell r="V166" t="str">
            <v>شركة ألان للمنتجات الورقية</v>
          </cell>
          <cell r="W166">
            <v>10736.550000000001</v>
          </cell>
          <cell r="X166">
            <v>8100.0000000000009</v>
          </cell>
          <cell r="Z166" t="str">
            <v>CO-00099</v>
          </cell>
          <cell r="AA166" t="str">
            <v>Hand sleevs  غطا معصم</v>
          </cell>
          <cell r="AB166" t="str">
            <v>CO-00099</v>
          </cell>
          <cell r="AC166" t="str">
            <v>hand sleevs غطا معصم</v>
          </cell>
          <cell r="AD166">
            <v>0.13500000000000001</v>
          </cell>
          <cell r="AE166" t="str">
            <v>شركة ألان للمنتجات الورقية</v>
          </cell>
        </row>
        <row r="167">
          <cell r="B167" t="str">
            <v>CO-00120</v>
          </cell>
          <cell r="C167" t="str">
            <v>Gloves Black Color قفازات سوداء</v>
          </cell>
          <cell r="D167" t="str">
            <v>Gloves Black Color قفازات سوداء</v>
          </cell>
          <cell r="E167" t="str">
            <v>✓</v>
          </cell>
          <cell r="F167" t="str">
            <v>✓</v>
          </cell>
          <cell r="G167" t="str">
            <v/>
          </cell>
          <cell r="H167" t="str">
            <v>✓</v>
          </cell>
          <cell r="I167" t="str">
            <v/>
          </cell>
          <cell r="J167" t="str">
            <v>✓</v>
          </cell>
          <cell r="K167">
            <v>4</v>
          </cell>
          <cell r="L167">
            <v>500000</v>
          </cell>
          <cell r="N167">
            <v>4109</v>
          </cell>
          <cell r="O167">
            <v>0.24653999999999998</v>
          </cell>
          <cell r="P167">
            <v>166666.66666666666</v>
          </cell>
          <cell r="Q167">
            <v>666666.66666666663</v>
          </cell>
          <cell r="R167">
            <v>662557.66666666663</v>
          </cell>
          <cell r="S167">
            <v>7</v>
          </cell>
          <cell r="T167" t="str">
            <v>S</v>
          </cell>
          <cell r="U167">
            <v>7.2999999999999995E-2</v>
          </cell>
          <cell r="V167" t="str">
            <v>Yashfeen National Medical Co. شركة يشفين الوطنى الطبى</v>
          </cell>
          <cell r="W167">
            <v>48366.709666666662</v>
          </cell>
          <cell r="X167">
            <v>36500</v>
          </cell>
          <cell r="Z167" t="str">
            <v>CO-00120</v>
          </cell>
          <cell r="AA167" t="str">
            <v xml:space="preserve">Gloves Black Color قفازات سوداء </v>
          </cell>
          <cell r="AB167" t="str">
            <v>CO-00120</v>
          </cell>
          <cell r="AC167" t="str">
            <v>Gloves Black Color قفازات سوداء</v>
          </cell>
          <cell r="AD167">
            <v>7.2999999999999995E-2</v>
          </cell>
          <cell r="AE167" t="str">
            <v>Yashfeen National Medical Co. شركة يشفين الوطنى الطبى</v>
          </cell>
        </row>
        <row r="168">
          <cell r="B168" t="str">
            <v>CO-00063</v>
          </cell>
          <cell r="C168" t="str">
            <v>plastic bib مريلة بلاستيك</v>
          </cell>
          <cell r="D168" t="str">
            <v>plastic bib مريلة بلاستيك</v>
          </cell>
          <cell r="E168" t="str">
            <v>✓</v>
          </cell>
          <cell r="F168" t="str">
            <v/>
          </cell>
          <cell r="G168" t="str">
            <v/>
          </cell>
          <cell r="H168" t="str">
            <v>✓</v>
          </cell>
          <cell r="I168" t="str">
            <v/>
          </cell>
          <cell r="J168" t="str">
            <v>✓</v>
          </cell>
          <cell r="K168">
            <v>3</v>
          </cell>
          <cell r="L168">
            <v>19500</v>
          </cell>
          <cell r="N168">
            <v>1260</v>
          </cell>
          <cell r="O168">
            <v>1.9384615384615385</v>
          </cell>
          <cell r="P168">
            <v>6500</v>
          </cell>
          <cell r="Q168">
            <v>26000</v>
          </cell>
          <cell r="R168">
            <v>24740</v>
          </cell>
          <cell r="S168">
            <v>7</v>
          </cell>
          <cell r="T168" t="str">
            <v>S</v>
          </cell>
          <cell r="U168">
            <v>3.9E-2</v>
          </cell>
          <cell r="V168" t="str">
            <v>شركة بوابة المبدعون للتجارة</v>
          </cell>
          <cell r="W168">
            <v>964.86</v>
          </cell>
          <cell r="X168">
            <v>760.5</v>
          </cell>
          <cell r="Z168" t="str">
            <v>CO-00063</v>
          </cell>
          <cell r="AA168" t="str">
            <v>plastic bib مريلة بلاستيك</v>
          </cell>
          <cell r="AB168" t="str">
            <v>CO-00063</v>
          </cell>
          <cell r="AC168" t="str">
            <v>plastic bib مريلة بلاستيك</v>
          </cell>
          <cell r="AD168">
            <v>3.9E-2</v>
          </cell>
          <cell r="AE168" t="str">
            <v>شركة بوابة المبدعون للتجارة</v>
          </cell>
        </row>
        <row r="169">
          <cell r="B169" t="str">
            <v>CO-00067</v>
          </cell>
          <cell r="C169" t="str">
            <v>Face Mask كمامة</v>
          </cell>
          <cell r="D169" t="str">
            <v>Face Mask كمامة</v>
          </cell>
          <cell r="E169" t="str">
            <v>✓</v>
          </cell>
          <cell r="F169" t="str">
            <v>✓</v>
          </cell>
          <cell r="G169" t="str">
            <v/>
          </cell>
          <cell r="H169" t="str">
            <v>✓</v>
          </cell>
          <cell r="I169" t="str">
            <v/>
          </cell>
          <cell r="J169" t="str">
            <v>✓</v>
          </cell>
          <cell r="K169">
            <v>4</v>
          </cell>
          <cell r="L169">
            <v>92000</v>
          </cell>
          <cell r="N169">
            <v>4700</v>
          </cell>
          <cell r="O169">
            <v>1.5326086956521741</v>
          </cell>
          <cell r="P169">
            <v>30666.666666666664</v>
          </cell>
          <cell r="Q169">
            <v>122666.66666666666</v>
          </cell>
          <cell r="R169">
            <v>117966.66666666666</v>
          </cell>
          <cell r="S169">
            <v>7</v>
          </cell>
          <cell r="T169" t="str">
            <v>A</v>
          </cell>
          <cell r="U169">
            <v>4.4999999999999998E-2</v>
          </cell>
          <cell r="V169" t="str">
            <v>Yashfeen National Medical Co. شركة يشفين الوطنى الطبى</v>
          </cell>
          <cell r="W169">
            <v>5308.4999999999991</v>
          </cell>
          <cell r="X169">
            <v>4140</v>
          </cell>
          <cell r="Z169" t="str">
            <v>CO-00067</v>
          </cell>
          <cell r="AA169" t="str">
            <v>Face Mask كمامة</v>
          </cell>
          <cell r="AB169" t="str">
            <v>CO-00067</v>
          </cell>
          <cell r="AC169" t="str">
            <v>Face Mask كمامة</v>
          </cell>
          <cell r="AD169">
            <v>4.4999999999999998E-2</v>
          </cell>
          <cell r="AE169" t="str">
            <v>Yashfeen National Medical Co. شركة يشفين الوطنى الطبى</v>
          </cell>
        </row>
        <row r="170">
          <cell r="B170" t="str">
            <v>CO-00057</v>
          </cell>
          <cell r="C170" t="str">
            <v>UberMilk Filters فلاتر اوبر ميلك</v>
          </cell>
          <cell r="D170" t="str">
            <v>UberMilk Filters فلاتر اوبر ميلك</v>
          </cell>
          <cell r="E170" t="str">
            <v>✓</v>
          </cell>
          <cell r="F170" t="str">
            <v>✓</v>
          </cell>
          <cell r="G170" t="str">
            <v/>
          </cell>
          <cell r="H170" t="str">
            <v/>
          </cell>
          <cell r="I170" t="str">
            <v/>
          </cell>
          <cell r="J170" t="str">
            <v/>
          </cell>
          <cell r="K170">
            <v>2</v>
          </cell>
          <cell r="L170">
            <v>3800</v>
          </cell>
          <cell r="N170">
            <v>140</v>
          </cell>
          <cell r="O170">
            <v>1.1052631578947367</v>
          </cell>
          <cell r="P170">
            <v>1266.6666666666665</v>
          </cell>
          <cell r="Q170">
            <v>5066.6666666666661</v>
          </cell>
          <cell r="R170">
            <v>4926.6666666666661</v>
          </cell>
          <cell r="S170">
            <v>7</v>
          </cell>
          <cell r="T170" t="str">
            <v>S</v>
          </cell>
          <cell r="U170">
            <v>8.2500000000000004E-2</v>
          </cell>
          <cell r="V170" t="str">
            <v>مؤسسة منحنى الحمص للتجارة - Profilers</v>
          </cell>
          <cell r="W170">
            <v>406.45</v>
          </cell>
          <cell r="X170">
            <v>313.5</v>
          </cell>
          <cell r="Z170" t="str">
            <v>CO-00057</v>
          </cell>
          <cell r="AA170" t="str">
            <v>UberMilk Filters فلاتر اوبر ميلك</v>
          </cell>
          <cell r="AB170" t="str">
            <v>CO-00057</v>
          </cell>
          <cell r="AC170" t="str">
            <v>UberMilk Filters فلاتر اوبر ميلك</v>
          </cell>
          <cell r="AD170">
            <v>8.2500000000000004E-2</v>
          </cell>
          <cell r="AE170" t="str">
            <v>مؤسسة منحنى الحمص للتجارة - Profilers</v>
          </cell>
        </row>
        <row r="171">
          <cell r="B171" t="str">
            <v>CO-00352</v>
          </cell>
          <cell r="C171" t="str">
            <v>Anfim SP2 Grinder fan filter فلتر مروحة طاحونة انفيم اس بي 2</v>
          </cell>
          <cell r="D171" t="str">
            <v>Anfim SP2 Grinder fan filter فلتر مروحة طاحونة انفيم اس بي 2</v>
          </cell>
          <cell r="E171" t="str">
            <v>✓</v>
          </cell>
          <cell r="F171" t="str">
            <v>✓</v>
          </cell>
          <cell r="G171" t="str">
            <v/>
          </cell>
          <cell r="H171" t="str">
            <v/>
          </cell>
          <cell r="I171" t="str">
            <v/>
          </cell>
          <cell r="J171" t="str">
            <v/>
          </cell>
          <cell r="K171">
            <v>2</v>
          </cell>
          <cell r="L171">
            <v>500</v>
          </cell>
          <cell r="N171">
            <v>0</v>
          </cell>
          <cell r="O171">
            <v>0</v>
          </cell>
          <cell r="P171">
            <v>166.66666666666666</v>
          </cell>
          <cell r="Q171">
            <v>666.66666666666663</v>
          </cell>
          <cell r="R171">
            <v>666.66666666666663</v>
          </cell>
          <cell r="S171">
            <v>7</v>
          </cell>
          <cell r="T171" t="str">
            <v>S</v>
          </cell>
          <cell r="U171">
            <v>70</v>
          </cell>
          <cell r="V171" t="str">
            <v>شكري</v>
          </cell>
          <cell r="W171">
            <v>46666.666666666664</v>
          </cell>
          <cell r="X171">
            <v>35000</v>
          </cell>
          <cell r="Z171" t="str">
            <v>CO-00352</v>
          </cell>
          <cell r="AA171" t="str">
            <v>Anfim SP2 Grinder fan filter فلتر مروحة طاحونة انفيم اس بي 2</v>
          </cell>
          <cell r="AB171" t="str">
            <v>CO-00352</v>
          </cell>
          <cell r="AC171" t="str">
            <v>Anfim SP2 Grinder fan filter فلتر مروحة طاحونة انفيم اس بي 2</v>
          </cell>
          <cell r="AD171">
            <v>70</v>
          </cell>
          <cell r="AE171" t="str">
            <v>شكري</v>
          </cell>
        </row>
        <row r="172">
          <cell r="B172" t="str">
            <v>CO-00467</v>
          </cell>
          <cell r="C172" t="str">
            <v>Glass cup 65LTR كوب زجاج 65 ملي  لتقديم المياه الغازية</v>
          </cell>
          <cell r="D172" t="str">
            <v>Glass cup 65ml كوب زجاج 65 ملي  لتقديم المياه الغازية</v>
          </cell>
          <cell r="E172" t="str">
            <v>✓</v>
          </cell>
          <cell r="F172" t="str">
            <v/>
          </cell>
          <cell r="G172" t="str">
            <v/>
          </cell>
          <cell r="H172" t="str">
            <v/>
          </cell>
          <cell r="I172" t="str">
            <v/>
          </cell>
          <cell r="J172" t="str">
            <v/>
          </cell>
          <cell r="K172">
            <v>1</v>
          </cell>
          <cell r="L172">
            <v>100</v>
          </cell>
          <cell r="N172">
            <v>1692</v>
          </cell>
          <cell r="O172">
            <v>507.6</v>
          </cell>
          <cell r="P172">
            <v>33.333333333333329</v>
          </cell>
          <cell r="Q172">
            <v>133.33333333333331</v>
          </cell>
          <cell r="R172">
            <v>0</v>
          </cell>
          <cell r="S172">
            <v>7</v>
          </cell>
          <cell r="T172" t="str">
            <v>O</v>
          </cell>
          <cell r="U172">
            <v>0.66635</v>
          </cell>
          <cell r="V172" t="str">
            <v>Mohammed Fayez Al-Shehri Trading EST.مؤسسة محمد فايز عبدالله الشهري التجارية</v>
          </cell>
          <cell r="W172">
            <v>0</v>
          </cell>
          <cell r="X172">
            <v>66.635000000000005</v>
          </cell>
          <cell r="Z172" t="str">
            <v>CO-00467</v>
          </cell>
          <cell r="AA172" t="str">
            <v>Glass cup 65ml كوب زجاج 65 ملي  لتقديم المياه الغازية</v>
          </cell>
          <cell r="AB172" t="str">
            <v>CO-00467</v>
          </cell>
          <cell r="AC172" t="str">
            <v>Glass cup 65LTR كوب زجاج 65 ملي  لتقديم المياه الغازية</v>
          </cell>
          <cell r="AD172">
            <v>0.66635</v>
          </cell>
          <cell r="AE172" t="str">
            <v>Mohammed Fayez Al-Shehri Trading EST.مؤسسة محمد فايز عبدالله الشهري التجارية</v>
          </cell>
        </row>
        <row r="173">
          <cell r="B173" t="str">
            <v>CO-00360</v>
          </cell>
          <cell r="C173" t="str">
            <v>First aid Box صندوق اسعافات اولية</v>
          </cell>
          <cell r="D173" t="str">
            <v>First aid Box	صندوق اسعافات اولية</v>
          </cell>
          <cell r="E173" t="str">
            <v>✓</v>
          </cell>
          <cell r="F173" t="str">
            <v>✓</v>
          </cell>
          <cell r="G173" t="str">
            <v/>
          </cell>
          <cell r="H173" t="str">
            <v/>
          </cell>
          <cell r="I173" t="str">
            <v/>
          </cell>
          <cell r="J173" t="str">
            <v/>
          </cell>
          <cell r="K173">
            <v>2</v>
          </cell>
          <cell r="L173">
            <v>1</v>
          </cell>
          <cell r="N173">
            <v>1</v>
          </cell>
          <cell r="O173">
            <v>30</v>
          </cell>
          <cell r="P173">
            <v>0.33333333333333331</v>
          </cell>
          <cell r="Q173">
            <v>1.3333333333333333</v>
          </cell>
          <cell r="R173">
            <v>0.33333333333333326</v>
          </cell>
          <cell r="S173">
            <v>7</v>
          </cell>
          <cell r="T173" t="str">
            <v>O</v>
          </cell>
          <cell r="U173">
            <v>100</v>
          </cell>
          <cell r="V173" t="str">
            <v>Petty Cash Hanafy</v>
          </cell>
          <cell r="W173">
            <v>33.333333333333329</v>
          </cell>
          <cell r="X173">
            <v>100</v>
          </cell>
          <cell r="Z173" t="str">
            <v>CO-00360</v>
          </cell>
          <cell r="AA173" t="str">
            <v>First aid box صندوق اسعافات اولية</v>
          </cell>
          <cell r="AB173" t="str">
            <v>CO-00360</v>
          </cell>
          <cell r="AC173" t="str">
            <v>First aid Box صندوق اسعافات اولية</v>
          </cell>
          <cell r="AD173">
            <v>65</v>
          </cell>
          <cell r="AE173" t="str">
            <v>مؤسسة مستر شيف</v>
          </cell>
        </row>
        <row r="174">
          <cell r="B174" t="str">
            <v>CO-00505</v>
          </cell>
          <cell r="C174" t="str">
            <v>Steel Ashtray طفاية سجائر</v>
          </cell>
          <cell r="D174" t="str">
            <v>Steel Ashtray طفاية سجائر</v>
          </cell>
          <cell r="E174" t="str">
            <v>✓</v>
          </cell>
          <cell r="F174" t="str">
            <v>✓</v>
          </cell>
          <cell r="G174" t="str">
            <v/>
          </cell>
          <cell r="H174" t="str">
            <v/>
          </cell>
          <cell r="I174" t="str">
            <v/>
          </cell>
          <cell r="J174" t="str">
            <v/>
          </cell>
          <cell r="K174">
            <v>2</v>
          </cell>
          <cell r="L174">
            <v>350</v>
          </cell>
          <cell r="N174">
            <v>0</v>
          </cell>
          <cell r="O174">
            <v>0</v>
          </cell>
          <cell r="P174">
            <v>116.66666666666666</v>
          </cell>
          <cell r="Q174">
            <v>466.66666666666663</v>
          </cell>
          <cell r="R174">
            <v>466.66666666666663</v>
          </cell>
          <cell r="S174">
            <v>7</v>
          </cell>
          <cell r="T174" t="str">
            <v>A</v>
          </cell>
          <cell r="U174">
            <v>5</v>
          </cell>
          <cell r="V174" t="str">
            <v>شركة قصر البلاستيك للتجارة</v>
          </cell>
          <cell r="W174">
            <v>2333.333333333333</v>
          </cell>
          <cell r="X174">
            <v>1750</v>
          </cell>
          <cell r="Z174" t="str">
            <v>CO-00505</v>
          </cell>
          <cell r="AA174" t="str">
            <v>Steel Ashtray طفاية سجائر</v>
          </cell>
          <cell r="AB174" t="str">
            <v>CO-00505</v>
          </cell>
          <cell r="AC174" t="str">
            <v>Steel Ashtray طفاية سجائر</v>
          </cell>
          <cell r="AD174">
            <v>5</v>
          </cell>
          <cell r="AE174" t="str">
            <v>شركة قصر البلاستيك للتجارة</v>
          </cell>
        </row>
        <row r="175">
          <cell r="B175" t="str">
            <v>CO-00496</v>
          </cell>
          <cell r="C175" t="str">
            <v>Barriers - حواجز</v>
          </cell>
          <cell r="D175" t="str">
            <v>حواجز</v>
          </cell>
          <cell r="E175" t="str">
            <v>✓</v>
          </cell>
          <cell r="F175" t="str">
            <v>✓</v>
          </cell>
          <cell r="G175" t="str">
            <v/>
          </cell>
          <cell r="H175" t="str">
            <v/>
          </cell>
          <cell r="I175" t="str">
            <v/>
          </cell>
          <cell r="J175" t="str">
            <v/>
          </cell>
          <cell r="K175">
            <v>2</v>
          </cell>
          <cell r="L175">
            <v>30</v>
          </cell>
          <cell r="N175">
            <v>0</v>
          </cell>
          <cell r="O175">
            <v>0</v>
          </cell>
          <cell r="P175">
            <v>10</v>
          </cell>
          <cell r="Q175">
            <v>40</v>
          </cell>
          <cell r="R175">
            <v>40</v>
          </cell>
          <cell r="S175">
            <v>7</v>
          </cell>
          <cell r="T175" t="str">
            <v>A</v>
          </cell>
          <cell r="U175">
            <v>90</v>
          </cell>
          <cell r="V175" t="str">
            <v>Nawadis Trading Co. شركة نوادس للتجارة</v>
          </cell>
          <cell r="W175">
            <v>3600</v>
          </cell>
          <cell r="X175">
            <v>2700</v>
          </cell>
          <cell r="Z175" t="str">
            <v>CO-00496</v>
          </cell>
          <cell r="AA175" t="str">
            <v>Barriers - حواجز</v>
          </cell>
          <cell r="AB175" t="str">
            <v>CO-00496</v>
          </cell>
          <cell r="AC175" t="str">
            <v>Barriers - حواجز</v>
          </cell>
          <cell r="AD175">
            <v>90</v>
          </cell>
          <cell r="AE175" t="str">
            <v>Nawadis Trading Co. شركة نوادس للتجارة</v>
          </cell>
        </row>
        <row r="176">
          <cell r="B176" t="str">
            <v>CO-00502</v>
          </cell>
          <cell r="C176" t="str">
            <v>Wooden Distributor 58.5 mm - Tache موزع خشبي 58.5 ملم - تاش</v>
          </cell>
          <cell r="D176" t="str">
            <v>Wooden Distributor 58.5 mm - Tache موزع خشبي 58.5 ملم - تاش</v>
          </cell>
          <cell r="E176" t="str">
            <v>✓</v>
          </cell>
          <cell r="F176" t="str">
            <v>✓</v>
          </cell>
          <cell r="G176" t="str">
            <v/>
          </cell>
          <cell r="H176" t="str">
            <v/>
          </cell>
          <cell r="I176" t="str">
            <v/>
          </cell>
          <cell r="J176" t="str">
            <v/>
          </cell>
          <cell r="K176">
            <v>2</v>
          </cell>
          <cell r="L176">
            <v>6</v>
          </cell>
          <cell r="N176">
            <v>11</v>
          </cell>
          <cell r="O176">
            <v>55</v>
          </cell>
          <cell r="P176">
            <v>2</v>
          </cell>
          <cell r="Q176">
            <v>8</v>
          </cell>
          <cell r="R176">
            <v>0</v>
          </cell>
          <cell r="S176">
            <v>7</v>
          </cell>
          <cell r="T176" t="str">
            <v>A</v>
          </cell>
          <cell r="U176">
            <v>190</v>
          </cell>
          <cell r="V176" t="str">
            <v>شركة بشريات الموسم للتجارة</v>
          </cell>
          <cell r="W176">
            <v>0</v>
          </cell>
          <cell r="X176">
            <v>1140</v>
          </cell>
          <cell r="Z176" t="str">
            <v>CO-00502</v>
          </cell>
          <cell r="AA176" t="str">
            <v>Wooden Distributor 58.5 mm - Tache موزع خشبي 58.5 ملم - تاش</v>
          </cell>
          <cell r="AB176" t="str">
            <v>CO-00502</v>
          </cell>
          <cell r="AC176" t="str">
            <v>Wooden Distributor 58.5 mm - Tache موزع خشبي 58.5 ملم - تاش</v>
          </cell>
          <cell r="AD176">
            <v>190</v>
          </cell>
          <cell r="AE176" t="str">
            <v>شركة بشريات الموسم للتجارة</v>
          </cell>
        </row>
        <row r="177">
          <cell r="B177" t="str">
            <v>CO-00221</v>
          </cell>
          <cell r="C177" t="str">
            <v>PRICE MACHINE INK ROLLER ALL حبر الة تسعير وتواريخ</v>
          </cell>
          <cell r="D177" t="str">
            <v>PRICE MACHINE INK ROLLER ALL حبر الة تسعير وتواريخ</v>
          </cell>
          <cell r="E177" t="str">
            <v>✓</v>
          </cell>
          <cell r="F177" t="str">
            <v>✓</v>
          </cell>
          <cell r="G177" t="str">
            <v/>
          </cell>
          <cell r="H177" t="str">
            <v/>
          </cell>
          <cell r="I177" t="str">
            <v/>
          </cell>
          <cell r="J177" t="str">
            <v/>
          </cell>
          <cell r="K177">
            <v>2</v>
          </cell>
          <cell r="L177">
            <v>20</v>
          </cell>
          <cell r="N177">
            <v>0</v>
          </cell>
          <cell r="O177">
            <v>0</v>
          </cell>
          <cell r="P177">
            <v>6.6666666666666661</v>
          </cell>
          <cell r="Q177">
            <v>26.666666666666664</v>
          </cell>
          <cell r="R177">
            <v>26.666666666666664</v>
          </cell>
          <cell r="S177">
            <v>7</v>
          </cell>
          <cell r="T177" t="str">
            <v>A</v>
          </cell>
          <cell r="U177">
            <v>20</v>
          </cell>
          <cell r="V177" t="str">
            <v>شركة قصر البلاستيك للتجارة</v>
          </cell>
          <cell r="W177">
            <v>533.33333333333326</v>
          </cell>
          <cell r="X177">
            <v>400</v>
          </cell>
          <cell r="Z177" t="str">
            <v>CO-00221</v>
          </cell>
          <cell r="AA177" t="str">
            <v>PRICE MACHINE INK ROLLER ALL حبر الة تسعير وتواريخ</v>
          </cell>
          <cell r="AB177" t="str">
            <v>CO-00221</v>
          </cell>
          <cell r="AC177" t="str">
            <v>PRICE MACHINE INK ROLLER ALL حبر الة تسعير وتواريخ</v>
          </cell>
          <cell r="AD177">
            <v>20</v>
          </cell>
          <cell r="AE177" t="str">
            <v>شركة قصر البلاستيك للتجارة</v>
          </cell>
        </row>
        <row r="178">
          <cell r="B178" t="str">
            <v>CO-00316</v>
          </cell>
          <cell r="C178" t="str">
            <v>LABEL PRINTER TAPE 12MM ورق طابعة الوصفات</v>
          </cell>
          <cell r="D178" t="str">
            <v>LABEL PRINTER TAPE 12MM ورق طابعة الوصفات</v>
          </cell>
          <cell r="E178" t="str">
            <v>✓</v>
          </cell>
          <cell r="F178" t="str">
            <v>✓</v>
          </cell>
          <cell r="G178" t="str">
            <v/>
          </cell>
          <cell r="H178" t="str">
            <v>✓</v>
          </cell>
          <cell r="I178" t="str">
            <v/>
          </cell>
          <cell r="J178" t="str">
            <v/>
          </cell>
          <cell r="K178">
            <v>3</v>
          </cell>
          <cell r="L178">
            <v>20</v>
          </cell>
          <cell r="N178">
            <v>17</v>
          </cell>
          <cell r="O178">
            <v>25.5</v>
          </cell>
          <cell r="P178">
            <v>6.6666666666666661</v>
          </cell>
          <cell r="Q178">
            <v>26.666666666666664</v>
          </cell>
          <cell r="R178">
            <v>9.6666666666666643</v>
          </cell>
          <cell r="S178">
            <v>7</v>
          </cell>
          <cell r="T178" t="str">
            <v>A</v>
          </cell>
          <cell r="U178">
            <v>25</v>
          </cell>
          <cell r="V178" t="str">
            <v>Albostan Alraqamiya Co. ﺷﺮﻛﺔ اﻟﺒﺴﺘﺎن اﻟﺮﻗﻤﻴﺔ</v>
          </cell>
          <cell r="W178">
            <v>241.6666666666666</v>
          </cell>
          <cell r="X178">
            <v>500</v>
          </cell>
          <cell r="Z178" t="str">
            <v>CO-00316</v>
          </cell>
          <cell r="AA178" t="str">
            <v>LABEL PRINTER TAPE 12MM ورق طابعة الوصفات</v>
          </cell>
          <cell r="AB178" t="str">
            <v>CO-00316</v>
          </cell>
          <cell r="AC178" t="str">
            <v>LABEL PRINTER TAPE 12MM ورق طابعة الوصفات</v>
          </cell>
          <cell r="AD178">
            <v>25</v>
          </cell>
          <cell r="AE178" t="str">
            <v>Supp0253 - Future Inventions trading est. مؤﺳﺴﺔ اﺧﺘﺮاﻋﺎت اﻟﻤﺴﺘﻘﺒﻞ اﻟﺘﺠﺎرﻳﺔ</v>
          </cell>
        </row>
        <row r="179">
          <cell r="B179" t="str">
            <v>CO-00204</v>
          </cell>
          <cell r="C179" t="str">
            <v>Insect Killer Stick لاصق ناموس</v>
          </cell>
          <cell r="D179" t="str">
            <v>Insect Killer Stick لاصق ناموس</v>
          </cell>
          <cell r="E179" t="str">
            <v>✓</v>
          </cell>
          <cell r="F179" t="str">
            <v>✓</v>
          </cell>
          <cell r="G179" t="str">
            <v/>
          </cell>
          <cell r="H179" t="str">
            <v>✓</v>
          </cell>
          <cell r="I179" t="str">
            <v/>
          </cell>
          <cell r="J179" t="str">
            <v/>
          </cell>
          <cell r="K179">
            <v>3</v>
          </cell>
          <cell r="L179">
            <v>800</v>
          </cell>
          <cell r="N179">
            <v>0</v>
          </cell>
          <cell r="O179">
            <v>0</v>
          </cell>
          <cell r="P179">
            <v>266.66666666666663</v>
          </cell>
          <cell r="Q179">
            <v>1066.6666666666665</v>
          </cell>
          <cell r="R179">
            <v>1066.6666666666665</v>
          </cell>
          <cell r="S179">
            <v>7</v>
          </cell>
          <cell r="T179" t="str">
            <v>A</v>
          </cell>
          <cell r="U179">
            <v>14.16667</v>
          </cell>
          <cell r="V179" t="str">
            <v>Boecker Public Health Saudi Arabia- بويكر</v>
          </cell>
          <cell r="W179">
            <v>15111.114666666665</v>
          </cell>
          <cell r="X179">
            <v>11333.335999999999</v>
          </cell>
          <cell r="Z179" t="str">
            <v>CO-00204</v>
          </cell>
          <cell r="AA179" t="str">
            <v>Insect Killer Stick لاصق ناموس</v>
          </cell>
          <cell r="AB179" t="str">
            <v>CO-00204</v>
          </cell>
          <cell r="AC179" t="str">
            <v>Insect Killer Stick لاصق ناموس</v>
          </cell>
          <cell r="AD179">
            <v>14.16667</v>
          </cell>
          <cell r="AE179" t="str">
            <v>Boecker Public Health Saudi Arabia- بويكر</v>
          </cell>
        </row>
        <row r="180">
          <cell r="B180" t="str">
            <v>CO-00469</v>
          </cell>
          <cell r="C180" t="str">
            <v>Jake Matcha جيك ماتشا</v>
          </cell>
          <cell r="D180" t="str">
            <v>Jake Matcha جيك ماتشا</v>
          </cell>
          <cell r="E180" t="str">
            <v>✓</v>
          </cell>
          <cell r="F180" t="str">
            <v/>
          </cell>
          <cell r="G180" t="str">
            <v/>
          </cell>
          <cell r="H180" t="str">
            <v/>
          </cell>
          <cell r="I180" t="str">
            <v/>
          </cell>
          <cell r="J180" t="str">
            <v/>
          </cell>
          <cell r="K180">
            <v>1</v>
          </cell>
          <cell r="L180">
            <v>10</v>
          </cell>
          <cell r="N180">
            <v>0</v>
          </cell>
          <cell r="O180">
            <v>0</v>
          </cell>
          <cell r="P180">
            <v>3.333333333333333</v>
          </cell>
          <cell r="Q180">
            <v>13.333333333333332</v>
          </cell>
          <cell r="R180">
            <v>13.333333333333332</v>
          </cell>
          <cell r="S180">
            <v>7</v>
          </cell>
          <cell r="T180" t="str">
            <v>O</v>
          </cell>
          <cell r="U180">
            <v>18</v>
          </cell>
          <cell r="V180" t="str">
            <v>مؤسسة مستر شيف</v>
          </cell>
          <cell r="W180">
            <v>239.99999999999997</v>
          </cell>
          <cell r="X180">
            <v>180</v>
          </cell>
          <cell r="Z180" t="str">
            <v>CO-00469</v>
          </cell>
          <cell r="AA180" t="str">
            <v>Jake Matcha جيك ماتشا</v>
          </cell>
          <cell r="AB180" t="str">
            <v>CO-00469</v>
          </cell>
          <cell r="AC180" t="str">
            <v>Jake Matcha جيك ماتشا</v>
          </cell>
          <cell r="AD180">
            <v>18</v>
          </cell>
          <cell r="AE180" t="str">
            <v>مؤسسة مستر شيف</v>
          </cell>
        </row>
        <row r="181">
          <cell r="B181" t="str">
            <v>CO-00187</v>
          </cell>
          <cell r="C181" t="str">
            <v>MISWAK مسواك</v>
          </cell>
          <cell r="D181" t="str">
            <v>MISWAK مسواك</v>
          </cell>
          <cell r="E181" t="str">
            <v>✓</v>
          </cell>
          <cell r="F181" t="str">
            <v/>
          </cell>
          <cell r="G181" t="str">
            <v/>
          </cell>
          <cell r="H181" t="str">
            <v/>
          </cell>
          <cell r="I181" t="str">
            <v/>
          </cell>
          <cell r="J181" t="str">
            <v/>
          </cell>
          <cell r="K181">
            <v>1</v>
          </cell>
          <cell r="L181">
            <v>7500</v>
          </cell>
          <cell r="N181">
            <v>8325</v>
          </cell>
          <cell r="O181">
            <v>33.300000000000004</v>
          </cell>
          <cell r="P181">
            <v>2500</v>
          </cell>
          <cell r="Q181">
            <v>10000</v>
          </cell>
          <cell r="R181">
            <v>1675</v>
          </cell>
          <cell r="S181">
            <v>7</v>
          </cell>
          <cell r="T181" t="str">
            <v>A</v>
          </cell>
          <cell r="U181">
            <v>1</v>
          </cell>
          <cell r="V181" t="str">
            <v>عود اراك, مؤسسة عود الاراك AL-Arak Oud Establishment</v>
          </cell>
          <cell r="W181">
            <v>1675</v>
          </cell>
          <cell r="X181">
            <v>7500</v>
          </cell>
          <cell r="Z181" t="str">
            <v>CO-00187</v>
          </cell>
          <cell r="AA181" t="str">
            <v>MISWAK مسواك</v>
          </cell>
          <cell r="AB181" t="str">
            <v>CO-00187</v>
          </cell>
          <cell r="AC181" t="str">
            <v>MISWAK مسواك</v>
          </cell>
          <cell r="AD181">
            <v>1</v>
          </cell>
          <cell r="AE181" t="str">
            <v>عود اراك, مؤسسة عود الاراك AL-Arak Oud Establishment</v>
          </cell>
        </row>
        <row r="182">
          <cell r="B182" t="str">
            <v>CO-00582</v>
          </cell>
          <cell r="C182" t="str">
            <v>عود مروكي محسّن | Enhanced Moroccan oud</v>
          </cell>
          <cell r="D182" t="str">
            <v>عود مروكي محسّن | Enhanced Moroccan oud</v>
          </cell>
          <cell r="E182" t="str">
            <v>✓</v>
          </cell>
          <cell r="F182" t="str">
            <v/>
          </cell>
          <cell r="G182" t="str">
            <v/>
          </cell>
          <cell r="H182" t="str">
            <v/>
          </cell>
          <cell r="I182" t="str">
            <v/>
          </cell>
          <cell r="J182" t="str">
            <v/>
          </cell>
          <cell r="K182">
            <v>1</v>
          </cell>
          <cell r="L182">
            <v>25</v>
          </cell>
          <cell r="N182">
            <v>9</v>
          </cell>
          <cell r="O182">
            <v>10.799999999999999</v>
          </cell>
          <cell r="P182">
            <v>8.3333333333333321</v>
          </cell>
          <cell r="Q182">
            <v>33.333333333333329</v>
          </cell>
          <cell r="R182">
            <v>24.333333333333329</v>
          </cell>
          <cell r="S182">
            <v>7</v>
          </cell>
          <cell r="T182" t="str">
            <v>A</v>
          </cell>
          <cell r="U182">
            <v>147.83000000000001</v>
          </cell>
          <cell r="V182" t="str">
            <v>Shawahid AlSafwah Trading Co. شركة شواهد الصفوة التجارية</v>
          </cell>
          <cell r="W182">
            <v>3597.1966666666663</v>
          </cell>
          <cell r="X182">
            <v>3695.7500000000005</v>
          </cell>
          <cell r="Z182" t="str">
            <v>CO-00582</v>
          </cell>
          <cell r="AA182" t="str">
            <v>عود مروكي محسّن | Enhanced Moroccan oud</v>
          </cell>
          <cell r="AB182" t="str">
            <v>CO-00582</v>
          </cell>
          <cell r="AC182" t="str">
            <v>عود مروكي محسّن | Enhanced Moroccan oud</v>
          </cell>
          <cell r="AD182">
            <v>147.83000000000001</v>
          </cell>
          <cell r="AE182" t="str">
            <v>Shawahid AlSafwah Trading Co. شركة شواهد الصفوة التجارية</v>
          </cell>
        </row>
        <row r="183">
          <cell r="B183" t="str">
            <v>CO-00332</v>
          </cell>
          <cell r="C183" t="str">
            <v>charcoal فحم  بخور</v>
          </cell>
          <cell r="D183" t="str">
            <v>charcoal	فحم  بخور</v>
          </cell>
          <cell r="E183" t="str">
            <v>✓</v>
          </cell>
          <cell r="F183" t="str">
            <v/>
          </cell>
          <cell r="G183" t="str">
            <v/>
          </cell>
          <cell r="H183" t="str">
            <v/>
          </cell>
          <cell r="I183" t="str">
            <v/>
          </cell>
          <cell r="J183" t="str">
            <v/>
          </cell>
          <cell r="K183">
            <v>1</v>
          </cell>
          <cell r="L183">
            <v>15</v>
          </cell>
          <cell r="N183">
            <v>21.65</v>
          </cell>
          <cell r="O183">
            <v>43.3</v>
          </cell>
          <cell r="P183">
            <v>5</v>
          </cell>
          <cell r="Q183">
            <v>20</v>
          </cell>
          <cell r="R183">
            <v>0</v>
          </cell>
          <cell r="S183">
            <v>7</v>
          </cell>
          <cell r="T183" t="str">
            <v>A</v>
          </cell>
          <cell r="V183" t="str">
            <v>جزيرة الطيب</v>
          </cell>
          <cell r="W183">
            <v>0</v>
          </cell>
          <cell r="X183">
            <v>0</v>
          </cell>
          <cell r="Z183" t="str">
            <v>CO-00332</v>
          </cell>
          <cell r="AA183" t="str">
            <v>charcoal فحم  بخور</v>
          </cell>
          <cell r="AB183" t="str">
            <v>CO-00332</v>
          </cell>
          <cell r="AC183" t="str">
            <v>charcoal فحم  بخور</v>
          </cell>
          <cell r="AD183">
            <v>0</v>
          </cell>
          <cell r="AE183" t="str">
            <v>جزيرة الطيب</v>
          </cell>
        </row>
        <row r="184">
          <cell r="B184" t="str">
            <v>RM-00644</v>
          </cell>
          <cell r="C184" t="str">
            <v>Condensed milk 0.397 KG | حليب مكثف</v>
          </cell>
          <cell r="D184" t="str">
            <v>Condensed milk 0.397 KG | حليب مكثف</v>
          </cell>
          <cell r="E184" t="str">
            <v/>
          </cell>
          <cell r="F184" t="str">
            <v>✓</v>
          </cell>
          <cell r="G184" t="str">
            <v/>
          </cell>
          <cell r="H184" t="str">
            <v/>
          </cell>
          <cell r="I184" t="str">
            <v/>
          </cell>
          <cell r="J184" t="str">
            <v>✓</v>
          </cell>
          <cell r="K184">
            <v>2</v>
          </cell>
          <cell r="L184">
            <v>4800</v>
          </cell>
          <cell r="N184">
            <v>0</v>
          </cell>
          <cell r="O184">
            <v>0</v>
          </cell>
          <cell r="P184">
            <v>1600</v>
          </cell>
          <cell r="Q184">
            <v>6400</v>
          </cell>
          <cell r="R184">
            <v>6400</v>
          </cell>
          <cell r="S184">
            <v>7</v>
          </cell>
          <cell r="T184" t="str">
            <v>S</v>
          </cell>
          <cell r="U184">
            <v>17.45496</v>
          </cell>
          <cell r="V184" t="str">
            <v>Food Aroma شركة نكهة الغذاء التجارية المحدودة</v>
          </cell>
          <cell r="W184">
            <v>111711.74400000001</v>
          </cell>
          <cell r="X184">
            <v>83783.808000000005</v>
          </cell>
          <cell r="Z184" t="str">
            <v>RM-00644</v>
          </cell>
          <cell r="AA184" t="str">
            <v>Condensed milk 0.397 KG | حليب مكثف</v>
          </cell>
          <cell r="AB184" t="str">
            <v>RM-00644</v>
          </cell>
          <cell r="AC184" t="str">
            <v>Condensed milk 0.397 KG | حليب مكثف</v>
          </cell>
          <cell r="AD184">
            <v>17.45496</v>
          </cell>
          <cell r="AE184" t="str">
            <v>مؤسسات سقالة التجارية</v>
          </cell>
        </row>
        <row r="185">
          <cell r="B185" t="str">
            <v>RM-00508</v>
          </cell>
          <cell r="C185" t="str">
            <v>Condensed milkحليب مكثف</v>
          </cell>
          <cell r="D185" t="str">
            <v>Condensed milkحليب مكثف</v>
          </cell>
          <cell r="E185" t="str">
            <v/>
          </cell>
          <cell r="F185" t="str">
            <v>✓</v>
          </cell>
          <cell r="G185" t="str">
            <v/>
          </cell>
          <cell r="H185" t="str">
            <v/>
          </cell>
          <cell r="I185" t="str">
            <v/>
          </cell>
          <cell r="J185" t="str">
            <v/>
          </cell>
          <cell r="K185">
            <v>1</v>
          </cell>
          <cell r="L185">
            <v>1000</v>
          </cell>
          <cell r="N185">
            <v>6218</v>
          </cell>
          <cell r="O185">
            <v>186.54</v>
          </cell>
          <cell r="P185">
            <v>333.33333333333331</v>
          </cell>
          <cell r="Q185">
            <v>1333.3333333333333</v>
          </cell>
          <cell r="R185">
            <v>0</v>
          </cell>
          <cell r="S185">
            <v>7</v>
          </cell>
          <cell r="T185" t="str">
            <v>S</v>
          </cell>
          <cell r="U185">
            <v>16.582699999999999</v>
          </cell>
          <cell r="V185" t="str">
            <v>شركة بالبيد للحلول الغذائية-BALBAID</v>
          </cell>
          <cell r="W185">
            <v>0</v>
          </cell>
          <cell r="X185">
            <v>16582.7</v>
          </cell>
          <cell r="Z185" t="str">
            <v>RM-00508</v>
          </cell>
          <cell r="AA185" t="str">
            <v>Condensed milk  حليب مكثف</v>
          </cell>
          <cell r="AB185" t="str">
            <v>RM-00508</v>
          </cell>
          <cell r="AC185" t="str">
            <v>Condensed milkحليب مكثف</v>
          </cell>
          <cell r="AD185">
            <v>16.582699999999999</v>
          </cell>
          <cell r="AE185" t="str">
            <v>مؤسسات سقالة التجارية</v>
          </cell>
        </row>
        <row r="186">
          <cell r="B186" t="str">
            <v>RM-00098</v>
          </cell>
          <cell r="C186" t="str">
            <v>hobla cream كريمة هوبلا</v>
          </cell>
          <cell r="D186" t="str">
            <v>hobla cream كريمة هوبلا</v>
          </cell>
          <cell r="E186" t="str">
            <v/>
          </cell>
          <cell r="F186" t="str">
            <v>✓</v>
          </cell>
          <cell r="G186" t="str">
            <v/>
          </cell>
          <cell r="H186" t="str">
            <v/>
          </cell>
          <cell r="I186" t="str">
            <v/>
          </cell>
          <cell r="J186" t="str">
            <v/>
          </cell>
          <cell r="K186">
            <v>1</v>
          </cell>
          <cell r="L186">
            <v>200</v>
          </cell>
          <cell r="N186">
            <v>708</v>
          </cell>
          <cell r="O186">
            <v>106.2</v>
          </cell>
          <cell r="P186">
            <v>66.666666666666657</v>
          </cell>
          <cell r="Q186">
            <v>266.66666666666663</v>
          </cell>
          <cell r="R186">
            <v>0</v>
          </cell>
          <cell r="S186">
            <v>7</v>
          </cell>
          <cell r="T186" t="str">
            <v>S</v>
          </cell>
          <cell r="U186">
            <v>10.83333</v>
          </cell>
          <cell r="V186" t="str">
            <v>Ahmad A. Abed Trading Co. Ltd شركة احمد عبدالوهاب عابد للتجارة المحدودة</v>
          </cell>
          <cell r="W186">
            <v>0</v>
          </cell>
          <cell r="X186">
            <v>2166.6660000000002</v>
          </cell>
          <cell r="Z186" t="str">
            <v>RM-00098</v>
          </cell>
          <cell r="AA186" t="str">
            <v>hobla cream	كريمة هوبلا</v>
          </cell>
          <cell r="AB186" t="str">
            <v>RM-00098</v>
          </cell>
          <cell r="AC186" t="str">
            <v>hobla cream كريمة هوبلا</v>
          </cell>
          <cell r="AD186">
            <v>10.83333</v>
          </cell>
          <cell r="AE186" t="str">
            <v>Ahmad A. Abed Trading Co. Ltd شركة احمد عبدالوهاب عابد للتجارة المحدودة</v>
          </cell>
        </row>
        <row r="187">
          <cell r="B187" t="str">
            <v>RM-00097</v>
          </cell>
          <cell r="C187" t="str">
            <v>Whipping cream كريمة خفق</v>
          </cell>
          <cell r="D187" t="str">
            <v>Whipping cream كريمة خفق</v>
          </cell>
          <cell r="E187" t="str">
            <v/>
          </cell>
          <cell r="F187" t="str">
            <v>✓</v>
          </cell>
          <cell r="G187" t="str">
            <v/>
          </cell>
          <cell r="H187" t="str">
            <v/>
          </cell>
          <cell r="I187" t="str">
            <v/>
          </cell>
          <cell r="J187" t="str">
            <v>✓</v>
          </cell>
          <cell r="K187">
            <v>2</v>
          </cell>
          <cell r="L187">
            <v>4800</v>
          </cell>
          <cell r="N187">
            <v>9640</v>
          </cell>
          <cell r="O187">
            <v>60.25</v>
          </cell>
          <cell r="P187">
            <v>1600</v>
          </cell>
          <cell r="Q187">
            <v>6400</v>
          </cell>
          <cell r="R187">
            <v>0</v>
          </cell>
          <cell r="S187">
            <v>7</v>
          </cell>
          <cell r="T187" t="str">
            <v>S</v>
          </cell>
          <cell r="U187">
            <v>22.5</v>
          </cell>
          <cell r="V187" t="str">
            <v>Food Book Company LLC شركة كتاب المأكولات لتقديم الوجبات</v>
          </cell>
          <cell r="W187">
            <v>0</v>
          </cell>
          <cell r="X187">
            <v>108000</v>
          </cell>
          <cell r="Z187" t="str">
            <v>RM-00097</v>
          </cell>
          <cell r="AA187" t="str">
            <v>Whipping cream كريمة خفق</v>
          </cell>
          <cell r="AB187" t="str">
            <v>RM-00097</v>
          </cell>
          <cell r="AC187" t="str">
            <v>Whipping cream كريمة خفق</v>
          </cell>
          <cell r="AD187">
            <v>22.5</v>
          </cell>
          <cell r="AE187" t="str">
            <v>Gulf central Company - شركة الخليج الوسطى</v>
          </cell>
        </row>
        <row r="188">
          <cell r="B188" t="str">
            <v>RM-00141</v>
          </cell>
          <cell r="C188" t="str">
            <v>Honey Ashifa عسل الشفاء</v>
          </cell>
          <cell r="D188" t="str">
            <v>Honey Ashifa عسل الشفاء</v>
          </cell>
          <cell r="E188" t="str">
            <v/>
          </cell>
          <cell r="F188" t="str">
            <v>✓</v>
          </cell>
          <cell r="G188" t="str">
            <v/>
          </cell>
          <cell r="H188" t="str">
            <v/>
          </cell>
          <cell r="I188" t="str">
            <v/>
          </cell>
          <cell r="J188" t="str">
            <v>✓</v>
          </cell>
          <cell r="K188">
            <v>2</v>
          </cell>
          <cell r="L188">
            <v>350</v>
          </cell>
          <cell r="N188">
            <v>972</v>
          </cell>
          <cell r="O188">
            <v>83.314285714285717</v>
          </cell>
          <cell r="P188">
            <v>116.66666666666666</v>
          </cell>
          <cell r="Q188">
            <v>466.66666666666663</v>
          </cell>
          <cell r="R188">
            <v>0</v>
          </cell>
          <cell r="S188">
            <v>7</v>
          </cell>
          <cell r="T188" t="str">
            <v>A</v>
          </cell>
          <cell r="U188">
            <v>39.166670000000003</v>
          </cell>
          <cell r="V188" t="str">
            <v>Tanzeem Al Afkar Trading Company | شركة تنظيم الافكار للتجارة</v>
          </cell>
          <cell r="W188">
            <v>0</v>
          </cell>
          <cell r="X188">
            <v>13708.334500000001</v>
          </cell>
          <cell r="Z188" t="str">
            <v>RM-00141</v>
          </cell>
          <cell r="AA188" t="str">
            <v>Honey Ashifaعسل</v>
          </cell>
          <cell r="AB188" t="str">
            <v>RM-00141</v>
          </cell>
          <cell r="AC188" t="str">
            <v>Honey Ashifa عسل الشفاء</v>
          </cell>
          <cell r="AD188">
            <v>39.166670000000003</v>
          </cell>
          <cell r="AE188" t="str">
            <v>Tanzeem Al Afkar Trading Company | شركة تنظيم الافكار للتجارة</v>
          </cell>
        </row>
        <row r="189">
          <cell r="B189" t="str">
            <v>RM-00577</v>
          </cell>
          <cell r="C189" t="str">
            <v>Syrup  Hazelnut Teisseire سيروب تيسير البندق</v>
          </cell>
          <cell r="D189" t="str">
            <v>Syrup  Hazelnut Teisseire سيروب تيسير البندق</v>
          </cell>
          <cell r="E189" t="str">
            <v/>
          </cell>
          <cell r="F189" t="str">
            <v>✓</v>
          </cell>
          <cell r="G189" t="str">
            <v/>
          </cell>
          <cell r="H189" t="str">
            <v/>
          </cell>
          <cell r="I189" t="str">
            <v/>
          </cell>
          <cell r="J189" t="str">
            <v/>
          </cell>
          <cell r="K189">
            <v>1</v>
          </cell>
          <cell r="L189">
            <v>125</v>
          </cell>
          <cell r="N189">
            <v>25</v>
          </cell>
          <cell r="O189">
            <v>6</v>
          </cell>
          <cell r="P189">
            <v>41.666666666666664</v>
          </cell>
          <cell r="Q189">
            <v>166.66666666666666</v>
          </cell>
          <cell r="R189">
            <v>141.66666666666666</v>
          </cell>
          <cell r="S189">
            <v>7</v>
          </cell>
          <cell r="T189" t="str">
            <v>A</v>
          </cell>
          <cell r="U189">
            <v>40</v>
          </cell>
          <cell r="V189" t="str">
            <v>شركة شمس القهوة للتجارة المحدودة</v>
          </cell>
          <cell r="W189">
            <v>5666.6666666666661</v>
          </cell>
          <cell r="X189">
            <v>5000</v>
          </cell>
          <cell r="Z189" t="str">
            <v>RM-00577</v>
          </cell>
          <cell r="AA189" t="str">
            <v>Syrup  Hazelnut Teisseire سيروب تيسير البندق</v>
          </cell>
          <cell r="AB189" t="str">
            <v>RM-00577</v>
          </cell>
          <cell r="AC189" t="str">
            <v>Syrup  Hazelnut Teisseire سيروب تيسير البندق</v>
          </cell>
          <cell r="AD189">
            <v>40</v>
          </cell>
          <cell r="AE189" t="str">
            <v>شركة شمس القهوة للتجارة المحدودة</v>
          </cell>
        </row>
        <row r="190">
          <cell r="B190" t="str">
            <v>RM-00603</v>
          </cell>
          <cell r="C190" t="str">
            <v>PASSION FRUIT TEA | أعشاب شاي الباشن فروت</v>
          </cell>
          <cell r="D190" t="str">
            <v>PASSION FRUIT TEA | أعشاب شاي الباشن فروت</v>
          </cell>
          <cell r="E190" t="str">
            <v/>
          </cell>
          <cell r="F190" t="str">
            <v>✓</v>
          </cell>
          <cell r="G190" t="str">
            <v/>
          </cell>
          <cell r="H190" t="str">
            <v/>
          </cell>
          <cell r="I190" t="str">
            <v/>
          </cell>
          <cell r="J190" t="str">
            <v/>
          </cell>
          <cell r="K190">
            <v>1</v>
          </cell>
          <cell r="L190">
            <v>35</v>
          </cell>
          <cell r="N190">
            <v>73</v>
          </cell>
          <cell r="O190">
            <v>62.571428571428577</v>
          </cell>
          <cell r="P190">
            <v>11.666666666666666</v>
          </cell>
          <cell r="Q190">
            <v>46.666666666666664</v>
          </cell>
          <cell r="R190">
            <v>0</v>
          </cell>
          <cell r="S190">
            <v>7</v>
          </cell>
          <cell r="T190" t="str">
            <v>S</v>
          </cell>
          <cell r="U190">
            <v>150</v>
          </cell>
          <cell r="V190" t="str">
            <v>شمو للأغذية | Shumou Foods</v>
          </cell>
          <cell r="W190">
            <v>0</v>
          </cell>
          <cell r="X190">
            <v>5250</v>
          </cell>
          <cell r="Z190" t="str">
            <v>RM-00603</v>
          </cell>
          <cell r="AA190" t="str">
            <v>PASSION FRUIT TEA | أعشاب شاي الباشن فروت</v>
          </cell>
          <cell r="AB190" t="str">
            <v>RM-00603</v>
          </cell>
          <cell r="AC190" t="str">
            <v>PASSION FRUIT TEA | أعشاب شاي الباشن فروت</v>
          </cell>
          <cell r="AD190">
            <v>150</v>
          </cell>
          <cell r="AE190" t="str">
            <v>شمو للأغذية | Shumou Foods</v>
          </cell>
        </row>
        <row r="191">
          <cell r="B191" t="str">
            <v>RM-00503</v>
          </cell>
          <cell r="C191" t="str">
            <v>Suger Sachet Breehantاظرف سكر بريهانت</v>
          </cell>
          <cell r="D191" t="str">
            <v>Suger Sachet Breehantاظرف سكر بريهانت</v>
          </cell>
          <cell r="E191" t="str">
            <v/>
          </cell>
          <cell r="F191" t="str">
            <v>✓</v>
          </cell>
          <cell r="G191" t="str">
            <v/>
          </cell>
          <cell r="H191" t="str">
            <v/>
          </cell>
          <cell r="I191" t="str">
            <v/>
          </cell>
          <cell r="J191" t="str">
            <v/>
          </cell>
          <cell r="K191">
            <v>1</v>
          </cell>
          <cell r="L191">
            <v>20000</v>
          </cell>
          <cell r="N191">
            <v>0</v>
          </cell>
          <cell r="O191">
            <v>0</v>
          </cell>
          <cell r="P191">
            <v>11333.333333333334</v>
          </cell>
          <cell r="Q191">
            <v>31333.333333333336</v>
          </cell>
          <cell r="R191">
            <v>31333.333333333336</v>
          </cell>
          <cell r="S191">
            <v>14</v>
          </cell>
          <cell r="T191" t="str">
            <v>A</v>
          </cell>
          <cell r="U191">
            <v>6.8000000000000005E-2</v>
          </cell>
          <cell r="V191" t="str">
            <v>Ashraf Saleh Aldazaz Factory مصنع اشرف صالح الدعزازا للتعبئة والتغليف</v>
          </cell>
          <cell r="W191">
            <v>2130.666666666667</v>
          </cell>
          <cell r="X191">
            <v>1360</v>
          </cell>
          <cell r="Z191" t="str">
            <v>RM-00503</v>
          </cell>
          <cell r="AA191" t="str">
            <v>Suger Sachet Breehantاظرف سكر بريهانت</v>
          </cell>
          <cell r="AB191" t="str">
            <v>RM-00503</v>
          </cell>
          <cell r="AC191" t="str">
            <v>Suger Sachet Breehantاظرف سكر بريهانت</v>
          </cell>
          <cell r="AD191">
            <v>6.8000000000000005E-2</v>
          </cell>
          <cell r="AE191" t="str">
            <v>Ashraf Saleh Aldazaz Factory مصنع اشرف صالح الدعزازا للتعبئة والتغليف</v>
          </cell>
        </row>
        <row r="192">
          <cell r="B192" t="str">
            <v>RM-00039</v>
          </cell>
          <cell r="C192" t="str">
            <v>Nutella Hazelnut نوتيلا</v>
          </cell>
          <cell r="D192" t="str">
            <v>Nutella Hazelnut نوتيلا</v>
          </cell>
          <cell r="E192" t="str">
            <v/>
          </cell>
          <cell r="F192" t="str">
            <v>✓</v>
          </cell>
          <cell r="G192" t="str">
            <v/>
          </cell>
          <cell r="H192" t="str">
            <v/>
          </cell>
          <cell r="I192" t="str">
            <v/>
          </cell>
          <cell r="J192" t="str">
            <v>✓</v>
          </cell>
          <cell r="K192">
            <v>2</v>
          </cell>
          <cell r="L192">
            <v>550</v>
          </cell>
          <cell r="N192">
            <v>0</v>
          </cell>
          <cell r="O192">
            <v>0</v>
          </cell>
          <cell r="P192">
            <v>183.33333333333331</v>
          </cell>
          <cell r="Q192">
            <v>733.33333333333326</v>
          </cell>
          <cell r="R192">
            <v>733.33333333333326</v>
          </cell>
          <cell r="S192">
            <v>7</v>
          </cell>
          <cell r="T192" t="str">
            <v>S</v>
          </cell>
          <cell r="U192">
            <v>33.333329999999997</v>
          </cell>
          <cell r="V192" t="str">
            <v>Al Shahrani International Co. شركة الشهراني العالمية المحدودة</v>
          </cell>
          <cell r="W192">
            <v>24444.441999999995</v>
          </cell>
          <cell r="X192">
            <v>18333.331499999997</v>
          </cell>
          <cell r="Z192" t="str">
            <v>RM-00039</v>
          </cell>
          <cell r="AA192" t="str">
            <v>Nutella Hazelnut نوتيلا</v>
          </cell>
          <cell r="AB192" t="str">
            <v>RM-00039</v>
          </cell>
          <cell r="AC192" t="str">
            <v>Nutella Hazelnut نوتيلا</v>
          </cell>
          <cell r="AD192">
            <v>33.333329999999997</v>
          </cell>
          <cell r="AE192" t="str">
            <v>Tanzeem Al Afkar Trading Company | شركة تنظيم الافكار للتجارة</v>
          </cell>
        </row>
        <row r="193">
          <cell r="B193" t="str">
            <v>RM-00144</v>
          </cell>
          <cell r="C193" t="str">
            <v>Ground cinnamon قرفة مطحونة</v>
          </cell>
          <cell r="D193" t="str">
            <v>AFIA CINNAMON POWDER | بودرة القرفة العافية</v>
          </cell>
          <cell r="E193" t="str">
            <v/>
          </cell>
          <cell r="F193" t="str">
            <v/>
          </cell>
          <cell r="G193" t="str">
            <v/>
          </cell>
          <cell r="H193" t="str">
            <v/>
          </cell>
          <cell r="I193" t="str">
            <v/>
          </cell>
          <cell r="J193" t="str">
            <v>✓</v>
          </cell>
          <cell r="K193">
            <v>1</v>
          </cell>
          <cell r="L193">
            <v>1</v>
          </cell>
          <cell r="M193" t="str">
            <v>Adj</v>
          </cell>
          <cell r="N193">
            <v>162</v>
          </cell>
          <cell r="O193">
            <v>4860</v>
          </cell>
          <cell r="P193">
            <v>0.33333333333333331</v>
          </cell>
          <cell r="Q193">
            <v>1.3333333333333333</v>
          </cell>
          <cell r="R193">
            <v>0</v>
          </cell>
          <cell r="S193">
            <v>7</v>
          </cell>
          <cell r="T193" t="str">
            <v>A</v>
          </cell>
          <cell r="U193">
            <v>12.074999999999999</v>
          </cell>
          <cell r="V193" t="str">
            <v>Ahmad A. Abed Trading Co. Ltd شركة احمد عبدالوهاب عابد للتجارة المحدودة</v>
          </cell>
          <cell r="W193">
            <v>0</v>
          </cell>
          <cell r="X193">
            <v>12.074999999999999</v>
          </cell>
          <cell r="Z193" t="str">
            <v>RM-00246</v>
          </cell>
          <cell r="AA193" t="str">
            <v xml:space="preserve">AFIA CINNAMON POWDER | بودرة القرفة العافية </v>
          </cell>
          <cell r="AB193" t="str">
            <v>RM-00144</v>
          </cell>
          <cell r="AC193" t="str">
            <v>Ground cinnamon قرفة مطحونة</v>
          </cell>
          <cell r="AD193">
            <v>12.074999999999999</v>
          </cell>
          <cell r="AE193" t="str">
            <v>Tanzeem Al Afkar Trading Company | شركة تنظيم الافكار للتجارة</v>
          </cell>
        </row>
        <row r="194">
          <cell r="B194" t="str">
            <v>RM-00694</v>
          </cell>
          <cell r="C194" t="str">
            <v>VANILLA NEOVANIL|فانيلا نيوفانيل</v>
          </cell>
          <cell r="D194" t="str">
            <v>VANILLA NEOVANIL|فانيلا نيوفانيل</v>
          </cell>
          <cell r="E194" t="str">
            <v/>
          </cell>
          <cell r="F194" t="str">
            <v>✓</v>
          </cell>
          <cell r="G194" t="str">
            <v/>
          </cell>
          <cell r="H194" t="str">
            <v/>
          </cell>
          <cell r="I194" t="str">
            <v/>
          </cell>
          <cell r="J194" t="str">
            <v>✓</v>
          </cell>
          <cell r="K194">
            <v>2</v>
          </cell>
          <cell r="L194">
            <v>18</v>
          </cell>
          <cell r="N194">
            <v>9.75</v>
          </cell>
          <cell r="O194">
            <v>16.25</v>
          </cell>
          <cell r="P194">
            <v>6</v>
          </cell>
          <cell r="Q194">
            <v>24</v>
          </cell>
          <cell r="R194">
            <v>14.25</v>
          </cell>
          <cell r="S194">
            <v>7</v>
          </cell>
          <cell r="T194" t="str">
            <v>A</v>
          </cell>
          <cell r="U194">
            <v>68.888890000000004</v>
          </cell>
          <cell r="V194" t="str">
            <v>Ahmad A. Abed Trading Co. Ltd شركة احمد عبدالوهاب عابد للتجارة المحدودة</v>
          </cell>
          <cell r="W194">
            <v>981.66668250000009</v>
          </cell>
          <cell r="X194">
            <v>1240.0000199999999</v>
          </cell>
          <cell r="Z194" t="str">
            <v>RM-00694</v>
          </cell>
          <cell r="AA194" t="str">
            <v>VANILLA NEOVANIL|فانيلا نيوفانيل</v>
          </cell>
          <cell r="AB194" t="str">
            <v>RM-00694</v>
          </cell>
          <cell r="AC194" t="str">
            <v>VANILLA NEOVANIL|فانيلا نيوفانيل</v>
          </cell>
          <cell r="AD194">
            <v>68.888890000000004</v>
          </cell>
          <cell r="AE194" t="str">
            <v>Ahmad A. Abed Trading Co. Ltd شركة احمد عبدالوهاب عابد للتجارة المحدودة</v>
          </cell>
        </row>
        <row r="195">
          <cell r="B195" t="str">
            <v>RM-00695</v>
          </cell>
          <cell r="C195" t="str">
            <v>CRAMEL - MEC3|كراميل ميك</v>
          </cell>
          <cell r="D195" t="str">
            <v>CRAMEL - MEC3|كراميل ميك</v>
          </cell>
          <cell r="E195" t="str">
            <v/>
          </cell>
          <cell r="F195" t="str">
            <v>✓</v>
          </cell>
          <cell r="G195" t="str">
            <v/>
          </cell>
          <cell r="H195" t="str">
            <v/>
          </cell>
          <cell r="I195" t="str">
            <v/>
          </cell>
          <cell r="J195" t="str">
            <v>✓</v>
          </cell>
          <cell r="K195">
            <v>2</v>
          </cell>
          <cell r="L195">
            <v>175</v>
          </cell>
          <cell r="M195" t="str">
            <v>add</v>
          </cell>
          <cell r="N195">
            <v>300</v>
          </cell>
          <cell r="O195">
            <v>51.428571428571423</v>
          </cell>
          <cell r="P195">
            <v>99.166666666666657</v>
          </cell>
          <cell r="Q195">
            <v>274.16666666666663</v>
          </cell>
          <cell r="R195">
            <v>0</v>
          </cell>
          <cell r="S195">
            <v>14</v>
          </cell>
          <cell r="T195" t="str">
            <v>A</v>
          </cell>
          <cell r="U195">
            <v>94.5</v>
          </cell>
          <cell r="V195" t="str">
            <v>AL Babtain Food Co. شركة عبدالعزيز ومنصور إبراهيم البابطين</v>
          </cell>
          <cell r="W195">
            <v>0</v>
          </cell>
          <cell r="X195">
            <v>16537.5</v>
          </cell>
          <cell r="Z195" t="str">
            <v>RM-00695</v>
          </cell>
          <cell r="AA195" t="str">
            <v>CRAMEL - MEC3|كراميل ميك</v>
          </cell>
          <cell r="AB195" t="str">
            <v>RM-00695</v>
          </cell>
          <cell r="AC195" t="str">
            <v>CRAMEL - MEC3|كراميل ميك</v>
          </cell>
          <cell r="AD195">
            <v>94.5</v>
          </cell>
          <cell r="AE195" t="str">
            <v>AL Babtain Food Co. شركة عبدالعزيز ومنصور إبراهيم البابطين</v>
          </cell>
        </row>
        <row r="196">
          <cell r="B196" t="str">
            <v>RM-00696</v>
          </cell>
          <cell r="C196" t="str">
            <v>BLUEBERRY SAUCE  LUXCO |صوص بلوبيري لوكسكو</v>
          </cell>
          <cell r="D196" t="str">
            <v>BLUEBERRY SAUCE  LUXCO |صوص بلوبيري لوكسكو</v>
          </cell>
          <cell r="E196" t="str">
            <v/>
          </cell>
          <cell r="F196" t="str">
            <v>✓</v>
          </cell>
          <cell r="G196" t="str">
            <v/>
          </cell>
          <cell r="H196" t="str">
            <v/>
          </cell>
          <cell r="I196" t="str">
            <v/>
          </cell>
          <cell r="J196" t="str">
            <v>✓</v>
          </cell>
          <cell r="K196">
            <v>2</v>
          </cell>
          <cell r="L196">
            <v>110</v>
          </cell>
          <cell r="M196" t="str">
            <v>add</v>
          </cell>
          <cell r="N196">
            <v>0</v>
          </cell>
          <cell r="O196">
            <v>0</v>
          </cell>
          <cell r="P196">
            <v>36.666666666666664</v>
          </cell>
          <cell r="Q196">
            <v>146.66666666666666</v>
          </cell>
          <cell r="R196">
            <v>146.66666666666666</v>
          </cell>
          <cell r="S196">
            <v>7</v>
          </cell>
          <cell r="T196" t="str">
            <v>A</v>
          </cell>
          <cell r="U196">
            <v>30.357140000000001</v>
          </cell>
          <cell r="V196" t="str">
            <v>شركة الشيف المثالي للتجارة-perfect chef</v>
          </cell>
          <cell r="W196">
            <v>4452.380533333333</v>
          </cell>
          <cell r="X196">
            <v>3339.2854000000002</v>
          </cell>
          <cell r="Z196" t="str">
            <v>RM-00696</v>
          </cell>
          <cell r="AA196" t="str">
            <v>BLUEBERRY SAUCE  LUXCO |صوص بلوبيري لوكسكو</v>
          </cell>
          <cell r="AB196" t="str">
            <v>RM-00696</v>
          </cell>
          <cell r="AC196" t="str">
            <v>BLUEBERRY SAUCE  LUXCO |صوص بلوبيري لوكسكو</v>
          </cell>
          <cell r="AD196">
            <v>30.357140000000001</v>
          </cell>
          <cell r="AE196" t="str">
            <v>شركة الشيف المثالي للتجارة-perfect chef</v>
          </cell>
        </row>
        <row r="197">
          <cell r="B197" t="str">
            <v>RM-00720</v>
          </cell>
          <cell r="C197" t="str">
            <v>Sour Cheery Moj Polot</v>
          </cell>
          <cell r="D197" t="str">
            <v>Sour Cheery Moj Polot</v>
          </cell>
          <cell r="E197" t="str">
            <v/>
          </cell>
          <cell r="F197" t="str">
            <v>✓</v>
          </cell>
          <cell r="G197" t="str">
            <v/>
          </cell>
          <cell r="H197" t="str">
            <v/>
          </cell>
          <cell r="I197" t="str">
            <v/>
          </cell>
          <cell r="J197" t="str">
            <v/>
          </cell>
          <cell r="K197">
            <v>1</v>
          </cell>
          <cell r="L197">
            <v>10</v>
          </cell>
          <cell r="N197">
            <v>33.6</v>
          </cell>
          <cell r="O197">
            <v>100.80000000000001</v>
          </cell>
          <cell r="P197">
            <v>3.333333333333333</v>
          </cell>
          <cell r="Q197">
            <v>13.333333333333332</v>
          </cell>
          <cell r="R197">
            <v>0</v>
          </cell>
          <cell r="S197">
            <v>7</v>
          </cell>
          <cell r="T197" t="str">
            <v>A</v>
          </cell>
          <cell r="U197">
            <v>42.142859999999999</v>
          </cell>
          <cell r="V197" t="str">
            <v>شركة اضافات العالمية للتجارة-Edafat</v>
          </cell>
          <cell r="W197">
            <v>0</v>
          </cell>
          <cell r="X197">
            <v>421.42859999999996</v>
          </cell>
          <cell r="Z197" t="str">
            <v>RM-00720</v>
          </cell>
          <cell r="AA197" t="str">
            <v>Sour Cheery Moj Polot</v>
          </cell>
          <cell r="AB197" t="str">
            <v>RM-00720</v>
          </cell>
          <cell r="AC197" t="str">
            <v>Sour Cheery Moj Polot</v>
          </cell>
          <cell r="AD197">
            <v>42.142859999999999</v>
          </cell>
          <cell r="AE197" t="str">
            <v>شركة اضافات العالمية للتجارة-Edafat</v>
          </cell>
        </row>
        <row r="198">
          <cell r="B198" t="str">
            <v>PM-00266</v>
          </cell>
          <cell r="C198" t="str">
            <v>Straw Breehant شفاط بريهانت</v>
          </cell>
          <cell r="D198" t="str">
            <v>Straw Breehant شفاط بريهانت</v>
          </cell>
          <cell r="E198" t="str">
            <v/>
          </cell>
          <cell r="F198" t="str">
            <v>✓</v>
          </cell>
          <cell r="G198" t="str">
            <v/>
          </cell>
          <cell r="H198" t="str">
            <v/>
          </cell>
          <cell r="I198" t="str">
            <v/>
          </cell>
          <cell r="J198" t="str">
            <v/>
          </cell>
          <cell r="K198">
            <v>1</v>
          </cell>
          <cell r="L198">
            <v>70000</v>
          </cell>
          <cell r="N198">
            <v>381000</v>
          </cell>
          <cell r="O198">
            <v>163.28571428571428</v>
          </cell>
          <cell r="P198">
            <v>39666.666666666664</v>
          </cell>
          <cell r="Q198">
            <v>109666.66666666666</v>
          </cell>
          <cell r="R198">
            <v>0</v>
          </cell>
          <cell r="S198">
            <v>14</v>
          </cell>
          <cell r="T198" t="str">
            <v>S</v>
          </cell>
          <cell r="U198">
            <v>2.2669999999999999E-2</v>
          </cell>
          <cell r="V198" t="str">
            <v>شركة اركان الاندلس للتجارة</v>
          </cell>
          <cell r="W198">
            <v>0</v>
          </cell>
          <cell r="X198">
            <v>1586.8999999999999</v>
          </cell>
          <cell r="Z198" t="str">
            <v>PM-00266</v>
          </cell>
          <cell r="AA198" t="str">
            <v>Straw | شفاط</v>
          </cell>
          <cell r="AB198" t="str">
            <v>PM-00266</v>
          </cell>
          <cell r="AC198" t="str">
            <v>Straw Breehant شفاط بريهانت</v>
          </cell>
          <cell r="AD198">
            <v>2.2669999999999999E-2</v>
          </cell>
          <cell r="AE198" t="str">
            <v>شركة اركان الاندلس للتجارة</v>
          </cell>
        </row>
        <row r="199">
          <cell r="B199" t="str">
            <v>PM-00271</v>
          </cell>
          <cell r="C199" t="str">
            <v>Breehant Napkinمناديل بريهانت</v>
          </cell>
          <cell r="D199" t="str">
            <v>Breehant Napkinمناديل بريهانت</v>
          </cell>
          <cell r="E199" t="str">
            <v/>
          </cell>
          <cell r="F199" t="str">
            <v>✓</v>
          </cell>
          <cell r="G199" t="str">
            <v/>
          </cell>
          <cell r="H199" t="str">
            <v/>
          </cell>
          <cell r="I199" t="str">
            <v/>
          </cell>
          <cell r="J199" t="str">
            <v/>
          </cell>
          <cell r="K199">
            <v>1</v>
          </cell>
          <cell r="L199">
            <v>370000</v>
          </cell>
          <cell r="M199" t="str">
            <v>Stock Rev.</v>
          </cell>
          <cell r="N199">
            <v>67200</v>
          </cell>
          <cell r="O199">
            <v>5.448648648648649</v>
          </cell>
          <cell r="P199">
            <v>283666.66666666669</v>
          </cell>
          <cell r="Q199">
            <v>653666.66666666674</v>
          </cell>
          <cell r="R199">
            <v>586466.66666666674</v>
          </cell>
          <cell r="S199">
            <v>20</v>
          </cell>
          <cell r="T199" t="str">
            <v>S</v>
          </cell>
          <cell r="U199">
            <v>2.5420000000000002E-2</v>
          </cell>
          <cell r="V199" t="str">
            <v>شركة مصنع بوابة القرن للمنتجات الاستهلاكية</v>
          </cell>
          <cell r="W199">
            <v>14907.98266666667</v>
          </cell>
          <cell r="X199">
            <v>9405.4000000000015</v>
          </cell>
          <cell r="Z199" t="str">
            <v>PM-00271</v>
          </cell>
          <cell r="AA199" t="str">
            <v xml:space="preserve">Breehant Napkinمناديل بريهانت </v>
          </cell>
          <cell r="AB199" t="str">
            <v>PM-00271</v>
          </cell>
          <cell r="AC199" t="str">
            <v>Breehant Napkinمناديل بريهانت</v>
          </cell>
          <cell r="AD199">
            <v>2.5420000000000002E-2</v>
          </cell>
          <cell r="AE199" t="str">
            <v>شركة مصنع بوابة القرن للمنتجات الاستهلاكية</v>
          </cell>
        </row>
        <row r="200">
          <cell r="B200" t="str">
            <v>PM-00278</v>
          </cell>
          <cell r="C200" t="str">
            <v>knife ( BREEHANT ) سكين ( بريهانت )</v>
          </cell>
          <cell r="D200" t="str">
            <v>knife ( BREEHANT ) سكين ( بريهانت )</v>
          </cell>
          <cell r="E200" t="str">
            <v/>
          </cell>
          <cell r="F200" t="str">
            <v>✓</v>
          </cell>
          <cell r="G200" t="str">
            <v/>
          </cell>
          <cell r="H200" t="str">
            <v/>
          </cell>
          <cell r="I200" t="str">
            <v/>
          </cell>
          <cell r="J200" t="str">
            <v/>
          </cell>
          <cell r="K200">
            <v>1</v>
          </cell>
          <cell r="L200">
            <v>7000</v>
          </cell>
          <cell r="N200">
            <v>8000</v>
          </cell>
          <cell r="O200">
            <v>34.285714285714285</v>
          </cell>
          <cell r="P200">
            <v>3966.6666666666665</v>
          </cell>
          <cell r="Q200">
            <v>10966.666666666666</v>
          </cell>
          <cell r="R200">
            <v>2966.6666666666661</v>
          </cell>
          <cell r="S200">
            <v>14</v>
          </cell>
          <cell r="T200" t="str">
            <v>S</v>
          </cell>
          <cell r="U200">
            <v>5.9520000000000003E-2</v>
          </cell>
          <cell r="V200" t="str">
            <v>شركة مصنع عسق للبلاستيك</v>
          </cell>
          <cell r="W200">
            <v>176.57599999999996</v>
          </cell>
          <cell r="X200">
            <v>416.64000000000004</v>
          </cell>
          <cell r="Z200" t="str">
            <v>PM-00278</v>
          </cell>
          <cell r="AA200" t="str">
            <v>knife ( BREEHANT ) سكين ( بريهانت )</v>
          </cell>
          <cell r="AB200" t="str">
            <v>PM-00278</v>
          </cell>
          <cell r="AC200" t="str">
            <v>knife ( BREEHANT ) سكين ( بريهانت )</v>
          </cell>
          <cell r="AD200">
            <v>5.9520000000000003E-2</v>
          </cell>
          <cell r="AE200" t="str">
            <v>شركة مصنع عسق للبلاستيك</v>
          </cell>
        </row>
        <row r="201">
          <cell r="B201" t="str">
            <v>PM-00267</v>
          </cell>
          <cell r="C201" t="str">
            <v>Fork Breehantشوكة بريهانت</v>
          </cell>
          <cell r="D201" t="str">
            <v>Fork Breehantشوكة بريهانت</v>
          </cell>
          <cell r="E201" t="str">
            <v/>
          </cell>
          <cell r="F201" t="str">
            <v>✓</v>
          </cell>
          <cell r="G201" t="str">
            <v/>
          </cell>
          <cell r="H201" t="str">
            <v/>
          </cell>
          <cell r="I201" t="str">
            <v/>
          </cell>
          <cell r="J201" t="str">
            <v/>
          </cell>
          <cell r="K201">
            <v>1</v>
          </cell>
          <cell r="L201">
            <v>230000</v>
          </cell>
          <cell r="N201">
            <v>74500</v>
          </cell>
          <cell r="O201">
            <v>9.7173913043478262</v>
          </cell>
          <cell r="P201">
            <v>130333.33333333333</v>
          </cell>
          <cell r="Q201">
            <v>360333.33333333331</v>
          </cell>
          <cell r="R201">
            <v>285833.33333333331</v>
          </cell>
          <cell r="S201">
            <v>14</v>
          </cell>
          <cell r="T201" t="str">
            <v>S</v>
          </cell>
          <cell r="U201">
            <v>7.0000000000000007E-2</v>
          </cell>
          <cell r="V201" t="str">
            <v>شركة اركان الاندلس للتجارة</v>
          </cell>
          <cell r="W201">
            <v>20008.333333333332</v>
          </cell>
          <cell r="X201">
            <v>16100.000000000002</v>
          </cell>
          <cell r="Z201" t="str">
            <v>PM-00267</v>
          </cell>
          <cell r="AA201" t="str">
            <v>Fork Breehantشوكة بريهانت</v>
          </cell>
          <cell r="AB201" t="str">
            <v>PM-00267</v>
          </cell>
          <cell r="AC201" t="str">
            <v>Fork Breehantشوكة بريهانت</v>
          </cell>
          <cell r="AD201">
            <v>7.0000000000000007E-2</v>
          </cell>
          <cell r="AE201" t="str">
            <v>شركة اركان الاندلس للتجارة</v>
          </cell>
        </row>
        <row r="202">
          <cell r="B202" t="str">
            <v>PM-00088</v>
          </cell>
          <cell r="C202" t="str">
            <v>Sweet Plate Breehant صحن حلى بريهانت</v>
          </cell>
          <cell r="D202" t="str">
            <v>Sweet Plate Breehant صحن حلى بريهانت</v>
          </cell>
          <cell r="E202" t="str">
            <v/>
          </cell>
          <cell r="F202" t="str">
            <v>✓</v>
          </cell>
          <cell r="G202" t="str">
            <v/>
          </cell>
          <cell r="H202" t="str">
            <v/>
          </cell>
          <cell r="I202" t="str">
            <v/>
          </cell>
          <cell r="J202" t="str">
            <v>✓</v>
          </cell>
          <cell r="K202">
            <v>2</v>
          </cell>
          <cell r="L202">
            <v>60000</v>
          </cell>
          <cell r="N202">
            <v>56700</v>
          </cell>
          <cell r="O202">
            <v>28.349999999999998</v>
          </cell>
          <cell r="P202">
            <v>46000</v>
          </cell>
          <cell r="Q202">
            <v>106000</v>
          </cell>
          <cell r="R202">
            <v>49300</v>
          </cell>
          <cell r="S202">
            <v>20</v>
          </cell>
          <cell r="T202" t="str">
            <v>S</v>
          </cell>
          <cell r="U202">
            <v>0.18</v>
          </cell>
          <cell r="V202" t="str">
            <v>شركة مركز جدة للطباعة والصناعة والورق البلاستيك</v>
          </cell>
          <cell r="W202">
            <v>8874</v>
          </cell>
          <cell r="X202">
            <v>10800</v>
          </cell>
          <cell r="Z202" t="str">
            <v>PM-00088</v>
          </cell>
          <cell r="AA202" t="str">
            <v>Sweet Plate Breehant صحن حلى بريهانت</v>
          </cell>
          <cell r="AB202" t="str">
            <v>PM-00088</v>
          </cell>
          <cell r="AC202" t="str">
            <v>Sweet Plate Breehant صحن حلى بريهانت</v>
          </cell>
          <cell r="AD202">
            <v>0.15</v>
          </cell>
          <cell r="AE202" t="str">
            <v>Alpha Pack Packaging Company شركة ألفا باك للتغليف</v>
          </cell>
        </row>
        <row r="203">
          <cell r="B203" t="str">
            <v>PM-00070</v>
          </cell>
          <cell r="C203" t="str">
            <v>Takeawy Breehant Meduim Boxكرتون الحلى سفري وسط - بريهانت</v>
          </cell>
          <cell r="D203" t="str">
            <v>Takeawy Breehant Meduim Boxكرتون الحلى سفري وسط - بريهانت</v>
          </cell>
          <cell r="E203" t="str">
            <v/>
          </cell>
          <cell r="F203" t="str">
            <v>✓</v>
          </cell>
          <cell r="G203" t="str">
            <v/>
          </cell>
          <cell r="H203" t="str">
            <v/>
          </cell>
          <cell r="I203" t="str">
            <v/>
          </cell>
          <cell r="J203" t="str">
            <v/>
          </cell>
          <cell r="K203">
            <v>1</v>
          </cell>
          <cell r="L203">
            <v>30000</v>
          </cell>
          <cell r="N203">
            <v>48000</v>
          </cell>
          <cell r="O203">
            <v>48</v>
          </cell>
          <cell r="P203">
            <v>23000</v>
          </cell>
          <cell r="Q203">
            <v>53000</v>
          </cell>
          <cell r="R203">
            <v>5000</v>
          </cell>
          <cell r="S203">
            <v>20</v>
          </cell>
          <cell r="T203" t="str">
            <v>S</v>
          </cell>
          <cell r="U203">
            <v>0.24</v>
          </cell>
          <cell r="V203" t="str">
            <v>Alpha Pack Packaging Company شركة ألفا باك للتغليف</v>
          </cell>
          <cell r="W203">
            <v>1200</v>
          </cell>
          <cell r="X203">
            <v>7200</v>
          </cell>
          <cell r="Z203" t="str">
            <v>PM-00070</v>
          </cell>
          <cell r="AA203" t="str">
            <v>Takeawy Breehant Meduim Boxكرتون الحلى سفري وسط - بريهانت</v>
          </cell>
          <cell r="AB203" t="str">
            <v>PM-00070</v>
          </cell>
          <cell r="AC203" t="str">
            <v>Takeawy Breehant Meduim Boxكرتون الحلى سفري وسط - بريهانت</v>
          </cell>
          <cell r="AD203">
            <v>0.24</v>
          </cell>
          <cell r="AE203" t="str">
            <v>Alpha Pack Packaging Company شركة ألفا باك للتغليف</v>
          </cell>
        </row>
        <row r="204">
          <cell r="B204" t="str">
            <v>PM-00045</v>
          </cell>
          <cell r="C204" t="str">
            <v>Breehant Paper Bag Big -  كيس ورقي كبير  بريهانت</v>
          </cell>
          <cell r="D204" t="str">
            <v>Breehant Paper Bag Big -  كيس ورقي كبير  بريهانت</v>
          </cell>
          <cell r="E204" t="str">
            <v/>
          </cell>
          <cell r="F204" t="str">
            <v>✓</v>
          </cell>
          <cell r="G204" t="str">
            <v/>
          </cell>
          <cell r="H204" t="str">
            <v/>
          </cell>
          <cell r="I204" t="str">
            <v/>
          </cell>
          <cell r="J204" t="str">
            <v/>
          </cell>
          <cell r="K204">
            <v>1</v>
          </cell>
          <cell r="L204">
            <v>25000</v>
          </cell>
          <cell r="N204">
            <v>39085</v>
          </cell>
          <cell r="O204">
            <v>46.901999999999994</v>
          </cell>
          <cell r="P204">
            <v>19166.666666666668</v>
          </cell>
          <cell r="Q204">
            <v>44166.666666666672</v>
          </cell>
          <cell r="R204">
            <v>5081.6666666666715</v>
          </cell>
          <cell r="S204">
            <v>20</v>
          </cell>
          <cell r="T204" t="str">
            <v>A</v>
          </cell>
          <cell r="U204">
            <v>1.25</v>
          </cell>
          <cell r="V204" t="str">
            <v>شركة الماس باك للتغليف</v>
          </cell>
          <cell r="W204">
            <v>6352.0833333333394</v>
          </cell>
          <cell r="X204">
            <v>31250</v>
          </cell>
          <cell r="Z204" t="str">
            <v>PM-00045</v>
          </cell>
          <cell r="AA204" t="str">
            <v>Breehant Paper Bag Big -  كيس ورقي كبير  بريهانت</v>
          </cell>
          <cell r="AB204" t="str">
            <v>PM-00045</v>
          </cell>
          <cell r="AC204" t="str">
            <v>Breehant Paper Bag Big -  كيس ورقي كبير  بريهانت</v>
          </cell>
          <cell r="AD204">
            <v>1.1499999999999999</v>
          </cell>
          <cell r="AE204" t="str">
            <v>شركة الماس باك للتغليف</v>
          </cell>
        </row>
        <row r="205">
          <cell r="B205" t="str">
            <v>PM-00595</v>
          </cell>
          <cell r="C205" t="str">
            <v>Breehant Paper Bag Small  - كيس ورقي صغير  بريهانت</v>
          </cell>
          <cell r="D205" t="str">
            <v>Breehant Paper Bag Small  - كيس ورقي صغير  بريهانت</v>
          </cell>
          <cell r="E205" t="str">
            <v/>
          </cell>
          <cell r="F205" t="str">
            <v>✓</v>
          </cell>
          <cell r="G205" t="str">
            <v/>
          </cell>
          <cell r="H205" t="str">
            <v/>
          </cell>
          <cell r="I205" t="str">
            <v/>
          </cell>
          <cell r="J205" t="str">
            <v/>
          </cell>
          <cell r="K205">
            <v>1</v>
          </cell>
          <cell r="L205">
            <v>15000</v>
          </cell>
          <cell r="N205">
            <v>15900</v>
          </cell>
          <cell r="O205">
            <v>31.8</v>
          </cell>
          <cell r="P205">
            <v>11500</v>
          </cell>
          <cell r="Q205">
            <v>26500</v>
          </cell>
          <cell r="R205">
            <v>10600</v>
          </cell>
          <cell r="S205">
            <v>20</v>
          </cell>
          <cell r="T205" t="str">
            <v>A</v>
          </cell>
          <cell r="U205">
            <v>0.85</v>
          </cell>
          <cell r="V205" t="str">
            <v>شركة الماس باك للتغليف</v>
          </cell>
          <cell r="W205">
            <v>9010</v>
          </cell>
          <cell r="X205">
            <v>12750</v>
          </cell>
          <cell r="Z205" t="str">
            <v>PM-00595</v>
          </cell>
          <cell r="AA205" t="str">
            <v>Breehant Paper Bag Small  - كيس ورقي صغير  بريهانت</v>
          </cell>
          <cell r="AB205" t="str">
            <v>PM-00595</v>
          </cell>
          <cell r="AC205" t="str">
            <v>Breehant Paper Bag Small  - كيس ورقي صغير  بريهانت</v>
          </cell>
          <cell r="AD205">
            <v>0.68</v>
          </cell>
          <cell r="AE205" t="str">
            <v>شركة الماس باك للتغليف</v>
          </cell>
        </row>
        <row r="206">
          <cell r="B206" t="str">
            <v>PM-00457</v>
          </cell>
          <cell r="C206" t="str">
            <v>BREEHANT Small Foggy Plastic Bag 33cm*30cmكيس بلاستيك ضبابي بريهانت لحامل الاكواب الثنائي مقاس 30سم *33سم مع لاصق اغلاق</v>
          </cell>
          <cell r="D206" t="str">
            <v>BREEHANT Small Foggy Plastic Bag 33cm*30cmكيس بلاستيك ضبابي بريهانت لحامل الاكواب الثنائي مقاس 30سم *33سم مع لاصق اغلاق</v>
          </cell>
          <cell r="E206" t="str">
            <v/>
          </cell>
          <cell r="F206" t="str">
            <v>✓</v>
          </cell>
          <cell r="G206" t="str">
            <v/>
          </cell>
          <cell r="H206" t="str">
            <v/>
          </cell>
          <cell r="I206" t="str">
            <v/>
          </cell>
          <cell r="J206" t="str">
            <v/>
          </cell>
          <cell r="K206">
            <v>1</v>
          </cell>
          <cell r="L206">
            <v>35000</v>
          </cell>
          <cell r="N206">
            <v>35295</v>
          </cell>
          <cell r="O206">
            <v>30.252857142857145</v>
          </cell>
          <cell r="P206">
            <v>26833.333333333336</v>
          </cell>
          <cell r="Q206">
            <v>61833.333333333336</v>
          </cell>
          <cell r="R206">
            <v>26538.333333333336</v>
          </cell>
          <cell r="S206">
            <v>20</v>
          </cell>
          <cell r="T206" t="str">
            <v>S</v>
          </cell>
          <cell r="U206">
            <v>0.14699999999999999</v>
          </cell>
          <cell r="V206" t="str">
            <v>شركة حذيم للصناعة</v>
          </cell>
          <cell r="W206">
            <v>3901.1350000000002</v>
          </cell>
          <cell r="X206">
            <v>5145</v>
          </cell>
          <cell r="Z206" t="str">
            <v>PM-00457</v>
          </cell>
          <cell r="AA206" t="str">
            <v>Breehant Small Foggy Plastic Bag 33cm*30cmكيس بلاستيك ضبابي بريهانت لحامل الاكواب الثنائي مقاس 30سم *33سم مع لاصق اغلاق</v>
          </cell>
          <cell r="AB206" t="str">
            <v>PM-00457</v>
          </cell>
          <cell r="AC206" t="str">
            <v>BREEHANT Small Foggy Plastic Bag 33cm*30cmكيس بلاستيك ضبابي بريهانت لحامل الاكواب الثنائي مقاس 30سم *33سم مع لاصق اغلاق</v>
          </cell>
          <cell r="AD206">
            <v>0.14699999999999999</v>
          </cell>
          <cell r="AE206" t="str">
            <v>شركة حذيم للصناعة</v>
          </cell>
        </row>
        <row r="207">
          <cell r="B207" t="str">
            <v>PM-00049</v>
          </cell>
          <cell r="C207" t="str">
            <v>Breehant Small Foggy Plastic Bag 44cm*40cmكيس بلاستيك ضبابي بريهانت  الصغير  مقاس 44سم *40سم مع لاصق اغلاق</v>
          </cell>
          <cell r="D207" t="str">
            <v>Breehant Small Foggy Plastic Bag 44cm*40cmكيس بلاستيك ضبابي بريهانت  الصغير  مقاس 44سم *40سم مع لاصق اغلاق</v>
          </cell>
          <cell r="E207" t="str">
            <v/>
          </cell>
          <cell r="F207" t="str">
            <v>✓</v>
          </cell>
          <cell r="G207" t="str">
            <v/>
          </cell>
          <cell r="H207" t="str">
            <v/>
          </cell>
          <cell r="I207" t="str">
            <v/>
          </cell>
          <cell r="J207" t="str">
            <v/>
          </cell>
          <cell r="K207">
            <v>1</v>
          </cell>
          <cell r="L207">
            <v>25000</v>
          </cell>
          <cell r="N207">
            <v>33760</v>
          </cell>
          <cell r="O207">
            <v>40.512</v>
          </cell>
          <cell r="P207">
            <v>19166.666666666668</v>
          </cell>
          <cell r="Q207">
            <v>44166.666666666672</v>
          </cell>
          <cell r="R207">
            <v>10406.666666666672</v>
          </cell>
          <cell r="S207">
            <v>20</v>
          </cell>
          <cell r="T207" t="str">
            <v>S</v>
          </cell>
          <cell r="U207">
            <v>0.248</v>
          </cell>
          <cell r="V207" t="str">
            <v>شركة حذيم للصناعة</v>
          </cell>
          <cell r="W207">
            <v>2580.8533333333344</v>
          </cell>
          <cell r="X207">
            <v>6200</v>
          </cell>
          <cell r="Z207" t="str">
            <v>PM-00049</v>
          </cell>
          <cell r="AA207" t="str">
            <v>Breehant Small Foggy Plastic Bag 44cm*40cmكيس بلاستيك ضبابي بريهانت  الصغير  مقاس 44سم *40سم مع لاصق اغلاق</v>
          </cell>
          <cell r="AB207" t="str">
            <v>PM-00049</v>
          </cell>
          <cell r="AC207" t="str">
            <v>Breehant Small Foggy Plastic Bag 44cm*40cmكيس بلاستيك ضبابي بريهانت  الصغير  مقاس 44سم *40سم مع لاصق اغلاق</v>
          </cell>
          <cell r="AD207">
            <v>0.248</v>
          </cell>
          <cell r="AE207" t="str">
            <v>شركة حذيم للصناعة</v>
          </cell>
        </row>
        <row r="208">
          <cell r="B208" t="str">
            <v>PM-00190</v>
          </cell>
          <cell r="C208" t="str">
            <v>Breehant Paper cup 4 OZ كوب ورقي 4 اونص بريهانت</v>
          </cell>
          <cell r="D208" t="str">
            <v>Breehant Paper cup 4 OZ كوب ورقي 4 اونص بريهانت</v>
          </cell>
          <cell r="E208" t="str">
            <v/>
          </cell>
          <cell r="F208" t="str">
            <v>✓</v>
          </cell>
          <cell r="G208" t="str">
            <v/>
          </cell>
          <cell r="H208" t="str">
            <v/>
          </cell>
          <cell r="I208" t="str">
            <v/>
          </cell>
          <cell r="J208" t="str">
            <v/>
          </cell>
          <cell r="K208">
            <v>1</v>
          </cell>
          <cell r="L208">
            <v>10000</v>
          </cell>
          <cell r="N208">
            <v>39500</v>
          </cell>
          <cell r="O208">
            <v>118.5</v>
          </cell>
          <cell r="P208">
            <v>11000</v>
          </cell>
          <cell r="Q208">
            <v>21000</v>
          </cell>
          <cell r="R208">
            <v>0</v>
          </cell>
          <cell r="S208">
            <v>30</v>
          </cell>
          <cell r="T208" t="str">
            <v>S</v>
          </cell>
          <cell r="U208">
            <v>0.1</v>
          </cell>
          <cell r="V208" t="str">
            <v>المصنع العربي للمنتجات الورقية</v>
          </cell>
          <cell r="W208">
            <v>0</v>
          </cell>
          <cell r="X208">
            <v>1000</v>
          </cell>
          <cell r="Z208" t="str">
            <v>PM-00190</v>
          </cell>
          <cell r="AA208" t="str">
            <v>Breehant Paper cup 4 OZ كوب ورقي 4 اونص بريهانت</v>
          </cell>
          <cell r="AB208" t="str">
            <v>PM-00190</v>
          </cell>
          <cell r="AC208" t="str">
            <v>Breehant Paper cup 4 OZ كوب ورقي 4 اونص بريهانت</v>
          </cell>
          <cell r="AD208">
            <v>6.9000000000000006E-2</v>
          </cell>
          <cell r="AE208" t="str">
            <v>المصنع العربي للمنتجات الورقية</v>
          </cell>
        </row>
        <row r="209">
          <cell r="B209" t="str">
            <v>PM-00182</v>
          </cell>
          <cell r="C209" t="str">
            <v>Breehant Paper cup 6.5 OZ كوب ورقي 6.5 اونص بريهانت</v>
          </cell>
          <cell r="D209" t="str">
            <v>Breehant Paper cup 6.5 OZ كوب ورقي 6.5 اونص بريهانت</v>
          </cell>
          <cell r="E209" t="str">
            <v/>
          </cell>
          <cell r="F209" t="str">
            <v>✓</v>
          </cell>
          <cell r="G209" t="str">
            <v>✓</v>
          </cell>
          <cell r="H209" t="str">
            <v/>
          </cell>
          <cell r="I209" t="str">
            <v/>
          </cell>
          <cell r="J209" t="str">
            <v/>
          </cell>
          <cell r="K209">
            <v>2</v>
          </cell>
          <cell r="L209">
            <v>40000</v>
          </cell>
          <cell r="N209">
            <v>34500</v>
          </cell>
          <cell r="O209">
            <v>25.875</v>
          </cell>
          <cell r="P209">
            <v>44000</v>
          </cell>
          <cell r="Q209">
            <v>84000</v>
          </cell>
          <cell r="R209">
            <v>49500</v>
          </cell>
          <cell r="S209">
            <v>30</v>
          </cell>
          <cell r="T209" t="str">
            <v>S</v>
          </cell>
          <cell r="U209">
            <v>0.22</v>
          </cell>
          <cell r="V209" t="str">
            <v>مصنع الكوب الذهبي للمنتجات الورقية</v>
          </cell>
          <cell r="W209">
            <v>10890</v>
          </cell>
          <cell r="X209">
            <v>8800</v>
          </cell>
          <cell r="Z209" t="str">
            <v>PM-00182</v>
          </cell>
          <cell r="AA209" t="str">
            <v>Breehant Paper cup 6.5 OZ كوب ورقي 6.5 اونص بريهانت</v>
          </cell>
          <cell r="AB209" t="str">
            <v>PM-00182</v>
          </cell>
          <cell r="AC209" t="str">
            <v>Breehant Paper cup 6.5 OZ كوب ورقي 6.5 اونص بريهانت</v>
          </cell>
          <cell r="AD209">
            <v>0.22</v>
          </cell>
          <cell r="AE209" t="str">
            <v>مصنع الكوب الذهبي للمنتجات الورقية</v>
          </cell>
        </row>
        <row r="210">
          <cell r="B210" t="str">
            <v>PM-00163</v>
          </cell>
          <cell r="C210" t="str">
            <v>Breehant Paper cup double 9 ozكوب بريهانت ورقي دبل 9 اونص</v>
          </cell>
          <cell r="D210" t="str">
            <v>Breehant Paper cup double 9 ozكوب بريهانت ورقي دبل 9 اونص</v>
          </cell>
          <cell r="E210" t="str">
            <v/>
          </cell>
          <cell r="F210" t="str">
            <v>✓</v>
          </cell>
          <cell r="G210" t="str">
            <v>✓</v>
          </cell>
          <cell r="H210" t="str">
            <v/>
          </cell>
          <cell r="I210" t="str">
            <v/>
          </cell>
          <cell r="J210" t="str">
            <v/>
          </cell>
          <cell r="K210">
            <v>2</v>
          </cell>
          <cell r="L210">
            <v>130000</v>
          </cell>
          <cell r="N210">
            <v>88500</v>
          </cell>
          <cell r="O210">
            <v>20.423076923076923</v>
          </cell>
          <cell r="P210">
            <v>143000</v>
          </cell>
          <cell r="Q210">
            <v>273000</v>
          </cell>
          <cell r="R210">
            <v>184500</v>
          </cell>
          <cell r="S210">
            <v>30</v>
          </cell>
          <cell r="T210" t="str">
            <v>S</v>
          </cell>
          <cell r="U210">
            <v>0.22</v>
          </cell>
          <cell r="V210" t="str">
            <v>مصنع الكوب الذهبي للمنتجات الورقية</v>
          </cell>
          <cell r="W210">
            <v>40590</v>
          </cell>
          <cell r="X210">
            <v>28600</v>
          </cell>
          <cell r="Z210" t="str">
            <v>PM-00163</v>
          </cell>
          <cell r="AA210" t="str">
            <v>Breehant Paper cup double 9 ozكوب بريهانت ورقي دبل 9 اونص</v>
          </cell>
          <cell r="AB210" t="str">
            <v>PM-00163</v>
          </cell>
          <cell r="AC210" t="str">
            <v>Breehant Paper cup double 9 ozكوب بريهانت ورقي دبل 9 اونص</v>
          </cell>
          <cell r="AD210">
            <v>0.22</v>
          </cell>
          <cell r="AE210" t="str">
            <v>مصنع الكوب الذهبي للمنتجات الورقية</v>
          </cell>
        </row>
        <row r="211">
          <cell r="B211" t="str">
            <v>PM-00225</v>
          </cell>
          <cell r="C211" t="str">
            <v>Breehant Roastery paper cup 12 Oz كوب ورقي 12 اونص محمصة بريهانت</v>
          </cell>
          <cell r="D211" t="str">
            <v>Breehant Roastery paper cup 12 Oz كوب ورقي 12 اونص محمصة بريهانت</v>
          </cell>
          <cell r="E211" t="str">
            <v/>
          </cell>
          <cell r="F211" t="str">
            <v>✓</v>
          </cell>
          <cell r="G211" t="str">
            <v>✓</v>
          </cell>
          <cell r="H211" t="str">
            <v/>
          </cell>
          <cell r="I211" t="str">
            <v/>
          </cell>
          <cell r="J211" t="str">
            <v/>
          </cell>
          <cell r="K211">
            <v>2</v>
          </cell>
          <cell r="L211">
            <v>240000</v>
          </cell>
          <cell r="N211">
            <v>79000</v>
          </cell>
          <cell r="O211">
            <v>9.875</v>
          </cell>
          <cell r="P211">
            <v>264000</v>
          </cell>
          <cell r="Q211">
            <v>504000</v>
          </cell>
          <cell r="R211">
            <v>425000</v>
          </cell>
          <cell r="S211">
            <v>30</v>
          </cell>
          <cell r="T211" t="str">
            <v>S</v>
          </cell>
          <cell r="U211">
            <v>0.27</v>
          </cell>
          <cell r="V211" t="str">
            <v>المصنع العربي للمنتجات الورقية</v>
          </cell>
          <cell r="W211">
            <v>114750.00000000001</v>
          </cell>
          <cell r="X211">
            <v>64800.000000000007</v>
          </cell>
          <cell r="Z211" t="str">
            <v>PM-00225</v>
          </cell>
          <cell r="AA211" t="str">
            <v>Breehant Roastery paper cup 12 Oz كوب ورقي 12 اونص محمصة بريهانت</v>
          </cell>
          <cell r="AB211" t="str">
            <v>PM-00225</v>
          </cell>
          <cell r="AC211" t="str">
            <v>Breehant Roastery paper cup 12 Oz كوب ورقي 12 اونص محمصة بريهانت</v>
          </cell>
          <cell r="AD211">
            <v>0.24</v>
          </cell>
          <cell r="AE211" t="str">
            <v>مصنع الكوب الذهبي للمنتجات الورقية</v>
          </cell>
        </row>
        <row r="212">
          <cell r="B212" t="str">
            <v>PM-00609</v>
          </cell>
          <cell r="C212" t="str">
            <v>ChocolateMadrid Cheesecake Box بوكس تشيز كيك مدريد بالشوكولاته</v>
          </cell>
          <cell r="D212" t="str">
            <v>ChocolateMadrid Cheesecake Box بوكس تشيز كيك مدريد بالشوكولاته</v>
          </cell>
          <cell r="E212" t="str">
            <v/>
          </cell>
          <cell r="F212" t="str">
            <v>✓</v>
          </cell>
          <cell r="G212" t="str">
            <v/>
          </cell>
          <cell r="H212" t="str">
            <v/>
          </cell>
          <cell r="I212" t="str">
            <v/>
          </cell>
          <cell r="J212" t="str">
            <v/>
          </cell>
          <cell r="K212">
            <v>1</v>
          </cell>
          <cell r="L212">
            <v>5000</v>
          </cell>
          <cell r="N212">
            <v>72100</v>
          </cell>
          <cell r="O212">
            <v>432.6</v>
          </cell>
          <cell r="P212">
            <v>3833.3333333333335</v>
          </cell>
          <cell r="Q212">
            <v>8833.3333333333339</v>
          </cell>
          <cell r="R212">
            <v>0</v>
          </cell>
          <cell r="S212">
            <v>20</v>
          </cell>
          <cell r="T212" t="str">
            <v>S</v>
          </cell>
          <cell r="U212">
            <v>0.56999999999999995</v>
          </cell>
          <cell r="V212" t="str">
            <v>شركة الاوراق الذهبية الصناعية</v>
          </cell>
          <cell r="W212">
            <v>0</v>
          </cell>
          <cell r="X212">
            <v>2849.9999999999995</v>
          </cell>
          <cell r="Z212" t="str">
            <v>PM-00609</v>
          </cell>
          <cell r="AA212" t="str">
            <v>ChocolateMadrid Cheesecake Box بوكس تشيز كيك مدريد بالشوكولاته</v>
          </cell>
          <cell r="AB212" t="str">
            <v>PM-00609</v>
          </cell>
          <cell r="AC212" t="str">
            <v>ChocolateMadrid Cheesecake Box بوكس تشيز كيك مدريد بالشوكولاته</v>
          </cell>
          <cell r="AD212">
            <v>0.56999999999999995</v>
          </cell>
          <cell r="AE212" t="str">
            <v>شركة الاوراق الذهبية الصناعية</v>
          </cell>
        </row>
        <row r="213">
          <cell r="B213" t="str">
            <v>PM-00608</v>
          </cell>
          <cell r="C213" t="str">
            <v>Vanilla Madrid Cheesecake Box بوكس تشيز كيك مدريد بالفانيليا</v>
          </cell>
          <cell r="D213" t="str">
            <v>Vanilla Madrid Cheesecake Box بوكس تشيز كيك مدريد بالفانيليا</v>
          </cell>
          <cell r="E213" t="str">
            <v/>
          </cell>
          <cell r="F213" t="str">
            <v>✓</v>
          </cell>
          <cell r="G213" t="str">
            <v/>
          </cell>
          <cell r="H213" t="str">
            <v/>
          </cell>
          <cell r="I213" t="str">
            <v/>
          </cell>
          <cell r="J213" t="str">
            <v/>
          </cell>
          <cell r="K213">
            <v>1</v>
          </cell>
          <cell r="L213">
            <v>19000</v>
          </cell>
          <cell r="N213">
            <v>62350</v>
          </cell>
          <cell r="O213">
            <v>98.44736842105263</v>
          </cell>
          <cell r="P213">
            <v>14566.666666666668</v>
          </cell>
          <cell r="Q213">
            <v>33566.666666666672</v>
          </cell>
          <cell r="R213">
            <v>0</v>
          </cell>
          <cell r="S213">
            <v>20</v>
          </cell>
          <cell r="T213" t="str">
            <v>S</v>
          </cell>
          <cell r="U213">
            <v>0.56000000000000005</v>
          </cell>
          <cell r="V213" t="str">
            <v>شركة الاوراق الذهبية الصناعية</v>
          </cell>
          <cell r="W213">
            <v>0</v>
          </cell>
          <cell r="X213">
            <v>10640.000000000002</v>
          </cell>
          <cell r="Z213" t="str">
            <v>PM-00608</v>
          </cell>
          <cell r="AA213" t="str">
            <v>Vanilla Madrid Cheesecake Box بوكس تشيز كيك مدريد بالفانيليا</v>
          </cell>
          <cell r="AB213" t="str">
            <v>PM-00608</v>
          </cell>
          <cell r="AC213" t="str">
            <v>Vanilla Madrid Cheesecake Box بوكس تشيز كيك مدريد بالفانيليا</v>
          </cell>
          <cell r="AD213">
            <v>0.68</v>
          </cell>
          <cell r="AE213" t="str">
            <v>شركة الاوراق الذهبية الصناعية</v>
          </cell>
        </row>
        <row r="214">
          <cell r="B214" t="str">
            <v>PM-00433</v>
          </cell>
          <cell r="C214" t="str">
            <v>استيكر كولد برو  للعبوة الزجاجية (بريهانت)Cold Brew sticker for glass container (BREEHANT)</v>
          </cell>
          <cell r="D214" t="str">
            <v>استيكر كولد برو  للعبوة الزجاجية (بريهانت)Cold Brew sticker for glass container (BREEHANT)</v>
          </cell>
          <cell r="E214" t="str">
            <v/>
          </cell>
          <cell r="F214" t="str">
            <v>✓</v>
          </cell>
          <cell r="G214" t="str">
            <v/>
          </cell>
          <cell r="H214" t="str">
            <v/>
          </cell>
          <cell r="I214" t="str">
            <v/>
          </cell>
          <cell r="J214" t="str">
            <v/>
          </cell>
          <cell r="K214">
            <v>1</v>
          </cell>
          <cell r="L214">
            <v>2000</v>
          </cell>
          <cell r="N214">
            <v>7000</v>
          </cell>
          <cell r="O214">
            <v>105</v>
          </cell>
          <cell r="P214">
            <v>666.66666666666663</v>
          </cell>
          <cell r="Q214">
            <v>2666.6666666666665</v>
          </cell>
          <cell r="R214">
            <v>0</v>
          </cell>
          <cell r="S214">
            <v>7</v>
          </cell>
          <cell r="T214" t="str">
            <v>A</v>
          </cell>
          <cell r="U214">
            <v>0.09</v>
          </cell>
          <cell r="V214" t="str">
            <v>Active Square مؤسسة المربع الفعال التجارية</v>
          </cell>
          <cell r="W214">
            <v>0</v>
          </cell>
          <cell r="X214">
            <v>180</v>
          </cell>
          <cell r="Z214" t="str">
            <v>PM-00433</v>
          </cell>
          <cell r="AA214" t="str">
            <v>استيكر كولد برو  للعبوة الزجاجية (بريهانت)Cold Brew sticker for glass container (BREEHANT)</v>
          </cell>
          <cell r="AB214" t="str">
            <v>PM-00433</v>
          </cell>
          <cell r="AC214" t="str">
            <v>استيكر كولد برو  للعبوة الزجاجية (بريهانت)Cold Brew sticker for glass container (BREEHANT)</v>
          </cell>
          <cell r="AD214">
            <v>0.09</v>
          </cell>
          <cell r="AE214" t="str">
            <v>Active Square مؤسسة المربع الفعال التجارية</v>
          </cell>
        </row>
        <row r="215">
          <cell r="B215" t="str">
            <v>PM-00748</v>
          </cell>
          <cell r="C215" t="str">
            <v>استيكر باشن فروت للعبوة الزجاجية | Basion Fruit Sticker For Glass Container (Breehant)</v>
          </cell>
          <cell r="D215" t="str">
            <v>استيكر باشن فروت للعبوة الزجاجية | Basion Fruit Sticker For Glass Container (Breehant)</v>
          </cell>
          <cell r="L215">
            <v>3000</v>
          </cell>
          <cell r="N215">
            <v>0</v>
          </cell>
          <cell r="P215">
            <v>1000</v>
          </cell>
          <cell r="Q215">
            <v>4000</v>
          </cell>
          <cell r="R215">
            <v>4000</v>
          </cell>
          <cell r="S215">
            <v>7</v>
          </cell>
          <cell r="T215" t="str">
            <v>A</v>
          </cell>
          <cell r="U215">
            <v>1.1599999999999999</v>
          </cell>
          <cell r="V215" t="str">
            <v>Active Square مؤسسة المربع الفعال التجارية</v>
          </cell>
          <cell r="W215">
            <v>4640</v>
          </cell>
          <cell r="X215">
            <v>3479.9999999999995</v>
          </cell>
          <cell r="Z215" t="str">
            <v>PM-00748</v>
          </cell>
          <cell r="AA215" t="str">
            <v>استيكر باشن فروت للعبوة الزجاجية | Basion Fruit Sticker For Glass Container (Breehant)</v>
          </cell>
          <cell r="AB215" t="str">
            <v>PM-00748</v>
          </cell>
          <cell r="AC215" t="str">
            <v>استيكر باشن فروت للعبوة الزجاجية | Basion Fruit Sticker For Glass Container (Breehant)</v>
          </cell>
          <cell r="AD215">
            <v>0.09</v>
          </cell>
          <cell r="AE215" t="str">
            <v>Active Square مؤسسة المربع الفعال التجارية</v>
          </cell>
        </row>
        <row r="216">
          <cell r="B216" t="str">
            <v>PM-00432</v>
          </cell>
          <cell r="C216" t="str">
            <v>استيكر الشاي المثلج للعبوة الزجاجية (بريهانت)Iced tea sticker for glass container (BREEHANT)</v>
          </cell>
          <cell r="D216" t="str">
            <v>استيكر الشاي المثلج للعبوة الزجاجية (بريهانت)Iced tea sticker for glass container (BREEHANT)</v>
          </cell>
          <cell r="L216">
            <v>5000</v>
          </cell>
          <cell r="N216">
            <v>0</v>
          </cell>
          <cell r="P216">
            <v>1666.6666666666665</v>
          </cell>
          <cell r="Q216">
            <v>6666.6666666666661</v>
          </cell>
          <cell r="R216">
            <v>6666.6666666666661</v>
          </cell>
          <cell r="S216">
            <v>7</v>
          </cell>
          <cell r="T216" t="str">
            <v>A</v>
          </cell>
          <cell r="U216">
            <v>1.1599999999999999</v>
          </cell>
          <cell r="V216" t="str">
            <v>Active Square مؤسسة المربع الفعال التجارية</v>
          </cell>
          <cell r="W216">
            <v>7733.3333333333321</v>
          </cell>
          <cell r="X216">
            <v>5800</v>
          </cell>
          <cell r="Z216" t="str">
            <v>PM-00432</v>
          </cell>
          <cell r="AA216" t="str">
            <v>استيكر الشاي المثلج للعبوة الزجاجية (بريهانت)Iced tea sticker for glass container (BREEHANT)</v>
          </cell>
          <cell r="AB216" t="str">
            <v>PM-00432</v>
          </cell>
          <cell r="AC216" t="str">
            <v>استيكر الشاي المثلج للعبوة الزجاجية (بريهانت)Iced tea sticker for glass container (BREEHANT)</v>
          </cell>
          <cell r="AD216">
            <v>0.09</v>
          </cell>
          <cell r="AE216" t="str">
            <v>Active Square مؤسسة المربع الفعال التجارية</v>
          </cell>
        </row>
        <row r="217">
          <cell r="B217" t="str">
            <v>PM-00334</v>
          </cell>
          <cell r="C217" t="str">
            <v>Butter Paper BREEHANT ورق زبدة بريهانت</v>
          </cell>
          <cell r="D217" t="str">
            <v>Butter Paper BREEHANT ورق زبدة بريهانت</v>
          </cell>
          <cell r="E217" t="str">
            <v/>
          </cell>
          <cell r="F217" t="str">
            <v>✓</v>
          </cell>
          <cell r="G217" t="str">
            <v/>
          </cell>
          <cell r="H217" t="str">
            <v/>
          </cell>
          <cell r="I217" t="str">
            <v/>
          </cell>
          <cell r="J217" t="str">
            <v/>
          </cell>
          <cell r="K217">
            <v>1</v>
          </cell>
          <cell r="L217">
            <v>75000</v>
          </cell>
          <cell r="N217">
            <v>94000</v>
          </cell>
          <cell r="O217">
            <v>37.6</v>
          </cell>
          <cell r="P217">
            <v>42500</v>
          </cell>
          <cell r="Q217">
            <v>117500</v>
          </cell>
          <cell r="R217">
            <v>23500</v>
          </cell>
          <cell r="S217">
            <v>14</v>
          </cell>
          <cell r="T217" t="str">
            <v>A</v>
          </cell>
          <cell r="U217">
            <v>0.02</v>
          </cell>
          <cell r="V217" t="str">
            <v>مطابع عبدالمجيد عبدلله الفارس للطباعة</v>
          </cell>
          <cell r="W217">
            <v>470</v>
          </cell>
          <cell r="X217">
            <v>1500</v>
          </cell>
          <cell r="Z217" t="str">
            <v>PM-00334</v>
          </cell>
          <cell r="AA217" t="str">
            <v>Butter Paper BREEHANT ورق زبدة بريهانت</v>
          </cell>
          <cell r="AB217" t="str">
            <v>PM-00334</v>
          </cell>
          <cell r="AC217" t="str">
            <v>Butter Paper BREEHANT ورق زبدة بريهانت</v>
          </cell>
          <cell r="AD217">
            <v>0.02</v>
          </cell>
          <cell r="AE217" t="str">
            <v>مطابع عبدالمجيد عبدلله الفارس للطباعة</v>
          </cell>
        </row>
        <row r="218">
          <cell r="B218" t="str">
            <v>PM-00333</v>
          </cell>
          <cell r="C218" t="str">
            <v>Printed cash roll Four colors size 80 x 70 , 37 meter ( BREEHANT ) ورق كاشير ماشير مطبوع ( بريهانت )</v>
          </cell>
          <cell r="D218" t="str">
            <v>Printed cash roll Four colors size 80 x 70 , 37 meter ( BREEHANT ) ورق كاشير ماشير مطبوع ( بريهانت )</v>
          </cell>
          <cell r="E218" t="str">
            <v/>
          </cell>
          <cell r="F218" t="str">
            <v>✓</v>
          </cell>
          <cell r="G218" t="str">
            <v/>
          </cell>
          <cell r="H218" t="str">
            <v/>
          </cell>
          <cell r="I218" t="str">
            <v/>
          </cell>
          <cell r="J218" t="str">
            <v/>
          </cell>
          <cell r="K218">
            <v>1</v>
          </cell>
          <cell r="L218">
            <v>1500</v>
          </cell>
          <cell r="N218">
            <v>3100</v>
          </cell>
          <cell r="O218">
            <v>62.000000000000007</v>
          </cell>
          <cell r="P218">
            <v>850</v>
          </cell>
          <cell r="Q218">
            <v>2350</v>
          </cell>
          <cell r="R218">
            <v>0</v>
          </cell>
          <cell r="S218">
            <v>14</v>
          </cell>
          <cell r="T218" t="str">
            <v>s</v>
          </cell>
          <cell r="U218">
            <v>2.2000000000000002</v>
          </cell>
          <cell r="V218" t="str">
            <v>شركة الالصقات الاضافية التجارية</v>
          </cell>
          <cell r="W218">
            <v>0</v>
          </cell>
          <cell r="X218">
            <v>3300.0000000000005</v>
          </cell>
          <cell r="Z218" t="str">
            <v>PM-00333</v>
          </cell>
          <cell r="AA218" t="str">
            <v>Printed cash roll Four colors size 80 x 70 , 37 meter ( BREEHANT ) ورق كاشير مطبوع ( بريهانت )</v>
          </cell>
          <cell r="AB218" t="str">
            <v>PM-00333</v>
          </cell>
          <cell r="AC218" t="str">
            <v>Printed cash roll Four colors size 80 x 70 , 37 meter ( BREEHANT ) ورق كاشير ماشير مطبوع ( بريهانت )</v>
          </cell>
          <cell r="AD218">
            <v>2.2000000000000002</v>
          </cell>
          <cell r="AE218" t="str">
            <v>شركة الاوراق الذهبية الصناعية</v>
          </cell>
        </row>
        <row r="219">
          <cell r="B219" t="str">
            <v>PM-00091</v>
          </cell>
          <cell r="C219" t="str">
            <v>BREEHANT Coffee Paper Box 1 Ltr بريهانت كرتون القهوة سعة 1 لتر</v>
          </cell>
          <cell r="D219" t="str">
            <v>BREEHANT Coffee Paper Box 1 Ltr بريهانت كرتون القهوة سعة 1 لتر</v>
          </cell>
          <cell r="E219" t="str">
            <v/>
          </cell>
          <cell r="F219" t="str">
            <v>✓</v>
          </cell>
          <cell r="G219" t="str">
            <v/>
          </cell>
          <cell r="H219" t="str">
            <v/>
          </cell>
          <cell r="I219" t="str">
            <v/>
          </cell>
          <cell r="J219" t="str">
            <v/>
          </cell>
          <cell r="K219">
            <v>1</v>
          </cell>
          <cell r="L219">
            <v>4500</v>
          </cell>
          <cell r="N219">
            <v>59850</v>
          </cell>
          <cell r="O219">
            <v>399</v>
          </cell>
          <cell r="P219">
            <v>3450.0000000000005</v>
          </cell>
          <cell r="Q219">
            <v>7950</v>
          </cell>
          <cell r="R219">
            <v>0</v>
          </cell>
          <cell r="S219">
            <v>20</v>
          </cell>
          <cell r="T219" t="str">
            <v>S</v>
          </cell>
          <cell r="U219">
            <v>1.1000000000000001</v>
          </cell>
          <cell r="V219" t="str">
            <v>Alpha Pack Packaging Company شركة ألفا باك للتغليف</v>
          </cell>
          <cell r="W219">
            <v>0</v>
          </cell>
          <cell r="X219">
            <v>4950</v>
          </cell>
          <cell r="Z219" t="str">
            <v>PM-00091</v>
          </cell>
          <cell r="AA219" t="str">
            <v>BREEHANT Coffee Paper Box 1 Ltr بريهانت كرتون القهوة سعة 1 لتر</v>
          </cell>
          <cell r="AB219" t="str">
            <v>PM-00091</v>
          </cell>
          <cell r="AC219" t="str">
            <v>BREEHANT Coffee Paper Box 1 Ltr بريهانت كرتون القهوة سعة 1 لتر</v>
          </cell>
          <cell r="AD219">
            <v>1.1000000000000001</v>
          </cell>
          <cell r="AE219" t="str">
            <v>Alpha Pack Packaging Company شركة ألفا باك للتغليف</v>
          </cell>
        </row>
        <row r="220">
          <cell r="B220" t="str">
            <v>RM-00537</v>
          </cell>
          <cell r="C220" t="str">
            <v>Syrup Mango Teisseire سيروب تيسير مانجو</v>
          </cell>
          <cell r="D220" t="str">
            <v>Syrup Mango Teisseire سيروب تيسير مانجو</v>
          </cell>
          <cell r="E220" t="str">
            <v/>
          </cell>
          <cell r="F220" t="str">
            <v>✓</v>
          </cell>
          <cell r="G220" t="str">
            <v/>
          </cell>
          <cell r="H220" t="str">
            <v/>
          </cell>
          <cell r="I220" t="str">
            <v/>
          </cell>
          <cell r="J220" t="str">
            <v/>
          </cell>
          <cell r="K220">
            <v>1</v>
          </cell>
          <cell r="L220">
            <v>300</v>
          </cell>
          <cell r="N220">
            <v>414.79999999999995</v>
          </cell>
          <cell r="O220">
            <v>41.48</v>
          </cell>
          <cell r="P220">
            <v>100</v>
          </cell>
          <cell r="Q220">
            <v>400</v>
          </cell>
          <cell r="R220">
            <v>0</v>
          </cell>
          <cell r="S220">
            <v>7</v>
          </cell>
          <cell r="T220" t="str">
            <v>A</v>
          </cell>
          <cell r="U220">
            <v>54.285710000000002</v>
          </cell>
          <cell r="V220" t="str">
            <v>شركة شمس القهوة للتجارة المحدودة</v>
          </cell>
          <cell r="W220">
            <v>0</v>
          </cell>
          <cell r="X220">
            <v>16285.713</v>
          </cell>
          <cell r="Z220" t="str">
            <v>RM-00537</v>
          </cell>
          <cell r="AA220" t="str">
            <v xml:space="preserve">Syrup Mango Teisseire سيروب تيسير مانجو </v>
          </cell>
          <cell r="AB220" t="str">
            <v>RM-00537</v>
          </cell>
          <cell r="AC220" t="str">
            <v>Syrup Mango Teisseire سيروب تيسير مانجو</v>
          </cell>
          <cell r="AD220">
            <v>54.285710000000002</v>
          </cell>
          <cell r="AE220" t="str">
            <v>شركة شمس القهوة للتجارة المحدودة</v>
          </cell>
        </row>
        <row r="221">
          <cell r="B221" t="str">
            <v>PM-00525</v>
          </cell>
          <cell r="C221" t="str">
            <v>Foam Box Printed 1 Kilo ( Breehant ) - بوكس فلين مطبوع 1 كيلو ( بريهانت )</v>
          </cell>
          <cell r="D221" t="str">
            <v>بوكس فلين 1 كيلو مع طباعة خارجية</v>
          </cell>
          <cell r="E221" t="str">
            <v/>
          </cell>
          <cell r="F221" t="str">
            <v>✓</v>
          </cell>
          <cell r="G221" t="str">
            <v/>
          </cell>
          <cell r="H221" t="str">
            <v/>
          </cell>
          <cell r="I221" t="str">
            <v/>
          </cell>
          <cell r="J221" t="str">
            <v/>
          </cell>
          <cell r="K221">
            <v>1</v>
          </cell>
          <cell r="L221">
            <v>300</v>
          </cell>
          <cell r="N221">
            <v>0</v>
          </cell>
          <cell r="O221">
            <v>0</v>
          </cell>
          <cell r="P221">
            <v>100</v>
          </cell>
          <cell r="Q221">
            <v>400</v>
          </cell>
          <cell r="R221">
            <v>400</v>
          </cell>
          <cell r="S221">
            <v>7</v>
          </cell>
          <cell r="T221" t="str">
            <v>A</v>
          </cell>
          <cell r="U221">
            <v>4</v>
          </cell>
          <cell r="V221" t="str">
            <v>شركة مطابع الأمل الحديثة</v>
          </cell>
          <cell r="W221">
            <v>1600</v>
          </cell>
          <cell r="X221">
            <v>1200</v>
          </cell>
          <cell r="Z221" t="str">
            <v>PM-00525</v>
          </cell>
          <cell r="AA221" t="str">
            <v>Foam Box Printed 1 Kilo ( Breehant ) - بوكس فلين مطبوع 1 كيلو ( بريهانت )</v>
          </cell>
          <cell r="AB221" t="str">
            <v>PM-00525</v>
          </cell>
          <cell r="AC221" t="str">
            <v>Foam Box Printed 1 Kilo ( Breehant ) - بوكس فلين مطبوع 1 كيلو ( بريهانت )</v>
          </cell>
          <cell r="AD221">
            <v>4</v>
          </cell>
          <cell r="AE221" t="str">
            <v>شركة مطابع الأمل الحديثة</v>
          </cell>
        </row>
        <row r="222">
          <cell r="B222" t="str">
            <v>PM-00268</v>
          </cell>
          <cell r="C222" t="str">
            <v>Breehant CANSعلبة بريهانت الباردة</v>
          </cell>
          <cell r="D222" t="str">
            <v>Breehant CANSعلبة بريهانت الباردة</v>
          </cell>
          <cell r="E222" t="str">
            <v/>
          </cell>
          <cell r="F222" t="str">
            <v>✓</v>
          </cell>
          <cell r="G222" t="str">
            <v/>
          </cell>
          <cell r="H222" t="str">
            <v/>
          </cell>
          <cell r="I222" t="str">
            <v/>
          </cell>
          <cell r="J222" t="str">
            <v/>
          </cell>
          <cell r="K222">
            <v>1</v>
          </cell>
          <cell r="L222">
            <v>5500</v>
          </cell>
          <cell r="N222">
            <v>0</v>
          </cell>
          <cell r="O222">
            <v>0</v>
          </cell>
          <cell r="P222">
            <v>19800</v>
          </cell>
          <cell r="Q222">
            <v>25300</v>
          </cell>
          <cell r="R222">
            <v>25300</v>
          </cell>
          <cell r="S222">
            <v>105</v>
          </cell>
          <cell r="T222" t="str">
            <v>S</v>
          </cell>
          <cell r="U222">
            <v>0.80625000000000002</v>
          </cell>
          <cell r="V222" t="str">
            <v>Xiamen Twinwin Packing Products Co. Ltd</v>
          </cell>
          <cell r="W222">
            <v>20398.125</v>
          </cell>
          <cell r="X222">
            <v>4434.375</v>
          </cell>
          <cell r="Z222" t="str">
            <v>PM-00268</v>
          </cell>
          <cell r="AA222" t="str">
            <v xml:space="preserve">Breehant CANS علبة بريهانت الباردة </v>
          </cell>
          <cell r="AB222" t="str">
            <v>PM-00268</v>
          </cell>
          <cell r="AC222" t="str">
            <v>Breehant CANSعلبة بريهانت الباردة</v>
          </cell>
          <cell r="AD222">
            <v>0.78749999999999998</v>
          </cell>
          <cell r="AE222" t="str">
            <v>Xiamen Twinwin Packing Products Co. Ltd</v>
          </cell>
        </row>
        <row r="223">
          <cell r="B223" t="str">
            <v>PM-00432</v>
          </cell>
          <cell r="C223" t="str">
            <v>استيكر الشاي المثلج للعبوة الزجاجية (بريهانت)Iced tea sticker for glass container (BREEHANT)</v>
          </cell>
          <cell r="D223" t="str">
            <v>Iced tea sticker for glass container (BREEHANT)استيكر الشاي المثلج</v>
          </cell>
          <cell r="E223" t="str">
            <v/>
          </cell>
          <cell r="F223" t="str">
            <v>✓</v>
          </cell>
          <cell r="G223" t="str">
            <v/>
          </cell>
          <cell r="H223" t="str">
            <v/>
          </cell>
          <cell r="I223" t="str">
            <v/>
          </cell>
          <cell r="J223" t="str">
            <v/>
          </cell>
          <cell r="K223">
            <v>1</v>
          </cell>
          <cell r="L223">
            <v>2000</v>
          </cell>
          <cell r="N223">
            <v>0</v>
          </cell>
          <cell r="O223">
            <v>0</v>
          </cell>
          <cell r="P223">
            <v>1133.3333333333333</v>
          </cell>
          <cell r="Q223">
            <v>3133.333333333333</v>
          </cell>
          <cell r="R223">
            <v>3133.333333333333</v>
          </cell>
          <cell r="S223">
            <v>14</v>
          </cell>
          <cell r="T223" t="str">
            <v>A</v>
          </cell>
          <cell r="U223">
            <v>0.09</v>
          </cell>
          <cell r="V223" t="str">
            <v>Active Square مؤسسة المربع الفعال التجارية</v>
          </cell>
          <cell r="W223">
            <v>281.99999999999994</v>
          </cell>
          <cell r="X223">
            <v>180</v>
          </cell>
          <cell r="Z223" t="str">
            <v>PM-00432</v>
          </cell>
          <cell r="AA223" t="str">
            <v>استيكر الشاي المثلج للعبوة الزجاجية (بريهانت)Iced tea sticker for glass container (BREEHANT)</v>
          </cell>
          <cell r="AB223" t="str">
            <v>PM-00432</v>
          </cell>
          <cell r="AC223" t="str">
            <v>استيكر الشاي المثلج للعبوة الزجاجية (بريهانت)Iced tea sticker for glass container (BREEHANT)</v>
          </cell>
          <cell r="AD223">
            <v>0.09</v>
          </cell>
          <cell r="AE223" t="str">
            <v>Active Square مؤسسة المربع الفعال التجارية</v>
          </cell>
        </row>
        <row r="224">
          <cell r="B224" t="str">
            <v>CO-00382</v>
          </cell>
          <cell r="C224" t="str">
            <v>Wooden serving tray - size 20*35( صينية تقديم خشبية (بريهانت</v>
          </cell>
          <cell r="D224" t="str">
            <v>Wooden serving tray - size 20*35( صينية تقديم خشبية (بريهانت</v>
          </cell>
          <cell r="E224" t="str">
            <v/>
          </cell>
          <cell r="F224" t="str">
            <v>✓</v>
          </cell>
          <cell r="G224" t="str">
            <v/>
          </cell>
          <cell r="H224" t="str">
            <v/>
          </cell>
          <cell r="I224" t="str">
            <v/>
          </cell>
          <cell r="J224" t="str">
            <v/>
          </cell>
          <cell r="K224">
            <v>1</v>
          </cell>
          <cell r="L224">
            <v>10</v>
          </cell>
          <cell r="N224">
            <v>0</v>
          </cell>
          <cell r="O224">
            <v>0</v>
          </cell>
          <cell r="P224">
            <v>5.6666666666666661</v>
          </cell>
          <cell r="Q224">
            <v>15.666666666666666</v>
          </cell>
          <cell r="R224">
            <v>15.666666666666666</v>
          </cell>
          <cell r="S224">
            <v>14</v>
          </cell>
          <cell r="T224" t="str">
            <v>A</v>
          </cell>
          <cell r="V224" t="str">
            <v>Petty Cash Hanafy</v>
          </cell>
          <cell r="W224">
            <v>0</v>
          </cell>
          <cell r="X224">
            <v>0</v>
          </cell>
          <cell r="Z224" t="str">
            <v>CO-00382</v>
          </cell>
          <cell r="AA224" t="str">
            <v>Wooden serving tray Breehant- size 20*35( صينية تقديم خشبية (بريهانت</v>
          </cell>
          <cell r="AB224" t="str">
            <v>CO-00382</v>
          </cell>
          <cell r="AC224" t="str">
            <v>Wooden serving tray - size 20*35( صينية تقديم خشبية (بريهانت</v>
          </cell>
          <cell r="AD224">
            <v>0</v>
          </cell>
          <cell r="AE224" t="str">
            <v>Petty Cash Hanafy</v>
          </cell>
        </row>
        <row r="225">
          <cell r="B225" t="str">
            <v>CO-00383</v>
          </cell>
          <cell r="C225" t="str">
            <v>Breehant wooden serving espresso tray صينية تقديم اسبريسو خشبية بريهانت</v>
          </cell>
          <cell r="D225" t="str">
            <v>Breehant wooden serving espresso tray صينية تقديم اسبريسو خشبية بريهانت</v>
          </cell>
          <cell r="E225" t="str">
            <v/>
          </cell>
          <cell r="F225" t="str">
            <v>✓</v>
          </cell>
          <cell r="G225" t="str">
            <v/>
          </cell>
          <cell r="H225" t="str">
            <v/>
          </cell>
          <cell r="I225" t="str">
            <v/>
          </cell>
          <cell r="J225" t="str">
            <v/>
          </cell>
          <cell r="K225">
            <v>1</v>
          </cell>
          <cell r="L225">
            <v>10</v>
          </cell>
          <cell r="N225">
            <v>0</v>
          </cell>
          <cell r="O225">
            <v>0</v>
          </cell>
          <cell r="P225">
            <v>5.6666666666666661</v>
          </cell>
          <cell r="Q225">
            <v>15.666666666666666</v>
          </cell>
          <cell r="R225">
            <v>15.666666666666666</v>
          </cell>
          <cell r="S225">
            <v>14</v>
          </cell>
          <cell r="T225" t="str">
            <v>A</v>
          </cell>
          <cell r="V225" t="str">
            <v>Petty Cash Hanafy</v>
          </cell>
          <cell r="W225">
            <v>0</v>
          </cell>
          <cell r="X225">
            <v>0</v>
          </cell>
          <cell r="Z225" t="str">
            <v>CO-00383</v>
          </cell>
          <cell r="AA225" t="str">
            <v>Breehant wooden serving espresso tray صينية تقديم اسبريسو خشبية بريهانت</v>
          </cell>
          <cell r="AB225" t="str">
            <v>CO-00383</v>
          </cell>
          <cell r="AC225" t="str">
            <v>Breehant wooden serving espresso tray صينية تقديم اسبريسو خشبية بريهانت</v>
          </cell>
          <cell r="AD225">
            <v>0</v>
          </cell>
          <cell r="AE225" t="str">
            <v>Petty Cash Hanafy</v>
          </cell>
        </row>
        <row r="226">
          <cell r="B226" t="str">
            <v>CO-00321</v>
          </cell>
          <cell r="C226" t="str">
            <v>Grindminder Cleaning Brush- Pallo فرشاة تنظيف المطاحن</v>
          </cell>
          <cell r="D226" t="str">
            <v>Grindminder Cleaning Brush- Pallo فرشاة تنظيف المطاحن</v>
          </cell>
          <cell r="E226" t="str">
            <v/>
          </cell>
          <cell r="F226" t="str">
            <v>✓</v>
          </cell>
          <cell r="G226" t="str">
            <v/>
          </cell>
          <cell r="H226" t="str">
            <v/>
          </cell>
          <cell r="I226" t="str">
            <v/>
          </cell>
          <cell r="J226" t="str">
            <v/>
          </cell>
          <cell r="K226">
            <v>1</v>
          </cell>
          <cell r="L226">
            <v>25</v>
          </cell>
          <cell r="N226">
            <v>30</v>
          </cell>
          <cell r="O226">
            <v>36</v>
          </cell>
          <cell r="P226">
            <v>8.3333333333333321</v>
          </cell>
          <cell r="Q226">
            <v>33.333333333333329</v>
          </cell>
          <cell r="R226">
            <v>3.3333333333333286</v>
          </cell>
          <cell r="S226">
            <v>7</v>
          </cell>
          <cell r="T226" t="str">
            <v>A</v>
          </cell>
          <cell r="U226">
            <v>12</v>
          </cell>
          <cell r="V226" t="str">
            <v>شركة بشريات الموسم للتجارة</v>
          </cell>
          <cell r="W226">
            <v>39.999999999999943</v>
          </cell>
          <cell r="X226">
            <v>300</v>
          </cell>
          <cell r="Z226" t="str">
            <v>CO-00321</v>
          </cell>
          <cell r="AA226" t="str">
            <v>Grindminder Cleaning Brush- Pallo فرشاة تنظيف المطاحن</v>
          </cell>
          <cell r="AB226" t="str">
            <v>CO-00321</v>
          </cell>
          <cell r="AC226" t="str">
            <v>Grindminder Cleaning Brush- Pallo فرشاة تنظيف المطاحن</v>
          </cell>
          <cell r="AD226">
            <v>12</v>
          </cell>
          <cell r="AE226" t="str">
            <v>شركة بشريات الموسم للتجارة</v>
          </cell>
        </row>
        <row r="227">
          <cell r="B227" t="str">
            <v>CO-00096</v>
          </cell>
          <cell r="C227" t="str">
            <v>ملمع اخشاب سانتيا | 34 SH</v>
          </cell>
          <cell r="D227" t="str">
            <v>ملمع اخشاب سانتيا | 34 SH</v>
          </cell>
          <cell r="E227" t="str">
            <v/>
          </cell>
          <cell r="F227" t="str">
            <v>✓</v>
          </cell>
          <cell r="G227" t="str">
            <v/>
          </cell>
          <cell r="H227" t="str">
            <v/>
          </cell>
          <cell r="I227" t="str">
            <v/>
          </cell>
          <cell r="J227" t="str">
            <v/>
          </cell>
          <cell r="K227">
            <v>1</v>
          </cell>
          <cell r="L227">
            <v>20</v>
          </cell>
          <cell r="N227">
            <v>0</v>
          </cell>
          <cell r="O227">
            <v>0</v>
          </cell>
          <cell r="P227">
            <v>6.6666666666666661</v>
          </cell>
          <cell r="Q227">
            <v>26.666666666666664</v>
          </cell>
          <cell r="R227">
            <v>26.666666666666664</v>
          </cell>
          <cell r="S227">
            <v>7</v>
          </cell>
          <cell r="T227" t="str">
            <v>A</v>
          </cell>
          <cell r="U227">
            <v>89</v>
          </cell>
          <cell r="V227" t="str">
            <v>شركة نابكو للتجارة والتوزيع</v>
          </cell>
          <cell r="W227">
            <v>2373.333333333333</v>
          </cell>
          <cell r="X227">
            <v>1780</v>
          </cell>
          <cell r="Z227" t="str">
            <v>CO-00096</v>
          </cell>
          <cell r="AA227" t="str">
            <v xml:space="preserve">ملمع اخشاب سانتيا | 34 SH </v>
          </cell>
          <cell r="AB227" t="str">
            <v>CO-00096</v>
          </cell>
          <cell r="AC227" t="str">
            <v>ملمع اخشاب سانتيا | 34 SH</v>
          </cell>
          <cell r="AD227">
            <v>89</v>
          </cell>
          <cell r="AE227" t="str">
            <v>شركة نابكو للتجارة والتوزيع</v>
          </cell>
        </row>
        <row r="228">
          <cell r="B228" t="str">
            <v>PM-00484</v>
          </cell>
          <cell r="C228" t="str">
            <v>Coffee Beans Bags 25 Grm اكياس بن 25ج بريهانت</v>
          </cell>
          <cell r="D228" t="str">
            <v>Coffee Beans Bags25 Grmاكياس بن25ج بريهانت</v>
          </cell>
          <cell r="E228" t="str">
            <v/>
          </cell>
          <cell r="F228" t="str">
            <v/>
          </cell>
          <cell r="G228" t="str">
            <v>✓</v>
          </cell>
          <cell r="H228" t="str">
            <v/>
          </cell>
          <cell r="I228" t="str">
            <v/>
          </cell>
          <cell r="J228" t="str">
            <v/>
          </cell>
          <cell r="K228">
            <v>1</v>
          </cell>
          <cell r="L228">
            <v>20000</v>
          </cell>
          <cell r="N228">
            <v>0</v>
          </cell>
          <cell r="O228">
            <v>0</v>
          </cell>
          <cell r="P228">
            <v>72000</v>
          </cell>
          <cell r="Q228">
            <v>92000</v>
          </cell>
          <cell r="R228">
            <v>92000</v>
          </cell>
          <cell r="S228">
            <v>105</v>
          </cell>
          <cell r="T228" t="str">
            <v>S</v>
          </cell>
          <cell r="U228">
            <v>0.67125000000000001</v>
          </cell>
          <cell r="V228" t="str">
            <v>Xiamen Twinwin Packing Products Co. Ltd</v>
          </cell>
          <cell r="W228">
            <v>61755</v>
          </cell>
          <cell r="X228">
            <v>13425</v>
          </cell>
          <cell r="Z228" t="str">
            <v>PM-00484</v>
          </cell>
          <cell r="AA228" t="str">
            <v>Coffee Beans Bags 25 Grm اكياس بن 25ج بريهانت</v>
          </cell>
          <cell r="AB228" t="str">
            <v>PM-00484</v>
          </cell>
          <cell r="AC228" t="str">
            <v>Coffee Beans Bags 25 Grm اكياس بن 25ج بريهانت</v>
          </cell>
          <cell r="AD228">
            <v>0.105</v>
          </cell>
          <cell r="AE228" t="str">
            <v>Xiamen Twinwin Packing Products Co. Ltd</v>
          </cell>
        </row>
        <row r="229">
          <cell r="B229" t="str">
            <v>PM-00048</v>
          </cell>
          <cell r="C229" t="str">
            <v>BREEHANT coffee bags 100 gram, size 100 cm * 70 cm  اكياس بن بريهانت 100 جرام مقاس 100سم* 70سم</v>
          </cell>
          <cell r="D229" t="str">
            <v>Coffee Beans Bags  (35g)100 Grmاكياس بن 100ج ( 35ج) بريهانت</v>
          </cell>
          <cell r="E229" t="str">
            <v/>
          </cell>
          <cell r="F229" t="str">
            <v/>
          </cell>
          <cell r="G229" t="str">
            <v>✓</v>
          </cell>
          <cell r="H229" t="str">
            <v/>
          </cell>
          <cell r="I229" t="str">
            <v/>
          </cell>
          <cell r="J229" t="str">
            <v/>
          </cell>
          <cell r="K229">
            <v>1</v>
          </cell>
          <cell r="L229">
            <v>25000</v>
          </cell>
          <cell r="N229">
            <v>0</v>
          </cell>
          <cell r="O229">
            <v>0</v>
          </cell>
          <cell r="P229">
            <v>90000</v>
          </cell>
          <cell r="Q229">
            <v>115000</v>
          </cell>
          <cell r="R229">
            <v>115000</v>
          </cell>
          <cell r="S229">
            <v>105</v>
          </cell>
          <cell r="T229" t="str">
            <v>S</v>
          </cell>
          <cell r="U229">
            <v>0.67125000000000001</v>
          </cell>
          <cell r="V229" t="str">
            <v>Xiamen Twinwin Packing Products Co. Ltd</v>
          </cell>
          <cell r="W229">
            <v>77193.75</v>
          </cell>
          <cell r="X229">
            <v>16781.25</v>
          </cell>
          <cell r="Z229" t="str">
            <v>PM-00048</v>
          </cell>
          <cell r="AA229" t="str">
            <v>BREEHANT coffee bags 100 gram, size 100 cm * 70 cm  اكياس بن بريهانت 100 جرام مقاس 100سم* 70سم</v>
          </cell>
          <cell r="AB229" t="str">
            <v>PM-00048</v>
          </cell>
          <cell r="AC229" t="str">
            <v>BREEHANT coffee bags 100 gram, size 100 cm * 70 cm  اكياس بن بريهانت 100 جرام مقاس 100سم* 70سم</v>
          </cell>
          <cell r="AD229">
            <v>0.67125000000000001</v>
          </cell>
          <cell r="AE229" t="str">
            <v>Xiamen Twinwin Packing Products Co. Ltd</v>
          </cell>
        </row>
        <row r="230">
          <cell r="B230" t="str">
            <v>PM-00004</v>
          </cell>
          <cell r="C230" t="str">
            <v>Coffee Beans Bags 250 Grmاكياس بن 250ج بريهانت</v>
          </cell>
          <cell r="D230" t="str">
            <v>Coffee Beans Bags 250 Grmاكياس بن 250ج بريهانت</v>
          </cell>
          <cell r="E230" t="str">
            <v/>
          </cell>
          <cell r="F230" t="str">
            <v/>
          </cell>
          <cell r="G230" t="str">
            <v>✓</v>
          </cell>
          <cell r="H230" t="str">
            <v/>
          </cell>
          <cell r="I230" t="str">
            <v/>
          </cell>
          <cell r="J230" t="str">
            <v/>
          </cell>
          <cell r="K230">
            <v>1</v>
          </cell>
          <cell r="L230">
            <v>80000</v>
          </cell>
          <cell r="N230">
            <v>24000</v>
          </cell>
          <cell r="O230">
            <v>9</v>
          </cell>
          <cell r="P230">
            <v>288000</v>
          </cell>
          <cell r="Q230">
            <v>368000</v>
          </cell>
          <cell r="R230">
            <v>344000</v>
          </cell>
          <cell r="S230">
            <v>105</v>
          </cell>
          <cell r="T230" t="str">
            <v>S</v>
          </cell>
          <cell r="U230">
            <v>0.67125000000000001</v>
          </cell>
          <cell r="V230" t="str">
            <v>Xiamen Twinwin Packing Products Co. Ltd</v>
          </cell>
          <cell r="W230">
            <v>230910</v>
          </cell>
          <cell r="X230">
            <v>53700</v>
          </cell>
          <cell r="Z230" t="str">
            <v>PM-00004</v>
          </cell>
          <cell r="AA230" t="str">
            <v>Coffee Beans Bags 250 Grmاكياس بن 250ج بريهانت</v>
          </cell>
          <cell r="AB230" t="str">
            <v>PM-00004</v>
          </cell>
          <cell r="AC230" t="str">
            <v>Coffee Beans Bags 250 Grmاكياس بن 250ج بريهانت</v>
          </cell>
          <cell r="AD230">
            <v>0.63</v>
          </cell>
          <cell r="AE230" t="str">
            <v>مؤسسة إكس باك كونسبت</v>
          </cell>
        </row>
        <row r="231">
          <cell r="B231" t="str">
            <v>PM-00005</v>
          </cell>
          <cell r="C231" t="str">
            <v>Coffee Beans Bags 500 Grmاكياس بن 500ج بريهانت</v>
          </cell>
          <cell r="D231" t="str">
            <v>Coffee Beans Bags 500 Grmاكياس بن 500ج بريهانت</v>
          </cell>
          <cell r="E231" t="str">
            <v/>
          </cell>
          <cell r="F231" t="str">
            <v/>
          </cell>
          <cell r="G231" t="str">
            <v>✓</v>
          </cell>
          <cell r="H231" t="str">
            <v/>
          </cell>
          <cell r="I231" t="str">
            <v/>
          </cell>
          <cell r="J231" t="str">
            <v/>
          </cell>
          <cell r="K231">
            <v>1</v>
          </cell>
          <cell r="L231">
            <v>5300</v>
          </cell>
          <cell r="N231">
            <v>0</v>
          </cell>
          <cell r="O231">
            <v>0</v>
          </cell>
          <cell r="P231">
            <v>19080</v>
          </cell>
          <cell r="Q231">
            <v>24380</v>
          </cell>
          <cell r="R231">
            <v>24380</v>
          </cell>
          <cell r="S231">
            <v>105</v>
          </cell>
          <cell r="T231" t="str">
            <v>S</v>
          </cell>
          <cell r="U231">
            <v>0.8</v>
          </cell>
          <cell r="V231" t="str">
            <v>مؤسسة إكس باك كونسبت</v>
          </cell>
          <cell r="W231">
            <v>19504</v>
          </cell>
          <cell r="X231">
            <v>4240</v>
          </cell>
          <cell r="Z231" t="str">
            <v>PM-00005</v>
          </cell>
          <cell r="AA231" t="str">
            <v xml:space="preserve">Coffee Beans Bags 500 Grmاكياس بن 500ج بريهانت </v>
          </cell>
          <cell r="AB231" t="str">
            <v>PM-00005</v>
          </cell>
          <cell r="AC231" t="str">
            <v>Coffee Beans Bags 500 Grmاكياس بن 500ج بريهانت</v>
          </cell>
          <cell r="AD231">
            <v>0.81</v>
          </cell>
          <cell r="AE231" t="str">
            <v>مؤسسة إكس باك كونسبت</v>
          </cell>
        </row>
        <row r="232">
          <cell r="B232" t="str">
            <v>PM-00025</v>
          </cell>
          <cell r="C232" t="str">
            <v>Coffee Beans Bags Breehant 1 KG اكياس بن 1 كيلو بريهانت</v>
          </cell>
          <cell r="D232" t="str">
            <v>Coffee Beans Bags Breehant 1 KG اكياس بن 1 كيلو بريهانت</v>
          </cell>
          <cell r="E232" t="str">
            <v/>
          </cell>
          <cell r="F232" t="str">
            <v/>
          </cell>
          <cell r="G232" t="str">
            <v>✓</v>
          </cell>
          <cell r="H232" t="str">
            <v/>
          </cell>
          <cell r="I232" t="str">
            <v/>
          </cell>
          <cell r="J232" t="str">
            <v/>
          </cell>
          <cell r="K232">
            <v>1</v>
          </cell>
          <cell r="L232">
            <v>60000</v>
          </cell>
          <cell r="N232">
            <v>50500</v>
          </cell>
          <cell r="O232">
            <v>25.25</v>
          </cell>
          <cell r="P232">
            <v>216000</v>
          </cell>
          <cell r="Q232">
            <v>276000</v>
          </cell>
          <cell r="R232">
            <v>225500</v>
          </cell>
          <cell r="S232">
            <v>105</v>
          </cell>
          <cell r="T232" t="str">
            <v>S</v>
          </cell>
          <cell r="U232">
            <v>0.89624999999999999</v>
          </cell>
          <cell r="V232" t="str">
            <v>Xiamen Twinwin Packing Products Co. Ltd</v>
          </cell>
          <cell r="W232">
            <v>202104.375</v>
          </cell>
          <cell r="X232">
            <v>53775</v>
          </cell>
          <cell r="Z232" t="str">
            <v>PM-00025</v>
          </cell>
          <cell r="AA232" t="str">
            <v>Coffee Beans Bags Breehant 1 KG اكياس بن 1 كيلو بريهانت</v>
          </cell>
          <cell r="AB232" t="str">
            <v>PM-00025</v>
          </cell>
          <cell r="AC232" t="str">
            <v>Coffee Beans Bags Breehant 1 KG اكياس بن 1 كيلو بريهانت</v>
          </cell>
          <cell r="AD232">
            <v>0.85</v>
          </cell>
          <cell r="AE232" t="str">
            <v xml:space="preserve">مؤسسة إكس باك كونسبت </v>
          </cell>
        </row>
        <row r="233">
          <cell r="B233" t="str">
            <v>PM-00293</v>
          </cell>
          <cell r="C233" t="str">
            <v>Matcha bottles 30g  علبة الماتشا المعدنية 30 قرام</v>
          </cell>
          <cell r="D233" t="str">
            <v>Matcha bottles  علبة الماتشا المعدنية</v>
          </cell>
          <cell r="E233" t="str">
            <v/>
          </cell>
          <cell r="F233" t="str">
            <v/>
          </cell>
          <cell r="G233" t="str">
            <v>✓</v>
          </cell>
          <cell r="H233" t="str">
            <v/>
          </cell>
          <cell r="I233" t="str">
            <v/>
          </cell>
          <cell r="J233" t="str">
            <v/>
          </cell>
          <cell r="K233">
            <v>1</v>
          </cell>
          <cell r="L233">
            <v>40000</v>
          </cell>
          <cell r="N233">
            <v>22783</v>
          </cell>
          <cell r="O233">
            <v>17.087250000000001</v>
          </cell>
          <cell r="P233">
            <v>124000</v>
          </cell>
          <cell r="Q233">
            <v>164000</v>
          </cell>
          <cell r="R233">
            <v>141217</v>
          </cell>
          <cell r="S233">
            <v>90</v>
          </cell>
          <cell r="T233" t="str">
            <v>S</v>
          </cell>
          <cell r="U233">
            <v>2.16</v>
          </cell>
          <cell r="V233" t="str">
            <v>Xiamen Twinwin Packing Products Co. Ltd</v>
          </cell>
          <cell r="W233">
            <v>305028.72000000003</v>
          </cell>
          <cell r="X233">
            <v>86400</v>
          </cell>
          <cell r="Z233" t="str">
            <v>PM-00293</v>
          </cell>
          <cell r="AA233" t="str">
            <v>Matcha bottles 30g  علبة الماتشا المعدنية 30 قرام</v>
          </cell>
          <cell r="AB233" t="str">
            <v>PM-00293</v>
          </cell>
          <cell r="AC233" t="str">
            <v>Matcha bottles 30g  علبة الماتشا المعدنية 30 قرام</v>
          </cell>
          <cell r="AD233">
            <v>1.5</v>
          </cell>
          <cell r="AE233" t="str">
            <v>مؤسسة الانتقال التجارية</v>
          </cell>
        </row>
        <row r="234">
          <cell r="B234" t="str">
            <v>RM-00613</v>
          </cell>
          <cell r="C234" t="str">
            <v>Matcha Ceremonial Grade 3g Stick ماتشا سريعة التحضير</v>
          </cell>
          <cell r="D234" t="str">
            <v>Instant matcha اظرف ماتشا</v>
          </cell>
          <cell r="E234" t="str">
            <v/>
          </cell>
          <cell r="F234" t="str">
            <v/>
          </cell>
          <cell r="G234" t="str">
            <v>✓</v>
          </cell>
          <cell r="H234" t="str">
            <v/>
          </cell>
          <cell r="I234" t="str">
            <v/>
          </cell>
          <cell r="J234" t="str">
            <v/>
          </cell>
          <cell r="K234">
            <v>1</v>
          </cell>
          <cell r="L234">
            <v>1000</v>
          </cell>
          <cell r="N234">
            <v>0</v>
          </cell>
          <cell r="O234">
            <v>0</v>
          </cell>
          <cell r="P234">
            <v>566.66666666666663</v>
          </cell>
          <cell r="Q234">
            <v>1566.6666666666665</v>
          </cell>
          <cell r="R234">
            <v>1566.6666666666665</v>
          </cell>
          <cell r="S234">
            <v>14</v>
          </cell>
          <cell r="T234" t="str">
            <v>A</v>
          </cell>
          <cell r="U234">
            <v>0.26</v>
          </cell>
          <cell r="V234" t="str">
            <v>Active Square مؤسسة المربع الفعال التجارية</v>
          </cell>
          <cell r="W234">
            <v>407.33333333333331</v>
          </cell>
          <cell r="X234">
            <v>260</v>
          </cell>
          <cell r="Z234" t="str">
            <v>RM-00613</v>
          </cell>
          <cell r="AA234" t="str">
            <v>Matcha Ceremonial Grade 3g Stick ماتشا سريعة التحضير</v>
          </cell>
          <cell r="AB234" t="str">
            <v>RM-00613</v>
          </cell>
          <cell r="AC234" t="str">
            <v>Matcha Ceremonial Grade 3g Stick ماتشا سريعة التحضير</v>
          </cell>
          <cell r="AD234">
            <v>0.26</v>
          </cell>
          <cell r="AE234" t="str">
            <v>Active Square مؤسسة المربع الفعال التجارية</v>
          </cell>
        </row>
        <row r="235">
          <cell r="B235" t="str">
            <v>PM-00052</v>
          </cell>
          <cell r="C235" t="str">
            <v>Fruit granola bag cove  (غطاء كيس جرانولا بالفواكه (بريهانت</v>
          </cell>
          <cell r="D235" t="str">
            <v>Fruit granola bag cove  (غطاء كيس جرانولا بالفواكه (بريهانت</v>
          </cell>
          <cell r="E235" t="str">
            <v/>
          </cell>
          <cell r="F235" t="str">
            <v/>
          </cell>
          <cell r="G235" t="str">
            <v/>
          </cell>
          <cell r="H235" t="str">
            <v/>
          </cell>
          <cell r="I235" t="str">
            <v/>
          </cell>
          <cell r="J235" t="str">
            <v>✓</v>
          </cell>
          <cell r="K235">
            <v>1</v>
          </cell>
          <cell r="L235">
            <v>319</v>
          </cell>
          <cell r="N235">
            <v>15000</v>
          </cell>
          <cell r="O235">
            <v>1410.6583072100314</v>
          </cell>
          <cell r="P235">
            <v>180.76666666666665</v>
          </cell>
          <cell r="Q235">
            <v>499.76666666666665</v>
          </cell>
          <cell r="R235">
            <v>0</v>
          </cell>
          <cell r="S235">
            <v>14</v>
          </cell>
          <cell r="T235" t="str">
            <v>A</v>
          </cell>
          <cell r="U235">
            <v>0.6</v>
          </cell>
          <cell r="V235" t="str">
            <v>شركة مطابع الأمل الحديثة</v>
          </cell>
          <cell r="W235">
            <v>0</v>
          </cell>
          <cell r="X235">
            <v>191.4</v>
          </cell>
          <cell r="Z235" t="str">
            <v>PM-00052</v>
          </cell>
          <cell r="AA235" t="str">
            <v>Fruit granola bag cove  (غطاء كيس جرانولا بالفواكه (بريهانت</v>
          </cell>
          <cell r="AB235" t="str">
            <v>PM-00052</v>
          </cell>
          <cell r="AC235" t="str">
            <v>Fruit granola bag cove  (غطاء كيس جرانولا بالفواكه (بريهانت</v>
          </cell>
          <cell r="AD235">
            <v>0.6</v>
          </cell>
          <cell r="AE235" t="str">
            <v>شركة مطابع الأمل الحديثة</v>
          </cell>
        </row>
        <row r="236">
          <cell r="B236" t="str">
            <v>PM-00051</v>
          </cell>
          <cell r="C236" t="str">
            <v>Cover a bag of granola with dates and peanuts   (غطاء كيس جرانولا بالتمر والفول السوداني (بريهانت</v>
          </cell>
          <cell r="D236" t="str">
            <v>Cover a bag of granola with dates and peanuts   (غطاء كيس جرانولا بالتمر والفول السوداني (بريهانت</v>
          </cell>
          <cell r="E236" t="str">
            <v/>
          </cell>
          <cell r="F236" t="str">
            <v/>
          </cell>
          <cell r="G236" t="str">
            <v/>
          </cell>
          <cell r="H236" t="str">
            <v/>
          </cell>
          <cell r="I236" t="str">
            <v/>
          </cell>
          <cell r="J236" t="str">
            <v>✓</v>
          </cell>
          <cell r="K236">
            <v>1</v>
          </cell>
          <cell r="L236">
            <v>319.5</v>
          </cell>
          <cell r="N236">
            <v>9200</v>
          </cell>
          <cell r="O236">
            <v>863.84976525821594</v>
          </cell>
          <cell r="P236">
            <v>181.04999999999998</v>
          </cell>
          <cell r="Q236">
            <v>500.54999999999995</v>
          </cell>
          <cell r="R236">
            <v>0</v>
          </cell>
          <cell r="S236">
            <v>14</v>
          </cell>
          <cell r="T236" t="str">
            <v>A</v>
          </cell>
          <cell r="U236">
            <v>0.6</v>
          </cell>
          <cell r="V236" t="str">
            <v>شركة مطابع الأمل الحديثة</v>
          </cell>
          <cell r="W236">
            <v>0</v>
          </cell>
          <cell r="X236">
            <v>191.7</v>
          </cell>
          <cell r="Z236" t="str">
            <v>PM-00051</v>
          </cell>
          <cell r="AA236" t="str">
            <v>Cover a bag of granola with dates and peanuts   (غطاء كيس جرانولا بالتمر والفول السوداني (بريهانت</v>
          </cell>
          <cell r="AB236" t="str">
            <v>PM-00051</v>
          </cell>
          <cell r="AC236" t="str">
            <v>Cover a bag of granola with dates and peanuts   (غطاء كيس جرانولا بالتمر والفول السوداني (بريهانت</v>
          </cell>
          <cell r="AD236">
            <v>0.6</v>
          </cell>
          <cell r="AE236" t="str">
            <v>شركة مطابع الأمل الحديثة</v>
          </cell>
        </row>
        <row r="237">
          <cell r="B237" t="str">
            <v>PM-00493</v>
          </cell>
          <cell r="C237" t="str">
            <v>Granola Nuts Cover Breehant</v>
          </cell>
          <cell r="D237" t="str">
            <v>Cover Granola foggy Bag غطاء كيس جرانولا ضبابي</v>
          </cell>
          <cell r="E237" t="str">
            <v/>
          </cell>
          <cell r="F237" t="str">
            <v/>
          </cell>
          <cell r="G237" t="str">
            <v/>
          </cell>
          <cell r="H237" t="str">
            <v/>
          </cell>
          <cell r="I237" t="str">
            <v/>
          </cell>
          <cell r="J237" t="str">
            <v>✓</v>
          </cell>
          <cell r="K237">
            <v>1</v>
          </cell>
          <cell r="L237">
            <v>670</v>
          </cell>
          <cell r="N237">
            <v>0</v>
          </cell>
          <cell r="O237">
            <v>0</v>
          </cell>
          <cell r="P237">
            <v>379.66666666666663</v>
          </cell>
          <cell r="Q237">
            <v>1049.6666666666665</v>
          </cell>
          <cell r="R237">
            <v>1049.6666666666665</v>
          </cell>
          <cell r="S237">
            <v>14</v>
          </cell>
          <cell r="T237" t="str">
            <v>A</v>
          </cell>
          <cell r="U237">
            <v>0.6</v>
          </cell>
          <cell r="V237" t="str">
            <v>شركة مطابع الأمل الحديثة</v>
          </cell>
          <cell r="W237">
            <v>629.79999999999984</v>
          </cell>
          <cell r="X237">
            <v>402</v>
          </cell>
          <cell r="Z237" t="str">
            <v>PM-00493</v>
          </cell>
          <cell r="AA237" t="str">
            <v>Granola Nuts Cover Breehant</v>
          </cell>
          <cell r="AB237" t="str">
            <v>PM-00493</v>
          </cell>
          <cell r="AC237" t="str">
            <v>Granola Nuts Cover Breehant</v>
          </cell>
          <cell r="AD237">
            <v>0</v>
          </cell>
          <cell r="AE237" t="str">
            <v>شركة الوصيل التجاريه - AL WASEEL</v>
          </cell>
        </row>
        <row r="238">
          <cell r="B238" t="str">
            <v>RM-00487</v>
          </cell>
          <cell r="C238" t="str">
            <v>كبسولات قهوة مزيج بريهانت | Breehant Blend Coffee Capsules</v>
          </cell>
          <cell r="D238" t="str">
            <v>Coffee capsules كبسولات القهوة</v>
          </cell>
          <cell r="E238" t="str">
            <v/>
          </cell>
          <cell r="F238" t="str">
            <v/>
          </cell>
          <cell r="G238" t="str">
            <v>✓</v>
          </cell>
          <cell r="H238" t="str">
            <v/>
          </cell>
          <cell r="I238" t="str">
            <v/>
          </cell>
          <cell r="J238" t="str">
            <v/>
          </cell>
          <cell r="K238">
            <v>1</v>
          </cell>
          <cell r="L238">
            <v>501.25</v>
          </cell>
          <cell r="N238">
            <v>0</v>
          </cell>
          <cell r="O238">
            <v>0</v>
          </cell>
          <cell r="P238">
            <v>384.29166666666669</v>
          </cell>
          <cell r="Q238">
            <v>885.54166666666674</v>
          </cell>
          <cell r="R238">
            <v>885.54166666666674</v>
          </cell>
          <cell r="S238">
            <v>20</v>
          </cell>
          <cell r="T238" t="str">
            <v>A</v>
          </cell>
          <cell r="V238" t="str">
            <v>شركة التحميص للصناعات الغذائية Bunista Roastery, Roasting Company</v>
          </cell>
          <cell r="W238">
            <v>0</v>
          </cell>
          <cell r="X238">
            <v>0</v>
          </cell>
          <cell r="Z238" t="str">
            <v>RM-00487</v>
          </cell>
          <cell r="AA238" t="str">
            <v>كبسولات قهوة مزيج بريهانت | Breehant Blend Coffee Capsules</v>
          </cell>
          <cell r="AB238" t="str">
            <v>RM-00487</v>
          </cell>
          <cell r="AC238" t="str">
            <v>كبسولات قهوة مزيج بريهانت | Breehant Blend Coffee Capsules</v>
          </cell>
          <cell r="AD238">
            <v>0</v>
          </cell>
          <cell r="AE238" t="str">
            <v>شركة التحميص للصناعات الغذائية Bunista Roastery, Roasting Company</v>
          </cell>
        </row>
        <row r="239">
          <cell r="B239" t="str">
            <v>PM-00461</v>
          </cell>
          <cell r="C239" t="str">
            <v>كوب فخار 270 مل بريهانت</v>
          </cell>
          <cell r="D239" t="str">
            <v>كوب فخار(بوكس بريهانت)</v>
          </cell>
          <cell r="E239" t="str">
            <v/>
          </cell>
          <cell r="F239" t="str">
            <v/>
          </cell>
          <cell r="G239" t="str">
            <v>✓</v>
          </cell>
          <cell r="H239" t="str">
            <v/>
          </cell>
          <cell r="I239" t="str">
            <v/>
          </cell>
          <cell r="J239" t="str">
            <v/>
          </cell>
          <cell r="K239">
            <v>1</v>
          </cell>
          <cell r="L239">
            <v>200</v>
          </cell>
          <cell r="M239" t="str">
            <v>Direct Roastery</v>
          </cell>
          <cell r="N239">
            <v>5950</v>
          </cell>
          <cell r="O239">
            <v>892.5</v>
          </cell>
          <cell r="P239">
            <v>220.00000000000003</v>
          </cell>
          <cell r="Q239">
            <v>420</v>
          </cell>
          <cell r="R239">
            <v>0</v>
          </cell>
          <cell r="S239">
            <v>30</v>
          </cell>
          <cell r="T239" t="str">
            <v>A</v>
          </cell>
          <cell r="U239">
            <v>1</v>
          </cell>
          <cell r="V239" t="str">
            <v>Fakhaar Co. نايف ابراهيم عبدالعزيز الشيبان - فخار</v>
          </cell>
          <cell r="W239">
            <v>0</v>
          </cell>
          <cell r="X239">
            <v>200</v>
          </cell>
          <cell r="Z239" t="str">
            <v>PM-00461</v>
          </cell>
          <cell r="AA239" t="str">
            <v>كوب فخار 270 مل بريهانت</v>
          </cell>
          <cell r="AB239" t="str">
            <v>PM-00461</v>
          </cell>
          <cell r="AC239" t="str">
            <v>كوب فخار 270 مل بريهانت</v>
          </cell>
          <cell r="AD239">
            <v>28</v>
          </cell>
          <cell r="AE239" t="str">
            <v>Supp0178 - Tina Trading Est. مؤسسة طينة للتجارة</v>
          </cell>
        </row>
        <row r="240">
          <cell r="B240" t="str">
            <v>PM-00114</v>
          </cell>
          <cell r="C240" t="str">
            <v>اكواب حديد 350مل + بوكس خارجي مع الطباعة الخارجية  Iron cups 350 ml + external box with exter printing</v>
          </cell>
          <cell r="D240" t="str">
            <v>كوب معدني steel cup</v>
          </cell>
          <cell r="E240" t="str">
            <v/>
          </cell>
          <cell r="F240" t="str">
            <v/>
          </cell>
          <cell r="G240" t="str">
            <v>✓</v>
          </cell>
          <cell r="H240" t="str">
            <v/>
          </cell>
          <cell r="I240" t="str">
            <v/>
          </cell>
          <cell r="J240" t="str">
            <v/>
          </cell>
          <cell r="K240">
            <v>1</v>
          </cell>
          <cell r="L240">
            <v>302</v>
          </cell>
          <cell r="N240">
            <v>0</v>
          </cell>
          <cell r="O240">
            <v>0</v>
          </cell>
          <cell r="P240">
            <v>30.200000000000003</v>
          </cell>
          <cell r="Q240">
            <v>332.2</v>
          </cell>
          <cell r="R240">
            <v>332.2</v>
          </cell>
          <cell r="S240">
            <v>0</v>
          </cell>
          <cell r="T240" t="str">
            <v>O</v>
          </cell>
          <cell r="V240" t="str">
            <v>Xiamen Twinwin Packing Products Co. Ltd</v>
          </cell>
          <cell r="W240">
            <v>0</v>
          </cell>
          <cell r="X240">
            <v>0</v>
          </cell>
          <cell r="Z240" t="str">
            <v>PM-00114</v>
          </cell>
          <cell r="AA240" t="str">
            <v>اكواب حديد 350مل + بوكس خارجي مع الطباعة الخارجية  Iron cups 350 ml + external box with exter printing</v>
          </cell>
          <cell r="AB240" t="str">
            <v>PM-00114</v>
          </cell>
          <cell r="AC240" t="str">
            <v>اكواب حديد 350مل + بوكس خارجي مع الطباعة الخارجية  Iron cups 350 ml + external box with exter printing</v>
          </cell>
          <cell r="AD240">
            <v>0</v>
          </cell>
          <cell r="AE240" t="str">
            <v>Xiamen Twinwin Packing Products Co. Ltd</v>
          </cell>
        </row>
        <row r="241">
          <cell r="B241" t="str">
            <v>PM-00205</v>
          </cell>
          <cell r="C241" t="str">
            <v>Pink Ceramic cup 2oz كوب سراميك وردي مطفي 2 اونصة</v>
          </cell>
          <cell r="D241" t="str">
            <v>كوب بريهانت- سيراميك - 40 مل</v>
          </cell>
          <cell r="E241" t="str">
            <v/>
          </cell>
          <cell r="F241" t="str">
            <v/>
          </cell>
          <cell r="G241" t="str">
            <v>✓</v>
          </cell>
          <cell r="H241" t="str">
            <v/>
          </cell>
          <cell r="I241" t="str">
            <v/>
          </cell>
          <cell r="J241" t="str">
            <v/>
          </cell>
          <cell r="K241">
            <v>1</v>
          </cell>
          <cell r="L241">
            <v>469</v>
          </cell>
          <cell r="N241">
            <v>0</v>
          </cell>
          <cell r="O241">
            <v>0</v>
          </cell>
          <cell r="P241">
            <v>1688.4</v>
          </cell>
          <cell r="Q241">
            <v>2157.4</v>
          </cell>
          <cell r="R241">
            <v>2157.4</v>
          </cell>
          <cell r="S241">
            <v>105</v>
          </cell>
          <cell r="T241" t="str">
            <v>A</v>
          </cell>
          <cell r="V241" t="str">
            <v>Xiamen Twinwin Packing Products Co. Ltd</v>
          </cell>
          <cell r="W241">
            <v>0</v>
          </cell>
          <cell r="X241">
            <v>0</v>
          </cell>
          <cell r="Z241" t="str">
            <v>PM-00205</v>
          </cell>
          <cell r="AA241" t="str">
            <v>Pink Ceramic cup 2oz كوب سراميك وردي مطفي 2 اونصة</v>
          </cell>
          <cell r="AB241" t="str">
            <v>PM-00205</v>
          </cell>
          <cell r="AC241" t="str">
            <v>Pink Ceramic cup 2oz كوب سراميك وردي مطفي 2 اونصة</v>
          </cell>
          <cell r="AD241">
            <v>3.5362499999999999</v>
          </cell>
          <cell r="AE241" t="str">
            <v>Xiamen Twinwin Packing Products Co. Ltd</v>
          </cell>
        </row>
        <row r="242">
          <cell r="B242" t="str">
            <v>PM-00204</v>
          </cell>
          <cell r="C242" t="str">
            <v>Pink Ceramic cup 4oz كوب سراميك وردي مطفي 4 اونصة</v>
          </cell>
          <cell r="D242" t="str">
            <v>كوب بريهانت- سيراميك - 100 مل</v>
          </cell>
          <cell r="E242" t="str">
            <v/>
          </cell>
          <cell r="F242" t="str">
            <v/>
          </cell>
          <cell r="G242" t="str">
            <v>✓</v>
          </cell>
          <cell r="H242" t="str">
            <v/>
          </cell>
          <cell r="I242" t="str">
            <v/>
          </cell>
          <cell r="J242" t="str">
            <v/>
          </cell>
          <cell r="K242">
            <v>1</v>
          </cell>
          <cell r="L242">
            <v>557</v>
          </cell>
          <cell r="N242">
            <v>0</v>
          </cell>
          <cell r="O242">
            <v>0</v>
          </cell>
          <cell r="P242">
            <v>2005.2</v>
          </cell>
          <cell r="Q242">
            <v>2562.1999999999998</v>
          </cell>
          <cell r="R242">
            <v>2562.1999999999998</v>
          </cell>
          <cell r="S242">
            <v>105</v>
          </cell>
          <cell r="T242" t="str">
            <v>A</v>
          </cell>
          <cell r="V242" t="str">
            <v>Xiamen Twinwin Packing Products Co. Ltd</v>
          </cell>
          <cell r="W242">
            <v>0</v>
          </cell>
          <cell r="X242">
            <v>0</v>
          </cell>
          <cell r="Z242" t="str">
            <v>PM-00204</v>
          </cell>
          <cell r="AA242" t="str">
            <v>Pink Ceramic cup 4oz كوب سراميك وردي مطفي 4 اونصة</v>
          </cell>
          <cell r="AB242" t="str">
            <v>PM-00204</v>
          </cell>
          <cell r="AC242" t="str">
            <v>Pink Ceramic cup 4oz كوب سراميك وردي مطفي 4 اونصة</v>
          </cell>
          <cell r="AD242">
            <v>4.00875</v>
          </cell>
          <cell r="AE242" t="str">
            <v>Xiamen Twinwin Packing Products Co. Ltd</v>
          </cell>
        </row>
        <row r="243">
          <cell r="B243" t="str">
            <v>PM-00203</v>
          </cell>
          <cell r="C243" t="str">
            <v>Pink Ceramic cup 6oz كوب سراميك وردي مطفي  6 اونصة</v>
          </cell>
          <cell r="D243" t="str">
            <v>كوب بريهانت- سيراميك - 170 مل</v>
          </cell>
          <cell r="E243" t="str">
            <v/>
          </cell>
          <cell r="F243" t="str">
            <v/>
          </cell>
          <cell r="G243" t="str">
            <v>✓</v>
          </cell>
          <cell r="H243" t="str">
            <v/>
          </cell>
          <cell r="I243" t="str">
            <v/>
          </cell>
          <cell r="J243" t="str">
            <v/>
          </cell>
          <cell r="K243">
            <v>1</v>
          </cell>
          <cell r="L243">
            <v>752</v>
          </cell>
          <cell r="N243">
            <v>0</v>
          </cell>
          <cell r="O243">
            <v>0</v>
          </cell>
          <cell r="P243">
            <v>2707.2000000000003</v>
          </cell>
          <cell r="Q243">
            <v>3459.2000000000003</v>
          </cell>
          <cell r="R243">
            <v>3459.2000000000003</v>
          </cell>
          <cell r="S243">
            <v>105</v>
          </cell>
          <cell r="T243" t="str">
            <v>A</v>
          </cell>
          <cell r="V243" t="str">
            <v>Xiamen Twinwin Packing Products Co. Ltd</v>
          </cell>
          <cell r="W243">
            <v>0</v>
          </cell>
          <cell r="X243">
            <v>0</v>
          </cell>
          <cell r="Z243" t="str">
            <v>PM-00203</v>
          </cell>
          <cell r="AA243" t="str">
            <v>Pink Ceramic cup 6oz كوب سراميك وردي مطفي  6 اونصة</v>
          </cell>
          <cell r="AB243" t="str">
            <v>PM-00203</v>
          </cell>
          <cell r="AC243" t="str">
            <v>Pink Ceramic cup 6oz كوب سراميك وردي مطفي  6 اونصة</v>
          </cell>
          <cell r="AD243">
            <v>4.6762500000000005</v>
          </cell>
          <cell r="AE243" t="str">
            <v>Xiamen Twinwin Packing Products Co. Ltd</v>
          </cell>
        </row>
        <row r="244">
          <cell r="B244" t="str">
            <v>PM-00202</v>
          </cell>
          <cell r="C244" t="str">
            <v>Pink Ceramic cup 8oz كوب سراميك وردي مطفي  8 اونصة</v>
          </cell>
          <cell r="D244" t="str">
            <v>كوب بريهانت- سيراميك - 220 مل</v>
          </cell>
          <cell r="E244" t="str">
            <v/>
          </cell>
          <cell r="F244" t="str">
            <v/>
          </cell>
          <cell r="G244" t="str">
            <v>✓</v>
          </cell>
          <cell r="H244" t="str">
            <v/>
          </cell>
          <cell r="I244" t="str">
            <v/>
          </cell>
          <cell r="J244" t="str">
            <v/>
          </cell>
          <cell r="K244">
            <v>1</v>
          </cell>
          <cell r="L244">
            <v>3600</v>
          </cell>
          <cell r="N244">
            <v>0</v>
          </cell>
          <cell r="O244">
            <v>0</v>
          </cell>
          <cell r="P244">
            <v>12960</v>
          </cell>
          <cell r="Q244">
            <v>16560</v>
          </cell>
          <cell r="R244">
            <v>16560</v>
          </cell>
          <cell r="S244">
            <v>105</v>
          </cell>
          <cell r="T244" t="str">
            <v>A</v>
          </cell>
          <cell r="V244" t="str">
            <v>Xiamen Twinwin Packing Products Co. Ltd</v>
          </cell>
          <cell r="W244">
            <v>0</v>
          </cell>
          <cell r="X244">
            <v>0</v>
          </cell>
          <cell r="Z244" t="str">
            <v>PM-00202</v>
          </cell>
          <cell r="AA244" t="str">
            <v>Pink Ceramic cup 8oz كوب سراميك وردي مطفي  8 اونصة</v>
          </cell>
          <cell r="AB244" t="str">
            <v>PM-00202</v>
          </cell>
          <cell r="AC244" t="str">
            <v>Pink Ceramic cup 8oz كوب سراميك وردي مطفي  8 اونصة</v>
          </cell>
          <cell r="AD244">
            <v>5.1487499999999997</v>
          </cell>
          <cell r="AE244" t="str">
            <v>Xiamen Twinwin Packing Products Co. Ltd</v>
          </cell>
        </row>
        <row r="245">
          <cell r="B245" t="str">
            <v>PM-00551</v>
          </cell>
          <cell r="C245" t="str">
            <v>كوب زجاجي 400 ملي مع مصاص وغطاء خشبي مطبوعة بشعار بريهانت</v>
          </cell>
          <cell r="D245" t="str">
            <v>كوب زجاجي – هوية بريهانت</v>
          </cell>
          <cell r="E245" t="str">
            <v/>
          </cell>
          <cell r="F245" t="str">
            <v/>
          </cell>
          <cell r="G245" t="str">
            <v>✓</v>
          </cell>
          <cell r="H245" t="str">
            <v/>
          </cell>
          <cell r="I245" t="str">
            <v/>
          </cell>
          <cell r="J245" t="str">
            <v/>
          </cell>
          <cell r="K245">
            <v>1</v>
          </cell>
          <cell r="L245">
            <v>370</v>
          </cell>
          <cell r="M245" t="str">
            <v>Stock Rev.</v>
          </cell>
          <cell r="N245">
            <v>4800</v>
          </cell>
          <cell r="O245">
            <v>389.18918918918922</v>
          </cell>
          <cell r="P245">
            <v>1332</v>
          </cell>
          <cell r="Q245">
            <v>1702</v>
          </cell>
          <cell r="R245">
            <v>0</v>
          </cell>
          <cell r="S245">
            <v>105</v>
          </cell>
          <cell r="T245" t="str">
            <v>A</v>
          </cell>
          <cell r="U245">
            <v>5.4375</v>
          </cell>
          <cell r="V245" t="str">
            <v>Xiamen Twinwin Packing Products Co. Ltd</v>
          </cell>
          <cell r="W245">
            <v>0</v>
          </cell>
          <cell r="X245">
            <v>2011.875</v>
          </cell>
          <cell r="Z245" t="str">
            <v>PM-00551</v>
          </cell>
          <cell r="AA245" t="str">
            <v>كوب زجاجي 400 ملي مع مصاص وغطاء خشبي مطبوعة بشعار بريهانت</v>
          </cell>
          <cell r="AB245" t="str">
            <v>PM-00551</v>
          </cell>
          <cell r="AC245" t="str">
            <v>كوب زجاجي 400 ملي مع مصاص وغطاء خشبي مطبوعة بشعار بريهانت</v>
          </cell>
          <cell r="AD245">
            <v>5.4375</v>
          </cell>
          <cell r="AE245" t="str">
            <v>Hebei Roky</v>
          </cell>
        </row>
        <row r="246">
          <cell r="B246" t="str">
            <v>PM-00552</v>
          </cell>
          <cell r="C246" t="str">
            <v>كوب زجاجي 400 ملي مع مصاص وغطاء خشبي مطبوعة بتصميم الورد</v>
          </cell>
          <cell r="D246" t="str">
            <v>كوب زجاجي – زهور بريهانت</v>
          </cell>
          <cell r="E246" t="str">
            <v/>
          </cell>
          <cell r="F246" t="str">
            <v/>
          </cell>
          <cell r="G246" t="str">
            <v>✓</v>
          </cell>
          <cell r="H246" t="str">
            <v/>
          </cell>
          <cell r="I246" t="str">
            <v/>
          </cell>
          <cell r="J246" t="str">
            <v/>
          </cell>
          <cell r="K246">
            <v>1</v>
          </cell>
          <cell r="L246">
            <v>525.5</v>
          </cell>
          <cell r="M246" t="str">
            <v>Stock Rev.</v>
          </cell>
          <cell r="N246">
            <v>5320</v>
          </cell>
          <cell r="O246">
            <v>303.71075166508086</v>
          </cell>
          <cell r="P246">
            <v>1891.8</v>
          </cell>
          <cell r="Q246">
            <v>2417.3000000000002</v>
          </cell>
          <cell r="R246">
            <v>0</v>
          </cell>
          <cell r="S246">
            <v>105</v>
          </cell>
          <cell r="T246" t="str">
            <v>A</v>
          </cell>
          <cell r="U246">
            <v>5.4375</v>
          </cell>
          <cell r="V246" t="str">
            <v>Xiamen Twinwin Packing Products Co. Ltd</v>
          </cell>
          <cell r="W246">
            <v>0</v>
          </cell>
          <cell r="X246">
            <v>2857.40625</v>
          </cell>
          <cell r="Z246" t="str">
            <v>PM-00552</v>
          </cell>
          <cell r="AA246" t="str">
            <v>كوب زجاجي 400 ملي مع مصاص وغطاء خشبي مطبوعة بتصميم الورد</v>
          </cell>
          <cell r="AB246" t="str">
            <v>PM-00552</v>
          </cell>
          <cell r="AC246" t="str">
            <v>كوب زجاجي 400 ملي مع مصاص وغطاء خشبي مطبوعة بتصميم الورد</v>
          </cell>
          <cell r="AD246">
            <v>5.4375</v>
          </cell>
          <cell r="AE246" t="str">
            <v>Hebei Roky</v>
          </cell>
        </row>
        <row r="247">
          <cell r="B247" t="str">
            <v>PM-00524</v>
          </cell>
          <cell r="C247" t="str">
            <v>Breehant stainless steel cup مق بريهانت المطبوع مع غطائين</v>
          </cell>
          <cell r="D247" t="str">
            <v>Breehant Mug</v>
          </cell>
          <cell r="E247" t="str">
            <v/>
          </cell>
          <cell r="F247" t="str">
            <v/>
          </cell>
          <cell r="G247" t="str">
            <v>✓</v>
          </cell>
          <cell r="H247" t="str">
            <v/>
          </cell>
          <cell r="I247" t="str">
            <v/>
          </cell>
          <cell r="J247" t="str">
            <v/>
          </cell>
          <cell r="K247">
            <v>1</v>
          </cell>
          <cell r="L247">
            <v>1820</v>
          </cell>
          <cell r="M247" t="str">
            <v>Stock Rev.</v>
          </cell>
          <cell r="N247">
            <v>475</v>
          </cell>
          <cell r="O247">
            <v>7.8296703296703303</v>
          </cell>
          <cell r="P247">
            <v>6552</v>
          </cell>
          <cell r="Q247">
            <v>8372</v>
          </cell>
          <cell r="R247">
            <v>7897</v>
          </cell>
          <cell r="S247">
            <v>105</v>
          </cell>
          <cell r="T247" t="str">
            <v>A</v>
          </cell>
          <cell r="V247" t="str">
            <v>Xiamen Twinwin Packing Products Co. Ltd</v>
          </cell>
          <cell r="W247">
            <v>0</v>
          </cell>
          <cell r="X247">
            <v>0</v>
          </cell>
          <cell r="Z247" t="str">
            <v>PM-00524</v>
          </cell>
          <cell r="AA247" t="str">
            <v>Breehant stainless steel cup مق بريهانت المطبوع مع غطائين</v>
          </cell>
          <cell r="AB247" t="str">
            <v>PM-00524</v>
          </cell>
          <cell r="AC247" t="str">
            <v>Breehant stainless steel cup مق بريهانت المطبوع مع غطائين</v>
          </cell>
          <cell r="AD247">
            <v>3.75</v>
          </cell>
          <cell r="AE247" t="str">
            <v>Hebei Roky</v>
          </cell>
        </row>
        <row r="248">
          <cell r="B248" t="str">
            <v>PM-00291</v>
          </cell>
          <cell r="C248" t="str">
            <v>lids Cups Wide NAMQ with stick اغطية اكواب القهوة فتحة واسعة - نمق</v>
          </cell>
          <cell r="D248" t="str">
            <v>lids Cups Brehehant with stick اغطية اكواب القهوة - بريهانت</v>
          </cell>
          <cell r="E248" t="str">
            <v/>
          </cell>
          <cell r="F248" t="str">
            <v/>
          </cell>
          <cell r="G248" t="str">
            <v>✓</v>
          </cell>
          <cell r="H248" t="str">
            <v/>
          </cell>
          <cell r="I248" t="str">
            <v/>
          </cell>
          <cell r="J248" t="str">
            <v/>
          </cell>
          <cell r="K248">
            <v>1</v>
          </cell>
          <cell r="L248">
            <v>67500</v>
          </cell>
          <cell r="M248" t="str">
            <v>Code Rev.</v>
          </cell>
          <cell r="N248">
            <v>39500</v>
          </cell>
          <cell r="O248">
            <v>17.555555555555554</v>
          </cell>
          <cell r="P248">
            <v>51750</v>
          </cell>
          <cell r="Q248">
            <v>119250</v>
          </cell>
          <cell r="R248">
            <v>79750</v>
          </cell>
          <cell r="S248">
            <v>20</v>
          </cell>
          <cell r="T248" t="str">
            <v>S</v>
          </cell>
          <cell r="U248">
            <v>0.12</v>
          </cell>
          <cell r="V248" t="str">
            <v>مصنع الكوب الذهبي للمنتجات الورقية</v>
          </cell>
          <cell r="W248">
            <v>9570</v>
          </cell>
          <cell r="X248">
            <v>8100</v>
          </cell>
          <cell r="Z248" t="str">
            <v>PM-00291</v>
          </cell>
          <cell r="AA248" t="str">
            <v>lids Cups Wide NAMQ with stick اغطية اكواب القهوة فتحة واسعة - نمق</v>
          </cell>
          <cell r="AB248" t="str">
            <v>PM-00291</v>
          </cell>
          <cell r="AC248" t="str">
            <v>lids Cups Wide NAMQ with stick اغطية اكواب القهوة فتحة واسعة - نمق</v>
          </cell>
          <cell r="AD248">
            <v>0.1041</v>
          </cell>
          <cell r="AE248" t="str">
            <v>GUANGZHOU MAIBAO PACKAGE CO. LTD</v>
          </cell>
        </row>
        <row r="249">
          <cell r="B249" t="str">
            <v>PM-00247</v>
          </cell>
          <cell r="C249" t="str">
            <v>Pure Drop V60 Filter 02 Coffee Filter	القطرة الصافية فلاتر ترشيح ورقية - مقاس 02</v>
          </cell>
          <cell r="D249" t="str">
            <v>Pure Drop V60 Filter 02 Coffee Filter	القطرة الصافية فلاتر ترشيح ورقية - مقاس 02</v>
          </cell>
          <cell r="E249" t="str">
            <v/>
          </cell>
          <cell r="F249" t="str">
            <v/>
          </cell>
          <cell r="G249" t="str">
            <v>✓</v>
          </cell>
          <cell r="H249" t="str">
            <v/>
          </cell>
          <cell r="I249" t="str">
            <v/>
          </cell>
          <cell r="J249" t="str">
            <v/>
          </cell>
          <cell r="K249">
            <v>1</v>
          </cell>
          <cell r="L249">
            <v>57.499999999999993</v>
          </cell>
          <cell r="N249">
            <v>0</v>
          </cell>
          <cell r="O249">
            <v>0</v>
          </cell>
          <cell r="P249">
            <v>19.166666666666664</v>
          </cell>
          <cell r="Q249">
            <v>76.666666666666657</v>
          </cell>
          <cell r="R249">
            <v>76.666666666666657</v>
          </cell>
          <cell r="S249">
            <v>7</v>
          </cell>
          <cell r="T249" t="str">
            <v>A</v>
          </cell>
          <cell r="V249" t="str">
            <v>12 Cups Ltd شركة اثنى عشر كوب المحدوده</v>
          </cell>
          <cell r="W249">
            <v>0</v>
          </cell>
          <cell r="X249">
            <v>0</v>
          </cell>
          <cell r="Z249" t="str">
            <v>PM-00247</v>
          </cell>
          <cell r="AA249" t="str">
            <v>Pure Drop V60 Filter 02 Coffee Filter القطرة الصافية فلاتر ترشيح ورقية - مقاس 02</v>
          </cell>
          <cell r="AB249" t="str">
            <v>PM-00247</v>
          </cell>
          <cell r="AC249" t="str">
            <v>Pure Drop V60 Filter 02 Coffee Filter	القطرة الصافية فلاتر ترشيح ورقية - مقاس 02</v>
          </cell>
          <cell r="AD249">
            <v>0</v>
          </cell>
          <cell r="AE249" t="str">
            <v>12 Cups Ltd شركة اثنى عشر كوب المحدوده</v>
          </cell>
        </row>
        <row r="250">
          <cell r="B250" t="str">
            <v>PM-00230</v>
          </cell>
          <cell r="C250" t="str">
            <v>Cafec V60 Filter 01 Coffee Filter كافيك فلاتر ترشيح ورقية - مقاس 01</v>
          </cell>
          <cell r="D250" t="str">
            <v>Cafec V60 01 Coffee Filter فلتر كافيك ورقي في 60 01</v>
          </cell>
          <cell r="E250" t="str">
            <v/>
          </cell>
          <cell r="F250" t="str">
            <v/>
          </cell>
          <cell r="G250" t="str">
            <v>✓</v>
          </cell>
          <cell r="H250" t="str">
            <v/>
          </cell>
          <cell r="I250" t="str">
            <v/>
          </cell>
          <cell r="J250" t="str">
            <v/>
          </cell>
          <cell r="K250">
            <v>1</v>
          </cell>
          <cell r="L250">
            <v>11500</v>
          </cell>
          <cell r="N250">
            <v>24000</v>
          </cell>
          <cell r="O250">
            <v>62.608695652173914</v>
          </cell>
          <cell r="P250">
            <v>3833.333333333333</v>
          </cell>
          <cell r="Q250">
            <v>15333.333333333332</v>
          </cell>
          <cell r="R250">
            <v>0</v>
          </cell>
          <cell r="S250">
            <v>7</v>
          </cell>
          <cell r="T250" t="str">
            <v>A</v>
          </cell>
          <cell r="V250" t="str">
            <v>12 Cups Ltd شركة اثنى عشر كوب المحدوده</v>
          </cell>
          <cell r="W250">
            <v>0</v>
          </cell>
          <cell r="X250">
            <v>0</v>
          </cell>
          <cell r="Z250" t="str">
            <v>PM-00230</v>
          </cell>
          <cell r="AA250" t="str">
            <v>Cafec V60 Filter 01 Coffee Filter كافيك فلاتر ترشيح ورقية - مقاس 01</v>
          </cell>
          <cell r="AB250" t="str">
            <v>PM-00230</v>
          </cell>
          <cell r="AC250" t="str">
            <v>Cafec V60 Filter 01 Coffee Filter كافيك فلاتر ترشيح ورقية - مقاس 01</v>
          </cell>
          <cell r="AD250">
            <v>0</v>
          </cell>
          <cell r="AE250" t="str">
            <v>12 Cups Ltd شركة اثنى عشر كوب المحدوده</v>
          </cell>
        </row>
        <row r="251">
          <cell r="B251" t="str">
            <v>PM-00511</v>
          </cell>
          <cell r="C251" t="str">
            <v>بوكس بريهانت ( الاصدار الجديد ) | Breehant Box ( New Version )</v>
          </cell>
          <cell r="D251" t="str">
            <v>Breehant Divider box for crops</v>
          </cell>
          <cell r="E251" t="str">
            <v/>
          </cell>
          <cell r="F251" t="str">
            <v/>
          </cell>
          <cell r="G251" t="str">
            <v>✓</v>
          </cell>
          <cell r="H251" t="str">
            <v/>
          </cell>
          <cell r="I251" t="str">
            <v/>
          </cell>
          <cell r="J251" t="str">
            <v/>
          </cell>
          <cell r="K251">
            <v>1</v>
          </cell>
          <cell r="L251">
            <v>650</v>
          </cell>
          <cell r="N251">
            <v>1300</v>
          </cell>
          <cell r="O251">
            <v>60</v>
          </cell>
          <cell r="P251">
            <v>498.33333333333337</v>
          </cell>
          <cell r="Q251">
            <v>1148.3333333333335</v>
          </cell>
          <cell r="R251">
            <v>0</v>
          </cell>
          <cell r="S251">
            <v>20</v>
          </cell>
          <cell r="T251" t="str">
            <v>A</v>
          </cell>
          <cell r="V251" t="str">
            <v>شركة الاوراق الذهبية الصناعية</v>
          </cell>
          <cell r="W251">
            <v>0</v>
          </cell>
          <cell r="X251">
            <v>0</v>
          </cell>
          <cell r="Z251" t="str">
            <v>PM-00511</v>
          </cell>
          <cell r="AA251" t="str">
            <v>بوكس بريهانت  ( الاصدار الجديد ) | Breehant Box ( New Version )</v>
          </cell>
          <cell r="AB251" t="str">
            <v>PM-00511</v>
          </cell>
          <cell r="AC251" t="str">
            <v>بوكس بريهانت ( الاصدار الجديد ) | Breehant Box ( New Version )</v>
          </cell>
          <cell r="AD251">
            <v>8</v>
          </cell>
          <cell r="AE251" t="str">
            <v>شركة مطابع الأمل الحديثة</v>
          </cell>
        </row>
        <row r="252">
          <cell r="B252" t="str">
            <v>PM-00071</v>
          </cell>
          <cell r="C252" t="str">
            <v>Coffee Beans Assembley box SETكرتون محاصيل مجمعه بريهانت</v>
          </cell>
          <cell r="D252" t="str">
            <v>Coffee Beans Swip Boxكرتون محاصيل سحب</v>
          </cell>
          <cell r="E252" t="str">
            <v/>
          </cell>
          <cell r="F252" t="str">
            <v/>
          </cell>
          <cell r="G252" t="str">
            <v/>
          </cell>
          <cell r="H252" t="str">
            <v/>
          </cell>
          <cell r="I252" t="str">
            <v/>
          </cell>
          <cell r="J252" t="str">
            <v/>
          </cell>
          <cell r="K252">
            <v>0</v>
          </cell>
          <cell r="L252">
            <v>2300</v>
          </cell>
          <cell r="N252">
            <v>400</v>
          </cell>
          <cell r="O252">
            <v>5.2173913043478262</v>
          </cell>
          <cell r="P252">
            <v>766.66666666666663</v>
          </cell>
          <cell r="Q252">
            <v>3066.6666666666665</v>
          </cell>
          <cell r="R252">
            <v>2666.6666666666665</v>
          </cell>
          <cell r="S252">
            <v>7</v>
          </cell>
          <cell r="T252" t="str">
            <v>A</v>
          </cell>
          <cell r="U252">
            <v>1.4</v>
          </cell>
          <cell r="V252" t="str">
            <v>شركة الاوراق الذهبية الصناعية</v>
          </cell>
          <cell r="W252">
            <v>3733.333333333333</v>
          </cell>
          <cell r="X252">
            <v>3220</v>
          </cell>
          <cell r="Z252" t="str">
            <v>PM-00132</v>
          </cell>
          <cell r="AA252" t="str">
            <v>Coffee Beans Drawer Box كرتون محاصيل سحاب</v>
          </cell>
          <cell r="AB252" t="str">
            <v>PM-00071</v>
          </cell>
          <cell r="AC252" t="str">
            <v>Coffee Beans Assembley box SETكرتون محاصيل مجمعه بريهانت</v>
          </cell>
          <cell r="AD252">
            <v>1.4</v>
          </cell>
          <cell r="AE252" t="str">
            <v>شركة الاوراق الذهبية الصناعية</v>
          </cell>
        </row>
        <row r="253">
          <cell r="B253" t="str">
            <v>PM-00115</v>
          </cell>
          <cell r="C253" t="str">
            <v>كرتون بريهانت شحن مطبوع مقاس 50* 50*50 - 5طبقات BREEHANT Printed Shipping Carton 50*50*50 - 5 Layers</v>
          </cell>
          <cell r="D253" t="str">
            <v>كرتون بريهانت 50*50*50</v>
          </cell>
          <cell r="E253" t="str">
            <v/>
          </cell>
          <cell r="F253" t="str">
            <v/>
          </cell>
          <cell r="G253" t="str">
            <v>✓</v>
          </cell>
          <cell r="H253" t="str">
            <v/>
          </cell>
          <cell r="I253" t="str">
            <v/>
          </cell>
          <cell r="J253" t="str">
            <v/>
          </cell>
          <cell r="K253">
            <v>1</v>
          </cell>
          <cell r="L253">
            <v>575</v>
          </cell>
          <cell r="N253">
            <v>2480</v>
          </cell>
          <cell r="O253">
            <v>129.39130434782609</v>
          </cell>
          <cell r="P253">
            <v>632.5</v>
          </cell>
          <cell r="Q253">
            <v>1207.5</v>
          </cell>
          <cell r="R253">
            <v>0</v>
          </cell>
          <cell r="S253">
            <v>30</v>
          </cell>
          <cell r="T253" t="str">
            <v>A</v>
          </cell>
          <cell r="U253">
            <v>5.4</v>
          </cell>
          <cell r="V253" t="str">
            <v>شركة مصنع الذييب باك</v>
          </cell>
          <cell r="W253">
            <v>0</v>
          </cell>
          <cell r="X253">
            <v>3105</v>
          </cell>
          <cell r="Z253" t="str">
            <v>PM-00115</v>
          </cell>
          <cell r="AA253" t="str">
            <v>كرتون بريهانت شحن مطبوع مقاس 50* 50*50 - 5طبقات BREEHANT Printed Shipping Carton 50*50*50 - 5 Layers</v>
          </cell>
          <cell r="AB253" t="str">
            <v>PM-00115</v>
          </cell>
          <cell r="AC253" t="str">
            <v>كرتون بريهانت شحن مطبوع مقاس 50* 50*50 - 5طبقات BREEHANT Printed Shipping Carton 50*50*50 - 5 Layers</v>
          </cell>
          <cell r="AD253">
            <v>5.4</v>
          </cell>
          <cell r="AE253" t="str">
            <v>شركة مصنع الذييب باك</v>
          </cell>
        </row>
        <row r="254">
          <cell r="B254" t="str">
            <v>PM-00069</v>
          </cell>
          <cell r="C254" t="str">
            <v>Box Filter Drip Breehant كرتون فلتر التقطير بريهانت</v>
          </cell>
          <cell r="D254" t="str">
            <v>Box Filter Drip Breehant كرتون فلتر التقطير بريهانت</v>
          </cell>
          <cell r="E254" t="str">
            <v/>
          </cell>
          <cell r="F254" t="str">
            <v/>
          </cell>
          <cell r="G254" t="str">
            <v>✓</v>
          </cell>
          <cell r="H254" t="str">
            <v/>
          </cell>
          <cell r="I254" t="str">
            <v/>
          </cell>
          <cell r="J254" t="str">
            <v/>
          </cell>
          <cell r="K254">
            <v>1</v>
          </cell>
          <cell r="L254">
            <v>12156</v>
          </cell>
          <cell r="N254">
            <v>13500</v>
          </cell>
          <cell r="O254">
            <v>33.316880552813423</v>
          </cell>
          <cell r="P254">
            <v>9319.6</v>
          </cell>
          <cell r="Q254">
            <v>21475.599999999999</v>
          </cell>
          <cell r="R254">
            <v>7975.5999999999985</v>
          </cell>
          <cell r="S254">
            <v>20</v>
          </cell>
          <cell r="T254" t="str">
            <v>A</v>
          </cell>
          <cell r="U254">
            <v>0.45</v>
          </cell>
          <cell r="V254" t="str">
            <v>شركة مطابع الأمل الحديثة</v>
          </cell>
          <cell r="W254">
            <v>3589.0199999999995</v>
          </cell>
          <cell r="X254">
            <v>5470.2</v>
          </cell>
          <cell r="Z254" t="str">
            <v>PM-00069</v>
          </cell>
          <cell r="AA254" t="str">
            <v>Box Filter Drip Breehant كرتون فلتر التقطير بريهانت</v>
          </cell>
          <cell r="AB254" t="str">
            <v>PM-00069</v>
          </cell>
          <cell r="AC254" t="str">
            <v>Box Filter Drip Breehant كرتون فلتر التقطير بريهانت</v>
          </cell>
          <cell r="AD254">
            <v>0.5</v>
          </cell>
          <cell r="AE254" t="str">
            <v>شركة مطابع الأمل الحديثة</v>
          </cell>
        </row>
        <row r="255">
          <cell r="B255" t="str">
            <v>PM-00567</v>
          </cell>
          <cell r="C255" t="str">
            <v>بوكس الاظرف (هارد كفر + بلاستيك) نمق Box for Drip Coffee Sachets (Hard Cover + Plastic)</v>
          </cell>
          <cell r="D255" t="str">
            <v>بوكس الاظرف (هارد كفر + بلاستيك) نمق Box for Drip Coffee Sachets (Hard Cover + Plastic)</v>
          </cell>
          <cell r="E255" t="str">
            <v/>
          </cell>
          <cell r="F255" t="str">
            <v/>
          </cell>
          <cell r="G255" t="str">
            <v>✓</v>
          </cell>
          <cell r="H255" t="str">
            <v/>
          </cell>
          <cell r="I255" t="str">
            <v/>
          </cell>
          <cell r="J255" t="str">
            <v/>
          </cell>
          <cell r="K255">
            <v>1</v>
          </cell>
          <cell r="L255">
            <v>5000</v>
          </cell>
          <cell r="N255">
            <v>23800</v>
          </cell>
          <cell r="O255">
            <v>142.79999999999998</v>
          </cell>
          <cell r="P255">
            <v>18000</v>
          </cell>
          <cell r="Q255">
            <v>23000</v>
          </cell>
          <cell r="R255">
            <v>0</v>
          </cell>
          <cell r="S255">
            <v>105</v>
          </cell>
          <cell r="T255" t="str">
            <v>S</v>
          </cell>
          <cell r="U255">
            <v>0.45</v>
          </cell>
          <cell r="V255" t="str">
            <v>شركة مطابع الأمل الحديثة</v>
          </cell>
          <cell r="W255">
            <v>0</v>
          </cell>
          <cell r="X255">
            <v>2250</v>
          </cell>
          <cell r="Z255" t="str">
            <v>PM-00567</v>
          </cell>
          <cell r="AA255" t="str">
            <v>بوكس الاظرف (هارد كفر + بلاستيك) نمق Box for Drip Coffee Sachets (Hard Cover + Plastic)</v>
          </cell>
          <cell r="AB255" t="str">
            <v>PM-00567</v>
          </cell>
          <cell r="AC255" t="str">
            <v>بوكس الاظرف (هارد كفر + بلاستيك) نمق Box for Drip Coffee Sachets (Hard Cover + Plastic)</v>
          </cell>
          <cell r="AD255">
            <v>0.76929999999999998</v>
          </cell>
          <cell r="AE255" t="str">
            <v>GUANGZHOU MAIBAO PACKAGE CO. LTD</v>
          </cell>
        </row>
        <row r="256">
          <cell r="B256" t="str">
            <v>PM-00646</v>
          </cell>
          <cell r="C256" t="str">
            <v>كرتون شحن أفولا وسط | Avola shipping box M</v>
          </cell>
          <cell r="D256" t="str">
            <v>كرتون شحن أفولا وسط | Avola shipping box M</v>
          </cell>
          <cell r="E256" t="str">
            <v/>
          </cell>
          <cell r="F256" t="str">
            <v/>
          </cell>
          <cell r="G256" t="str">
            <v>✓</v>
          </cell>
          <cell r="H256" t="str">
            <v/>
          </cell>
          <cell r="I256" t="str">
            <v>✓</v>
          </cell>
          <cell r="J256" t="str">
            <v/>
          </cell>
          <cell r="K256">
            <v>2</v>
          </cell>
          <cell r="L256">
            <v>1000</v>
          </cell>
          <cell r="N256">
            <v>200</v>
          </cell>
          <cell r="O256">
            <v>6</v>
          </cell>
          <cell r="P256">
            <v>1100</v>
          </cell>
          <cell r="Q256">
            <v>2100</v>
          </cell>
          <cell r="R256">
            <v>1900</v>
          </cell>
          <cell r="S256">
            <v>30</v>
          </cell>
          <cell r="T256" t="str">
            <v>A</v>
          </cell>
          <cell r="U256">
            <v>2.15</v>
          </cell>
          <cell r="V256" t="str">
            <v>شركة مصنع الذييب باك</v>
          </cell>
          <cell r="W256">
            <v>4085</v>
          </cell>
          <cell r="X256">
            <v>2150</v>
          </cell>
          <cell r="Z256" t="str">
            <v>PM-00646</v>
          </cell>
          <cell r="AA256" t="str">
            <v>كرتون شحن أفولا وسط | Avola shipping box M</v>
          </cell>
          <cell r="AB256" t="str">
            <v>PM-00646</v>
          </cell>
          <cell r="AC256" t="str">
            <v>كرتون شحن أفولا وسط | Avola shipping box M</v>
          </cell>
          <cell r="AD256">
            <v>2.15</v>
          </cell>
          <cell r="AE256" t="str">
            <v>شركة مصنع الذييب باك</v>
          </cell>
        </row>
        <row r="257">
          <cell r="B257" t="str">
            <v>PM-00084</v>
          </cell>
          <cell r="C257" t="str">
            <v>Breehant Empty Middle Box كرتون بريهانت وسط</v>
          </cell>
          <cell r="D257" t="str">
            <v>Breehant Empty Middle Box	كرتون بريهانت وسط</v>
          </cell>
          <cell r="E257" t="str">
            <v/>
          </cell>
          <cell r="F257" t="str">
            <v/>
          </cell>
          <cell r="G257" t="str">
            <v>✓</v>
          </cell>
          <cell r="H257" t="str">
            <v/>
          </cell>
          <cell r="I257" t="str">
            <v/>
          </cell>
          <cell r="J257" t="str">
            <v/>
          </cell>
          <cell r="K257">
            <v>1</v>
          </cell>
          <cell r="L257">
            <v>5175</v>
          </cell>
          <cell r="N257">
            <v>0</v>
          </cell>
          <cell r="O257">
            <v>0</v>
          </cell>
          <cell r="P257">
            <v>3967.5000000000005</v>
          </cell>
          <cell r="Q257">
            <v>9142.5</v>
          </cell>
          <cell r="R257">
            <v>9142.5</v>
          </cell>
          <cell r="S257">
            <v>20</v>
          </cell>
          <cell r="T257" t="str">
            <v>A</v>
          </cell>
          <cell r="U257">
            <v>2.15</v>
          </cell>
          <cell r="V257" t="str">
            <v>شركة مصنع الذييب باك</v>
          </cell>
          <cell r="W257">
            <v>19656.375</v>
          </cell>
          <cell r="X257">
            <v>11126.25</v>
          </cell>
          <cell r="Z257" t="str">
            <v>PM-00084</v>
          </cell>
          <cell r="AA257" t="str">
            <v>Breehant Empty Middle Box كرتون بريهانت وسط</v>
          </cell>
          <cell r="AB257" t="str">
            <v>PM-00084</v>
          </cell>
          <cell r="AC257" t="str">
            <v>Breehant Empty Middle Box كرتون بريهانت وسط</v>
          </cell>
          <cell r="AD257">
            <v>2.15</v>
          </cell>
          <cell r="AE257" t="str">
            <v>شركة مصنع الذييب باك</v>
          </cell>
        </row>
        <row r="258">
          <cell r="B258" t="str">
            <v>PM-00097</v>
          </cell>
          <cell r="C258" t="str">
            <v>Breehant Empty Small Box كرتون بريهانت صغير</v>
          </cell>
          <cell r="D258" t="str">
            <v>Breehant Empty Small Box	كرتون بريهانت صغير</v>
          </cell>
          <cell r="E258" t="str">
            <v/>
          </cell>
          <cell r="F258" t="str">
            <v/>
          </cell>
          <cell r="G258" t="str">
            <v>✓</v>
          </cell>
          <cell r="H258" t="str">
            <v/>
          </cell>
          <cell r="I258" t="str">
            <v/>
          </cell>
          <cell r="J258" t="str">
            <v/>
          </cell>
          <cell r="K258">
            <v>1</v>
          </cell>
          <cell r="L258">
            <v>1839.9999999999998</v>
          </cell>
          <cell r="N258">
            <v>2500</v>
          </cell>
          <cell r="O258">
            <v>40.760869565217398</v>
          </cell>
          <cell r="P258">
            <v>1410.6666666666665</v>
          </cell>
          <cell r="Q258">
            <v>3250.6666666666661</v>
          </cell>
          <cell r="R258">
            <v>750.66666666666606</v>
          </cell>
          <cell r="S258">
            <v>20</v>
          </cell>
          <cell r="T258" t="str">
            <v>A</v>
          </cell>
          <cell r="U258">
            <v>1.85</v>
          </cell>
          <cell r="V258" t="str">
            <v>شركة مصنع الذييب باك</v>
          </cell>
          <cell r="W258">
            <v>1388.7333333333322</v>
          </cell>
          <cell r="X258">
            <v>3403.9999999999995</v>
          </cell>
          <cell r="Z258" t="str">
            <v>PM-00097</v>
          </cell>
          <cell r="AA258" t="str">
            <v>Breehant Empty Small Box كرتون بريهانت صغير</v>
          </cell>
          <cell r="AB258" t="str">
            <v>PM-00097</v>
          </cell>
          <cell r="AC258" t="str">
            <v>Breehant Empty Small Box كرتون بريهانت صغير</v>
          </cell>
          <cell r="AD258">
            <v>2.75</v>
          </cell>
          <cell r="AE258" t="str">
            <v>شركة مصنع الذييب باك</v>
          </cell>
        </row>
        <row r="259">
          <cell r="B259" t="str">
            <v>PM-00067</v>
          </cell>
          <cell r="C259" t="str">
            <v>Breehant Empty Box WholeSales كرتون بريهانت  الجملة</v>
          </cell>
          <cell r="D259" t="str">
            <v>كرتون بريهانت الجملة</v>
          </cell>
          <cell r="E259" t="str">
            <v/>
          </cell>
          <cell r="F259" t="str">
            <v/>
          </cell>
          <cell r="G259" t="str">
            <v>✓</v>
          </cell>
          <cell r="H259" t="str">
            <v/>
          </cell>
          <cell r="I259" t="str">
            <v/>
          </cell>
          <cell r="J259" t="str">
            <v/>
          </cell>
          <cell r="K259">
            <v>1</v>
          </cell>
          <cell r="L259">
            <v>2000</v>
          </cell>
          <cell r="N259">
            <v>3720</v>
          </cell>
          <cell r="O259">
            <v>55.800000000000004</v>
          </cell>
          <cell r="P259">
            <v>1533.3333333333335</v>
          </cell>
          <cell r="Q259">
            <v>3533.3333333333335</v>
          </cell>
          <cell r="R259">
            <v>0</v>
          </cell>
          <cell r="S259">
            <v>20</v>
          </cell>
          <cell r="T259" t="str">
            <v>A</v>
          </cell>
          <cell r="U259">
            <v>3.95</v>
          </cell>
          <cell r="V259" t="str">
            <v>شركة مصنع الذييب باك</v>
          </cell>
          <cell r="W259">
            <v>0</v>
          </cell>
          <cell r="X259">
            <v>7900</v>
          </cell>
          <cell r="Z259" t="str">
            <v>PM-00067</v>
          </cell>
          <cell r="AA259" t="str">
            <v>Breehant Empty Box WholeSales كرتون بريهانت  الجملة</v>
          </cell>
          <cell r="AB259" t="str">
            <v>PM-00067</v>
          </cell>
          <cell r="AC259" t="str">
            <v>Breehant Empty Box WholeSales كرتون بريهانت  الجملة</v>
          </cell>
          <cell r="AD259">
            <v>3.95</v>
          </cell>
          <cell r="AE259" t="str">
            <v>شركة مصنع الذييب باك</v>
          </cell>
        </row>
        <row r="260">
          <cell r="B260" t="str">
            <v>PM-00536</v>
          </cell>
          <cell r="C260" t="str">
            <v>Circular Crop Sample Box (Breehant) - بوكس عينات المحاصيل الدائري (بريهانت)</v>
          </cell>
          <cell r="D260" t="str">
            <v>بوكس العينات الدائري</v>
          </cell>
          <cell r="E260" t="str">
            <v/>
          </cell>
          <cell r="F260" t="str">
            <v/>
          </cell>
          <cell r="G260" t="str">
            <v>✓</v>
          </cell>
          <cell r="H260" t="str">
            <v/>
          </cell>
          <cell r="I260" t="str">
            <v/>
          </cell>
          <cell r="J260" t="str">
            <v/>
          </cell>
          <cell r="K260">
            <v>1</v>
          </cell>
          <cell r="L260">
            <v>2000</v>
          </cell>
          <cell r="N260">
            <v>5400</v>
          </cell>
          <cell r="O260">
            <v>81</v>
          </cell>
          <cell r="P260">
            <v>1533.3333333333335</v>
          </cell>
          <cell r="Q260">
            <v>3533.3333333333335</v>
          </cell>
          <cell r="R260">
            <v>0</v>
          </cell>
          <cell r="S260">
            <v>20</v>
          </cell>
          <cell r="T260" t="str">
            <v>A</v>
          </cell>
          <cell r="U260">
            <v>7.2149999999999999</v>
          </cell>
          <cell r="V260" t="str">
            <v>GUANGZHOU MAIBAO PACKAGE CO. LTD</v>
          </cell>
          <cell r="W260">
            <v>0</v>
          </cell>
          <cell r="X260">
            <v>14430</v>
          </cell>
          <cell r="Z260" t="str">
            <v>PM-00536</v>
          </cell>
          <cell r="AA260" t="str">
            <v>Circular Crop Sample Box (Breehant) - بوكس عينات المحاصيل الدائري (بريهانت)</v>
          </cell>
          <cell r="AB260" t="str">
            <v>PM-00536</v>
          </cell>
          <cell r="AC260" t="str">
            <v>Circular Crop Sample Box (Breehant) - بوكس عينات المحاصيل الدائري (بريهانت)</v>
          </cell>
          <cell r="AD260">
            <v>7.2149999999999999</v>
          </cell>
          <cell r="AE260" t="str">
            <v>GUANGZHOU MAIBAO PACKAGE CO. LTD</v>
          </cell>
        </row>
        <row r="261">
          <cell r="B261" t="str">
            <v>PM-00607</v>
          </cell>
          <cell r="C261" t="str">
            <v>بوكس هارد كفر للمحاصيل الفاخرة Hardcover box for premium harvest products</v>
          </cell>
          <cell r="D261" t="str">
            <v>البوكس الفاخر</v>
          </cell>
          <cell r="E261" t="str">
            <v/>
          </cell>
          <cell r="F261" t="str">
            <v/>
          </cell>
          <cell r="G261" t="str">
            <v>✓</v>
          </cell>
          <cell r="H261" t="str">
            <v/>
          </cell>
          <cell r="I261" t="str">
            <v/>
          </cell>
          <cell r="J261" t="str">
            <v/>
          </cell>
          <cell r="K261">
            <v>1</v>
          </cell>
          <cell r="L261">
            <v>2200</v>
          </cell>
          <cell r="M261" t="str">
            <v>Revew Code</v>
          </cell>
          <cell r="N261">
            <v>0</v>
          </cell>
          <cell r="O261">
            <v>0</v>
          </cell>
          <cell r="P261">
            <v>1686.6666666666667</v>
          </cell>
          <cell r="Q261">
            <v>3886.666666666667</v>
          </cell>
          <cell r="R261">
            <v>3886.666666666667</v>
          </cell>
          <cell r="S261">
            <v>20</v>
          </cell>
          <cell r="T261" t="str">
            <v>A</v>
          </cell>
          <cell r="U261">
            <v>4.5</v>
          </cell>
          <cell r="V261" t="str">
            <v>مطابع عبدالمجيد عبدلله الفارس للطباعة</v>
          </cell>
          <cell r="W261">
            <v>17490</v>
          </cell>
          <cell r="X261">
            <v>9900</v>
          </cell>
          <cell r="Z261" t="str">
            <v>PM-00607</v>
          </cell>
          <cell r="AA261" t="str">
            <v>بوكس هارد كفر للمحاصيل الفاخرة Hardcover box for premium harvest products</v>
          </cell>
          <cell r="AB261" t="str">
            <v>PM-00607</v>
          </cell>
          <cell r="AC261" t="str">
            <v>بوكس هارد كفر للمحاصيل الفاخرة Hardcover box for premium harvest products</v>
          </cell>
          <cell r="AD261">
            <v>5</v>
          </cell>
          <cell r="AE261" t="str">
            <v>شركة مطابع الأمل الحديثة</v>
          </cell>
        </row>
        <row r="262">
          <cell r="B262" t="str">
            <v>PM-00701</v>
          </cell>
          <cell r="C262" t="str">
            <v>بوكس اليوم || Today's Box</v>
          </cell>
          <cell r="D262" t="str">
            <v>بوكس اليوم</v>
          </cell>
          <cell r="E262" t="str">
            <v/>
          </cell>
          <cell r="F262" t="str">
            <v/>
          </cell>
          <cell r="G262" t="str">
            <v>✓</v>
          </cell>
          <cell r="H262" t="str">
            <v/>
          </cell>
          <cell r="I262" t="str">
            <v/>
          </cell>
          <cell r="J262" t="str">
            <v/>
          </cell>
          <cell r="K262">
            <v>1</v>
          </cell>
          <cell r="L262">
            <v>2000</v>
          </cell>
          <cell r="N262">
            <v>2000</v>
          </cell>
          <cell r="O262">
            <v>30</v>
          </cell>
          <cell r="P262">
            <v>1533.3333333333335</v>
          </cell>
          <cell r="Q262">
            <v>3533.3333333333335</v>
          </cell>
          <cell r="R262">
            <v>1533.3333333333335</v>
          </cell>
          <cell r="S262">
            <v>20</v>
          </cell>
          <cell r="T262" t="str">
            <v>A</v>
          </cell>
          <cell r="U262">
            <v>4</v>
          </cell>
          <cell r="V262" t="str">
            <v>شركة مطابع الأمل الحديثة</v>
          </cell>
          <cell r="W262">
            <v>6133.3333333333339</v>
          </cell>
          <cell r="X262">
            <v>8000</v>
          </cell>
          <cell r="Z262" t="str">
            <v>PM-00701</v>
          </cell>
          <cell r="AA262" t="str">
            <v>بوكس اليوم || Today's Box</v>
          </cell>
          <cell r="AB262" t="str">
            <v>PM-00701</v>
          </cell>
          <cell r="AC262" t="str">
            <v>بوكس اليوم || Today's Box</v>
          </cell>
          <cell r="AD262">
            <v>4</v>
          </cell>
          <cell r="AE262" t="str">
            <v>شركة مطابع الأمل الحديثة</v>
          </cell>
        </row>
        <row r="263">
          <cell r="B263" t="str">
            <v>CO-00154</v>
          </cell>
          <cell r="C263" t="str">
            <v>wrapping paper Alnqawah Box ( BREEHANT ) ورق تغليف بوكس النقاوه ( بريهانت )</v>
          </cell>
          <cell r="D263" t="str">
            <v>BREEHANT box wrapping paper, size 22cm * 69cm ورق تغليف بوكسات بريهانت مقاس 22سم</v>
          </cell>
          <cell r="E263" t="str">
            <v/>
          </cell>
          <cell r="F263" t="str">
            <v/>
          </cell>
          <cell r="G263" t="str">
            <v>✓</v>
          </cell>
          <cell r="H263" t="str">
            <v/>
          </cell>
          <cell r="I263" t="str">
            <v/>
          </cell>
          <cell r="J263" t="str">
            <v/>
          </cell>
          <cell r="K263">
            <v>1</v>
          </cell>
          <cell r="L263">
            <v>1500</v>
          </cell>
          <cell r="N263">
            <v>0</v>
          </cell>
          <cell r="O263">
            <v>0</v>
          </cell>
          <cell r="P263">
            <v>500</v>
          </cell>
          <cell r="Q263">
            <v>2000</v>
          </cell>
          <cell r="R263">
            <v>2000</v>
          </cell>
          <cell r="S263">
            <v>7</v>
          </cell>
          <cell r="T263" t="str">
            <v>A</v>
          </cell>
          <cell r="V263" t="str">
            <v>شركة مطابع الأمل الحديثة</v>
          </cell>
          <cell r="W263">
            <v>0</v>
          </cell>
          <cell r="X263">
            <v>0</v>
          </cell>
          <cell r="Z263" t="str">
            <v>CO-00154</v>
          </cell>
          <cell r="AA263" t="str">
            <v>wrapping paper Alnqawah Box ( BREEHANT ) ورق تغليف بوكس النقاوه ( بريهانت )</v>
          </cell>
          <cell r="AB263" t="str">
            <v>CO-00154</v>
          </cell>
          <cell r="AC263" t="str">
            <v>wrapping paper Alnqawah Box ( BREEHANT ) ورق تغليف بوكس النقاوه ( بريهانت )</v>
          </cell>
          <cell r="AD263">
            <v>0</v>
          </cell>
          <cell r="AE263" t="str">
            <v>شركة مطابع الأمل الحديثة</v>
          </cell>
        </row>
        <row r="264">
          <cell r="B264" t="str">
            <v>PM-00109</v>
          </cell>
          <cell r="C264" t="str">
            <v>Matcha envelope Box ( BREEHANT ) بوكس اظرف الماتشا ( بريهانت )</v>
          </cell>
          <cell r="D264" t="str">
            <v>بوكس الماتشا سريعة التحضير</v>
          </cell>
          <cell r="E264" t="str">
            <v/>
          </cell>
          <cell r="F264" t="str">
            <v/>
          </cell>
          <cell r="G264" t="str">
            <v>✓</v>
          </cell>
          <cell r="H264" t="str">
            <v/>
          </cell>
          <cell r="I264" t="str">
            <v/>
          </cell>
          <cell r="J264" t="str">
            <v/>
          </cell>
          <cell r="K264">
            <v>1</v>
          </cell>
          <cell r="L264">
            <v>1150</v>
          </cell>
          <cell r="N264">
            <v>0</v>
          </cell>
          <cell r="O264">
            <v>0</v>
          </cell>
          <cell r="P264">
            <v>383.33333333333331</v>
          </cell>
          <cell r="Q264">
            <v>1533.3333333333333</v>
          </cell>
          <cell r="R264">
            <v>1533.3333333333333</v>
          </cell>
          <cell r="S264">
            <v>7</v>
          </cell>
          <cell r="T264" t="str">
            <v>A</v>
          </cell>
          <cell r="V264" t="str">
            <v>شركة الاوراق الذهبية الصناعية</v>
          </cell>
          <cell r="W264">
            <v>0</v>
          </cell>
          <cell r="X264">
            <v>0</v>
          </cell>
          <cell r="Z264" t="str">
            <v>PM-00109</v>
          </cell>
          <cell r="AA264" t="str">
            <v>Matcha envelope Box ( BREEHANT ) بوكس اظرف الماتشا ( بريهانت )</v>
          </cell>
          <cell r="AB264" t="str">
            <v>PM-00109</v>
          </cell>
          <cell r="AC264" t="str">
            <v>Matcha envelope Box ( BREEHANT ) بوكس اظرف الماتشا ( بريهانت )</v>
          </cell>
          <cell r="AD264">
            <v>0</v>
          </cell>
          <cell r="AE264" t="str">
            <v>شركة الاوراق الذهبية الصناعية</v>
          </cell>
        </row>
        <row r="265">
          <cell r="B265" t="str">
            <v>PM-00858</v>
          </cell>
          <cell r="C265" t="str">
            <v>Alnqawah Box ( BREEHANT ) بوكس النقاوة ( بريهانت )</v>
          </cell>
          <cell r="D265" t="str">
            <v>بوكس النقاوه</v>
          </cell>
          <cell r="E265" t="str">
            <v/>
          </cell>
          <cell r="F265" t="str">
            <v/>
          </cell>
          <cell r="G265" t="str">
            <v/>
          </cell>
          <cell r="H265" t="str">
            <v/>
          </cell>
          <cell r="I265" t="str">
            <v/>
          </cell>
          <cell r="J265" t="str">
            <v/>
          </cell>
          <cell r="K265">
            <v>0</v>
          </cell>
          <cell r="L265">
            <v>1500</v>
          </cell>
          <cell r="N265">
            <v>0</v>
          </cell>
          <cell r="O265">
            <v>0</v>
          </cell>
          <cell r="P265">
            <v>500</v>
          </cell>
          <cell r="Q265">
            <v>2000</v>
          </cell>
          <cell r="R265">
            <v>2000</v>
          </cell>
          <cell r="S265">
            <v>7</v>
          </cell>
          <cell r="T265" t="str">
            <v>A</v>
          </cell>
          <cell r="U265">
            <v>1.36</v>
          </cell>
          <cell r="V265" t="str">
            <v>شركة الاوراق الذهبية الصناعية</v>
          </cell>
          <cell r="W265">
            <v>2720</v>
          </cell>
          <cell r="X265">
            <v>2040.0000000000002</v>
          </cell>
          <cell r="Z265" t="str">
            <v>PM-00858</v>
          </cell>
          <cell r="AA265" t="str">
            <v>Alnqawah Box ( BREEHANT ) بوكس النقاوة ( بريهانت )</v>
          </cell>
          <cell r="AB265" t="str">
            <v>PM-00858</v>
          </cell>
          <cell r="AC265" t="str">
            <v>Alnqawah Box ( BREEHANT ) بوكس النقاوة ( بريهانت )</v>
          </cell>
          <cell r="AD265">
            <v>1.36</v>
          </cell>
          <cell r="AE265" t="str">
            <v>شركة الاوراق الذهبية الصناعية</v>
          </cell>
        </row>
        <row r="266">
          <cell r="B266" t="str">
            <v>PM-00456</v>
          </cell>
          <cell r="C266" t="str">
            <v>box of assorted envelopes بوكس بريهانت الاظرف المتنوعه</v>
          </cell>
          <cell r="D266" t="str">
            <v>بوكس الأظرف المتنوع</v>
          </cell>
          <cell r="E266" t="str">
            <v/>
          </cell>
          <cell r="F266" t="str">
            <v/>
          </cell>
          <cell r="G266" t="str">
            <v>✓</v>
          </cell>
          <cell r="H266" t="str">
            <v/>
          </cell>
          <cell r="I266" t="str">
            <v/>
          </cell>
          <cell r="J266" t="str">
            <v/>
          </cell>
          <cell r="K266">
            <v>1</v>
          </cell>
          <cell r="L266">
            <v>570</v>
          </cell>
          <cell r="N266">
            <v>0</v>
          </cell>
          <cell r="O266">
            <v>0</v>
          </cell>
          <cell r="P266">
            <v>437.00000000000006</v>
          </cell>
          <cell r="Q266">
            <v>1007</v>
          </cell>
          <cell r="R266">
            <v>1007</v>
          </cell>
          <cell r="S266">
            <v>20</v>
          </cell>
          <cell r="T266" t="str">
            <v>A</v>
          </cell>
          <cell r="U266">
            <v>4.5</v>
          </cell>
          <cell r="V266" t="str">
            <v>شركة مطابع الأمل الحديثة</v>
          </cell>
          <cell r="W266">
            <v>4531.5</v>
          </cell>
          <cell r="X266">
            <v>2565</v>
          </cell>
          <cell r="Z266" t="str">
            <v>PM-00456</v>
          </cell>
          <cell r="AA266" t="str">
            <v>box of assorted envelopes بوكس بريهانت الاظرف المتنوعه</v>
          </cell>
          <cell r="AB266" t="str">
            <v>PM-00456</v>
          </cell>
          <cell r="AC266" t="str">
            <v>box of assorted envelopes بوكس بريهانت الاظرف المتنوعه</v>
          </cell>
          <cell r="AD266">
            <v>4.5</v>
          </cell>
          <cell r="AE266" t="str">
            <v>شركة مطابع الأمل الحديثة</v>
          </cell>
        </row>
        <row r="267">
          <cell r="B267" t="str">
            <v>PM-00131</v>
          </cell>
          <cell r="C267" t="str">
            <v>Breehant cups box بوكس اكواب بريهانت</v>
          </cell>
          <cell r="D267" t="str">
            <v>بوكس الاكواب الورقية</v>
          </cell>
          <cell r="E267" t="str">
            <v/>
          </cell>
          <cell r="F267" t="str">
            <v/>
          </cell>
          <cell r="G267" t="str">
            <v>✓</v>
          </cell>
          <cell r="H267" t="str">
            <v/>
          </cell>
          <cell r="I267" t="str">
            <v/>
          </cell>
          <cell r="J267" t="str">
            <v/>
          </cell>
          <cell r="K267">
            <v>1</v>
          </cell>
          <cell r="L267">
            <v>8342</v>
          </cell>
          <cell r="N267">
            <v>0</v>
          </cell>
          <cell r="O267">
            <v>0</v>
          </cell>
          <cell r="P267">
            <v>6395.5333333333338</v>
          </cell>
          <cell r="Q267">
            <v>14737.533333333333</v>
          </cell>
          <cell r="R267">
            <v>14737.533333333333</v>
          </cell>
          <cell r="S267">
            <v>20</v>
          </cell>
          <cell r="T267" t="str">
            <v>A</v>
          </cell>
          <cell r="V267" t="str">
            <v>شركة مطابع الأمل الحديثة</v>
          </cell>
          <cell r="W267">
            <v>0</v>
          </cell>
          <cell r="X267">
            <v>0</v>
          </cell>
          <cell r="Z267" t="str">
            <v>PM-00131</v>
          </cell>
          <cell r="AA267" t="str">
            <v>Breehant Paper cups box بوكس اكواب ورقية بريهانت</v>
          </cell>
          <cell r="AB267" t="str">
            <v>PM-00131</v>
          </cell>
          <cell r="AC267" t="str">
            <v>Breehant cups box بوكس اكواب بريهانت</v>
          </cell>
          <cell r="AD267">
            <v>1.6</v>
          </cell>
          <cell r="AE267" t="str">
            <v>شركة مطابع الأمل الحديثة</v>
          </cell>
        </row>
        <row r="268">
          <cell r="B268" t="str">
            <v>PM-00458</v>
          </cell>
          <cell r="C268" t="str">
            <v>Ceramic cups box بوكس اكواب السراميك (بريهانت)</v>
          </cell>
          <cell r="D268" t="str">
            <v>بوكس الاكواب السراميك</v>
          </cell>
          <cell r="E268" t="str">
            <v/>
          </cell>
          <cell r="F268" t="str">
            <v/>
          </cell>
          <cell r="G268" t="str">
            <v>✓</v>
          </cell>
          <cell r="H268" t="str">
            <v/>
          </cell>
          <cell r="I268" t="str">
            <v/>
          </cell>
          <cell r="J268" t="str">
            <v/>
          </cell>
          <cell r="K268">
            <v>1</v>
          </cell>
          <cell r="L268">
            <v>7700</v>
          </cell>
          <cell r="M268" t="str">
            <v>Stocks Revew</v>
          </cell>
          <cell r="N268">
            <v>0</v>
          </cell>
          <cell r="O268">
            <v>0</v>
          </cell>
          <cell r="P268">
            <v>5903.3333333333339</v>
          </cell>
          <cell r="Q268">
            <v>13603.333333333334</v>
          </cell>
          <cell r="R268">
            <v>13603.333333333334</v>
          </cell>
          <cell r="S268">
            <v>20</v>
          </cell>
          <cell r="T268" t="str">
            <v>A</v>
          </cell>
          <cell r="U268">
            <v>0.45</v>
          </cell>
          <cell r="V268" t="str">
            <v>شركة مطابع الأمل الحديثة</v>
          </cell>
          <cell r="W268">
            <v>6121.5</v>
          </cell>
          <cell r="X268">
            <v>3465</v>
          </cell>
          <cell r="Z268" t="str">
            <v>PM-00458</v>
          </cell>
          <cell r="AA268" t="str">
            <v>Ceramic cups box بوكس اكواب السراميك (بريهانت)</v>
          </cell>
          <cell r="AB268" t="str">
            <v>PM-00458</v>
          </cell>
          <cell r="AC268" t="str">
            <v>Ceramic cups box بوكس اكواب السراميك (بريهانت)</v>
          </cell>
          <cell r="AD268">
            <v>0.45</v>
          </cell>
          <cell r="AE268" t="str">
            <v>شركة مطابع الأمل الحديثة</v>
          </cell>
        </row>
        <row r="269">
          <cell r="B269" t="str">
            <v>PM-00104</v>
          </cell>
          <cell r="C269" t="str">
            <v>Matcha tools contents box ( BREEHANT ) بوكس محتويات ادوات الماتشا ( بريهانت )</v>
          </cell>
          <cell r="D269" t="str">
            <v>بوكس اداوات  الماتشا</v>
          </cell>
          <cell r="E269" t="str">
            <v/>
          </cell>
          <cell r="F269" t="str">
            <v/>
          </cell>
          <cell r="G269" t="str">
            <v>✓</v>
          </cell>
          <cell r="H269" t="str">
            <v/>
          </cell>
          <cell r="I269" t="str">
            <v/>
          </cell>
          <cell r="J269" t="str">
            <v/>
          </cell>
          <cell r="K269">
            <v>1</v>
          </cell>
          <cell r="L269">
            <v>1150</v>
          </cell>
          <cell r="N269">
            <v>750</v>
          </cell>
          <cell r="O269">
            <v>19.565217391304348</v>
          </cell>
          <cell r="P269">
            <v>881.66666666666674</v>
          </cell>
          <cell r="Q269">
            <v>2031.6666666666667</v>
          </cell>
          <cell r="R269">
            <v>1281.6666666666667</v>
          </cell>
          <cell r="S269">
            <v>20</v>
          </cell>
          <cell r="T269" t="str">
            <v>S</v>
          </cell>
          <cell r="U269">
            <v>0.03</v>
          </cell>
          <cell r="V269" t="str">
            <v>Active Square مؤسسة المربع الفعال التجارية</v>
          </cell>
          <cell r="W269">
            <v>38.450000000000003</v>
          </cell>
          <cell r="X269">
            <v>34.5</v>
          </cell>
          <cell r="Z269" t="str">
            <v>PM-00104</v>
          </cell>
          <cell r="AA269" t="str">
            <v>Matcha tools contents box ( BREEHANT ) بوكس محتويات ادوات الماتشا ( بريهانت )</v>
          </cell>
          <cell r="AB269" t="str">
            <v>PM-00104</v>
          </cell>
          <cell r="AC269" t="str">
            <v>Matcha tools contents box ( BREEHANT ) بوكس محتويات ادوات الماتشا ( بريهانت )</v>
          </cell>
          <cell r="AD269">
            <v>6</v>
          </cell>
          <cell r="AE269" t="str">
            <v>شركة مطابع الأمل الحديثة</v>
          </cell>
        </row>
        <row r="270">
          <cell r="B270" t="str">
            <v>CO-00353</v>
          </cell>
          <cell r="C270" t="str">
            <v>Matcha tools ادوات الماتشا</v>
          </cell>
          <cell r="D270" t="str">
            <v>Matcha tools	ادوات الماتشا</v>
          </cell>
          <cell r="E270" t="str">
            <v/>
          </cell>
          <cell r="F270" t="str">
            <v/>
          </cell>
          <cell r="G270" t="str">
            <v>✓</v>
          </cell>
          <cell r="H270" t="str">
            <v/>
          </cell>
          <cell r="I270" t="str">
            <v/>
          </cell>
          <cell r="J270" t="str">
            <v/>
          </cell>
          <cell r="K270">
            <v>1</v>
          </cell>
          <cell r="L270">
            <v>1150</v>
          </cell>
          <cell r="N270">
            <v>0</v>
          </cell>
          <cell r="O270">
            <v>0</v>
          </cell>
          <cell r="P270">
            <v>383.33333333333331</v>
          </cell>
          <cell r="Q270">
            <v>1533.3333333333333</v>
          </cell>
          <cell r="R270">
            <v>1533.3333333333333</v>
          </cell>
          <cell r="S270">
            <v>7</v>
          </cell>
          <cell r="T270" t="str">
            <v>A</v>
          </cell>
          <cell r="U270">
            <v>33.6</v>
          </cell>
          <cell r="V270" t="str">
            <v>Xiamen Twinwin Packing Products Co. Ltd</v>
          </cell>
          <cell r="W270">
            <v>51520</v>
          </cell>
          <cell r="X270">
            <v>38640</v>
          </cell>
          <cell r="Z270" t="str">
            <v>CO-00353</v>
          </cell>
          <cell r="AA270" t="str">
            <v>Matcha tools ادوات الماتشا</v>
          </cell>
          <cell r="AB270" t="str">
            <v>CO-00353</v>
          </cell>
          <cell r="AC270" t="str">
            <v>Matcha tools ادوات الماتشا</v>
          </cell>
          <cell r="AD270">
            <v>33.6</v>
          </cell>
          <cell r="AE270" t="str">
            <v>Xiamen Twinwin Packing Products Co. Ltd</v>
          </cell>
        </row>
        <row r="271">
          <cell r="B271" t="str">
            <v>PM-00286</v>
          </cell>
          <cell r="C271" t="str">
            <v>Cotton Ropes 11 Cm حبال قطن 11 سم</v>
          </cell>
          <cell r="D271" t="str">
            <v>Cotton Ropes 11 Cm	حبال قطن 11 سم</v>
          </cell>
          <cell r="E271" t="str">
            <v/>
          </cell>
          <cell r="F271" t="str">
            <v/>
          </cell>
          <cell r="G271" t="str">
            <v/>
          </cell>
          <cell r="H271" t="str">
            <v/>
          </cell>
          <cell r="I271" t="str">
            <v/>
          </cell>
          <cell r="J271" t="str">
            <v/>
          </cell>
          <cell r="K271">
            <v>0</v>
          </cell>
          <cell r="L271">
            <v>158125</v>
          </cell>
          <cell r="M271" t="str">
            <v>Stocks Revew</v>
          </cell>
          <cell r="N271">
            <v>0</v>
          </cell>
          <cell r="O271">
            <v>0</v>
          </cell>
          <cell r="P271">
            <v>490187.5</v>
          </cell>
          <cell r="Q271">
            <v>648312.5</v>
          </cell>
          <cell r="R271">
            <v>648312.5</v>
          </cell>
          <cell r="S271">
            <v>90</v>
          </cell>
          <cell r="T271" t="str">
            <v>A</v>
          </cell>
          <cell r="U271">
            <v>2.2880000000000001E-2</v>
          </cell>
          <cell r="V271" t="str">
            <v>Xiamen Twinwin Packing Products Co. Ltd</v>
          </cell>
          <cell r="W271">
            <v>14833.390000000001</v>
          </cell>
          <cell r="X271">
            <v>3617.9</v>
          </cell>
          <cell r="Z271" t="str">
            <v>PM-00286</v>
          </cell>
          <cell r="AA271" t="str">
            <v>Cotton Ropes 11 Cm حبال قطن 11 سم</v>
          </cell>
          <cell r="AB271" t="str">
            <v>PM-00286</v>
          </cell>
          <cell r="AC271" t="str">
            <v>Cotton Ropes 11 Cm حبال قطن 11 سم</v>
          </cell>
          <cell r="AD271">
            <v>2.2880000000000001E-2</v>
          </cell>
          <cell r="AE271" t="str">
            <v>Xiamen Twinwin Packing Products Co. Ltd</v>
          </cell>
        </row>
        <row r="272">
          <cell r="B272" t="str">
            <v>CO-00362</v>
          </cell>
          <cell r="C272" t="str">
            <v>Barcode sticker paper, size 150m x 100m, 500m رول ماكينة زيبرا</v>
          </cell>
          <cell r="D272" t="str">
            <v>zebra rol</v>
          </cell>
          <cell r="E272" t="str">
            <v/>
          </cell>
          <cell r="F272" t="str">
            <v/>
          </cell>
          <cell r="G272" t="str">
            <v>✓</v>
          </cell>
          <cell r="H272" t="str">
            <v/>
          </cell>
          <cell r="I272" t="str">
            <v/>
          </cell>
          <cell r="J272" t="str">
            <v/>
          </cell>
          <cell r="K272">
            <v>1</v>
          </cell>
          <cell r="L272">
            <v>90</v>
          </cell>
          <cell r="N272">
            <v>0</v>
          </cell>
          <cell r="O272">
            <v>0</v>
          </cell>
          <cell r="P272">
            <v>30</v>
          </cell>
          <cell r="Q272">
            <v>120</v>
          </cell>
          <cell r="R272">
            <v>120</v>
          </cell>
          <cell r="S272">
            <v>7</v>
          </cell>
          <cell r="T272" t="str">
            <v>A</v>
          </cell>
          <cell r="U272">
            <v>450</v>
          </cell>
          <cell r="V272" t="str">
            <v>Albostan Alraqamiya Co. ﺷﺮﻛﺔ اﻟﺒﺴﺘﺎن اﻟﺮﻗﻤﻴﺔ</v>
          </cell>
          <cell r="W272">
            <v>54000</v>
          </cell>
          <cell r="X272">
            <v>40500</v>
          </cell>
          <cell r="Z272" t="str">
            <v>CO-00362</v>
          </cell>
          <cell r="AA272" t="str">
            <v>Barcode sticker paper, size 150m x 100m, 500m رول ماكينة زيبرا</v>
          </cell>
          <cell r="AB272" t="str">
            <v>CO-00362</v>
          </cell>
          <cell r="AC272" t="str">
            <v>Barcode sticker paper, size 150m x 100m, 500m رول ماكينة زيبرا</v>
          </cell>
          <cell r="AD272">
            <v>450</v>
          </cell>
          <cell r="AE272" t="str">
            <v>Albostan Alraqamiya Co. ﺷﺮﻛﺔ اﻟﺒﺴﺘﺎن اﻟﺮﻗﻤﻴﺔ</v>
          </cell>
        </row>
        <row r="273">
          <cell r="B273" t="str">
            <v>PM-00284</v>
          </cell>
          <cell r="C273" t="str">
            <v>Tape Breehant لاصق بريهانت</v>
          </cell>
          <cell r="D273" t="str">
            <v>Tape Breehant	 لاصق بريهانت</v>
          </cell>
          <cell r="E273" t="str">
            <v/>
          </cell>
          <cell r="F273" t="str">
            <v/>
          </cell>
          <cell r="G273" t="str">
            <v>✓</v>
          </cell>
          <cell r="H273" t="str">
            <v/>
          </cell>
          <cell r="I273" t="str">
            <v/>
          </cell>
          <cell r="J273" t="str">
            <v/>
          </cell>
          <cell r="K273">
            <v>1</v>
          </cell>
          <cell r="L273">
            <v>345</v>
          </cell>
          <cell r="M273" t="str">
            <v>Stocks Revew</v>
          </cell>
          <cell r="N273">
            <v>0</v>
          </cell>
          <cell r="O273">
            <v>0</v>
          </cell>
          <cell r="P273">
            <v>195.5</v>
          </cell>
          <cell r="Q273">
            <v>540.5</v>
          </cell>
          <cell r="R273">
            <v>540.5</v>
          </cell>
          <cell r="S273">
            <v>14</v>
          </cell>
          <cell r="T273" t="str">
            <v>A</v>
          </cell>
          <cell r="U273">
            <v>10.5</v>
          </cell>
          <cell r="V273" t="str">
            <v>شركة المنتجات اللاصقة</v>
          </cell>
          <cell r="W273">
            <v>5675.25</v>
          </cell>
          <cell r="X273">
            <v>3622.5</v>
          </cell>
          <cell r="Z273" t="str">
            <v>PM-00284</v>
          </cell>
          <cell r="AA273" t="str">
            <v>Tape Breehant لاصق بريهانت</v>
          </cell>
          <cell r="AB273" t="str">
            <v>PM-00284</v>
          </cell>
          <cell r="AC273" t="str">
            <v>Tape Breehant لاصق بريهانت</v>
          </cell>
          <cell r="AD273">
            <v>10.5</v>
          </cell>
          <cell r="AE273" t="str">
            <v>شركة المنتجات اللاصقة</v>
          </cell>
        </row>
        <row r="274">
          <cell r="B274" t="str">
            <v>PM-00734</v>
          </cell>
          <cell r="C274" t="str">
            <v>استيكر ماتشا 30 جرام</v>
          </cell>
          <cell r="D274" t="str">
            <v>Matcha Sticker 30g ( cap )</v>
          </cell>
          <cell r="E274" t="str">
            <v/>
          </cell>
          <cell r="F274" t="str">
            <v/>
          </cell>
          <cell r="G274" t="str">
            <v>✓</v>
          </cell>
          <cell r="H274" t="str">
            <v/>
          </cell>
          <cell r="I274" t="str">
            <v/>
          </cell>
          <cell r="J274" t="str">
            <v/>
          </cell>
          <cell r="K274">
            <v>1</v>
          </cell>
          <cell r="L274">
            <v>7000</v>
          </cell>
          <cell r="N274">
            <v>0</v>
          </cell>
          <cell r="O274">
            <v>0</v>
          </cell>
          <cell r="P274">
            <v>2333.333333333333</v>
          </cell>
          <cell r="Q274">
            <v>9333.3333333333321</v>
          </cell>
          <cell r="R274">
            <v>9333.3333333333321</v>
          </cell>
          <cell r="S274">
            <v>7</v>
          </cell>
          <cell r="T274" t="str">
            <v>A</v>
          </cell>
          <cell r="U274">
            <v>0.18</v>
          </cell>
          <cell r="V274" t="str">
            <v>Active Square مؤسسة المربع الفعال التجارية</v>
          </cell>
          <cell r="W274">
            <v>1679.9999999999998</v>
          </cell>
          <cell r="X274">
            <v>1260</v>
          </cell>
          <cell r="Z274" t="str">
            <v>PM-00734</v>
          </cell>
          <cell r="AA274" t="str">
            <v>استيكر ماتشا 30 جرام</v>
          </cell>
          <cell r="AB274" t="str">
            <v>PM-00734</v>
          </cell>
          <cell r="AC274" t="str">
            <v>استيكر ماتشا 30 جرام</v>
          </cell>
          <cell r="AD274">
            <v>0.04</v>
          </cell>
          <cell r="AE274" t="str">
            <v>Active Square مؤسسة المربع الفعال التجارية</v>
          </cell>
        </row>
        <row r="275">
          <cell r="B275" t="str">
            <v>PM-00735</v>
          </cell>
          <cell r="C275" t="str">
            <v>استيكر ماتشا 50 جرام</v>
          </cell>
          <cell r="D275" t="str">
            <v>Matcha Sticker 50g ( cap )</v>
          </cell>
          <cell r="E275" t="str">
            <v/>
          </cell>
          <cell r="F275" t="str">
            <v/>
          </cell>
          <cell r="G275" t="str">
            <v>✓</v>
          </cell>
          <cell r="H275" t="str">
            <v/>
          </cell>
          <cell r="I275" t="str">
            <v/>
          </cell>
          <cell r="J275" t="str">
            <v/>
          </cell>
          <cell r="K275">
            <v>1</v>
          </cell>
          <cell r="L275">
            <v>7000</v>
          </cell>
          <cell r="N275">
            <v>0</v>
          </cell>
          <cell r="O275">
            <v>0</v>
          </cell>
          <cell r="P275">
            <v>2333.333333333333</v>
          </cell>
          <cell r="Q275">
            <v>9333.3333333333321</v>
          </cell>
          <cell r="R275">
            <v>9333.3333333333321</v>
          </cell>
          <cell r="S275">
            <v>7</v>
          </cell>
          <cell r="T275" t="str">
            <v>A</v>
          </cell>
          <cell r="U275">
            <v>0.26</v>
          </cell>
          <cell r="V275" t="str">
            <v>Active Square مؤسسة المربع الفعال التجارية</v>
          </cell>
          <cell r="W275">
            <v>2426.6666666666665</v>
          </cell>
          <cell r="X275">
            <v>1820</v>
          </cell>
          <cell r="Z275" t="str">
            <v>PM-00735</v>
          </cell>
          <cell r="AA275" t="str">
            <v>استيكر ماتشا 50 جرام</v>
          </cell>
          <cell r="AB275" t="str">
            <v>PM-00735</v>
          </cell>
          <cell r="AC275" t="str">
            <v>استيكر ماتشا 50 جرام</v>
          </cell>
          <cell r="AD275">
            <v>0.04</v>
          </cell>
          <cell r="AE275" t="str">
            <v>Active Square مؤسسة المربع الفعال التجارية</v>
          </cell>
        </row>
        <row r="276">
          <cell r="B276" t="str">
            <v>No match found</v>
          </cell>
          <cell r="C276" t="str">
            <v>No match found</v>
          </cell>
          <cell r="D276" t="str">
            <v>Sticker breehant round black</v>
          </cell>
          <cell r="E276" t="str">
            <v/>
          </cell>
          <cell r="F276" t="str">
            <v/>
          </cell>
          <cell r="G276" t="str">
            <v/>
          </cell>
          <cell r="H276" t="str">
            <v/>
          </cell>
          <cell r="I276" t="str">
            <v/>
          </cell>
          <cell r="J276" t="str">
            <v/>
          </cell>
          <cell r="K276">
            <v>0</v>
          </cell>
          <cell r="L276">
            <v>4300</v>
          </cell>
          <cell r="M276" t="str">
            <v>Stocks Revew</v>
          </cell>
          <cell r="N276">
            <v>0</v>
          </cell>
          <cell r="O276">
            <v>0</v>
          </cell>
          <cell r="P276">
            <v>1433.3333333333333</v>
          </cell>
          <cell r="Q276">
            <v>5733.333333333333</v>
          </cell>
          <cell r="R276">
            <v>5733.333333333333</v>
          </cell>
          <cell r="S276">
            <v>7</v>
          </cell>
          <cell r="T276" t="str">
            <v>A</v>
          </cell>
          <cell r="U276">
            <v>1.7000000000000001E-2</v>
          </cell>
          <cell r="V276" t="str">
            <v>Active Square مؤسسة المربع الفعال التجارية</v>
          </cell>
          <cell r="W276">
            <v>97.466666666666669</v>
          </cell>
          <cell r="X276">
            <v>73.100000000000009</v>
          </cell>
          <cell r="Z276" t="str">
            <v>PM-00556</v>
          </cell>
          <cell r="AA276" t="str">
            <v>استيكر بريهانت دائري</v>
          </cell>
          <cell r="AB276" t="str">
            <v>No match found</v>
          </cell>
          <cell r="AC276" t="str">
            <v>No match found</v>
          </cell>
          <cell r="AD276" t="e">
            <v>#REF!</v>
          </cell>
          <cell r="AE276">
            <v>0</v>
          </cell>
        </row>
        <row r="277">
          <cell r="B277" t="str">
            <v>PM-00296</v>
          </cell>
          <cell r="C277" t="str">
            <v>Aluminium foil قصدير</v>
          </cell>
          <cell r="D277" t="str">
            <v>Aluminium foil قصدير</v>
          </cell>
          <cell r="E277" t="str">
            <v/>
          </cell>
          <cell r="F277" t="str">
            <v/>
          </cell>
          <cell r="G277" t="str">
            <v/>
          </cell>
          <cell r="H277" t="str">
            <v>✓</v>
          </cell>
          <cell r="I277" t="str">
            <v/>
          </cell>
          <cell r="J277" t="str">
            <v/>
          </cell>
          <cell r="K277">
            <v>1</v>
          </cell>
          <cell r="L277">
            <v>12</v>
          </cell>
          <cell r="N277">
            <v>0</v>
          </cell>
          <cell r="O277">
            <v>0</v>
          </cell>
          <cell r="P277">
            <v>4</v>
          </cell>
          <cell r="Q277">
            <v>16</v>
          </cell>
          <cell r="R277">
            <v>16</v>
          </cell>
          <cell r="S277">
            <v>7</v>
          </cell>
          <cell r="T277" t="str">
            <v>A</v>
          </cell>
          <cell r="V277" t="str">
            <v>شركة احلى تغليف الدولية للتجارة</v>
          </cell>
          <cell r="W277">
            <v>0</v>
          </cell>
          <cell r="X277">
            <v>0</v>
          </cell>
          <cell r="Z277" t="str">
            <v>PM-00296</v>
          </cell>
          <cell r="AA277" t="str">
            <v>Aluminium foil قصدير</v>
          </cell>
          <cell r="AB277" t="str">
            <v>PM-00296</v>
          </cell>
          <cell r="AC277" t="str">
            <v>Aluminium foil قصدير</v>
          </cell>
          <cell r="AD277">
            <v>0</v>
          </cell>
          <cell r="AE277" t="str">
            <v>شركة احلى تغليف الدولية للتجارة</v>
          </cell>
        </row>
        <row r="278">
          <cell r="B278" t="str">
            <v>PM-00298</v>
          </cell>
          <cell r="C278" t="str">
            <v>Plastic Black Cutlery  أدوات مائدة</v>
          </cell>
          <cell r="D278" t="str">
            <v>Plastic Black Cutlery  أدوات مائدة</v>
          </cell>
          <cell r="E278" t="str">
            <v/>
          </cell>
          <cell r="F278" t="str">
            <v/>
          </cell>
          <cell r="G278" t="str">
            <v/>
          </cell>
          <cell r="H278" t="str">
            <v>✓</v>
          </cell>
          <cell r="I278" t="str">
            <v/>
          </cell>
          <cell r="J278" t="str">
            <v/>
          </cell>
          <cell r="K278">
            <v>1</v>
          </cell>
          <cell r="L278">
            <v>9500</v>
          </cell>
          <cell r="N278">
            <v>17500</v>
          </cell>
          <cell r="O278">
            <v>55.263157894736842</v>
          </cell>
          <cell r="P278">
            <v>3166.6666666666665</v>
          </cell>
          <cell r="Q278">
            <v>12666.666666666666</v>
          </cell>
          <cell r="R278">
            <v>0</v>
          </cell>
          <cell r="S278">
            <v>7</v>
          </cell>
          <cell r="T278" t="str">
            <v>A</v>
          </cell>
          <cell r="U278">
            <v>0.15</v>
          </cell>
          <cell r="V278" t="str">
            <v>شركة جنا الدولية للتجارة - JANA</v>
          </cell>
          <cell r="W278">
            <v>0</v>
          </cell>
          <cell r="X278">
            <v>1425</v>
          </cell>
          <cell r="Z278" t="str">
            <v>PM-00298</v>
          </cell>
          <cell r="AA278" t="str">
            <v>Plastic Black Cutlery أدوات مائدة</v>
          </cell>
          <cell r="AB278" t="str">
            <v>PM-00298</v>
          </cell>
          <cell r="AC278" t="str">
            <v>Plastic Black Cutlery  أدوات مائدة</v>
          </cell>
          <cell r="AD278">
            <v>0.15</v>
          </cell>
          <cell r="AE278" t="str">
            <v>شركة جنا الدولية للتجارة - JANA</v>
          </cell>
        </row>
        <row r="279">
          <cell r="B279" t="str">
            <v>PM-00301</v>
          </cell>
          <cell r="C279" t="str">
            <v>Plain Table Napkin منديل سفرة</v>
          </cell>
          <cell r="D279" t="str">
            <v>Plain Table Napkin منديل سفرة</v>
          </cell>
          <cell r="E279" t="str">
            <v/>
          </cell>
          <cell r="F279" t="str">
            <v/>
          </cell>
          <cell r="G279" t="str">
            <v/>
          </cell>
          <cell r="H279" t="str">
            <v>✓</v>
          </cell>
          <cell r="I279" t="str">
            <v/>
          </cell>
          <cell r="J279" t="str">
            <v/>
          </cell>
          <cell r="K279">
            <v>1</v>
          </cell>
          <cell r="L279">
            <v>30000</v>
          </cell>
          <cell r="N279">
            <v>523200</v>
          </cell>
          <cell r="O279">
            <v>523.20000000000005</v>
          </cell>
          <cell r="P279">
            <v>10000</v>
          </cell>
          <cell r="Q279">
            <v>40000</v>
          </cell>
          <cell r="R279">
            <v>0</v>
          </cell>
          <cell r="S279">
            <v>7</v>
          </cell>
          <cell r="T279" t="str">
            <v>A</v>
          </cell>
          <cell r="U279">
            <v>2.5420000000000002E-2</v>
          </cell>
          <cell r="V279" t="str">
            <v>شركة نابكو للتجارة والتوزيع</v>
          </cell>
          <cell r="W279">
            <v>0</v>
          </cell>
          <cell r="X279">
            <v>762.6</v>
          </cell>
          <cell r="Z279" t="str">
            <v>PM-00301</v>
          </cell>
          <cell r="AA279" t="str">
            <v>Plain Table Napkin منديل سفرة</v>
          </cell>
          <cell r="AB279" t="str">
            <v>PM-00301</v>
          </cell>
          <cell r="AC279" t="str">
            <v>Plain Table Napkin منديل سفرة</v>
          </cell>
          <cell r="AD279">
            <v>2.5420000000000002E-2</v>
          </cell>
          <cell r="AE279" t="str">
            <v>شركة نابكو للتجارة والتوزيع</v>
          </cell>
        </row>
        <row r="280">
          <cell r="B280" t="str">
            <v>PM-00303</v>
          </cell>
          <cell r="C280" t="str">
            <v>3.25 Oz Sauce Cup plastic علبة صوص 3.25 اونصة</v>
          </cell>
          <cell r="D280" t="str">
            <v>3.25 Oz Sauce Cup plastic علبة صوص 3.25 اونصة</v>
          </cell>
          <cell r="E280" t="str">
            <v/>
          </cell>
          <cell r="F280" t="str">
            <v/>
          </cell>
          <cell r="G280" t="str">
            <v/>
          </cell>
          <cell r="H280" t="str">
            <v>✓</v>
          </cell>
          <cell r="I280" t="str">
            <v/>
          </cell>
          <cell r="J280" t="str">
            <v/>
          </cell>
          <cell r="K280">
            <v>1</v>
          </cell>
          <cell r="L280">
            <v>2000</v>
          </cell>
          <cell r="N280">
            <v>121000</v>
          </cell>
          <cell r="O280">
            <v>1815</v>
          </cell>
          <cell r="P280">
            <v>2200</v>
          </cell>
          <cell r="Q280">
            <v>4200</v>
          </cell>
          <cell r="R280">
            <v>0</v>
          </cell>
          <cell r="S280">
            <v>30</v>
          </cell>
          <cell r="T280" t="str">
            <v>A</v>
          </cell>
          <cell r="U280">
            <v>7.4999999999999997E-2</v>
          </cell>
          <cell r="V280" t="str">
            <v>شركة بوابة المبدعون للتجارة</v>
          </cell>
          <cell r="W280">
            <v>0</v>
          </cell>
          <cell r="X280">
            <v>150</v>
          </cell>
          <cell r="Z280" t="str">
            <v>PM-00303</v>
          </cell>
          <cell r="AA280" t="str">
            <v>3.25 Oz Sauce Cup plastic علبة صوص 3.25 اونصة</v>
          </cell>
          <cell r="AB280" t="str">
            <v>PM-00303</v>
          </cell>
          <cell r="AC280" t="str">
            <v>3.25 Oz Sauce Cup plastic علبة صوص 3.25 اونصة</v>
          </cell>
          <cell r="AD280">
            <v>7.4999999999999997E-2</v>
          </cell>
          <cell r="AE280" t="str">
            <v>شركة بوابة المبدعون للتجارة</v>
          </cell>
        </row>
        <row r="281">
          <cell r="B281" t="str">
            <v>PM-00036</v>
          </cell>
          <cell r="C281" t="str">
            <v>HD BAG PRINTED 2+2 COLORS SIZE كيس التاندو مطبوع</v>
          </cell>
          <cell r="D281" t="str">
            <v>HD BAG PRINTED 2+2 COLORS SIZE كيس التاندو مطبوع</v>
          </cell>
          <cell r="E281" t="str">
            <v/>
          </cell>
          <cell r="F281" t="str">
            <v/>
          </cell>
          <cell r="G281" t="str">
            <v/>
          </cell>
          <cell r="H281" t="str">
            <v>✓</v>
          </cell>
          <cell r="I281" t="str">
            <v/>
          </cell>
          <cell r="J281" t="str">
            <v/>
          </cell>
          <cell r="K281">
            <v>1</v>
          </cell>
          <cell r="L281">
            <v>13000</v>
          </cell>
          <cell r="N281">
            <v>170</v>
          </cell>
          <cell r="O281">
            <v>0.3923076923076923</v>
          </cell>
          <cell r="P281">
            <v>9966.6666666666679</v>
          </cell>
          <cell r="Q281">
            <v>22966.666666666668</v>
          </cell>
          <cell r="R281">
            <v>22796.666666666668</v>
          </cell>
          <cell r="S281">
            <v>20</v>
          </cell>
          <cell r="T281" t="str">
            <v>A</v>
          </cell>
          <cell r="U281">
            <v>0.21</v>
          </cell>
          <cell r="V281" t="str">
            <v>شركة حذيم للصناعة</v>
          </cell>
          <cell r="W281">
            <v>4787.3</v>
          </cell>
          <cell r="X281">
            <v>2730</v>
          </cell>
          <cell r="Z281" t="str">
            <v>PM-00036</v>
          </cell>
          <cell r="AA281" t="str">
            <v>HD BAG PRINTED 2+2 COLORS SIZE كيس التاندو مطبوع</v>
          </cell>
          <cell r="AB281" t="str">
            <v>PM-00036</v>
          </cell>
          <cell r="AC281" t="str">
            <v>HD BAG PRINTED 2+2 COLORS SIZE كيس التاندو مطبوع</v>
          </cell>
          <cell r="AD281">
            <v>0.21</v>
          </cell>
          <cell r="AE281" t="str">
            <v>شركة حذيم للصناعة</v>
          </cell>
        </row>
        <row r="282">
          <cell r="B282" t="str">
            <v>PM-00043</v>
          </cell>
          <cell r="C282" t="str">
            <v>كيس بلاستيك ضبابي مطبوع مع استيكر اغلاق 10 كيلو (التاندو)Printed foggy plastic bag with sticker closure (Tando)</v>
          </cell>
          <cell r="D282" t="str">
            <v>كيس بلاستيك ضبابي مطبوع مع استيكر اغلاق 10 كيلو (التاندو)Printed foggy plastic bag with sticker closure (Tando)</v>
          </cell>
          <cell r="E282" t="str">
            <v/>
          </cell>
          <cell r="F282" t="str">
            <v/>
          </cell>
          <cell r="G282" t="str">
            <v/>
          </cell>
          <cell r="H282" t="str">
            <v>✓</v>
          </cell>
          <cell r="I282" t="str">
            <v/>
          </cell>
          <cell r="J282" t="str">
            <v/>
          </cell>
          <cell r="K282">
            <v>1</v>
          </cell>
          <cell r="L282">
            <v>10000</v>
          </cell>
          <cell r="N282">
            <v>0</v>
          </cell>
          <cell r="O282">
            <v>0</v>
          </cell>
          <cell r="P282">
            <v>5666.666666666667</v>
          </cell>
          <cell r="Q282">
            <v>15666.666666666668</v>
          </cell>
          <cell r="R282">
            <v>15666.666666666668</v>
          </cell>
          <cell r="S282">
            <v>14</v>
          </cell>
          <cell r="T282" t="str">
            <v>A</v>
          </cell>
          <cell r="U282">
            <v>0.21</v>
          </cell>
          <cell r="V282" t="str">
            <v>شركة حذيم للصناعة</v>
          </cell>
          <cell r="W282">
            <v>3290</v>
          </cell>
          <cell r="X282">
            <v>2100</v>
          </cell>
          <cell r="Z282" t="str">
            <v>PM-00043</v>
          </cell>
          <cell r="AA282" t="str">
            <v>كيس بلاستيك ضبابي مطبوع مع استيكر اغلاق 10 كيلو (التاندو)Printed foggy plastic bag with sticker closure (Tando)</v>
          </cell>
          <cell r="AB282" t="str">
            <v>PM-00043</v>
          </cell>
          <cell r="AC282" t="str">
            <v>كيس بلاستيك ضبابي مطبوع مع استيكر اغلاق 10 كيلو (التاندو)Printed foggy plastic bag with sticker closure (Tando)</v>
          </cell>
          <cell r="AD282">
            <v>0.21</v>
          </cell>
          <cell r="AE282" t="str">
            <v>شركة حذيم للصناعة</v>
          </cell>
        </row>
        <row r="283">
          <cell r="B283" t="str">
            <v>PM-00695</v>
          </cell>
          <cell r="C283" t="str">
            <v>سليف بوكس صحن قصب السكر تاندو||Sleeve Box for “Tando” Sugar Pouring Plate tando</v>
          </cell>
          <cell r="D283" t="str">
            <v>Tando Sleeves</v>
          </cell>
          <cell r="E283" t="str">
            <v/>
          </cell>
          <cell r="F283" t="str">
            <v/>
          </cell>
          <cell r="G283" t="str">
            <v/>
          </cell>
          <cell r="H283" t="str">
            <v/>
          </cell>
          <cell r="I283" t="str">
            <v/>
          </cell>
          <cell r="J283" t="str">
            <v/>
          </cell>
          <cell r="K283">
            <v>0</v>
          </cell>
          <cell r="L283">
            <v>30000</v>
          </cell>
          <cell r="M283" t="str">
            <v>ADJ</v>
          </cell>
          <cell r="N283">
            <v>0</v>
          </cell>
          <cell r="O283">
            <v>0</v>
          </cell>
          <cell r="P283">
            <v>17000</v>
          </cell>
          <cell r="Q283">
            <v>47000</v>
          </cell>
          <cell r="R283">
            <v>47000</v>
          </cell>
          <cell r="S283">
            <v>14</v>
          </cell>
          <cell r="T283" t="str">
            <v>A</v>
          </cell>
          <cell r="U283">
            <v>0.6</v>
          </cell>
          <cell r="V283" t="str">
            <v>شركة مطابع الأمل الحديثة</v>
          </cell>
          <cell r="W283">
            <v>28200</v>
          </cell>
          <cell r="X283">
            <v>18000</v>
          </cell>
          <cell r="Z283" t="str">
            <v>PM-00591</v>
          </cell>
          <cell r="AA283" t="str">
            <v>Tando Sleeves</v>
          </cell>
          <cell r="AB283" t="str">
            <v>PM-00695</v>
          </cell>
          <cell r="AC283" t="str">
            <v>سليف بوكس صحن قصب السكر تاندو||Sleeve Box for “Tando” Sugar Pouring Plate tando</v>
          </cell>
          <cell r="AD283">
            <v>0.6</v>
          </cell>
          <cell r="AE283" t="str">
            <v>شركة مطابع الأمل الحديثة</v>
          </cell>
        </row>
        <row r="284">
          <cell r="B284" t="str">
            <v>PM-00580</v>
          </cell>
          <cell r="C284" t="str">
            <v>ماعون طبق قصب سكر عازل 1000 ملي مع غطاء بلاستيك - Sugarcane pulp bowl 1000 ml with plastic lid</v>
          </cell>
          <cell r="D284" t="str">
            <v>ماعون طبق قصب سكر عازل 1000 ملي مع غطاء بلاستيك - Sugarcane pulp bowl 1000 ml with plastic lid</v>
          </cell>
          <cell r="E284" t="str">
            <v/>
          </cell>
          <cell r="F284" t="str">
            <v/>
          </cell>
          <cell r="G284" t="str">
            <v/>
          </cell>
          <cell r="H284" t="str">
            <v>✓</v>
          </cell>
          <cell r="I284" t="str">
            <v/>
          </cell>
          <cell r="J284" t="str">
            <v/>
          </cell>
          <cell r="K284">
            <v>1</v>
          </cell>
          <cell r="L284">
            <v>30000</v>
          </cell>
          <cell r="N284">
            <v>28200</v>
          </cell>
          <cell r="O284">
            <v>28.2</v>
          </cell>
          <cell r="P284">
            <v>23000</v>
          </cell>
          <cell r="Q284">
            <v>53000</v>
          </cell>
          <cell r="R284">
            <v>24800</v>
          </cell>
          <cell r="S284">
            <v>20</v>
          </cell>
          <cell r="T284" t="str">
            <v>S</v>
          </cell>
          <cell r="U284">
            <v>0.81667000000000001</v>
          </cell>
          <cell r="V284" t="str">
            <v>شركة بوابة المبدعون للتجارة</v>
          </cell>
          <cell r="W284">
            <v>20253.416000000001</v>
          </cell>
          <cell r="X284">
            <v>24500.1</v>
          </cell>
          <cell r="Z284" t="str">
            <v>PM-00580</v>
          </cell>
          <cell r="AA284" t="str">
            <v>ماعون طبق قصب سكر عازل 1000 ملي مع غطاء بلاستيك  -  Sugarcane pulp bowl 1000 ml with plastic lid</v>
          </cell>
          <cell r="AB284" t="str">
            <v>PM-00580</v>
          </cell>
          <cell r="AC284" t="str">
            <v>ماعون طبق قصب سكر عازل 1000 ملي مع غطاء بلاستيك - Sugarcane pulp bowl 1000 ml with plastic lid</v>
          </cell>
          <cell r="AD284">
            <v>0.81667000000000001</v>
          </cell>
          <cell r="AE284" t="str">
            <v>شركة بوابة المبدعون للتجارة</v>
          </cell>
        </row>
        <row r="285">
          <cell r="B285" t="str">
            <v>PM-00621</v>
          </cell>
          <cell r="C285" t="str">
            <v>بوكس ورقي قطعة واحده فطورات Paper box, one piece, for Fotorat</v>
          </cell>
          <cell r="D285" t="str">
            <v>بوكس ورقي قطعة واحده فطورات Paper box, one piece, for Fotorat</v>
          </cell>
          <cell r="E285" t="str">
            <v/>
          </cell>
          <cell r="F285" t="str">
            <v/>
          </cell>
          <cell r="G285" t="str">
            <v/>
          </cell>
          <cell r="H285" t="str">
            <v>✓</v>
          </cell>
          <cell r="I285" t="str">
            <v/>
          </cell>
          <cell r="J285" t="str">
            <v/>
          </cell>
          <cell r="K285">
            <v>1</v>
          </cell>
          <cell r="L285">
            <v>4000</v>
          </cell>
          <cell r="N285">
            <v>0</v>
          </cell>
          <cell r="O285">
            <v>0</v>
          </cell>
          <cell r="P285">
            <v>3066.666666666667</v>
          </cell>
          <cell r="Q285">
            <v>7066.666666666667</v>
          </cell>
          <cell r="R285">
            <v>7066.666666666667</v>
          </cell>
          <cell r="S285">
            <v>20</v>
          </cell>
          <cell r="T285" t="str">
            <v>A</v>
          </cell>
          <cell r="U285">
            <v>1.3</v>
          </cell>
          <cell r="V285" t="str">
            <v>مطابع عبدالمجيد عبدلله الفارس للطباعة</v>
          </cell>
          <cell r="W285">
            <v>9186.6666666666679</v>
          </cell>
          <cell r="X285">
            <v>5200</v>
          </cell>
          <cell r="Z285" t="str">
            <v>PM-00621</v>
          </cell>
          <cell r="AA285" t="str">
            <v>بوكس ورقي قطعة واحده فطورات Paper box, one piece, for Fotorat</v>
          </cell>
          <cell r="AB285" t="str">
            <v>PM-00621</v>
          </cell>
          <cell r="AC285" t="str">
            <v>بوكس ورقي قطعة واحده فطورات Paper box, one piece, for Fotorat</v>
          </cell>
          <cell r="AD285">
            <v>1.3</v>
          </cell>
          <cell r="AE285" t="str">
            <v>مطابع عبدالمجيد عبدلله الفارس للطباعة</v>
          </cell>
        </row>
        <row r="286">
          <cell r="B286" t="str">
            <v>PM-00622</v>
          </cell>
          <cell r="C286" t="str">
            <v>بوكس ورقي ثلاثه قطع فطورات Paper box, three pieces, for Fotorat</v>
          </cell>
          <cell r="D286" t="str">
            <v>بوكس ورقي ثلاثه قطع فطورات Paper box, three pieces, for Fotorat</v>
          </cell>
          <cell r="E286" t="str">
            <v/>
          </cell>
          <cell r="F286" t="str">
            <v/>
          </cell>
          <cell r="G286" t="str">
            <v/>
          </cell>
          <cell r="H286" t="str">
            <v>✓</v>
          </cell>
          <cell r="I286" t="str">
            <v/>
          </cell>
          <cell r="J286" t="str">
            <v/>
          </cell>
          <cell r="K286">
            <v>1</v>
          </cell>
          <cell r="L286">
            <v>4000</v>
          </cell>
          <cell r="N286">
            <v>0</v>
          </cell>
          <cell r="O286">
            <v>0</v>
          </cell>
          <cell r="P286">
            <v>3066.666666666667</v>
          </cell>
          <cell r="Q286">
            <v>7066.666666666667</v>
          </cell>
          <cell r="R286">
            <v>7066.666666666667</v>
          </cell>
          <cell r="S286">
            <v>20</v>
          </cell>
          <cell r="T286" t="str">
            <v>A</v>
          </cell>
          <cell r="U286">
            <v>2.95</v>
          </cell>
          <cell r="V286" t="str">
            <v>مطابع عبدالمجيد عبدلله الفارس للطباعة</v>
          </cell>
          <cell r="W286">
            <v>20846.666666666668</v>
          </cell>
          <cell r="X286">
            <v>11800</v>
          </cell>
          <cell r="Z286" t="str">
            <v>PM-00622</v>
          </cell>
          <cell r="AA286" t="str">
            <v>بوكس ورقي  ثلاثه قطع فطورات Paper box, three pieces, for Fotorat</v>
          </cell>
          <cell r="AB286" t="str">
            <v>PM-00622</v>
          </cell>
          <cell r="AC286" t="str">
            <v>بوكس ورقي ثلاثه قطع فطورات Paper box, three pieces, for Fotorat</v>
          </cell>
          <cell r="AD286">
            <v>2.95</v>
          </cell>
          <cell r="AE286" t="str">
            <v>مطابع عبدالمجيد عبدلله الفارس للطباعة</v>
          </cell>
        </row>
        <row r="287">
          <cell r="B287" t="str">
            <v>PM-00697</v>
          </cell>
          <cell r="C287" t="str">
            <v>استيكر اغلاق بوكس فطورات كبير|| large breakfast box closure sticker</v>
          </cell>
          <cell r="D287" t="str">
            <v>استيكر اغلاق بوكس فطورات كبير|| large breakfast box closure sticker</v>
          </cell>
          <cell r="E287" t="str">
            <v/>
          </cell>
          <cell r="F287" t="str">
            <v/>
          </cell>
          <cell r="G287" t="str">
            <v/>
          </cell>
          <cell r="H287" t="str">
            <v>✓</v>
          </cell>
          <cell r="I287" t="str">
            <v/>
          </cell>
          <cell r="J287" t="str">
            <v/>
          </cell>
          <cell r="K287">
            <v>1</v>
          </cell>
          <cell r="L287">
            <v>4000</v>
          </cell>
          <cell r="N287">
            <v>12500</v>
          </cell>
          <cell r="O287">
            <v>93.75</v>
          </cell>
          <cell r="P287">
            <v>1333.3333333333333</v>
          </cell>
          <cell r="Q287">
            <v>5333.333333333333</v>
          </cell>
          <cell r="R287">
            <v>0</v>
          </cell>
          <cell r="S287">
            <v>7</v>
          </cell>
          <cell r="T287" t="str">
            <v>A</v>
          </cell>
          <cell r="U287">
            <v>0.15</v>
          </cell>
          <cell r="V287" t="str">
            <v>Active Square مؤسسة المربع الفعال التجارية</v>
          </cell>
          <cell r="W287">
            <v>0</v>
          </cell>
          <cell r="X287">
            <v>600</v>
          </cell>
          <cell r="Z287" t="str">
            <v>PM-00697</v>
          </cell>
          <cell r="AA287" t="str">
            <v>استيكر اغلاق بوكس فطورات كبير|| large breakfast box closure sticker</v>
          </cell>
          <cell r="AB287" t="str">
            <v>PM-00697</v>
          </cell>
          <cell r="AC287" t="str">
            <v>استيكر اغلاق بوكس فطورات كبير|| large breakfast box closure sticker</v>
          </cell>
          <cell r="AD287">
            <v>0.15</v>
          </cell>
          <cell r="AE287" t="str">
            <v>Active Square مؤسسة المربع الفعال التجارية</v>
          </cell>
        </row>
        <row r="288">
          <cell r="B288" t="str">
            <v>PM-00696</v>
          </cell>
          <cell r="C288" t="str">
            <v>استيكر اغلاق بوكس فطورات صغير|| small breakfast box closure sticker</v>
          </cell>
          <cell r="D288" t="str">
            <v>استيكر اغلاق بوكس فطورات صغير|| small breakfast box closure sticker</v>
          </cell>
          <cell r="E288" t="str">
            <v/>
          </cell>
          <cell r="F288" t="str">
            <v/>
          </cell>
          <cell r="G288" t="str">
            <v/>
          </cell>
          <cell r="H288" t="str">
            <v>✓</v>
          </cell>
          <cell r="I288" t="str">
            <v/>
          </cell>
          <cell r="J288" t="str">
            <v/>
          </cell>
          <cell r="K288">
            <v>1</v>
          </cell>
          <cell r="L288">
            <v>4000</v>
          </cell>
          <cell r="N288">
            <v>15000</v>
          </cell>
          <cell r="O288">
            <v>112.5</v>
          </cell>
          <cell r="P288">
            <v>1333.3333333333333</v>
          </cell>
          <cell r="Q288">
            <v>5333.333333333333</v>
          </cell>
          <cell r="R288">
            <v>0</v>
          </cell>
          <cell r="S288">
            <v>7</v>
          </cell>
          <cell r="T288" t="str">
            <v>A</v>
          </cell>
          <cell r="U288">
            <v>0.08</v>
          </cell>
          <cell r="V288" t="str">
            <v>Active Square مؤسسة المربع الفعال التجارية</v>
          </cell>
          <cell r="W288">
            <v>0</v>
          </cell>
          <cell r="X288">
            <v>320</v>
          </cell>
          <cell r="Z288" t="str">
            <v>PM-00696</v>
          </cell>
          <cell r="AA288" t="str">
            <v>استيكر اغلاق بوكس فطورات صغير|| small breakfast box closure sticker</v>
          </cell>
          <cell r="AB288" t="str">
            <v>PM-00696</v>
          </cell>
          <cell r="AC288" t="str">
            <v>استيكر اغلاق بوكس فطورات صغير|| small breakfast box closure sticker</v>
          </cell>
          <cell r="AD288">
            <v>0.08</v>
          </cell>
          <cell r="AE288" t="str">
            <v>Active Square مؤسسة المربع الفعال التجارية</v>
          </cell>
        </row>
        <row r="289">
          <cell r="B289" t="str">
            <v>RM-00743</v>
          </cell>
          <cell r="C289" t="str">
            <v>Pepsi Can علبة بيبسي</v>
          </cell>
          <cell r="D289" t="str">
            <v>Pepsi Can علبة بيبسي</v>
          </cell>
          <cell r="E289" t="str">
            <v/>
          </cell>
          <cell r="F289" t="str">
            <v/>
          </cell>
          <cell r="G289" t="str">
            <v/>
          </cell>
          <cell r="H289" t="str">
            <v/>
          </cell>
          <cell r="I289" t="str">
            <v/>
          </cell>
          <cell r="J289" t="str">
            <v/>
          </cell>
          <cell r="K289">
            <v>0</v>
          </cell>
          <cell r="L289">
            <v>744</v>
          </cell>
          <cell r="N289">
            <v>0</v>
          </cell>
          <cell r="O289">
            <v>0</v>
          </cell>
          <cell r="P289">
            <v>248</v>
          </cell>
          <cell r="Q289">
            <v>992</v>
          </cell>
          <cell r="R289">
            <v>992</v>
          </cell>
          <cell r="S289">
            <v>7</v>
          </cell>
          <cell r="T289" t="str">
            <v>A</v>
          </cell>
          <cell r="U289">
            <v>1.6166700000000001</v>
          </cell>
          <cell r="V289" t="str">
            <v>شركة الوصيل التجاريه - AL WASEEL</v>
          </cell>
          <cell r="W289">
            <v>1603.7366400000001</v>
          </cell>
          <cell r="X289">
            <v>1202.8024800000001</v>
          </cell>
          <cell r="Z289" t="str">
            <v>RM-00743</v>
          </cell>
          <cell r="AA289" t="str">
            <v>Pepsi Can علبة بيبسي</v>
          </cell>
          <cell r="AB289" t="str">
            <v>RM-00743</v>
          </cell>
          <cell r="AC289" t="str">
            <v>Pepsi Can علبة بيبسي</v>
          </cell>
          <cell r="AD289">
            <v>1.6166700000000001</v>
          </cell>
          <cell r="AE289" t="str">
            <v>شركة الوصيل التجاريه - AL WASEEL</v>
          </cell>
        </row>
        <row r="290">
          <cell r="B290" t="str">
            <v>RM-00744</v>
          </cell>
          <cell r="C290" t="str">
            <v>Pepsi Diet Can علبة بيبسي دايت</v>
          </cell>
          <cell r="D290" t="str">
            <v>Pepsi Diet Can علبة بيبسي دايت</v>
          </cell>
          <cell r="E290" t="str">
            <v/>
          </cell>
          <cell r="F290" t="str">
            <v/>
          </cell>
          <cell r="G290" t="str">
            <v/>
          </cell>
          <cell r="H290" t="str">
            <v/>
          </cell>
          <cell r="I290" t="str">
            <v/>
          </cell>
          <cell r="J290" t="str">
            <v/>
          </cell>
          <cell r="K290">
            <v>0</v>
          </cell>
          <cell r="L290">
            <v>744</v>
          </cell>
          <cell r="N290">
            <v>0</v>
          </cell>
          <cell r="O290">
            <v>0</v>
          </cell>
          <cell r="P290">
            <v>248</v>
          </cell>
          <cell r="Q290">
            <v>992</v>
          </cell>
          <cell r="R290">
            <v>992</v>
          </cell>
          <cell r="S290">
            <v>7</v>
          </cell>
          <cell r="T290" t="str">
            <v>A</v>
          </cell>
          <cell r="U290">
            <v>1.61</v>
          </cell>
          <cell r="V290" t="str">
            <v>شركة الجميح</v>
          </cell>
          <cell r="W290">
            <v>1597.1200000000001</v>
          </cell>
          <cell r="X290">
            <v>1197.8400000000001</v>
          </cell>
          <cell r="Z290" t="str">
            <v>RM-00744</v>
          </cell>
          <cell r="AA290" t="str">
            <v>Pepsi Diet Can علبة بيبسي دايت</v>
          </cell>
          <cell r="AB290" t="str">
            <v>RM-00744</v>
          </cell>
          <cell r="AC290" t="str">
            <v>Pepsi Diet Can علبة بيبسي دايت</v>
          </cell>
          <cell r="AD290">
            <v>1.61</v>
          </cell>
          <cell r="AE290" t="str">
            <v>شركة الجميح</v>
          </cell>
        </row>
        <row r="291">
          <cell r="B291" t="str">
            <v>RM-00523</v>
          </cell>
          <cell r="C291" t="str">
            <v>Berain 40*330 ML | مياه بيرين 330م*40</v>
          </cell>
          <cell r="D291" t="str">
            <v>Berain 40*330 ML | مياه بيرين 330م*40</v>
          </cell>
          <cell r="E291" t="str">
            <v/>
          </cell>
          <cell r="F291" t="str">
            <v/>
          </cell>
          <cell r="G291" t="str">
            <v/>
          </cell>
          <cell r="H291" t="str">
            <v>✓</v>
          </cell>
          <cell r="I291" t="str">
            <v/>
          </cell>
          <cell r="J291" t="str">
            <v/>
          </cell>
          <cell r="K291">
            <v>1</v>
          </cell>
          <cell r="L291">
            <v>760</v>
          </cell>
          <cell r="N291">
            <v>0</v>
          </cell>
          <cell r="O291">
            <v>0</v>
          </cell>
          <cell r="P291">
            <v>253.33333333333331</v>
          </cell>
          <cell r="Q291">
            <v>1013.3333333333333</v>
          </cell>
          <cell r="R291">
            <v>1013.3333333333333</v>
          </cell>
          <cell r="S291">
            <v>7</v>
          </cell>
          <cell r="T291" t="str">
            <v>A</v>
          </cell>
          <cell r="U291">
            <v>0.3</v>
          </cell>
          <cell r="V291" t="str">
            <v>Berain بيرين</v>
          </cell>
          <cell r="W291">
            <v>303.99999999999994</v>
          </cell>
          <cell r="X291">
            <v>228</v>
          </cell>
          <cell r="Z291" t="str">
            <v>RM-00523</v>
          </cell>
          <cell r="AA291" t="str">
            <v>Berain 40*330 ML | مياه بيرين 330م*40</v>
          </cell>
          <cell r="AB291" t="str">
            <v>RM-00523</v>
          </cell>
          <cell r="AC291" t="str">
            <v>Berain 40*330 ML | مياه بيرين 330م*40</v>
          </cell>
          <cell r="AD291">
            <v>0.3</v>
          </cell>
          <cell r="AE291" t="str">
            <v>Berain بيرين</v>
          </cell>
        </row>
        <row r="292">
          <cell r="B292" t="str">
            <v>RM-00516</v>
          </cell>
          <cell r="C292" t="str">
            <v>7 Up cansسفن اب علب</v>
          </cell>
          <cell r="D292" t="str">
            <v>7 Up cansسفن اب علب</v>
          </cell>
          <cell r="E292" t="str">
            <v/>
          </cell>
          <cell r="F292" t="str">
            <v/>
          </cell>
          <cell r="G292" t="str">
            <v/>
          </cell>
          <cell r="H292" t="str">
            <v>✓</v>
          </cell>
          <cell r="I292" t="str">
            <v/>
          </cell>
          <cell r="J292" t="str">
            <v/>
          </cell>
          <cell r="K292">
            <v>1</v>
          </cell>
          <cell r="L292">
            <v>600</v>
          </cell>
          <cell r="N292">
            <v>408</v>
          </cell>
          <cell r="O292">
            <v>20.400000000000002</v>
          </cell>
          <cell r="P292">
            <v>200</v>
          </cell>
          <cell r="Q292">
            <v>800</v>
          </cell>
          <cell r="R292">
            <v>392</v>
          </cell>
          <cell r="S292">
            <v>7</v>
          </cell>
          <cell r="T292" t="str">
            <v>A</v>
          </cell>
          <cell r="U292">
            <v>1.6166700000000001</v>
          </cell>
          <cell r="V292" t="str">
            <v>شركة الوصيل التجاريه - AL WASEEL</v>
          </cell>
          <cell r="W292">
            <v>633.73464000000001</v>
          </cell>
          <cell r="X292">
            <v>970.00200000000007</v>
          </cell>
          <cell r="Z292" t="str">
            <v>RM-00516</v>
          </cell>
          <cell r="AA292" t="str">
            <v>7 Up cansسفن اب علب</v>
          </cell>
          <cell r="AB292" t="str">
            <v>RM-00516</v>
          </cell>
          <cell r="AC292" t="str">
            <v>7 Up cansسفن اب علب</v>
          </cell>
          <cell r="AD292">
            <v>1.6166700000000001</v>
          </cell>
          <cell r="AE292" t="str">
            <v>شركة ناف الجود- NAF AL JOOD</v>
          </cell>
        </row>
        <row r="293">
          <cell r="B293" t="str">
            <v>RM-00517</v>
          </cell>
          <cell r="C293" t="str">
            <v>Meranda ميراندا برتقال  علبة</v>
          </cell>
          <cell r="D293" t="str">
            <v>Meranda ميراندا برتقال  علبة</v>
          </cell>
          <cell r="E293" t="str">
            <v/>
          </cell>
          <cell r="F293" t="str">
            <v/>
          </cell>
          <cell r="G293" t="str">
            <v/>
          </cell>
          <cell r="H293" t="str">
            <v>✓</v>
          </cell>
          <cell r="I293" t="str">
            <v/>
          </cell>
          <cell r="J293" t="str">
            <v/>
          </cell>
          <cell r="K293">
            <v>1</v>
          </cell>
          <cell r="L293">
            <v>312</v>
          </cell>
          <cell r="N293">
            <v>480</v>
          </cell>
          <cell r="O293">
            <v>46.153846153846153</v>
          </cell>
          <cell r="P293">
            <v>104</v>
          </cell>
          <cell r="Q293">
            <v>416</v>
          </cell>
          <cell r="R293">
            <v>0</v>
          </cell>
          <cell r="S293">
            <v>7</v>
          </cell>
          <cell r="T293" t="str">
            <v>A</v>
          </cell>
          <cell r="U293">
            <v>2.2616700000000001</v>
          </cell>
          <cell r="V293" t="str">
            <v>شركة ناف الجود- NAF AL JOOD</v>
          </cell>
          <cell r="W293">
            <v>0</v>
          </cell>
          <cell r="X293">
            <v>705.64103999999998</v>
          </cell>
          <cell r="Z293" t="str">
            <v>RM-00517</v>
          </cell>
          <cell r="AA293" t="str">
            <v>Mirinda Orange ml 240 ميرندا علبة برتقال</v>
          </cell>
          <cell r="AB293" t="str">
            <v>RM-00517</v>
          </cell>
          <cell r="AC293" t="str">
            <v>Meranda ميراندا برتقال  علبة</v>
          </cell>
          <cell r="AD293">
            <v>2.2616700000000001</v>
          </cell>
          <cell r="AE293" t="str">
            <v>شركة ناف الجود- NAF AL JOOD</v>
          </cell>
        </row>
        <row r="294">
          <cell r="B294" t="str">
            <v>RM-00111</v>
          </cell>
          <cell r="C294" t="str">
            <v>FINAH Premium white flour 45 kg دقيق ابيض فاخر - طحين للمعمل</v>
          </cell>
          <cell r="D294" t="str">
            <v>FINAH Premium white flour 45 kg دقيق ابيض فاخر - طحين للمعمل</v>
          </cell>
          <cell r="E294" t="str">
            <v/>
          </cell>
          <cell r="F294" t="str">
            <v/>
          </cell>
          <cell r="G294" t="str">
            <v/>
          </cell>
          <cell r="H294" t="str">
            <v>✓</v>
          </cell>
          <cell r="I294" t="str">
            <v/>
          </cell>
          <cell r="J294" t="str">
            <v>✓</v>
          </cell>
          <cell r="K294">
            <v>2</v>
          </cell>
          <cell r="L294">
            <v>360</v>
          </cell>
          <cell r="N294">
            <v>8910</v>
          </cell>
          <cell r="O294">
            <v>742.5</v>
          </cell>
          <cell r="P294">
            <v>120</v>
          </cell>
          <cell r="Q294">
            <v>480</v>
          </cell>
          <cell r="R294">
            <v>0</v>
          </cell>
          <cell r="S294">
            <v>7</v>
          </cell>
          <cell r="T294" t="str">
            <v>S</v>
          </cell>
          <cell r="U294">
            <v>0.86667000000000005</v>
          </cell>
          <cell r="V294" t="str">
            <v>Abdullah .M Akhudairi Sons' co. شركة ابناء عبدالله محمد الخضيري</v>
          </cell>
          <cell r="W294">
            <v>0</v>
          </cell>
          <cell r="X294">
            <v>312.00120000000004</v>
          </cell>
          <cell r="Z294" t="str">
            <v>RM-00111</v>
          </cell>
          <cell r="AA294" t="str">
            <v>FINAH Premium white flour 45 kg دقيق ابيض فاخر - طحين للمعمل</v>
          </cell>
          <cell r="AB294" t="str">
            <v>RM-00111</v>
          </cell>
          <cell r="AC294" t="str">
            <v>FINAH Premium white flour 45 kg دقيق ابيض فاخر - طحين للمعمل</v>
          </cell>
          <cell r="AD294">
            <v>0.86667000000000005</v>
          </cell>
          <cell r="AE294" t="str">
            <v>Tanzeem Al Afkar Trading Company | شركة تنظيم الافكار للتجارة</v>
          </cell>
        </row>
        <row r="295">
          <cell r="B295" t="str">
            <v>RM-00505</v>
          </cell>
          <cell r="C295" t="str">
            <v>White sugar - kg50 سكر ابيض 50 كجم</v>
          </cell>
          <cell r="D295" t="str">
            <v>White sugar - kg50 سكر ابيض 50 كجم</v>
          </cell>
          <cell r="E295" t="str">
            <v/>
          </cell>
          <cell r="F295" t="str">
            <v/>
          </cell>
          <cell r="G295" t="str">
            <v/>
          </cell>
          <cell r="H295" t="str">
            <v>✓</v>
          </cell>
          <cell r="I295" t="str">
            <v/>
          </cell>
          <cell r="J295" t="str">
            <v>✓</v>
          </cell>
          <cell r="K295">
            <v>2</v>
          </cell>
          <cell r="L295">
            <v>15</v>
          </cell>
          <cell r="N295">
            <v>9800</v>
          </cell>
          <cell r="O295">
            <v>19600</v>
          </cell>
          <cell r="P295">
            <v>5</v>
          </cell>
          <cell r="Q295">
            <v>20</v>
          </cell>
          <cell r="R295">
            <v>0</v>
          </cell>
          <cell r="S295">
            <v>7</v>
          </cell>
          <cell r="T295" t="str">
            <v>S</v>
          </cell>
          <cell r="U295">
            <v>2.06</v>
          </cell>
          <cell r="V295" t="str">
            <v>Al Shahrani International Co. شركة الشهراني العالمية المحدودة</v>
          </cell>
          <cell r="W295">
            <v>0</v>
          </cell>
          <cell r="X295">
            <v>30.900000000000002</v>
          </cell>
          <cell r="Z295" t="str">
            <v>RM-00505</v>
          </cell>
          <cell r="AA295" t="str">
            <v>White sugar - kg50 سكر ابيض 50 كجم</v>
          </cell>
          <cell r="AB295" t="str">
            <v>RM-00505</v>
          </cell>
          <cell r="AC295" t="str">
            <v>White sugar - kg50 سكر ابيض 50 كجم</v>
          </cell>
          <cell r="AD295">
            <v>2.06</v>
          </cell>
          <cell r="AE295" t="str">
            <v>Tanzeem Al Afkar Trading Company | شركة تنظيم الافكار للتجارة</v>
          </cell>
        </row>
        <row r="296">
          <cell r="B296" t="str">
            <v>RM-00112</v>
          </cell>
          <cell r="C296" t="str">
            <v>Corn flour نشاء الذرة</v>
          </cell>
          <cell r="D296" t="str">
            <v>Corn flour نشاء الذرة</v>
          </cell>
          <cell r="E296" t="str">
            <v/>
          </cell>
          <cell r="F296" t="str">
            <v/>
          </cell>
          <cell r="G296" t="str">
            <v/>
          </cell>
          <cell r="H296" t="str">
            <v>✓</v>
          </cell>
          <cell r="I296" t="str">
            <v/>
          </cell>
          <cell r="J296" t="str">
            <v>✓</v>
          </cell>
          <cell r="K296">
            <v>2</v>
          </cell>
          <cell r="L296">
            <v>1</v>
          </cell>
          <cell r="N296">
            <v>1300</v>
          </cell>
          <cell r="O296">
            <v>39000</v>
          </cell>
          <cell r="P296">
            <v>0.33333333333333331</v>
          </cell>
          <cell r="Q296">
            <v>1.3333333333333333</v>
          </cell>
          <cell r="R296">
            <v>0</v>
          </cell>
          <cell r="S296">
            <v>7</v>
          </cell>
          <cell r="T296" t="str">
            <v>S</v>
          </cell>
          <cell r="U296">
            <v>2.36</v>
          </cell>
          <cell r="V296" t="str">
            <v>Tanzeem Al Afkar Trading Company | شركة تنظيم الافكار للتجارة</v>
          </cell>
          <cell r="W296">
            <v>0</v>
          </cell>
          <cell r="X296">
            <v>2.36</v>
          </cell>
          <cell r="Z296" t="str">
            <v>RM-00112</v>
          </cell>
          <cell r="AA296" t="str">
            <v>Corn flour نشاء الذرة</v>
          </cell>
          <cell r="AB296" t="str">
            <v>RM-00112</v>
          </cell>
          <cell r="AC296" t="str">
            <v>Corn flour نشاء الذرة</v>
          </cell>
          <cell r="AD296">
            <v>2.36</v>
          </cell>
          <cell r="AE296" t="str">
            <v>Tanzeem Al Afkar Trading Company | شركة تنظيم الافكار للتجارة</v>
          </cell>
        </row>
        <row r="297">
          <cell r="B297" t="str">
            <v>RM-00228</v>
          </cell>
          <cell r="C297" t="str">
            <v>Ketchup Heinz Portion 1*1000*9gm كاتشب شفرات هاينز</v>
          </cell>
          <cell r="D297" t="str">
            <v>Ketchup Heinz Portion 1*1000*9gm كاتشب شفرات هاينز</v>
          </cell>
          <cell r="E297" t="str">
            <v/>
          </cell>
          <cell r="F297" t="str">
            <v/>
          </cell>
          <cell r="G297" t="str">
            <v/>
          </cell>
          <cell r="H297" t="str">
            <v>✓</v>
          </cell>
          <cell r="I297" t="str">
            <v/>
          </cell>
          <cell r="J297" t="str">
            <v/>
          </cell>
          <cell r="K297">
            <v>1</v>
          </cell>
          <cell r="L297">
            <v>13000</v>
          </cell>
          <cell r="N297">
            <v>0</v>
          </cell>
          <cell r="O297">
            <v>0</v>
          </cell>
          <cell r="P297">
            <v>4333.333333333333</v>
          </cell>
          <cell r="Q297">
            <v>17333.333333333332</v>
          </cell>
          <cell r="R297">
            <v>17333.333333333332</v>
          </cell>
          <cell r="S297">
            <v>7</v>
          </cell>
          <cell r="T297" t="str">
            <v>A</v>
          </cell>
          <cell r="U297">
            <v>16.947299999999998</v>
          </cell>
          <cell r="V297" t="str">
            <v>Tanzeem Al Afkar Trading Company | شركة تنظيم الافكار للتجارة</v>
          </cell>
          <cell r="W297">
            <v>293753.19999999995</v>
          </cell>
          <cell r="X297">
            <v>220314.9</v>
          </cell>
          <cell r="Z297" t="str">
            <v>RM-00228</v>
          </cell>
          <cell r="AA297" t="str">
            <v>Ketchup Heinz Portion 1*1000*9gm كاتشب شفرات هاينز</v>
          </cell>
          <cell r="AB297" t="str">
            <v>RM-00228</v>
          </cell>
          <cell r="AC297" t="str">
            <v>Ketchup Heinz Portion 1*1000*9gm كاتشب شفرات هاينز</v>
          </cell>
          <cell r="AD297">
            <v>16.947299999999998</v>
          </cell>
          <cell r="AE297" t="str">
            <v>Tanzeem Al Afkar Trading Company | شركة تنظيم الافكار للتجارة</v>
          </cell>
        </row>
        <row r="298">
          <cell r="B298" t="str">
            <v>RM-00318</v>
          </cell>
          <cell r="C298" t="str">
            <v>INDOMIE - اندومي</v>
          </cell>
          <cell r="D298" t="str">
            <v>INDOMIE - اندومي</v>
          </cell>
          <cell r="E298" t="str">
            <v/>
          </cell>
          <cell r="F298" t="str">
            <v/>
          </cell>
          <cell r="G298" t="str">
            <v/>
          </cell>
          <cell r="H298" t="str">
            <v>✓</v>
          </cell>
          <cell r="I298" t="str">
            <v/>
          </cell>
          <cell r="J298" t="str">
            <v/>
          </cell>
          <cell r="K298">
            <v>1</v>
          </cell>
          <cell r="L298">
            <v>1240</v>
          </cell>
          <cell r="N298">
            <v>1920</v>
          </cell>
          <cell r="O298">
            <v>46.451612903225808</v>
          </cell>
          <cell r="P298">
            <v>413.33333333333331</v>
          </cell>
          <cell r="Q298">
            <v>1653.3333333333333</v>
          </cell>
          <cell r="R298">
            <v>0</v>
          </cell>
          <cell r="S298">
            <v>7</v>
          </cell>
          <cell r="T298" t="str">
            <v>A</v>
          </cell>
          <cell r="U298">
            <v>1.20583</v>
          </cell>
          <cell r="V298" t="str">
            <v>شركة الوصيل التجاريه - AL WASEEL</v>
          </cell>
          <cell r="W298">
            <v>0</v>
          </cell>
          <cell r="X298">
            <v>1495.2292</v>
          </cell>
          <cell r="Z298" t="str">
            <v>RM-00318</v>
          </cell>
          <cell r="AA298" t="str">
            <v xml:space="preserve">اندومي نكهة كاري الدجاج | INDOMIE CHICKEN CURRY </v>
          </cell>
          <cell r="AB298" t="str">
            <v>RM-00318</v>
          </cell>
          <cell r="AC298" t="str">
            <v>INDOMIE - اندومي</v>
          </cell>
          <cell r="AD298">
            <v>1.20583</v>
          </cell>
          <cell r="AE298" t="str">
            <v>شركة ناف الجود- NAF AL JOOD</v>
          </cell>
        </row>
        <row r="299">
          <cell r="B299" t="str">
            <v>RM-00605</v>
          </cell>
          <cell r="C299" t="str">
            <v>Shaalan amber cedar - ارز الشعلان عنبر</v>
          </cell>
          <cell r="D299" t="str">
            <v>Shaalan amber cedar - ارز الشعلان عنبر</v>
          </cell>
          <cell r="E299" t="str">
            <v/>
          </cell>
          <cell r="F299" t="str">
            <v/>
          </cell>
          <cell r="G299" t="str">
            <v/>
          </cell>
          <cell r="H299" t="str">
            <v>✓</v>
          </cell>
          <cell r="I299" t="str">
            <v/>
          </cell>
          <cell r="J299" t="str">
            <v/>
          </cell>
          <cell r="K299">
            <v>1</v>
          </cell>
          <cell r="L299">
            <v>200</v>
          </cell>
          <cell r="N299">
            <v>1800</v>
          </cell>
          <cell r="O299">
            <v>270</v>
          </cell>
          <cell r="P299">
            <v>66.666666666666657</v>
          </cell>
          <cell r="Q299">
            <v>266.66666666666663</v>
          </cell>
          <cell r="R299">
            <v>0</v>
          </cell>
          <cell r="S299">
            <v>7</v>
          </cell>
          <cell r="T299" t="str">
            <v>A</v>
          </cell>
          <cell r="U299">
            <v>6.75</v>
          </cell>
          <cell r="V299" t="str">
            <v>Tanzeem Al Afkar Trading Company | شركة تنظيم الافكار للتجارة</v>
          </cell>
          <cell r="W299">
            <v>0</v>
          </cell>
          <cell r="X299">
            <v>1350</v>
          </cell>
          <cell r="Z299" t="str">
            <v>RM-00605</v>
          </cell>
          <cell r="AA299" t="str">
            <v>Shaalan amber cedar - ارز الشعلان عنبر</v>
          </cell>
          <cell r="AB299" t="str">
            <v>RM-00605</v>
          </cell>
          <cell r="AC299" t="str">
            <v>Shaalan amber cedar - ارز الشعلان عنبر</v>
          </cell>
          <cell r="AD299">
            <v>6.75</v>
          </cell>
          <cell r="AE299" t="str">
            <v>Tanzeem Al Afkar Trading Company | شركة تنظيم الافكار للتجارة</v>
          </cell>
        </row>
        <row r="300">
          <cell r="B300" t="str">
            <v>RM-00219</v>
          </cell>
          <cell r="C300" t="str">
            <v>Ajwain Seed  نخوة هندي</v>
          </cell>
          <cell r="D300" t="str">
            <v>Ajwain Seed  نخوة هندي</v>
          </cell>
          <cell r="E300" t="str">
            <v/>
          </cell>
          <cell r="F300" t="str">
            <v/>
          </cell>
          <cell r="G300" t="str">
            <v/>
          </cell>
          <cell r="H300" t="str">
            <v>✓</v>
          </cell>
          <cell r="I300" t="str">
            <v/>
          </cell>
          <cell r="J300" t="str">
            <v/>
          </cell>
          <cell r="K300">
            <v>1</v>
          </cell>
          <cell r="L300">
            <v>3</v>
          </cell>
          <cell r="N300">
            <v>15</v>
          </cell>
          <cell r="O300">
            <v>150</v>
          </cell>
          <cell r="P300">
            <v>1</v>
          </cell>
          <cell r="Q300">
            <v>4</v>
          </cell>
          <cell r="R300">
            <v>0</v>
          </cell>
          <cell r="S300">
            <v>7</v>
          </cell>
          <cell r="T300" t="str">
            <v>A</v>
          </cell>
          <cell r="U300">
            <v>43.5</v>
          </cell>
          <cell r="V300" t="str">
            <v>شركة ناف الجود- NAF AL JOOD</v>
          </cell>
          <cell r="W300">
            <v>0</v>
          </cell>
          <cell r="X300">
            <v>130.5</v>
          </cell>
          <cell r="Z300" t="str">
            <v>RM-00219</v>
          </cell>
          <cell r="AA300" t="str">
            <v>Ajwain Seed نخوة هندي</v>
          </cell>
          <cell r="AB300" t="str">
            <v>RM-00219</v>
          </cell>
          <cell r="AC300" t="str">
            <v>Ajwain Seed  نخوة هندي</v>
          </cell>
          <cell r="AD300">
            <v>43.5</v>
          </cell>
          <cell r="AE300" t="str">
            <v>شركة ناف الجود- NAF AL JOOD</v>
          </cell>
        </row>
        <row r="301">
          <cell r="B301" t="str">
            <v>RM-00442</v>
          </cell>
          <cell r="C301" t="str">
            <v>CHEFMATE CLEAR LIQUID SHORTINING OIL زيت شيف ميت</v>
          </cell>
          <cell r="D301" t="str">
            <v>CHEFMATE CLEAR LIQUID SHORTINING OIL زيت شيف ميت</v>
          </cell>
          <cell r="E301" t="str">
            <v/>
          </cell>
          <cell r="F301" t="str">
            <v/>
          </cell>
          <cell r="G301" t="str">
            <v/>
          </cell>
          <cell r="H301" t="str">
            <v>✓</v>
          </cell>
          <cell r="I301" t="str">
            <v/>
          </cell>
          <cell r="J301" t="str">
            <v/>
          </cell>
          <cell r="K301">
            <v>1</v>
          </cell>
          <cell r="L301">
            <v>854.40000000000009</v>
          </cell>
          <cell r="N301">
            <v>174</v>
          </cell>
          <cell r="O301">
            <v>6.1095505617977519</v>
          </cell>
          <cell r="P301">
            <v>284.8</v>
          </cell>
          <cell r="Q301">
            <v>1139.2</v>
          </cell>
          <cell r="R301">
            <v>965.2</v>
          </cell>
          <cell r="S301">
            <v>7</v>
          </cell>
          <cell r="T301" t="str">
            <v>S</v>
          </cell>
          <cell r="U301">
            <v>8.3333300000000001</v>
          </cell>
          <cell r="V301" t="str">
            <v>شركة أعمال الضيافة للخدمات التموينية</v>
          </cell>
          <cell r="W301">
            <v>8043.3301160000001</v>
          </cell>
          <cell r="X301">
            <v>7119.9971520000008</v>
          </cell>
          <cell r="Z301" t="str">
            <v>RM-00442</v>
          </cell>
          <cell r="AA301" t="str">
            <v>CHEFMATE CLEAR LIQUID SHORTINING OIL زيت شيف ميت</v>
          </cell>
          <cell r="AB301" t="str">
            <v>RM-00442</v>
          </cell>
          <cell r="AC301" t="str">
            <v>CHEFMATE CLEAR LIQUID SHORTINING OIL زيت شيف ميت</v>
          </cell>
          <cell r="AD301">
            <v>8.3333300000000001</v>
          </cell>
          <cell r="AE301" t="str">
            <v>شركة أعمال الضيافة للخدمات التموينية</v>
          </cell>
        </row>
        <row r="302">
          <cell r="B302" t="str">
            <v>RM-00300</v>
          </cell>
          <cell r="C302" t="str">
            <v>Sweet Soy Sauce Indofood صوص صويا اندفود</v>
          </cell>
          <cell r="D302" t="str">
            <v>Sweet Soy Sauce Indofood صوص صويا اندفود</v>
          </cell>
          <cell r="E302" t="str">
            <v/>
          </cell>
          <cell r="F302" t="str">
            <v/>
          </cell>
          <cell r="G302" t="str">
            <v/>
          </cell>
          <cell r="H302" t="str">
            <v>✓</v>
          </cell>
          <cell r="I302" t="str">
            <v/>
          </cell>
          <cell r="J302" t="str">
            <v/>
          </cell>
          <cell r="K302">
            <v>1</v>
          </cell>
          <cell r="L302">
            <v>1</v>
          </cell>
          <cell r="N302">
            <v>90</v>
          </cell>
          <cell r="O302">
            <v>2700</v>
          </cell>
          <cell r="P302">
            <v>0.33333333333333331</v>
          </cell>
          <cell r="Q302">
            <v>1.3333333333333333</v>
          </cell>
          <cell r="R302">
            <v>0</v>
          </cell>
          <cell r="S302">
            <v>7</v>
          </cell>
          <cell r="T302" t="str">
            <v>A</v>
          </cell>
          <cell r="U302">
            <v>24.911999999999999</v>
          </cell>
          <cell r="V302" t="str">
            <v>Tanzeem Al Afkar Trading Company | شركة تنظيم الافكار للتجارة</v>
          </cell>
          <cell r="W302">
            <v>0</v>
          </cell>
          <cell r="X302">
            <v>24.911999999999999</v>
          </cell>
          <cell r="Z302" t="str">
            <v>RM-00300</v>
          </cell>
          <cell r="AA302" t="str">
            <v>Sweet Soy Sauce Indofood صوص صويا اندفود</v>
          </cell>
          <cell r="AB302" t="str">
            <v>RM-00300</v>
          </cell>
          <cell r="AC302" t="str">
            <v>Sweet Soy Sauce Indofood صوص صويا اندفود</v>
          </cell>
          <cell r="AD302">
            <v>24.911999999999999</v>
          </cell>
          <cell r="AE302" t="str">
            <v>Tanzeem Al Afkar Trading Company | شركة تنظيم الافكار للتجارة</v>
          </cell>
        </row>
        <row r="303">
          <cell r="B303" t="str">
            <v>RM-00001</v>
          </cell>
          <cell r="C303" t="str">
            <v>Animal Ghee سمن حيواني</v>
          </cell>
          <cell r="D303" t="str">
            <v>Animal Ghee سمن حيواني</v>
          </cell>
          <cell r="E303" t="str">
            <v/>
          </cell>
          <cell r="F303" t="str">
            <v/>
          </cell>
          <cell r="G303" t="str">
            <v/>
          </cell>
          <cell r="H303" t="str">
            <v>✓</v>
          </cell>
          <cell r="I303" t="str">
            <v/>
          </cell>
          <cell r="J303" t="str">
            <v/>
          </cell>
          <cell r="K303">
            <v>1</v>
          </cell>
          <cell r="L303">
            <v>12</v>
          </cell>
          <cell r="N303">
            <v>0</v>
          </cell>
          <cell r="O303">
            <v>0</v>
          </cell>
          <cell r="P303">
            <v>4</v>
          </cell>
          <cell r="Q303">
            <v>16</v>
          </cell>
          <cell r="R303">
            <v>16</v>
          </cell>
          <cell r="S303">
            <v>7</v>
          </cell>
          <cell r="T303" t="str">
            <v>A</v>
          </cell>
          <cell r="U303">
            <v>50.9375</v>
          </cell>
          <cell r="V303" t="str">
            <v>Tanzeem Al Afkar Trading Company | شركة تنظيم الافكار للتجارة</v>
          </cell>
          <cell r="W303">
            <v>815</v>
          </cell>
          <cell r="X303">
            <v>611.25</v>
          </cell>
          <cell r="Z303" t="str">
            <v>RM-00001</v>
          </cell>
          <cell r="AA303" t="str">
            <v>Animal Ghee سمن حيواني</v>
          </cell>
          <cell r="AB303" t="str">
            <v>RM-00001</v>
          </cell>
          <cell r="AC303" t="str">
            <v>Animal Ghee سمن حيواني</v>
          </cell>
          <cell r="AD303">
            <v>50.9375</v>
          </cell>
          <cell r="AE303" t="str">
            <v>Tanzeem Al Afkar Trading Company | شركة تنظيم الافكار للتجارة</v>
          </cell>
        </row>
        <row r="304">
          <cell r="B304" t="str">
            <v>RM-00677</v>
          </cell>
          <cell r="C304" t="str">
            <v>مايونيز قودي / Goody Mayonnaise</v>
          </cell>
          <cell r="D304" t="str">
            <v>مايونيز قودي / Goody Mayonnaise</v>
          </cell>
          <cell r="E304" t="str">
            <v/>
          </cell>
          <cell r="F304" t="str">
            <v/>
          </cell>
          <cell r="G304" t="str">
            <v/>
          </cell>
          <cell r="H304" t="str">
            <v>✓</v>
          </cell>
          <cell r="I304" t="str">
            <v/>
          </cell>
          <cell r="J304" t="str">
            <v>✓</v>
          </cell>
          <cell r="K304">
            <v>2</v>
          </cell>
          <cell r="L304">
            <v>60</v>
          </cell>
          <cell r="N304">
            <v>189.24</v>
          </cell>
          <cell r="O304">
            <v>94.62</v>
          </cell>
          <cell r="P304">
            <v>20</v>
          </cell>
          <cell r="Q304">
            <v>80</v>
          </cell>
          <cell r="R304">
            <v>0</v>
          </cell>
          <cell r="S304">
            <v>7</v>
          </cell>
          <cell r="T304" t="str">
            <v>A</v>
          </cell>
          <cell r="U304">
            <v>11.35135</v>
          </cell>
          <cell r="V304" t="str">
            <v>Tanzeem Al Afkar Trading Company | شركة تنظيم الافكار للتجارة</v>
          </cell>
          <cell r="W304">
            <v>0</v>
          </cell>
          <cell r="X304">
            <v>681.08100000000002</v>
          </cell>
          <cell r="Z304" t="str">
            <v>RM-00677</v>
          </cell>
          <cell r="AA304" t="str">
            <v>مايونيز قودي / Goody Mayonnaise</v>
          </cell>
          <cell r="AB304" t="str">
            <v>RM-00677</v>
          </cell>
          <cell r="AC304" t="str">
            <v>مايونيز قودي / Goody Mayonnaise</v>
          </cell>
          <cell r="AD304">
            <v>11.35135</v>
          </cell>
          <cell r="AE304" t="str">
            <v>Tanzeem Al Afkar Trading Company | شركة تنظيم الافكار للتجارة</v>
          </cell>
        </row>
        <row r="305">
          <cell r="B305" t="str">
            <v>RM-00315</v>
          </cell>
          <cell r="C305" t="str">
            <v>White Vinegar خل ابيض</v>
          </cell>
          <cell r="D305" t="str">
            <v>White Vinegar خل ابيض</v>
          </cell>
          <cell r="E305" t="str">
            <v/>
          </cell>
          <cell r="F305" t="str">
            <v/>
          </cell>
          <cell r="G305" t="str">
            <v/>
          </cell>
          <cell r="H305" t="str">
            <v>✓</v>
          </cell>
          <cell r="I305" t="str">
            <v/>
          </cell>
          <cell r="J305" t="str">
            <v>✓</v>
          </cell>
          <cell r="K305">
            <v>2</v>
          </cell>
          <cell r="L305">
            <v>32</v>
          </cell>
          <cell r="N305">
            <v>67.94</v>
          </cell>
          <cell r="O305">
            <v>63.693749999999994</v>
          </cell>
          <cell r="P305">
            <v>10.666666666666666</v>
          </cell>
          <cell r="Q305">
            <v>42.666666666666664</v>
          </cell>
          <cell r="R305">
            <v>0</v>
          </cell>
          <cell r="S305">
            <v>7</v>
          </cell>
          <cell r="T305" t="str">
            <v>A</v>
          </cell>
          <cell r="U305">
            <v>3.0666699999999998</v>
          </cell>
          <cell r="V305" t="str">
            <v>Tanzeem Al Afkar Trading Company | شركة تنظيم الافكار للتجارة</v>
          </cell>
          <cell r="W305">
            <v>0</v>
          </cell>
          <cell r="X305">
            <v>98.133439999999993</v>
          </cell>
          <cell r="Z305" t="str">
            <v>RM-00315</v>
          </cell>
          <cell r="AA305" t="str">
            <v>White Vinegar خل ابيض</v>
          </cell>
          <cell r="AB305" t="str">
            <v>RM-00315</v>
          </cell>
          <cell r="AC305" t="str">
            <v>White Vinegar خل ابيض</v>
          </cell>
          <cell r="AD305">
            <v>3.0666699999999998</v>
          </cell>
          <cell r="AE305" t="str">
            <v>Tanzeem Al Afkar Trading Company | شركة تنظيم الافكار للتجارة</v>
          </cell>
        </row>
        <row r="306">
          <cell r="B306" t="str">
            <v>RM-00147</v>
          </cell>
          <cell r="C306" t="str">
            <v>Cardamom Whole</v>
          </cell>
          <cell r="D306" t="str">
            <v>Cardamom Whole JAMBO هيل اخضر</v>
          </cell>
          <cell r="E306" t="str">
            <v/>
          </cell>
          <cell r="F306" t="str">
            <v/>
          </cell>
          <cell r="G306" t="str">
            <v/>
          </cell>
          <cell r="H306" t="str">
            <v/>
          </cell>
          <cell r="I306" t="str">
            <v/>
          </cell>
          <cell r="J306" t="str">
            <v>✓</v>
          </cell>
          <cell r="K306">
            <v>1</v>
          </cell>
          <cell r="L306">
            <v>2</v>
          </cell>
          <cell r="N306">
            <v>6</v>
          </cell>
          <cell r="O306">
            <v>90</v>
          </cell>
          <cell r="P306">
            <v>0.66666666666666663</v>
          </cell>
          <cell r="Q306">
            <v>2.6666666666666665</v>
          </cell>
          <cell r="R306">
            <v>0</v>
          </cell>
          <cell r="S306">
            <v>7</v>
          </cell>
          <cell r="T306" t="str">
            <v>A</v>
          </cell>
          <cell r="U306">
            <v>79.95</v>
          </cell>
          <cell r="V306" t="str">
            <v>شركة ناف الجود- NAF AL JOOD</v>
          </cell>
          <cell r="W306">
            <v>0</v>
          </cell>
          <cell r="X306">
            <v>159.9</v>
          </cell>
          <cell r="Z306" t="str">
            <v>RM-00208</v>
          </cell>
          <cell r="AA306" t="str">
            <v>Cardamom Whole JAMBO هيل اخضر</v>
          </cell>
          <cell r="AB306" t="str">
            <v>RM-00147</v>
          </cell>
          <cell r="AC306" t="str">
            <v>Cardamom Whole</v>
          </cell>
          <cell r="AD306">
            <v>79.95</v>
          </cell>
          <cell r="AE306" t="str">
            <v>شركة ناف الجود- NAF AL JOOD</v>
          </cell>
        </row>
        <row r="307">
          <cell r="B307" t="str">
            <v>RM-00209</v>
          </cell>
          <cell r="C307" t="str">
            <v>Cinnamon Chopsticks قرفة عيدان</v>
          </cell>
          <cell r="D307" t="str">
            <v>Cinnamon Chopsticks قرفة عيدان</v>
          </cell>
          <cell r="E307" t="str">
            <v/>
          </cell>
          <cell r="F307" t="str">
            <v/>
          </cell>
          <cell r="G307" t="str">
            <v/>
          </cell>
          <cell r="H307" t="str">
            <v>✓</v>
          </cell>
          <cell r="I307" t="str">
            <v/>
          </cell>
          <cell r="J307" t="str">
            <v/>
          </cell>
          <cell r="K307">
            <v>1</v>
          </cell>
          <cell r="L307">
            <v>1</v>
          </cell>
          <cell r="N307">
            <v>10</v>
          </cell>
          <cell r="O307">
            <v>300</v>
          </cell>
          <cell r="P307">
            <v>0.33333333333333331</v>
          </cell>
          <cell r="Q307">
            <v>1.3333333333333333</v>
          </cell>
          <cell r="R307">
            <v>0</v>
          </cell>
          <cell r="S307">
            <v>7</v>
          </cell>
          <cell r="T307" t="str">
            <v>A</v>
          </cell>
          <cell r="U307">
            <v>15.12</v>
          </cell>
          <cell r="V307" t="str">
            <v>Tanzeem Al Afkar Trading Company | شركة تنظيم الافكار للتجارة</v>
          </cell>
          <cell r="W307">
            <v>0</v>
          </cell>
          <cell r="X307">
            <v>15.12</v>
          </cell>
          <cell r="Z307" t="str">
            <v>RM-00209</v>
          </cell>
          <cell r="AA307" t="str">
            <v>Cinnamon Chopsticks قرفة عيدان</v>
          </cell>
          <cell r="AB307" t="str">
            <v>RM-00209</v>
          </cell>
          <cell r="AC307" t="str">
            <v>Cinnamon Chopsticks قرفة عيدان</v>
          </cell>
          <cell r="AD307">
            <v>15.12</v>
          </cell>
          <cell r="AE307" t="str">
            <v>Tanzeem Al Afkar Trading Company | شركة تنظيم الافكار للتجارة</v>
          </cell>
        </row>
        <row r="308">
          <cell r="B308" t="str">
            <v>RM-00217</v>
          </cell>
          <cell r="C308" t="str">
            <v>Masturd dijon مسترد ديجون</v>
          </cell>
          <cell r="D308" t="str">
            <v>Masturd dijon مسترد ديجون</v>
          </cell>
          <cell r="E308" t="str">
            <v/>
          </cell>
          <cell r="F308" t="str">
            <v/>
          </cell>
          <cell r="G308" t="str">
            <v/>
          </cell>
          <cell r="H308" t="str">
            <v>✓</v>
          </cell>
          <cell r="I308" t="str">
            <v/>
          </cell>
          <cell r="J308" t="str">
            <v>✓</v>
          </cell>
          <cell r="K308">
            <v>2</v>
          </cell>
          <cell r="L308">
            <v>20</v>
          </cell>
          <cell r="N308">
            <v>0</v>
          </cell>
          <cell r="O308">
            <v>0</v>
          </cell>
          <cell r="P308">
            <v>6.6666666666666661</v>
          </cell>
          <cell r="Q308">
            <v>26.666666666666664</v>
          </cell>
          <cell r="R308">
            <v>26.666666666666664</v>
          </cell>
          <cell r="S308">
            <v>7</v>
          </cell>
          <cell r="T308" t="str">
            <v>A</v>
          </cell>
          <cell r="U308">
            <v>60.130719999999997</v>
          </cell>
          <cell r="V308" t="str">
            <v>شركة الوصيل التجاريه - AL WASEEL</v>
          </cell>
          <cell r="W308">
            <v>1603.4858666666664</v>
          </cell>
          <cell r="X308">
            <v>1202.6143999999999</v>
          </cell>
          <cell r="Z308" t="str">
            <v>RM-00217</v>
          </cell>
          <cell r="AA308" t="str">
            <v>Masturd dijon مسترد ديجون</v>
          </cell>
          <cell r="AB308" t="str">
            <v>RM-00217</v>
          </cell>
          <cell r="AC308" t="str">
            <v>Masturd dijon مسترد ديجون</v>
          </cell>
          <cell r="AD308">
            <v>60.130719999999997</v>
          </cell>
          <cell r="AE308" t="str">
            <v>شركة ناف الجود- NAF AL JOOD</v>
          </cell>
        </row>
        <row r="309">
          <cell r="B309" t="str">
            <v>RM-00502</v>
          </cell>
          <cell r="C309" t="str">
            <v>Sugar Jaggery Vijay سكر جاجيري مدور</v>
          </cell>
          <cell r="D309" t="str">
            <v>Sugar Jaggery Vijay سكر جاجيري مدور</v>
          </cell>
          <cell r="E309" t="str">
            <v/>
          </cell>
          <cell r="F309" t="str">
            <v/>
          </cell>
          <cell r="G309" t="str">
            <v/>
          </cell>
          <cell r="H309" t="str">
            <v>✓</v>
          </cell>
          <cell r="I309" t="str">
            <v/>
          </cell>
          <cell r="J309" t="str">
            <v/>
          </cell>
          <cell r="K309">
            <v>1</v>
          </cell>
          <cell r="L309">
            <v>30</v>
          </cell>
          <cell r="N309">
            <v>0</v>
          </cell>
          <cell r="O309">
            <v>0</v>
          </cell>
          <cell r="P309">
            <v>10</v>
          </cell>
          <cell r="Q309">
            <v>40</v>
          </cell>
          <cell r="R309">
            <v>40</v>
          </cell>
          <cell r="S309">
            <v>7</v>
          </cell>
          <cell r="T309" t="str">
            <v>A</v>
          </cell>
          <cell r="U309">
            <v>6.726</v>
          </cell>
          <cell r="V309" t="str">
            <v>شركة ناف الجود- NAF AL JOOD</v>
          </cell>
          <cell r="W309">
            <v>269.04000000000002</v>
          </cell>
          <cell r="X309">
            <v>201.78</v>
          </cell>
          <cell r="Z309" t="str">
            <v>RM-00502</v>
          </cell>
          <cell r="AA309" t="str">
            <v>Sugar Jaggery Vijay سكر جاجيري مدور</v>
          </cell>
          <cell r="AB309" t="str">
            <v>RM-00502</v>
          </cell>
          <cell r="AC309" t="str">
            <v>Sugar Jaggery Vijay سكر جاجيري مدور</v>
          </cell>
          <cell r="AD309">
            <v>6.726</v>
          </cell>
          <cell r="AE309" t="str">
            <v>شركة ناف الجود- NAF AL JOOD</v>
          </cell>
        </row>
        <row r="310">
          <cell r="B310" t="str">
            <v>RM-00148</v>
          </cell>
          <cell r="C310" t="str">
            <v>Clove قرنفل</v>
          </cell>
          <cell r="D310" t="str">
            <v>Clove قرنفل</v>
          </cell>
          <cell r="E310" t="str">
            <v/>
          </cell>
          <cell r="F310" t="str">
            <v/>
          </cell>
          <cell r="G310" t="str">
            <v/>
          </cell>
          <cell r="H310" t="str">
            <v>✓</v>
          </cell>
          <cell r="I310" t="str">
            <v/>
          </cell>
          <cell r="J310" t="str">
            <v>✓</v>
          </cell>
          <cell r="K310">
            <v>2</v>
          </cell>
          <cell r="L310">
            <v>1</v>
          </cell>
          <cell r="N310">
            <v>10</v>
          </cell>
          <cell r="O310">
            <v>300</v>
          </cell>
          <cell r="P310">
            <v>0.33333333333333331</v>
          </cell>
          <cell r="Q310">
            <v>1.3333333333333333</v>
          </cell>
          <cell r="R310">
            <v>0</v>
          </cell>
          <cell r="S310">
            <v>7</v>
          </cell>
          <cell r="T310" t="str">
            <v>A</v>
          </cell>
          <cell r="U310">
            <v>53</v>
          </cell>
          <cell r="V310" t="str">
            <v>Tanzeem Al Afkar Trading Company | شركة تنظيم الافكار للتجارة</v>
          </cell>
          <cell r="W310">
            <v>0</v>
          </cell>
          <cell r="X310">
            <v>53</v>
          </cell>
          <cell r="Z310" t="str">
            <v>RM-00148</v>
          </cell>
          <cell r="AA310" t="str">
            <v>Clove قرنفل</v>
          </cell>
          <cell r="AB310" t="str">
            <v>RM-00148</v>
          </cell>
          <cell r="AC310" t="str">
            <v>Clove قرنفل</v>
          </cell>
          <cell r="AD310">
            <v>53</v>
          </cell>
          <cell r="AE310" t="str">
            <v>Tanzeem Al Afkar Trading Company | شركة تنظيم الافكار للتجارة</v>
          </cell>
        </row>
        <row r="311">
          <cell r="B311" t="str">
            <v>RM-00304</v>
          </cell>
          <cell r="C311" t="str">
            <v>Tamrind Freshly  تمر هندي فرشلي</v>
          </cell>
          <cell r="D311" t="str">
            <v>Tamrind Freshly  تمر هندي فرشلي</v>
          </cell>
          <cell r="E311" t="str">
            <v/>
          </cell>
          <cell r="F311" t="str">
            <v/>
          </cell>
          <cell r="G311" t="str">
            <v/>
          </cell>
          <cell r="H311" t="str">
            <v>✓</v>
          </cell>
          <cell r="I311" t="str">
            <v/>
          </cell>
          <cell r="J311" t="str">
            <v/>
          </cell>
          <cell r="K311">
            <v>1</v>
          </cell>
          <cell r="L311">
            <v>8</v>
          </cell>
          <cell r="N311">
            <v>0</v>
          </cell>
          <cell r="O311">
            <v>0</v>
          </cell>
          <cell r="P311">
            <v>2.6666666666666665</v>
          </cell>
          <cell r="Q311">
            <v>10.666666666666666</v>
          </cell>
          <cell r="R311">
            <v>10.666666666666666</v>
          </cell>
          <cell r="S311">
            <v>7</v>
          </cell>
          <cell r="T311" t="str">
            <v>A</v>
          </cell>
          <cell r="U311">
            <v>34.166670000000003</v>
          </cell>
          <cell r="V311" t="str">
            <v>Tanzeem Al Afkar Trading Company | شركة تنظيم الافكار للتجارة</v>
          </cell>
          <cell r="W311">
            <v>364.44448</v>
          </cell>
          <cell r="X311">
            <v>273.33336000000003</v>
          </cell>
          <cell r="Z311" t="str">
            <v>RM-00304</v>
          </cell>
          <cell r="AA311" t="str">
            <v>Tamrind Freshly تمر هندي فرشلي</v>
          </cell>
          <cell r="AB311" t="str">
            <v>RM-00304</v>
          </cell>
          <cell r="AC311" t="str">
            <v>Tamrind Freshly  تمر هندي فرشلي</v>
          </cell>
          <cell r="AD311">
            <v>34.166670000000003</v>
          </cell>
          <cell r="AE311" t="str">
            <v>Tanzeem Al Afkar Trading Company | شركة تنظيم الافكار للتجارة</v>
          </cell>
        </row>
        <row r="312">
          <cell r="B312" t="str">
            <v>RM-00221</v>
          </cell>
          <cell r="C312" t="str">
            <v>Mustard Seeds حبوب خردل</v>
          </cell>
          <cell r="D312" t="str">
            <v>Mustard Seeds حبوب خردل</v>
          </cell>
          <cell r="E312" t="str">
            <v/>
          </cell>
          <cell r="F312" t="str">
            <v/>
          </cell>
          <cell r="G312" t="str">
            <v/>
          </cell>
          <cell r="H312" t="str">
            <v>✓</v>
          </cell>
          <cell r="I312" t="str">
            <v/>
          </cell>
          <cell r="J312" t="str">
            <v/>
          </cell>
          <cell r="K312">
            <v>1</v>
          </cell>
          <cell r="L312">
            <v>2</v>
          </cell>
          <cell r="N312">
            <v>3</v>
          </cell>
          <cell r="O312">
            <v>45</v>
          </cell>
          <cell r="P312">
            <v>0.66666666666666663</v>
          </cell>
          <cell r="Q312">
            <v>2.6666666666666665</v>
          </cell>
          <cell r="R312">
            <v>0</v>
          </cell>
          <cell r="S312">
            <v>7</v>
          </cell>
          <cell r="T312" t="str">
            <v>A</v>
          </cell>
          <cell r="U312">
            <v>35</v>
          </cell>
          <cell r="V312" t="str">
            <v>شركة ناف الجود- NAF AL JOOD</v>
          </cell>
          <cell r="W312">
            <v>0</v>
          </cell>
          <cell r="X312">
            <v>70</v>
          </cell>
          <cell r="Z312" t="str">
            <v>RM-00221</v>
          </cell>
          <cell r="AA312" t="str">
            <v>Mustard Seeds حبوب خردل</v>
          </cell>
          <cell r="AB312" t="str">
            <v>RM-00221</v>
          </cell>
          <cell r="AC312" t="str">
            <v>Mustard Seeds حبوب خردل</v>
          </cell>
          <cell r="AD312">
            <v>35</v>
          </cell>
          <cell r="AE312" t="str">
            <v>شركة ناف الجود- NAF AL JOOD</v>
          </cell>
        </row>
        <row r="313">
          <cell r="B313" t="str">
            <v>RM-00222</v>
          </cell>
          <cell r="C313" t="str">
            <v>Breadcrumbs</v>
          </cell>
          <cell r="D313" t="str">
            <v>Bread Crumb بقسماط</v>
          </cell>
          <cell r="E313" t="str">
            <v/>
          </cell>
          <cell r="F313" t="str">
            <v/>
          </cell>
          <cell r="G313" t="str">
            <v/>
          </cell>
          <cell r="H313" t="str">
            <v>✓</v>
          </cell>
          <cell r="I313" t="str">
            <v/>
          </cell>
          <cell r="J313" t="str">
            <v/>
          </cell>
          <cell r="K313">
            <v>1</v>
          </cell>
          <cell r="L313">
            <v>10</v>
          </cell>
          <cell r="N313">
            <v>20</v>
          </cell>
          <cell r="O313">
            <v>60</v>
          </cell>
          <cell r="P313">
            <v>3.333333333333333</v>
          </cell>
          <cell r="Q313">
            <v>13.333333333333332</v>
          </cell>
          <cell r="R313">
            <v>0</v>
          </cell>
          <cell r="S313">
            <v>7</v>
          </cell>
          <cell r="T313" t="str">
            <v>A</v>
          </cell>
          <cell r="U313">
            <v>15.6</v>
          </cell>
          <cell r="V313" t="str">
            <v>شركة ناف الجود- NAF AL JOOD</v>
          </cell>
          <cell r="W313">
            <v>0</v>
          </cell>
          <cell r="X313">
            <v>156</v>
          </cell>
          <cell r="Z313" t="str">
            <v>RM-00222</v>
          </cell>
          <cell r="AA313" t="str">
            <v>Bread Crumb بقسماط</v>
          </cell>
          <cell r="AB313" t="str">
            <v>RM-00222</v>
          </cell>
          <cell r="AC313" t="str">
            <v>Breadcrumbs</v>
          </cell>
          <cell r="AD313">
            <v>15.6</v>
          </cell>
          <cell r="AE313" t="str">
            <v>شركة ناف الجود- NAF AL JOOD</v>
          </cell>
        </row>
        <row r="314">
          <cell r="B314" t="str">
            <v>RM-00424</v>
          </cell>
          <cell r="C314" t="str">
            <v>Indian Cashew كاجو هندي</v>
          </cell>
          <cell r="D314" t="str">
            <v>Indian Cashew كاجو هندي</v>
          </cell>
          <cell r="E314" t="str">
            <v/>
          </cell>
          <cell r="F314" t="str">
            <v/>
          </cell>
          <cell r="G314" t="str">
            <v/>
          </cell>
          <cell r="H314" t="str">
            <v>✓</v>
          </cell>
          <cell r="I314" t="str">
            <v/>
          </cell>
          <cell r="J314" t="str">
            <v>✓</v>
          </cell>
          <cell r="K314">
            <v>2</v>
          </cell>
          <cell r="L314">
            <v>25</v>
          </cell>
          <cell r="N314">
            <v>140</v>
          </cell>
          <cell r="O314">
            <v>168</v>
          </cell>
          <cell r="P314">
            <v>8.3333333333333321</v>
          </cell>
          <cell r="Q314">
            <v>33.333333333333329</v>
          </cell>
          <cell r="R314">
            <v>0</v>
          </cell>
          <cell r="S314">
            <v>7</v>
          </cell>
          <cell r="T314" t="str">
            <v>A</v>
          </cell>
          <cell r="U314">
            <v>48</v>
          </cell>
          <cell r="V314" t="str">
            <v>Tanzeem Al Afkar Trading Company | شركة تنظيم الافكار للتجارة</v>
          </cell>
          <cell r="W314">
            <v>0</v>
          </cell>
          <cell r="X314">
            <v>1200</v>
          </cell>
          <cell r="Z314" t="str">
            <v>RM-00424</v>
          </cell>
          <cell r="AA314" t="str">
            <v>Indian Cashew كاجو هندي</v>
          </cell>
          <cell r="AB314" t="str">
            <v>RM-00424</v>
          </cell>
          <cell r="AC314" t="str">
            <v>Indian Cashew كاجو هندي</v>
          </cell>
          <cell r="AD314">
            <v>48</v>
          </cell>
          <cell r="AE314" t="str">
            <v>شركة خالد درع الدرع وشريكة المحدودة</v>
          </cell>
        </row>
        <row r="315">
          <cell r="B315" t="str">
            <v>RM-00223</v>
          </cell>
          <cell r="C315" t="str">
            <v>Mehran Chat Massala  بهارات تشات مسالا</v>
          </cell>
          <cell r="D315" t="str">
            <v>Mehran Chat Massala  بهارات تشات مسالا</v>
          </cell>
          <cell r="E315" t="str">
            <v/>
          </cell>
          <cell r="F315" t="str">
            <v/>
          </cell>
          <cell r="G315" t="str">
            <v/>
          </cell>
          <cell r="H315" t="str">
            <v>✓</v>
          </cell>
          <cell r="I315" t="str">
            <v/>
          </cell>
          <cell r="J315" t="str">
            <v/>
          </cell>
          <cell r="K315">
            <v>1</v>
          </cell>
          <cell r="L315">
            <v>1</v>
          </cell>
          <cell r="N315">
            <v>19.2</v>
          </cell>
          <cell r="O315">
            <v>576</v>
          </cell>
          <cell r="P315">
            <v>0.33333333333333331</v>
          </cell>
          <cell r="Q315">
            <v>1.3333333333333333</v>
          </cell>
          <cell r="R315">
            <v>0</v>
          </cell>
          <cell r="S315">
            <v>7</v>
          </cell>
          <cell r="T315" t="str">
            <v>A</v>
          </cell>
          <cell r="U315">
            <v>32.583329999999997</v>
          </cell>
          <cell r="V315" t="str">
            <v>شركة الوصيل التجاريه - AL WASEEL</v>
          </cell>
          <cell r="W315">
            <v>0</v>
          </cell>
          <cell r="X315">
            <v>32.583329999999997</v>
          </cell>
          <cell r="Z315" t="str">
            <v>RM-00223</v>
          </cell>
          <cell r="AA315" t="str">
            <v>Mehran Chat Massala بهارات تشات مسالا</v>
          </cell>
          <cell r="AB315" t="str">
            <v>RM-00223</v>
          </cell>
          <cell r="AC315" t="str">
            <v>Mehran Chat Massala  بهارات تشات مسالا</v>
          </cell>
          <cell r="AD315">
            <v>32.583329999999997</v>
          </cell>
          <cell r="AE315" t="str">
            <v>شركة الوصيل التجاريه - AL WASEEL</v>
          </cell>
        </row>
        <row r="316">
          <cell r="B316" t="str">
            <v>RM-00269</v>
          </cell>
          <cell r="C316" t="str">
            <v>Sweet Paprika بابريكا</v>
          </cell>
          <cell r="D316" t="str">
            <v>Paprika Smoked Small بابريكا مدخن</v>
          </cell>
          <cell r="E316" t="str">
            <v/>
          </cell>
          <cell r="F316" t="str">
            <v/>
          </cell>
          <cell r="G316" t="str">
            <v/>
          </cell>
          <cell r="H316" t="str">
            <v/>
          </cell>
          <cell r="I316" t="str">
            <v/>
          </cell>
          <cell r="J316" t="str">
            <v>✓</v>
          </cell>
          <cell r="K316">
            <v>1</v>
          </cell>
          <cell r="L316">
            <v>1</v>
          </cell>
          <cell r="N316">
            <v>65.448000000000008</v>
          </cell>
          <cell r="O316">
            <v>1963.4400000000003</v>
          </cell>
          <cell r="P316">
            <v>0.33333333333333331</v>
          </cell>
          <cell r="Q316">
            <v>1.3333333333333333</v>
          </cell>
          <cell r="R316">
            <v>0</v>
          </cell>
          <cell r="S316">
            <v>7</v>
          </cell>
          <cell r="T316" t="str">
            <v>A</v>
          </cell>
          <cell r="U316">
            <v>112.88545999999999</v>
          </cell>
          <cell r="V316" t="str">
            <v>شركة ناف الجود- NAF AL JOOD</v>
          </cell>
          <cell r="W316">
            <v>0</v>
          </cell>
          <cell r="X316">
            <v>112.88545999999999</v>
          </cell>
          <cell r="Z316" t="str">
            <v>RM-00268</v>
          </cell>
          <cell r="AA316" t="str">
            <v>Paprika Smoked Small بابريكا مدخن</v>
          </cell>
          <cell r="AB316" t="str">
            <v>RM-00269</v>
          </cell>
          <cell r="AC316" t="str">
            <v>Sweet Paprika بابريكا</v>
          </cell>
          <cell r="AD316">
            <v>112.88545999999999</v>
          </cell>
          <cell r="AE316" t="str">
            <v>Tanzeem Al Afkar Trading Company | شركة تنظيم الافكار للتجارة</v>
          </cell>
        </row>
        <row r="317">
          <cell r="B317" t="str">
            <v>RM-00309</v>
          </cell>
          <cell r="C317" t="str">
            <v>Turmeric curcuma poweder كركم مطحون</v>
          </cell>
          <cell r="D317" t="str">
            <v>Turmeric curcuma poweder كركم مطحون</v>
          </cell>
          <cell r="E317" t="str">
            <v/>
          </cell>
          <cell r="F317" t="str">
            <v/>
          </cell>
          <cell r="G317" t="str">
            <v/>
          </cell>
          <cell r="H317" t="str">
            <v>✓</v>
          </cell>
          <cell r="I317" t="str">
            <v/>
          </cell>
          <cell r="J317" t="str">
            <v/>
          </cell>
          <cell r="K317">
            <v>1</v>
          </cell>
          <cell r="L317">
            <v>6</v>
          </cell>
          <cell r="N317">
            <v>0</v>
          </cell>
          <cell r="O317">
            <v>0</v>
          </cell>
          <cell r="P317">
            <v>2</v>
          </cell>
          <cell r="Q317">
            <v>8</v>
          </cell>
          <cell r="R317">
            <v>8</v>
          </cell>
          <cell r="S317">
            <v>7</v>
          </cell>
          <cell r="T317" t="str">
            <v>A</v>
          </cell>
          <cell r="U317">
            <v>17</v>
          </cell>
          <cell r="V317" t="str">
            <v>شركة الوصيل التجاريه - AL WASEEL</v>
          </cell>
          <cell r="W317">
            <v>136</v>
          </cell>
          <cell r="X317">
            <v>102</v>
          </cell>
          <cell r="Z317" t="str">
            <v>RM-00309</v>
          </cell>
          <cell r="AA317" t="str">
            <v>Turmeric curcuma poweder كركم مطحون</v>
          </cell>
          <cell r="AB317" t="str">
            <v>RM-00309</v>
          </cell>
          <cell r="AC317" t="str">
            <v>Turmeric curcuma poweder كركم مطحون</v>
          </cell>
          <cell r="AD317">
            <v>17</v>
          </cell>
          <cell r="AE317" t="str">
            <v>Tanzeem Al Afkar Trading Company | شركة تنظيم الافكار للتجارة</v>
          </cell>
        </row>
        <row r="318">
          <cell r="B318" t="str">
            <v>RM-00152</v>
          </cell>
          <cell r="C318" t="str">
            <v>Ground Coriander كزبرة مطحون</v>
          </cell>
          <cell r="D318" t="str">
            <v>Ground Coriander كزبرة مطحون</v>
          </cell>
          <cell r="E318" t="str">
            <v/>
          </cell>
          <cell r="F318" t="str">
            <v/>
          </cell>
          <cell r="G318" t="str">
            <v/>
          </cell>
          <cell r="H318" t="str">
            <v>✓</v>
          </cell>
          <cell r="I318" t="str">
            <v/>
          </cell>
          <cell r="J318" t="str">
            <v>✓</v>
          </cell>
          <cell r="K318">
            <v>2</v>
          </cell>
          <cell r="L318">
            <v>6</v>
          </cell>
          <cell r="N318">
            <v>105</v>
          </cell>
          <cell r="O318">
            <v>525</v>
          </cell>
          <cell r="P318">
            <v>2</v>
          </cell>
          <cell r="Q318">
            <v>8</v>
          </cell>
          <cell r="R318">
            <v>0</v>
          </cell>
          <cell r="S318">
            <v>7</v>
          </cell>
          <cell r="T318" t="str">
            <v>A</v>
          </cell>
          <cell r="U318">
            <v>8.5</v>
          </cell>
          <cell r="V318" t="str">
            <v>Tanzeem Al Afkar Trading Company | شركة تنظيم الافكار للتجارة</v>
          </cell>
          <cell r="W318">
            <v>0</v>
          </cell>
          <cell r="X318">
            <v>51</v>
          </cell>
          <cell r="Z318" t="str">
            <v>RM-00152</v>
          </cell>
          <cell r="AA318" t="str">
            <v>Ground coriander كزبرة مطحون</v>
          </cell>
          <cell r="AB318" t="str">
            <v>RM-00152</v>
          </cell>
          <cell r="AC318" t="str">
            <v>Ground Coriander كزبرة مطحون</v>
          </cell>
          <cell r="AD318">
            <v>8.5</v>
          </cell>
          <cell r="AE318" t="str">
            <v>Tanzeem Al Afkar Trading Company | شركة تنظيم الافكار للتجارة</v>
          </cell>
        </row>
        <row r="319">
          <cell r="B319" t="str">
            <v>RM-00204</v>
          </cell>
          <cell r="C319" t="str">
            <v>Mahran Biryani برياني مهران</v>
          </cell>
          <cell r="D319" t="str">
            <v>Mahran Biryani برياني مهران</v>
          </cell>
          <cell r="E319" t="str">
            <v/>
          </cell>
          <cell r="F319" t="str">
            <v/>
          </cell>
          <cell r="G319" t="str">
            <v/>
          </cell>
          <cell r="H319" t="str">
            <v>✓</v>
          </cell>
          <cell r="I319" t="str">
            <v/>
          </cell>
          <cell r="J319" t="str">
            <v/>
          </cell>
          <cell r="K319">
            <v>1</v>
          </cell>
          <cell r="L319">
            <v>1</v>
          </cell>
          <cell r="N319">
            <v>4.8</v>
          </cell>
          <cell r="O319">
            <v>144</v>
          </cell>
          <cell r="P319">
            <v>0.33333333333333331</v>
          </cell>
          <cell r="Q319">
            <v>1.3333333333333333</v>
          </cell>
          <cell r="R319">
            <v>0</v>
          </cell>
          <cell r="S319">
            <v>7</v>
          </cell>
          <cell r="T319" t="str">
            <v>A</v>
          </cell>
          <cell r="U319">
            <v>44.49653</v>
          </cell>
          <cell r="V319" t="str">
            <v>شركة ناف الجود- NAF AL JOOD</v>
          </cell>
          <cell r="W319">
            <v>0</v>
          </cell>
          <cell r="X319">
            <v>44.49653</v>
          </cell>
          <cell r="Z319" t="str">
            <v>RM-00204</v>
          </cell>
          <cell r="AA319" t="str">
            <v>Mahran Biryani برياني مهران</v>
          </cell>
          <cell r="AB319" t="str">
            <v>RM-00204</v>
          </cell>
          <cell r="AC319" t="str">
            <v>Mahran Biryani برياني مهران</v>
          </cell>
          <cell r="AD319">
            <v>44.49653</v>
          </cell>
          <cell r="AE319" t="str">
            <v>شركة ناف الجود- NAF AL JOOD</v>
          </cell>
        </row>
        <row r="320">
          <cell r="B320" t="str">
            <v>RM-00205</v>
          </cell>
          <cell r="C320" t="str">
            <v>Mehran Curry مهران كاري</v>
          </cell>
          <cell r="D320" t="str">
            <v>Mehran Curry مهران كاري</v>
          </cell>
          <cell r="E320" t="str">
            <v/>
          </cell>
          <cell r="F320" t="str">
            <v/>
          </cell>
          <cell r="G320" t="str">
            <v/>
          </cell>
          <cell r="H320" t="str">
            <v>✓</v>
          </cell>
          <cell r="I320" t="str">
            <v/>
          </cell>
          <cell r="J320" t="str">
            <v/>
          </cell>
          <cell r="K320">
            <v>1</v>
          </cell>
          <cell r="L320">
            <v>1</v>
          </cell>
          <cell r="N320">
            <v>21</v>
          </cell>
          <cell r="O320">
            <v>630</v>
          </cell>
          <cell r="P320">
            <v>0.33333333333333331</v>
          </cell>
          <cell r="Q320">
            <v>1.3333333333333333</v>
          </cell>
          <cell r="R320">
            <v>0</v>
          </cell>
          <cell r="S320">
            <v>7</v>
          </cell>
          <cell r="T320" t="str">
            <v>A</v>
          </cell>
          <cell r="U320">
            <v>35.4</v>
          </cell>
          <cell r="V320" t="str">
            <v>شركة ناف الجود- NAF AL JOOD</v>
          </cell>
          <cell r="W320">
            <v>0</v>
          </cell>
          <cell r="X320">
            <v>35.4</v>
          </cell>
          <cell r="Z320" t="str">
            <v>RM-00205</v>
          </cell>
          <cell r="AA320" t="str">
            <v>Mehran Massala Curry مهران مسالة</v>
          </cell>
          <cell r="AB320" t="str">
            <v>RM-00205</v>
          </cell>
          <cell r="AC320" t="str">
            <v>Mehran Curry مهران كاري</v>
          </cell>
          <cell r="AD320">
            <v>35.4</v>
          </cell>
          <cell r="AE320" t="str">
            <v>شركة ناف الجود- NAF AL JOOD</v>
          </cell>
        </row>
        <row r="321">
          <cell r="B321" t="str">
            <v>RM-00206</v>
          </cell>
          <cell r="C321" t="str">
            <v>Mehran red pepper فلفل أحمر مهران</v>
          </cell>
          <cell r="D321" t="str">
            <v>Mehran red pepper فلفل أحمر مهران</v>
          </cell>
          <cell r="E321" t="str">
            <v/>
          </cell>
          <cell r="F321" t="str">
            <v/>
          </cell>
          <cell r="G321" t="str">
            <v/>
          </cell>
          <cell r="H321" t="str">
            <v>✓</v>
          </cell>
          <cell r="I321" t="str">
            <v/>
          </cell>
          <cell r="J321" t="str">
            <v/>
          </cell>
          <cell r="K321">
            <v>1</v>
          </cell>
          <cell r="L321">
            <v>1</v>
          </cell>
          <cell r="N321">
            <v>28.8</v>
          </cell>
          <cell r="O321">
            <v>864</v>
          </cell>
          <cell r="P321">
            <v>0.33333333333333331</v>
          </cell>
          <cell r="Q321">
            <v>1.3333333333333333</v>
          </cell>
          <cell r="R321">
            <v>0</v>
          </cell>
          <cell r="S321">
            <v>7</v>
          </cell>
          <cell r="T321" t="str">
            <v>A</v>
          </cell>
          <cell r="U321">
            <v>9</v>
          </cell>
          <cell r="V321" t="str">
            <v>Delta Star Trading Co.</v>
          </cell>
          <cell r="W321">
            <v>0</v>
          </cell>
          <cell r="X321">
            <v>9</v>
          </cell>
          <cell r="Z321" t="str">
            <v>RM-00206</v>
          </cell>
          <cell r="AA321" t="str">
            <v>Mehran red pepper فلفل أحمر مهران</v>
          </cell>
          <cell r="AB321" t="str">
            <v>RM-00206</v>
          </cell>
          <cell r="AC321" t="str">
            <v>Mehran red pepper فلفل أحمر مهران</v>
          </cell>
          <cell r="AD321">
            <v>9</v>
          </cell>
          <cell r="AE321" t="str">
            <v>Tanzeem Al Afkar Trading Company | شركة تنظيم الافكار للتجارة</v>
          </cell>
        </row>
        <row r="322">
          <cell r="B322" t="str">
            <v>RM-00220</v>
          </cell>
          <cell r="C322" t="str">
            <v>Garam Masala Powder بهارات مشكل مطحون</v>
          </cell>
          <cell r="D322" t="str">
            <v>Garam Masala Powder بهارات مشكل مطحون</v>
          </cell>
          <cell r="E322" t="str">
            <v/>
          </cell>
          <cell r="F322" t="str">
            <v/>
          </cell>
          <cell r="G322" t="str">
            <v/>
          </cell>
          <cell r="H322" t="str">
            <v>✓</v>
          </cell>
          <cell r="I322" t="str">
            <v/>
          </cell>
          <cell r="J322" t="str">
            <v/>
          </cell>
          <cell r="K322">
            <v>1</v>
          </cell>
          <cell r="L322">
            <v>1</v>
          </cell>
          <cell r="N322">
            <v>0</v>
          </cell>
          <cell r="O322">
            <v>0</v>
          </cell>
          <cell r="P322">
            <v>0.33333333333333331</v>
          </cell>
          <cell r="Q322">
            <v>1.3333333333333333</v>
          </cell>
          <cell r="R322">
            <v>1.3333333333333333</v>
          </cell>
          <cell r="S322">
            <v>7</v>
          </cell>
          <cell r="T322" t="str">
            <v>A</v>
          </cell>
          <cell r="U322">
            <v>68.75</v>
          </cell>
          <cell r="V322" t="str">
            <v>شركة ناف الجود- NAF AL JOOD</v>
          </cell>
          <cell r="W322">
            <v>91.666666666666657</v>
          </cell>
          <cell r="X322">
            <v>68.75</v>
          </cell>
          <cell r="Z322" t="str">
            <v>RM-00220</v>
          </cell>
          <cell r="AA322" t="str">
            <v>Garam Masala Powder بهارات مشكل مطحون</v>
          </cell>
          <cell r="AB322" t="str">
            <v>RM-00220</v>
          </cell>
          <cell r="AC322" t="str">
            <v>Garam Masala Powder بهارات مشكل مطحون</v>
          </cell>
          <cell r="AD322">
            <v>68.75</v>
          </cell>
          <cell r="AE322" t="str">
            <v>شركة ناف الجود- NAF AL JOOD</v>
          </cell>
        </row>
        <row r="323">
          <cell r="B323" t="str">
            <v>RM-00229</v>
          </cell>
          <cell r="C323" t="str">
            <v>بهارات الكاجونCAJUN SPIECE</v>
          </cell>
          <cell r="D323" t="str">
            <v>بهارات الكاجونCAJUN SPIECE</v>
          </cell>
          <cell r="E323" t="str">
            <v/>
          </cell>
          <cell r="F323" t="str">
            <v/>
          </cell>
          <cell r="G323" t="str">
            <v/>
          </cell>
          <cell r="H323" t="str">
            <v>✓</v>
          </cell>
          <cell r="I323" t="str">
            <v/>
          </cell>
          <cell r="J323" t="str">
            <v/>
          </cell>
          <cell r="K323">
            <v>1</v>
          </cell>
          <cell r="L323">
            <v>1</v>
          </cell>
          <cell r="N323">
            <v>12</v>
          </cell>
          <cell r="O323">
            <v>360</v>
          </cell>
          <cell r="P323">
            <v>0.33333333333333331</v>
          </cell>
          <cell r="Q323">
            <v>1.3333333333333333</v>
          </cell>
          <cell r="R323">
            <v>0</v>
          </cell>
          <cell r="S323">
            <v>7</v>
          </cell>
          <cell r="T323" t="str">
            <v>A</v>
          </cell>
          <cell r="U323">
            <v>68.75</v>
          </cell>
          <cell r="V323" t="str">
            <v>شركة ناف الجود- NAF AL JOOD</v>
          </cell>
          <cell r="W323">
            <v>0</v>
          </cell>
          <cell r="X323">
            <v>68.75</v>
          </cell>
          <cell r="Z323" t="str">
            <v>RM-00229</v>
          </cell>
          <cell r="AA323" t="str">
            <v>Cajun Spices بهارات الكاجون</v>
          </cell>
          <cell r="AB323" t="str">
            <v>RM-00229</v>
          </cell>
          <cell r="AC323" t="str">
            <v>بهارات الكاجونCAJUN SPIECE</v>
          </cell>
          <cell r="AD323">
            <v>68.75</v>
          </cell>
          <cell r="AE323" t="str">
            <v>شركة ناف الجود- NAF AL JOOD</v>
          </cell>
        </row>
        <row r="324">
          <cell r="B324" t="str">
            <v>RM-00230</v>
          </cell>
          <cell r="C324" t="str">
            <v>Cardmom Powder هيل مطحون</v>
          </cell>
          <cell r="D324" t="str">
            <v>Cardmom Powder هيل مطحون</v>
          </cell>
          <cell r="E324" t="str">
            <v/>
          </cell>
          <cell r="F324" t="str">
            <v/>
          </cell>
          <cell r="G324" t="str">
            <v/>
          </cell>
          <cell r="H324" t="str">
            <v>✓</v>
          </cell>
          <cell r="I324" t="str">
            <v/>
          </cell>
          <cell r="J324" t="str">
            <v>✓</v>
          </cell>
          <cell r="K324">
            <v>2</v>
          </cell>
          <cell r="L324">
            <v>2</v>
          </cell>
          <cell r="N324">
            <v>0</v>
          </cell>
          <cell r="O324">
            <v>0</v>
          </cell>
          <cell r="P324">
            <v>0.66666666666666663</v>
          </cell>
          <cell r="Q324">
            <v>2.6666666666666665</v>
          </cell>
          <cell r="R324">
            <v>2.6666666666666665</v>
          </cell>
          <cell r="S324">
            <v>7</v>
          </cell>
          <cell r="T324" t="str">
            <v>A</v>
          </cell>
          <cell r="U324">
            <v>108.1</v>
          </cell>
          <cell r="V324" t="str">
            <v>شركة الوصيل التجاريه - AL WASEEL</v>
          </cell>
          <cell r="W324">
            <v>288.26666666666665</v>
          </cell>
          <cell r="X324">
            <v>216.2</v>
          </cell>
          <cell r="Z324" t="str">
            <v>RM-00230</v>
          </cell>
          <cell r="AA324" t="str">
            <v>Cardmom Powder هيل مطحون</v>
          </cell>
          <cell r="AB324" t="str">
            <v>RM-00230</v>
          </cell>
          <cell r="AC324" t="str">
            <v>Cardmom Powder هيل مطحون</v>
          </cell>
          <cell r="AD324">
            <v>108.1</v>
          </cell>
          <cell r="AE324" t="str">
            <v>Tanzeem Al Afkar Trading Company | شركة تنظيم الافكار للتجارة</v>
          </cell>
        </row>
        <row r="325">
          <cell r="B325" t="str">
            <v>RM-00231</v>
          </cell>
          <cell r="C325" t="str">
            <v>Cumin Powder كمون مطحون</v>
          </cell>
          <cell r="D325" t="str">
            <v>Cumin Powder كمون مطحون</v>
          </cell>
          <cell r="E325" t="str">
            <v/>
          </cell>
          <cell r="F325" t="str">
            <v/>
          </cell>
          <cell r="G325" t="str">
            <v/>
          </cell>
          <cell r="H325" t="str">
            <v>✓</v>
          </cell>
          <cell r="I325" t="str">
            <v/>
          </cell>
          <cell r="J325" t="str">
            <v>✓</v>
          </cell>
          <cell r="K325">
            <v>2</v>
          </cell>
          <cell r="L325">
            <v>12</v>
          </cell>
          <cell r="N325">
            <v>10</v>
          </cell>
          <cell r="O325">
            <v>25</v>
          </cell>
          <cell r="P325">
            <v>4</v>
          </cell>
          <cell r="Q325">
            <v>16</v>
          </cell>
          <cell r="R325">
            <v>6</v>
          </cell>
          <cell r="S325">
            <v>7</v>
          </cell>
          <cell r="T325" t="str">
            <v>A</v>
          </cell>
          <cell r="U325">
            <v>10</v>
          </cell>
          <cell r="V325" t="str">
            <v>Tanzeem Al Afkar Trading Company | شركة تنظيم الافكار للتجارة</v>
          </cell>
          <cell r="W325">
            <v>60</v>
          </cell>
          <cell r="X325">
            <v>120</v>
          </cell>
          <cell r="Z325" t="str">
            <v>RM-00231</v>
          </cell>
          <cell r="AA325" t="str">
            <v>Cumin Powder كمون مطحون</v>
          </cell>
          <cell r="AB325" t="str">
            <v>RM-00231</v>
          </cell>
          <cell r="AC325" t="str">
            <v>Cumin Powder كمون مطحون</v>
          </cell>
          <cell r="AD325">
            <v>10</v>
          </cell>
          <cell r="AE325" t="str">
            <v>Tanzeem Al Afkar Trading Company | شركة تنظيم الافكار للتجارة</v>
          </cell>
        </row>
        <row r="326">
          <cell r="B326" t="str">
            <v>RM-00211</v>
          </cell>
          <cell r="C326" t="str">
            <v>Black Pepper Powder فلفل اسود مطحون</v>
          </cell>
          <cell r="D326" t="str">
            <v>Black Pepper Powder فلفل اسود مطحون</v>
          </cell>
          <cell r="E326" t="str">
            <v/>
          </cell>
          <cell r="F326" t="str">
            <v/>
          </cell>
          <cell r="G326" t="str">
            <v/>
          </cell>
          <cell r="H326" t="str">
            <v>✓</v>
          </cell>
          <cell r="I326" t="str">
            <v/>
          </cell>
          <cell r="J326" t="str">
            <v>✓</v>
          </cell>
          <cell r="K326">
            <v>2</v>
          </cell>
          <cell r="L326">
            <v>6</v>
          </cell>
          <cell r="N326">
            <v>5</v>
          </cell>
          <cell r="O326">
            <v>25</v>
          </cell>
          <cell r="P326">
            <v>2</v>
          </cell>
          <cell r="Q326">
            <v>8</v>
          </cell>
          <cell r="R326">
            <v>3</v>
          </cell>
          <cell r="S326">
            <v>7</v>
          </cell>
          <cell r="T326" t="str">
            <v>A</v>
          </cell>
          <cell r="U326">
            <v>15.6</v>
          </cell>
          <cell r="V326" t="str">
            <v>Tanzeem Al Afkar Trading Company | شركة تنظيم الافكار للتجارة</v>
          </cell>
          <cell r="W326">
            <v>46.8</v>
          </cell>
          <cell r="X326">
            <v>93.6</v>
          </cell>
          <cell r="Z326" t="str">
            <v>RM-00211</v>
          </cell>
          <cell r="AA326" t="str">
            <v>Black Pepper Powder فلفل اسود مطحون</v>
          </cell>
          <cell r="AB326" t="str">
            <v>RM-00211</v>
          </cell>
          <cell r="AC326" t="str">
            <v>Black Pepper Powder فلفل اسود مطحون</v>
          </cell>
          <cell r="AD326">
            <v>15.6</v>
          </cell>
          <cell r="AE326" t="str">
            <v>Tanzeem Al Afkar Trading Company | شركة تنظيم الافكار للتجارة</v>
          </cell>
        </row>
        <row r="327">
          <cell r="B327" t="str">
            <v>RM-00234</v>
          </cell>
          <cell r="C327" t="str">
            <v>Ginger Powder  زنجبيل مطحون</v>
          </cell>
          <cell r="D327" t="str">
            <v>Ginger Powder  زنجبيل مطحون</v>
          </cell>
          <cell r="E327" t="str">
            <v/>
          </cell>
          <cell r="F327" t="str">
            <v/>
          </cell>
          <cell r="G327" t="str">
            <v/>
          </cell>
          <cell r="H327" t="str">
            <v>✓</v>
          </cell>
          <cell r="I327" t="str">
            <v/>
          </cell>
          <cell r="J327" t="str">
            <v/>
          </cell>
          <cell r="K327">
            <v>1</v>
          </cell>
          <cell r="L327">
            <v>6</v>
          </cell>
          <cell r="N327">
            <v>0</v>
          </cell>
          <cell r="O327">
            <v>0</v>
          </cell>
          <cell r="P327">
            <v>2</v>
          </cell>
          <cell r="Q327">
            <v>8</v>
          </cell>
          <cell r="R327">
            <v>8</v>
          </cell>
          <cell r="S327">
            <v>7</v>
          </cell>
          <cell r="T327" t="str">
            <v>A</v>
          </cell>
          <cell r="U327">
            <v>165</v>
          </cell>
          <cell r="V327" t="str">
            <v>شركة ناف الجود- NAF AL JOOD</v>
          </cell>
          <cell r="W327">
            <v>1320</v>
          </cell>
          <cell r="X327">
            <v>990</v>
          </cell>
          <cell r="Z327" t="str">
            <v>RM-00234</v>
          </cell>
          <cell r="AA327" t="str">
            <v>Ginger Powder زنجبيل مطحون</v>
          </cell>
          <cell r="AB327" t="str">
            <v>RM-00234</v>
          </cell>
          <cell r="AC327" t="str">
            <v>Ginger Powder  زنجبيل مطحون</v>
          </cell>
          <cell r="AD327">
            <v>165</v>
          </cell>
          <cell r="AE327" t="str">
            <v>شركة ناف الجود- NAF AL JOOD</v>
          </cell>
        </row>
        <row r="328">
          <cell r="B328" t="str">
            <v>RM-00490</v>
          </cell>
          <cell r="C328" t="str">
            <v>Sasa Salt ملح ساسا</v>
          </cell>
          <cell r="D328" t="str">
            <v>Sasa Salt ملح ساسا</v>
          </cell>
          <cell r="E328" t="str">
            <v/>
          </cell>
          <cell r="F328" t="str">
            <v/>
          </cell>
          <cell r="G328" t="str">
            <v/>
          </cell>
          <cell r="H328" t="str">
            <v>✓</v>
          </cell>
          <cell r="I328" t="str">
            <v/>
          </cell>
          <cell r="J328" t="str">
            <v>✓</v>
          </cell>
          <cell r="K328">
            <v>2</v>
          </cell>
          <cell r="L328">
            <v>3</v>
          </cell>
          <cell r="N328">
            <v>268.8</v>
          </cell>
          <cell r="O328">
            <v>2688.0000000000005</v>
          </cell>
          <cell r="P328">
            <v>1</v>
          </cell>
          <cell r="Q328">
            <v>4</v>
          </cell>
          <cell r="R328">
            <v>0</v>
          </cell>
          <cell r="S328">
            <v>7</v>
          </cell>
          <cell r="T328" t="str">
            <v>A</v>
          </cell>
          <cell r="U328">
            <v>3.62798</v>
          </cell>
          <cell r="V328" t="str">
            <v>Tanzeem Al Afkar Trading Company | شركة تنظيم الافكار للتجارة</v>
          </cell>
          <cell r="W328">
            <v>0</v>
          </cell>
          <cell r="X328">
            <v>10.883939999999999</v>
          </cell>
          <cell r="Z328" t="str">
            <v>RM-00490</v>
          </cell>
          <cell r="AA328" t="str">
            <v>Sasa Salt ملح ساسا</v>
          </cell>
          <cell r="AB328" t="str">
            <v>RM-00490</v>
          </cell>
          <cell r="AC328" t="str">
            <v>Sasa Salt ملح ساسا</v>
          </cell>
          <cell r="AD328">
            <v>3.62798</v>
          </cell>
          <cell r="AE328" t="str">
            <v>Tanzeem Al Afkar Trading Company | شركة تنظيم الافكار للتجارة</v>
          </cell>
        </row>
        <row r="329">
          <cell r="B329" t="str">
            <v>RM-00190</v>
          </cell>
          <cell r="C329" t="str">
            <v>Dried mint نعناع مجفف</v>
          </cell>
          <cell r="D329" t="str">
            <v>Dried Mint Carton نعناع مجفف كرتون</v>
          </cell>
          <cell r="E329" t="str">
            <v/>
          </cell>
          <cell r="F329" t="str">
            <v/>
          </cell>
          <cell r="G329" t="str">
            <v/>
          </cell>
          <cell r="H329" t="str">
            <v>✓</v>
          </cell>
          <cell r="I329" t="str">
            <v/>
          </cell>
          <cell r="J329" t="str">
            <v>✓</v>
          </cell>
          <cell r="K329">
            <v>2</v>
          </cell>
          <cell r="L329">
            <v>2</v>
          </cell>
          <cell r="N329">
            <v>60</v>
          </cell>
          <cell r="O329">
            <v>900</v>
          </cell>
          <cell r="P329">
            <v>0.66666666666666663</v>
          </cell>
          <cell r="Q329">
            <v>2.6666666666666665</v>
          </cell>
          <cell r="R329">
            <v>0</v>
          </cell>
          <cell r="S329">
            <v>7</v>
          </cell>
          <cell r="T329" t="str">
            <v>A</v>
          </cell>
          <cell r="U329">
            <v>20</v>
          </cell>
          <cell r="V329" t="str">
            <v>Tanzeem Al Afkar Trading Company | شركة تنظيم الافكار للتجارة</v>
          </cell>
          <cell r="W329">
            <v>0</v>
          </cell>
          <cell r="X329">
            <v>40</v>
          </cell>
          <cell r="Z329" t="str">
            <v>RM-00190</v>
          </cell>
          <cell r="AA329" t="str">
            <v>Dried mint نعناع مجفف</v>
          </cell>
          <cell r="AB329" t="str">
            <v>RM-00190</v>
          </cell>
          <cell r="AC329" t="str">
            <v>Dried mint نعناع مجفف</v>
          </cell>
          <cell r="AD329">
            <v>20</v>
          </cell>
          <cell r="AE329" t="str">
            <v>Tanzeem Al Afkar Trading Company | شركة تنظيم الافكار للتجارة</v>
          </cell>
        </row>
        <row r="330">
          <cell r="B330" t="str">
            <v>RM-00742</v>
          </cell>
          <cell r="C330" t="str">
            <v>Orient Garden Lemon مركز ليمون</v>
          </cell>
          <cell r="D330" t="str">
            <v>Orient Garden Lemon مركز ليمون</v>
          </cell>
          <cell r="E330" t="str">
            <v/>
          </cell>
          <cell r="F330" t="str">
            <v/>
          </cell>
          <cell r="G330" t="str">
            <v/>
          </cell>
          <cell r="H330" t="str">
            <v/>
          </cell>
          <cell r="I330" t="str">
            <v/>
          </cell>
          <cell r="J330" t="str">
            <v/>
          </cell>
          <cell r="K330">
            <v>0</v>
          </cell>
          <cell r="L330">
            <v>1</v>
          </cell>
          <cell r="N330">
            <v>18</v>
          </cell>
          <cell r="O330">
            <v>540</v>
          </cell>
          <cell r="P330">
            <v>0.33333333333333331</v>
          </cell>
          <cell r="Q330">
            <v>1.3333333333333333</v>
          </cell>
          <cell r="R330">
            <v>0</v>
          </cell>
          <cell r="S330">
            <v>7</v>
          </cell>
          <cell r="T330" t="str">
            <v>A</v>
          </cell>
          <cell r="U330">
            <v>9.1666699999999999</v>
          </cell>
          <cell r="V330" t="str">
            <v>شركة تموين الشرق للتجارة</v>
          </cell>
          <cell r="W330">
            <v>0</v>
          </cell>
          <cell r="X330">
            <v>9.1666699999999999</v>
          </cell>
          <cell r="Z330" t="str">
            <v>RM-00742</v>
          </cell>
          <cell r="AA330" t="str">
            <v>Orient Garden Lemon مركز ليمون</v>
          </cell>
          <cell r="AB330" t="str">
            <v>RM-00742</v>
          </cell>
          <cell r="AC330" t="str">
            <v>Orient Garden Lemon مركز ليمون</v>
          </cell>
          <cell r="AD330">
            <v>9.1666699999999999</v>
          </cell>
          <cell r="AE330" t="str">
            <v>شركة تموين الشرق للتجارة</v>
          </cell>
        </row>
        <row r="331">
          <cell r="B331" t="str">
            <v>RM-00281</v>
          </cell>
          <cell r="C331" t="str">
            <v>Red color / Baba 100 لون طعام احمر</v>
          </cell>
          <cell r="D331" t="str">
            <v>Red color / Baba 100 لون طعام احمر</v>
          </cell>
          <cell r="E331" t="str">
            <v/>
          </cell>
          <cell r="F331" t="str">
            <v/>
          </cell>
          <cell r="G331" t="str">
            <v/>
          </cell>
          <cell r="H331" t="str">
            <v>✓</v>
          </cell>
          <cell r="I331" t="str">
            <v/>
          </cell>
          <cell r="J331" t="str">
            <v/>
          </cell>
          <cell r="K331">
            <v>1</v>
          </cell>
          <cell r="L331">
            <v>1</v>
          </cell>
          <cell r="N331">
            <v>8</v>
          </cell>
          <cell r="O331">
            <v>240</v>
          </cell>
          <cell r="P331">
            <v>0.33333333333333331</v>
          </cell>
          <cell r="Q331">
            <v>1.3333333333333333</v>
          </cell>
          <cell r="R331">
            <v>0</v>
          </cell>
          <cell r="S331">
            <v>7</v>
          </cell>
          <cell r="T331" t="str">
            <v>A</v>
          </cell>
          <cell r="U331">
            <v>29.7</v>
          </cell>
          <cell r="V331" t="str">
            <v>Tanzeem Al Afkar Trading Company | شركة تنظيم الافكار للتجارة</v>
          </cell>
          <cell r="W331">
            <v>0</v>
          </cell>
          <cell r="X331">
            <v>29.7</v>
          </cell>
          <cell r="Z331" t="str">
            <v>RM-00281</v>
          </cell>
          <cell r="AA331" t="str">
            <v>Red color / Baba 100 لون طعام احمر</v>
          </cell>
          <cell r="AB331" t="str">
            <v>RM-00281</v>
          </cell>
          <cell r="AC331" t="str">
            <v>Red color / Baba 100 لون طعام احمر</v>
          </cell>
          <cell r="AD331">
            <v>29.7</v>
          </cell>
          <cell r="AE331" t="str">
            <v>Tanzeem Al Afkar Trading Company | شركة تنظيم الافكار للتجارة</v>
          </cell>
        </row>
        <row r="332">
          <cell r="B332" t="str">
            <v>RM-00617</v>
          </cell>
          <cell r="C332" t="str">
            <v>Saffaron Food Color - baba لون طعام زعفران - باب</v>
          </cell>
          <cell r="D332" t="str">
            <v>Saffron Yellow Colour لون صفار الزعفران</v>
          </cell>
          <cell r="E332" t="str">
            <v/>
          </cell>
          <cell r="F332" t="str">
            <v/>
          </cell>
          <cell r="G332" t="str">
            <v/>
          </cell>
          <cell r="H332" t="str">
            <v/>
          </cell>
          <cell r="I332" t="str">
            <v/>
          </cell>
          <cell r="J332" t="str">
            <v>✓</v>
          </cell>
          <cell r="K332">
            <v>1</v>
          </cell>
          <cell r="L332">
            <v>1</v>
          </cell>
          <cell r="N332">
            <v>106</v>
          </cell>
          <cell r="O332">
            <v>3180</v>
          </cell>
          <cell r="P332">
            <v>0.33333333333333331</v>
          </cell>
          <cell r="Q332">
            <v>1.3333333333333333</v>
          </cell>
          <cell r="R332">
            <v>0</v>
          </cell>
          <cell r="S332">
            <v>7</v>
          </cell>
          <cell r="T332" t="str">
            <v>A</v>
          </cell>
          <cell r="U332">
            <v>55</v>
          </cell>
          <cell r="V332" t="str">
            <v>شركة ناف الجود- NAF AL JOOD</v>
          </cell>
          <cell r="W332">
            <v>0</v>
          </cell>
          <cell r="X332">
            <v>55</v>
          </cell>
          <cell r="Z332" t="str">
            <v>RM-00285</v>
          </cell>
          <cell r="AA332" t="str">
            <v>Saffron Yellow Colour لون صفار الزعفران</v>
          </cell>
          <cell r="AB332" t="str">
            <v>RM-00617</v>
          </cell>
          <cell r="AC332" t="str">
            <v>Saffaron Food Color - baba لون طعام زعفران - باب</v>
          </cell>
          <cell r="AD332">
            <v>55</v>
          </cell>
          <cell r="AE332" t="str">
            <v>شركة ناف الجود- NAF AL JOOD</v>
          </cell>
        </row>
        <row r="333">
          <cell r="B333" t="str">
            <v>RM-00621</v>
          </cell>
          <cell r="C333" t="str">
            <v>Orange color / Baba 100 لون طعام برتقالي</v>
          </cell>
          <cell r="D333" t="str">
            <v>Orange Flavor Powder بودرة طعام لون برتقالي</v>
          </cell>
          <cell r="E333" t="str">
            <v/>
          </cell>
          <cell r="F333" t="str">
            <v/>
          </cell>
          <cell r="G333" t="str">
            <v/>
          </cell>
          <cell r="H333" t="str">
            <v/>
          </cell>
          <cell r="I333" t="str">
            <v/>
          </cell>
          <cell r="J333" t="str">
            <v/>
          </cell>
          <cell r="K333">
            <v>0</v>
          </cell>
          <cell r="L333">
            <v>1</v>
          </cell>
          <cell r="N333">
            <v>9.8000000000000007</v>
          </cell>
          <cell r="O333">
            <v>294</v>
          </cell>
          <cell r="P333">
            <v>0.33333333333333331</v>
          </cell>
          <cell r="Q333">
            <v>1.3333333333333333</v>
          </cell>
          <cell r="R333">
            <v>0</v>
          </cell>
          <cell r="S333">
            <v>7</v>
          </cell>
          <cell r="T333" t="str">
            <v>A</v>
          </cell>
          <cell r="U333">
            <v>36.25</v>
          </cell>
          <cell r="V333" t="str">
            <v>Tanzeem Al Afkar Trading Company | شركة تنظيم الافكار للتجارة</v>
          </cell>
          <cell r="W333">
            <v>0</v>
          </cell>
          <cell r="X333">
            <v>36.25</v>
          </cell>
          <cell r="Z333" t="str">
            <v>RM-00263</v>
          </cell>
          <cell r="AA333" t="str">
            <v>Orange Flavor Powder بودرة طعام لون برتقالي</v>
          </cell>
          <cell r="AB333" t="str">
            <v>RM-00621</v>
          </cell>
          <cell r="AC333" t="str">
            <v>Orange color / Baba 100 لون طعام برتقالي</v>
          </cell>
          <cell r="AD333">
            <v>36.25</v>
          </cell>
          <cell r="AE333" t="str">
            <v>Tanzeem Al Afkar Trading Company | شركة تنظيم الافكار للتجارة</v>
          </cell>
        </row>
        <row r="334">
          <cell r="B334" t="str">
            <v>RM-00091</v>
          </cell>
          <cell r="C334" t="str">
            <v>Analogue cream شبيه قشطة المراعي</v>
          </cell>
          <cell r="D334" t="str">
            <v>Puck cream 160 grams x 48pcs-- 48x قشطة بوك 160جرام</v>
          </cell>
          <cell r="E334" t="str">
            <v/>
          </cell>
          <cell r="F334" t="str">
            <v/>
          </cell>
          <cell r="G334" t="str">
            <v/>
          </cell>
          <cell r="H334" t="str">
            <v/>
          </cell>
          <cell r="I334" t="str">
            <v/>
          </cell>
          <cell r="J334" t="str">
            <v>✓</v>
          </cell>
          <cell r="K334">
            <v>1</v>
          </cell>
          <cell r="L334">
            <v>38.4</v>
          </cell>
          <cell r="N334">
            <v>0</v>
          </cell>
          <cell r="O334">
            <v>0</v>
          </cell>
          <cell r="P334">
            <v>12.799999999999999</v>
          </cell>
          <cell r="Q334">
            <v>51.199999999999996</v>
          </cell>
          <cell r="R334">
            <v>51.199999999999996</v>
          </cell>
          <cell r="S334">
            <v>7</v>
          </cell>
          <cell r="T334" t="str">
            <v>A</v>
          </cell>
          <cell r="U334">
            <v>15.625</v>
          </cell>
          <cell r="V334" t="str">
            <v>Tanzeem Al Afkar Trading Company | شركة تنظيم الافكار للتجارة</v>
          </cell>
          <cell r="W334">
            <v>799.99999999999989</v>
          </cell>
          <cell r="X334">
            <v>600</v>
          </cell>
          <cell r="Z334" t="str">
            <v>RM-00108</v>
          </cell>
          <cell r="AA334" t="str">
            <v xml:space="preserve">Puck cream 160 grams x 48pcs-- 48x قشطة بوك 160جرام </v>
          </cell>
          <cell r="AB334" t="str">
            <v>RM-00091</v>
          </cell>
          <cell r="AC334" t="str">
            <v>Analogue cream شبيه قشطة المراعي</v>
          </cell>
          <cell r="AD334">
            <v>22.117650000000001</v>
          </cell>
          <cell r="AE334" t="str">
            <v>Al-Marai</v>
          </cell>
        </row>
        <row r="335">
          <cell r="B335" t="str">
            <v>RM-00678</v>
          </cell>
          <cell r="C335" t="str">
            <v>شطة سريراتشا امريكي / SRIRACHA HOT CHILI SAUCE</v>
          </cell>
          <cell r="D335" t="str">
            <v>شطة سريراتشا امريكي / SRIRACHA HOT CHILI SAUCE</v>
          </cell>
          <cell r="E335" t="str">
            <v/>
          </cell>
          <cell r="F335" t="str">
            <v/>
          </cell>
          <cell r="G335" t="str">
            <v/>
          </cell>
          <cell r="H335" t="str">
            <v>✓</v>
          </cell>
          <cell r="I335" t="str">
            <v/>
          </cell>
          <cell r="J335" t="str">
            <v>✓</v>
          </cell>
          <cell r="K335">
            <v>2</v>
          </cell>
          <cell r="L335">
            <v>1</v>
          </cell>
          <cell r="N335">
            <v>9.52</v>
          </cell>
          <cell r="O335">
            <v>285.59999999999997</v>
          </cell>
          <cell r="P335">
            <v>0.33333333333333331</v>
          </cell>
          <cell r="Q335">
            <v>1.3333333333333333</v>
          </cell>
          <cell r="R335">
            <v>0</v>
          </cell>
          <cell r="S335">
            <v>7</v>
          </cell>
          <cell r="T335" t="str">
            <v>A</v>
          </cell>
          <cell r="U335">
            <v>26.5868</v>
          </cell>
          <cell r="V335" t="str">
            <v>شركة الوصيل التجاريه - AL WASEEL</v>
          </cell>
          <cell r="W335">
            <v>0</v>
          </cell>
          <cell r="X335">
            <v>26.5868</v>
          </cell>
          <cell r="Z335" t="str">
            <v>RM-00678</v>
          </cell>
          <cell r="AA335" t="str">
            <v>شطة سريراتشا امريكي / SRIRACHA HOT CHILI SAUCE</v>
          </cell>
          <cell r="AB335" t="str">
            <v>RM-00678</v>
          </cell>
          <cell r="AC335" t="str">
            <v>شطة سريراتشا امريكي / SRIRACHA HOT CHILI SAUCE</v>
          </cell>
          <cell r="AD335">
            <v>26.5868</v>
          </cell>
          <cell r="AE335" t="str">
            <v>شركة ناف الجود- NAF AL JOOD</v>
          </cell>
        </row>
        <row r="336">
          <cell r="B336" t="str">
            <v>RM-00416</v>
          </cell>
          <cell r="C336" t="str">
            <v>Pine Nuts | صنوبر</v>
          </cell>
          <cell r="D336" t="str">
            <v>Pine Nuts | صنوبر</v>
          </cell>
          <cell r="E336" t="str">
            <v/>
          </cell>
          <cell r="F336" t="str">
            <v/>
          </cell>
          <cell r="G336" t="str">
            <v/>
          </cell>
          <cell r="H336" t="str">
            <v>✓</v>
          </cell>
          <cell r="I336" t="str">
            <v/>
          </cell>
          <cell r="J336" t="str">
            <v>✓</v>
          </cell>
          <cell r="K336">
            <v>2</v>
          </cell>
          <cell r="L336">
            <v>5</v>
          </cell>
          <cell r="N336">
            <v>25</v>
          </cell>
          <cell r="O336">
            <v>150</v>
          </cell>
          <cell r="P336">
            <v>1.6666666666666665</v>
          </cell>
          <cell r="Q336">
            <v>6.6666666666666661</v>
          </cell>
          <cell r="R336">
            <v>0</v>
          </cell>
          <cell r="S336">
            <v>7</v>
          </cell>
          <cell r="T336" t="str">
            <v>A</v>
          </cell>
          <cell r="U336">
            <v>97.75</v>
          </cell>
          <cell r="V336" t="str">
            <v>شركة الوصيل التجاريه - AL WASEEL</v>
          </cell>
          <cell r="W336">
            <v>0</v>
          </cell>
          <cell r="X336">
            <v>488.75</v>
          </cell>
          <cell r="Z336" t="str">
            <v>RM-00416</v>
          </cell>
          <cell r="AA336" t="str">
            <v>Pine Nuts | صنوبر</v>
          </cell>
          <cell r="AB336" t="str">
            <v>RM-00416</v>
          </cell>
          <cell r="AC336" t="str">
            <v>Pine Nuts | صنوبر</v>
          </cell>
          <cell r="AD336">
            <v>97.75</v>
          </cell>
          <cell r="AE336" t="str">
            <v>شركة ناف الجود- NAF AL JOOD</v>
          </cell>
        </row>
        <row r="337">
          <cell r="B337" t="str">
            <v>RM-00417</v>
          </cell>
          <cell r="C337" t="str">
            <v>Almond grain جوز حب امريكي</v>
          </cell>
          <cell r="D337" t="str">
            <v>Almond grain جوز حب امريكي</v>
          </cell>
          <cell r="E337" t="str">
            <v/>
          </cell>
          <cell r="F337" t="str">
            <v/>
          </cell>
          <cell r="G337" t="str">
            <v/>
          </cell>
          <cell r="H337" t="str">
            <v>✓</v>
          </cell>
          <cell r="I337" t="str">
            <v/>
          </cell>
          <cell r="J337" t="str">
            <v/>
          </cell>
          <cell r="K337">
            <v>1</v>
          </cell>
          <cell r="L337">
            <v>5</v>
          </cell>
          <cell r="N337">
            <v>0</v>
          </cell>
          <cell r="O337">
            <v>0</v>
          </cell>
          <cell r="P337">
            <v>1.6666666666666665</v>
          </cell>
          <cell r="Q337">
            <v>6.6666666666666661</v>
          </cell>
          <cell r="R337">
            <v>6.6666666666666661</v>
          </cell>
          <cell r="S337">
            <v>7</v>
          </cell>
          <cell r="T337" t="str">
            <v>A</v>
          </cell>
          <cell r="U337">
            <v>36.155200000000001</v>
          </cell>
          <cell r="V337" t="str">
            <v>شركة خالد درع الدرع وشريكة المحدودة</v>
          </cell>
          <cell r="W337">
            <v>241.03466666666665</v>
          </cell>
          <cell r="X337">
            <v>180.77600000000001</v>
          </cell>
          <cell r="Z337" t="str">
            <v>RM-00417</v>
          </cell>
          <cell r="AA337" t="str">
            <v>Almond grain جوز حب امريكي</v>
          </cell>
          <cell r="AB337" t="str">
            <v>RM-00417</v>
          </cell>
          <cell r="AC337" t="str">
            <v>Almond grain جوز حب امريكي</v>
          </cell>
          <cell r="AD337">
            <v>36.155200000000001</v>
          </cell>
          <cell r="AE337" t="str">
            <v>شركة خالد درع الدرع وشريكة المحدودة</v>
          </cell>
        </row>
        <row r="338">
          <cell r="B338" t="str">
            <v>RM-00305</v>
          </cell>
          <cell r="C338" t="str">
            <v>Thyme زعتر</v>
          </cell>
          <cell r="D338" t="str">
            <v>Thyme زعتر</v>
          </cell>
          <cell r="E338" t="str">
            <v/>
          </cell>
          <cell r="F338" t="str">
            <v/>
          </cell>
          <cell r="G338" t="str">
            <v/>
          </cell>
          <cell r="H338" t="str">
            <v>✓</v>
          </cell>
          <cell r="I338" t="str">
            <v/>
          </cell>
          <cell r="J338" t="str">
            <v>✓</v>
          </cell>
          <cell r="K338">
            <v>2</v>
          </cell>
          <cell r="L338">
            <v>5</v>
          </cell>
          <cell r="N338">
            <v>78</v>
          </cell>
          <cell r="O338">
            <v>468</v>
          </cell>
          <cell r="P338">
            <v>1.6666666666666665</v>
          </cell>
          <cell r="Q338">
            <v>6.6666666666666661</v>
          </cell>
          <cell r="R338">
            <v>0</v>
          </cell>
          <cell r="S338">
            <v>7</v>
          </cell>
          <cell r="T338" t="str">
            <v>A</v>
          </cell>
          <cell r="U338">
            <v>28.08</v>
          </cell>
          <cell r="V338" t="str">
            <v>Tanzeem Al Afkar Trading Company | شركة تنظيم الافكار للتجارة</v>
          </cell>
          <cell r="W338">
            <v>0</v>
          </cell>
          <cell r="X338">
            <v>140.39999999999998</v>
          </cell>
          <cell r="Z338" t="str">
            <v>RM-00305</v>
          </cell>
          <cell r="AA338" t="str">
            <v>Thyme زعتر</v>
          </cell>
          <cell r="AB338" t="str">
            <v>RM-00305</v>
          </cell>
          <cell r="AC338" t="str">
            <v>Thyme زعتر</v>
          </cell>
          <cell r="AD338">
            <v>28.08</v>
          </cell>
          <cell r="AE338" t="str">
            <v>Tanzeem Al Afkar Trading Company | شركة تنظيم الافكار للتجارة</v>
          </cell>
        </row>
        <row r="339">
          <cell r="B339" t="str">
            <v>RM-00712</v>
          </cell>
          <cell r="C339" t="str">
            <v>فليفلة حمراء مطحونة - Red capsicum molases</v>
          </cell>
          <cell r="D339" t="str">
            <v>فليفلة حمراء مطحونة - Red capsicum molases</v>
          </cell>
          <cell r="E339" t="str">
            <v/>
          </cell>
          <cell r="F339" t="str">
            <v/>
          </cell>
          <cell r="G339" t="str">
            <v/>
          </cell>
          <cell r="H339" t="str">
            <v>✓</v>
          </cell>
          <cell r="I339" t="str">
            <v/>
          </cell>
          <cell r="J339" t="str">
            <v/>
          </cell>
          <cell r="K339">
            <v>1</v>
          </cell>
          <cell r="L339">
            <v>3</v>
          </cell>
          <cell r="N339">
            <v>1.5</v>
          </cell>
          <cell r="O339">
            <v>15</v>
          </cell>
          <cell r="P339">
            <v>1</v>
          </cell>
          <cell r="Q339">
            <v>4</v>
          </cell>
          <cell r="R339">
            <v>2.5</v>
          </cell>
          <cell r="S339">
            <v>7</v>
          </cell>
          <cell r="T339" t="str">
            <v>A</v>
          </cell>
          <cell r="U339">
            <v>16</v>
          </cell>
          <cell r="V339" t="str">
            <v>شركة ناف الجود- NAF AL JOOD</v>
          </cell>
          <cell r="W339">
            <v>40</v>
          </cell>
          <cell r="X339">
            <v>48</v>
          </cell>
          <cell r="Z339" t="str">
            <v>RM-00712</v>
          </cell>
          <cell r="AA339" t="str">
            <v>فليفلة حمراء مطحونة - Red capsicum molases</v>
          </cell>
          <cell r="AB339" t="str">
            <v>RM-00712</v>
          </cell>
          <cell r="AC339" t="str">
            <v>فليفلة حمراء مطحونة - Red capsicum molases</v>
          </cell>
          <cell r="AD339">
            <v>16</v>
          </cell>
          <cell r="AE339" t="str">
            <v>شركة ناف الجود- NAF AL JOOD</v>
          </cell>
        </row>
        <row r="340">
          <cell r="B340" t="str">
            <v>RM-00274</v>
          </cell>
          <cell r="C340" t="str">
            <v>pomgrana hone دبس رمان</v>
          </cell>
          <cell r="D340" t="str">
            <v>pomgrana hone دبس رمان</v>
          </cell>
          <cell r="E340" t="str">
            <v/>
          </cell>
          <cell r="F340" t="str">
            <v/>
          </cell>
          <cell r="G340" t="str">
            <v/>
          </cell>
          <cell r="H340" t="str">
            <v>✓</v>
          </cell>
          <cell r="I340" t="str">
            <v/>
          </cell>
          <cell r="J340" t="str">
            <v>✓</v>
          </cell>
          <cell r="K340">
            <v>2</v>
          </cell>
          <cell r="L340">
            <v>1</v>
          </cell>
          <cell r="N340">
            <v>104.3</v>
          </cell>
          <cell r="O340">
            <v>3129</v>
          </cell>
          <cell r="P340">
            <v>0.33333333333333331</v>
          </cell>
          <cell r="Q340">
            <v>1.3333333333333333</v>
          </cell>
          <cell r="R340">
            <v>0</v>
          </cell>
          <cell r="S340">
            <v>7</v>
          </cell>
          <cell r="T340" t="str">
            <v>A</v>
          </cell>
          <cell r="U340">
            <v>16.25</v>
          </cell>
          <cell r="V340" t="str">
            <v>Gourmet Gate شركة بوابة الذواقة لتجارة الاغذية</v>
          </cell>
          <cell r="W340">
            <v>0</v>
          </cell>
          <cell r="X340">
            <v>16.25</v>
          </cell>
          <cell r="Z340" t="str">
            <v>RM-00274</v>
          </cell>
          <cell r="AA340" t="str">
            <v>Pomegranate Molasses | دبس رمان</v>
          </cell>
          <cell r="AB340" t="str">
            <v>RM-00274</v>
          </cell>
          <cell r="AC340" t="str">
            <v>pomgrana hone دبس رمان</v>
          </cell>
          <cell r="AD340">
            <v>16.25</v>
          </cell>
          <cell r="AE340" t="str">
            <v>Tanzeem Al Afkar Trading Company | شركة تنظيم الافكار للتجارة</v>
          </cell>
        </row>
        <row r="341">
          <cell r="B341" t="str">
            <v>RM-00702</v>
          </cell>
          <cell r="C341" t="str">
            <v>OREGANO - FRESHLY |اوريقانو</v>
          </cell>
          <cell r="D341" t="str">
            <v>Oregano Freshly اوريجانو فرشلي</v>
          </cell>
          <cell r="E341" t="str">
            <v/>
          </cell>
          <cell r="F341" t="str">
            <v/>
          </cell>
          <cell r="G341" t="str">
            <v/>
          </cell>
          <cell r="H341" t="str">
            <v/>
          </cell>
          <cell r="I341" t="str">
            <v/>
          </cell>
          <cell r="J341" t="str">
            <v/>
          </cell>
          <cell r="K341">
            <v>0</v>
          </cell>
          <cell r="L341">
            <v>2</v>
          </cell>
          <cell r="N341">
            <v>18</v>
          </cell>
          <cell r="O341">
            <v>270</v>
          </cell>
          <cell r="P341">
            <v>0.66666666666666663</v>
          </cell>
          <cell r="Q341">
            <v>2.6666666666666665</v>
          </cell>
          <cell r="R341">
            <v>0</v>
          </cell>
          <cell r="S341">
            <v>7</v>
          </cell>
          <cell r="T341" t="str">
            <v>A</v>
          </cell>
          <cell r="U341">
            <v>155.51643000000001</v>
          </cell>
          <cell r="V341" t="str">
            <v>شركة الوصيل التجاريه - AL WASEEL</v>
          </cell>
          <cell r="W341">
            <v>0</v>
          </cell>
          <cell r="X341">
            <v>311.03286000000003</v>
          </cell>
          <cell r="Z341" t="str">
            <v>RM-00264</v>
          </cell>
          <cell r="AA341" t="str">
            <v>Oregano Freshly اوريجانو فرشلي</v>
          </cell>
          <cell r="AB341" t="str">
            <v>RM-00702</v>
          </cell>
          <cell r="AC341" t="str">
            <v>OREGANO - FRESHLY |اوريقانو</v>
          </cell>
          <cell r="AD341">
            <v>155.51643000000001</v>
          </cell>
          <cell r="AE341" t="str">
            <v>Tanzeem Al Afkar Trading Company | شركة تنظيم الافكار للتجارة</v>
          </cell>
        </row>
        <row r="342">
          <cell r="B342" t="str">
            <v>RM-00302</v>
          </cell>
          <cell r="C342" t="str">
            <v>Tahina طحينة</v>
          </cell>
          <cell r="D342" t="str">
            <v>Tahina طحينة</v>
          </cell>
          <cell r="E342" t="str">
            <v/>
          </cell>
          <cell r="F342" t="str">
            <v/>
          </cell>
          <cell r="G342" t="str">
            <v/>
          </cell>
          <cell r="H342" t="str">
            <v>✓</v>
          </cell>
          <cell r="I342" t="str">
            <v/>
          </cell>
          <cell r="J342" t="str">
            <v/>
          </cell>
          <cell r="K342">
            <v>1</v>
          </cell>
          <cell r="L342">
            <v>1</v>
          </cell>
          <cell r="M342" t="str">
            <v>add</v>
          </cell>
          <cell r="N342">
            <v>0</v>
          </cell>
          <cell r="O342">
            <v>0</v>
          </cell>
          <cell r="P342">
            <v>0.33333333333333331</v>
          </cell>
          <cell r="Q342">
            <v>1.3333333333333333</v>
          </cell>
          <cell r="R342">
            <v>1.3333333333333333</v>
          </cell>
          <cell r="S342">
            <v>7</v>
          </cell>
          <cell r="T342" t="str">
            <v>A</v>
          </cell>
          <cell r="U342">
            <v>14.2</v>
          </cell>
          <cell r="V342" t="str">
            <v>شركة ناف الجود- NAF AL JOOD</v>
          </cell>
          <cell r="W342">
            <v>18.93333333333333</v>
          </cell>
          <cell r="X342">
            <v>14.2</v>
          </cell>
          <cell r="Z342" t="str">
            <v>RM-00302</v>
          </cell>
          <cell r="AA342" t="str">
            <v>Tahina طحينة</v>
          </cell>
          <cell r="AB342" t="str">
            <v>RM-00302</v>
          </cell>
          <cell r="AC342" t="str">
            <v>Tahina طحينة</v>
          </cell>
          <cell r="AD342">
            <v>14.2</v>
          </cell>
          <cell r="AE342" t="str">
            <v>شركة ناف الجود- NAF AL JOOD</v>
          </cell>
        </row>
        <row r="343">
          <cell r="B343" t="str">
            <v>RM-00448</v>
          </cell>
          <cell r="C343" t="str">
            <v>Olive Oil زيت زيتون</v>
          </cell>
          <cell r="D343" t="str">
            <v>Olive Oil زيت زيتون</v>
          </cell>
          <cell r="E343" t="str">
            <v/>
          </cell>
          <cell r="F343" t="str">
            <v/>
          </cell>
          <cell r="G343" t="str">
            <v/>
          </cell>
          <cell r="H343" t="str">
            <v>✓</v>
          </cell>
          <cell r="I343" t="str">
            <v/>
          </cell>
          <cell r="J343" t="str">
            <v>✓</v>
          </cell>
          <cell r="K343">
            <v>2</v>
          </cell>
          <cell r="L343">
            <v>1</v>
          </cell>
          <cell r="N343">
            <v>320</v>
          </cell>
          <cell r="O343">
            <v>9600</v>
          </cell>
          <cell r="P343">
            <v>0.33333333333333331</v>
          </cell>
          <cell r="Q343">
            <v>1.3333333333333333</v>
          </cell>
          <cell r="R343">
            <v>0</v>
          </cell>
          <cell r="S343">
            <v>7</v>
          </cell>
          <cell r="T343" t="str">
            <v>A</v>
          </cell>
          <cell r="U343">
            <v>24.15</v>
          </cell>
          <cell r="V343" t="str">
            <v>Tanzeem Al Afkar Trading Company | شركة تنظيم الافكار للتجارة</v>
          </cell>
          <cell r="W343">
            <v>0</v>
          </cell>
          <cell r="X343">
            <v>24.15</v>
          </cell>
          <cell r="Z343" t="str">
            <v>RM-00448</v>
          </cell>
          <cell r="AA343" t="str">
            <v>Olive Oil زيت زيتون</v>
          </cell>
          <cell r="AB343" t="str">
            <v>RM-00448</v>
          </cell>
          <cell r="AC343" t="str">
            <v>Olive Oil زيت زيتون</v>
          </cell>
          <cell r="AD343">
            <v>24.15</v>
          </cell>
          <cell r="AE343" t="str">
            <v>Tanzeem Al Afkar Trading Company | شركة تنظيم الافكار للتجارة</v>
          </cell>
        </row>
        <row r="344">
          <cell r="B344" t="str">
            <v>RM-00175</v>
          </cell>
          <cell r="C344" t="str">
            <v>ORIG RANCH SAUCE | صوص الرانش</v>
          </cell>
          <cell r="D344" t="str">
            <v>ORIG RANCH SAUCE | صوص الرانش</v>
          </cell>
          <cell r="E344" t="str">
            <v/>
          </cell>
          <cell r="F344" t="str">
            <v/>
          </cell>
          <cell r="G344" t="str">
            <v/>
          </cell>
          <cell r="H344" t="str">
            <v>✓</v>
          </cell>
          <cell r="I344" t="str">
            <v/>
          </cell>
          <cell r="J344" t="str">
            <v>✓</v>
          </cell>
          <cell r="K344">
            <v>2</v>
          </cell>
          <cell r="L344">
            <v>1</v>
          </cell>
          <cell r="N344">
            <v>336.6</v>
          </cell>
          <cell r="O344">
            <v>10098</v>
          </cell>
          <cell r="P344">
            <v>0.33333333333333331</v>
          </cell>
          <cell r="Q344">
            <v>1.3333333333333333</v>
          </cell>
          <cell r="R344">
            <v>0</v>
          </cell>
          <cell r="S344">
            <v>7</v>
          </cell>
          <cell r="T344" t="str">
            <v>A</v>
          </cell>
          <cell r="U344">
            <v>48.742139999999999</v>
          </cell>
          <cell r="V344" t="str">
            <v>شركة تموين الشرق للتجارة</v>
          </cell>
          <cell r="W344">
            <v>0</v>
          </cell>
          <cell r="X344">
            <v>48.742139999999999</v>
          </cell>
          <cell r="Z344" t="str">
            <v>RM-00175</v>
          </cell>
          <cell r="AA344" t="str">
            <v>ORIG RANCH SAUCE | صوص الرانش</v>
          </cell>
          <cell r="AB344" t="str">
            <v>RM-00175</v>
          </cell>
          <cell r="AC344" t="str">
            <v>ORIG RANCH SAUCE | صوص الرانش</v>
          </cell>
          <cell r="AD344">
            <v>48.742139999999999</v>
          </cell>
          <cell r="AE344" t="str">
            <v>شركة تموين الشرق للتجارة</v>
          </cell>
        </row>
        <row r="345">
          <cell r="B345" t="str">
            <v>RM-00711</v>
          </cell>
          <cell r="C345" t="str">
            <v>Truffle oil - زيت الترفل</v>
          </cell>
          <cell r="D345" t="str">
            <v>Truffle oil - زيت الترفل</v>
          </cell>
          <cell r="E345" t="str">
            <v/>
          </cell>
          <cell r="F345" t="str">
            <v/>
          </cell>
          <cell r="G345" t="str">
            <v/>
          </cell>
          <cell r="H345" t="str">
            <v>✓</v>
          </cell>
          <cell r="I345" t="str">
            <v/>
          </cell>
          <cell r="J345" t="str">
            <v/>
          </cell>
          <cell r="K345">
            <v>1</v>
          </cell>
          <cell r="L345">
            <v>6</v>
          </cell>
          <cell r="N345">
            <v>6</v>
          </cell>
          <cell r="O345">
            <v>30</v>
          </cell>
          <cell r="P345">
            <v>2</v>
          </cell>
          <cell r="Q345">
            <v>8</v>
          </cell>
          <cell r="R345">
            <v>2</v>
          </cell>
          <cell r="S345">
            <v>7</v>
          </cell>
          <cell r="T345" t="str">
            <v>A</v>
          </cell>
          <cell r="U345">
            <v>57.593330000000002</v>
          </cell>
          <cell r="V345" t="str">
            <v>شركة ناف الجود- NAF AL JOOD</v>
          </cell>
          <cell r="W345">
            <v>115.18666</v>
          </cell>
          <cell r="X345">
            <v>345.55998</v>
          </cell>
          <cell r="Z345" t="str">
            <v>RM-00711</v>
          </cell>
          <cell r="AA345" t="str">
            <v>Truffle oil - زيت الترفل</v>
          </cell>
          <cell r="AB345" t="str">
            <v>RM-00711</v>
          </cell>
          <cell r="AC345" t="str">
            <v>Truffle oil - زيت الترفل</v>
          </cell>
          <cell r="AD345">
            <v>57.593330000000002</v>
          </cell>
          <cell r="AE345" t="str">
            <v>شركة ناف الجود- NAF AL JOOD</v>
          </cell>
        </row>
        <row r="346">
          <cell r="B346" t="str">
            <v>RM-00288</v>
          </cell>
          <cell r="C346" t="str">
            <v>Saudi Tomato Paste معجون طماطم السعودي</v>
          </cell>
          <cell r="D346" t="str">
            <v>Saudi Tomato Paste معجون طماطم السعودي</v>
          </cell>
          <cell r="E346" t="str">
            <v/>
          </cell>
          <cell r="F346" t="str">
            <v/>
          </cell>
          <cell r="G346" t="str">
            <v/>
          </cell>
          <cell r="H346" t="str">
            <v>✓</v>
          </cell>
          <cell r="I346" t="str">
            <v/>
          </cell>
          <cell r="J346" t="str">
            <v>✓</v>
          </cell>
          <cell r="K346">
            <v>2</v>
          </cell>
          <cell r="L346">
            <v>5</v>
          </cell>
          <cell r="M346" t="str">
            <v>add</v>
          </cell>
          <cell r="N346">
            <v>12.96</v>
          </cell>
          <cell r="O346">
            <v>77.760000000000005</v>
          </cell>
          <cell r="P346">
            <v>1.6666666666666665</v>
          </cell>
          <cell r="Q346">
            <v>6.6666666666666661</v>
          </cell>
          <cell r="R346">
            <v>0</v>
          </cell>
          <cell r="S346">
            <v>7</v>
          </cell>
          <cell r="T346" t="str">
            <v>A</v>
          </cell>
          <cell r="U346">
            <v>9.2809000000000008</v>
          </cell>
          <cell r="V346" t="str">
            <v>شركة ناف الجود- NAF AL JOOD</v>
          </cell>
          <cell r="W346">
            <v>0</v>
          </cell>
          <cell r="X346">
            <v>46.404500000000006</v>
          </cell>
          <cell r="Z346" t="str">
            <v>RM-00288</v>
          </cell>
          <cell r="AA346" t="str">
            <v>Saudi Tomato Paste معجون طماطم السعودي</v>
          </cell>
          <cell r="AB346" t="str">
            <v>RM-00288</v>
          </cell>
          <cell r="AC346" t="str">
            <v>Saudi Tomato Paste معجون طماطم السعودي</v>
          </cell>
          <cell r="AD346">
            <v>9.2809000000000008</v>
          </cell>
          <cell r="AE346" t="str">
            <v>شركة ناف الجود- NAF AL JOOD</v>
          </cell>
        </row>
        <row r="347">
          <cell r="B347" t="str">
            <v>RM-00294</v>
          </cell>
          <cell r="C347" t="str">
            <v>SRIRACHA FLAVORED WITH OAK BARREL AGED PEPPERS صلصة سريراتشا تباسكو</v>
          </cell>
          <cell r="D347" t="str">
            <v>SRIRACHA FLAVORED WITH OAK BARREL AGED PEPPERS صلصة سريراتشا تباسكو</v>
          </cell>
          <cell r="E347" t="str">
            <v/>
          </cell>
          <cell r="F347" t="str">
            <v/>
          </cell>
          <cell r="G347" t="str">
            <v/>
          </cell>
          <cell r="H347" t="str">
            <v>✓</v>
          </cell>
          <cell r="I347" t="str">
            <v/>
          </cell>
          <cell r="J347" t="str">
            <v>✓</v>
          </cell>
          <cell r="K347">
            <v>2</v>
          </cell>
          <cell r="L347">
            <v>1</v>
          </cell>
          <cell r="N347">
            <v>40.75</v>
          </cell>
          <cell r="O347">
            <v>1222.5</v>
          </cell>
          <cell r="P347">
            <v>0.33333333333333331</v>
          </cell>
          <cell r="Q347">
            <v>1.3333333333333333</v>
          </cell>
          <cell r="R347">
            <v>0</v>
          </cell>
          <cell r="S347">
            <v>7</v>
          </cell>
          <cell r="T347" t="str">
            <v>A</v>
          </cell>
          <cell r="U347">
            <v>47.114249999999998</v>
          </cell>
          <cell r="V347" t="str">
            <v>شركة تموين الشرق للتجارة</v>
          </cell>
          <cell r="W347">
            <v>0</v>
          </cell>
          <cell r="X347">
            <v>47.114249999999998</v>
          </cell>
          <cell r="Z347" t="str">
            <v>RM-00294</v>
          </cell>
          <cell r="AA347" t="str">
            <v>SRIRACHA FLAVORED WITH OAK BARREL AGED PEPPERS صلصة سريراتشا تباسكو</v>
          </cell>
          <cell r="AB347" t="str">
            <v>RM-00294</v>
          </cell>
          <cell r="AC347" t="str">
            <v>SRIRACHA FLAVORED WITH OAK BARREL AGED PEPPERS صلصة سريراتشا تباسكو</v>
          </cell>
          <cell r="AD347">
            <v>47.114249999999998</v>
          </cell>
          <cell r="AE347" t="str">
            <v>شركة تموين الشرق للتجارة</v>
          </cell>
        </row>
        <row r="348">
          <cell r="B348" t="str">
            <v>RM-00308</v>
          </cell>
          <cell r="C348" t="str">
            <v>Tuna تونا</v>
          </cell>
          <cell r="D348" t="str">
            <v>light meat Tuna in sun flower oil</v>
          </cell>
          <cell r="E348" t="str">
            <v/>
          </cell>
          <cell r="F348" t="str">
            <v/>
          </cell>
          <cell r="G348" t="str">
            <v/>
          </cell>
          <cell r="H348" t="str">
            <v>✓</v>
          </cell>
          <cell r="I348" t="str">
            <v/>
          </cell>
          <cell r="J348" t="str">
            <v>✓</v>
          </cell>
          <cell r="K348">
            <v>2</v>
          </cell>
          <cell r="L348">
            <v>2</v>
          </cell>
          <cell r="N348">
            <v>17.760000000000002</v>
          </cell>
          <cell r="O348">
            <v>266.40000000000003</v>
          </cell>
          <cell r="P348">
            <v>0.66666666666666663</v>
          </cell>
          <cell r="Q348">
            <v>2.6666666666666665</v>
          </cell>
          <cell r="R348">
            <v>0</v>
          </cell>
          <cell r="S348">
            <v>7</v>
          </cell>
          <cell r="T348" t="str">
            <v>A</v>
          </cell>
          <cell r="U348">
            <v>38.435809999999996</v>
          </cell>
          <cell r="V348" t="str">
            <v>الشركة السعودية المتخصصة لخدمات الاطعمة المحدودة - SFS</v>
          </cell>
          <cell r="W348">
            <v>0</v>
          </cell>
          <cell r="X348">
            <v>76.871619999999993</v>
          </cell>
          <cell r="Z348" t="str">
            <v>RM-00308</v>
          </cell>
          <cell r="AA348" t="str">
            <v>Tuna تونا</v>
          </cell>
          <cell r="AB348" t="str">
            <v>RM-00308</v>
          </cell>
          <cell r="AC348" t="str">
            <v>Tuna تونا</v>
          </cell>
          <cell r="AD348">
            <v>38.435809999999996</v>
          </cell>
          <cell r="AE348" t="str">
            <v>الشركة السعودية المتخصصة لخدمات الاطعمة المحدودة - SFS</v>
          </cell>
        </row>
        <row r="349">
          <cell r="B349" t="str">
            <v>RM-00252</v>
          </cell>
          <cell r="C349" t="str">
            <v>Dry yeast- خميرة فورية</v>
          </cell>
          <cell r="D349" t="str">
            <v>Dry yeast- خميرة فورية</v>
          </cell>
          <cell r="E349" t="str">
            <v/>
          </cell>
          <cell r="F349" t="str">
            <v/>
          </cell>
          <cell r="G349" t="str">
            <v/>
          </cell>
          <cell r="H349" t="str">
            <v>✓</v>
          </cell>
          <cell r="I349" t="str">
            <v/>
          </cell>
          <cell r="J349" t="str">
            <v>✓</v>
          </cell>
          <cell r="K349">
            <v>2</v>
          </cell>
          <cell r="L349">
            <v>1</v>
          </cell>
          <cell r="N349">
            <v>70</v>
          </cell>
          <cell r="O349">
            <v>2100</v>
          </cell>
          <cell r="P349">
            <v>0.33333333333333331</v>
          </cell>
          <cell r="Q349">
            <v>1.3333333333333333</v>
          </cell>
          <cell r="R349">
            <v>0</v>
          </cell>
          <cell r="S349">
            <v>7</v>
          </cell>
          <cell r="T349" t="str">
            <v>A</v>
          </cell>
          <cell r="U349">
            <v>24.4</v>
          </cell>
          <cell r="V349" t="str">
            <v>Tanzeem Al Afkar Trading Company | شركة تنظيم الافكار للتجارة</v>
          </cell>
          <cell r="W349">
            <v>0</v>
          </cell>
          <cell r="X349">
            <v>24.4</v>
          </cell>
          <cell r="Z349" t="str">
            <v>RM-00252</v>
          </cell>
          <cell r="AA349" t="str">
            <v>Dry yeast- خميرة فورية</v>
          </cell>
          <cell r="AB349" t="str">
            <v>RM-00252</v>
          </cell>
          <cell r="AC349" t="str">
            <v>Dry yeast- خميرة فورية</v>
          </cell>
          <cell r="AD349">
            <v>24.4</v>
          </cell>
          <cell r="AE349" t="str">
            <v>Tanzeem Al Afkar Trading Company | شركة تنظيم الافكار للتجارة</v>
          </cell>
        </row>
        <row r="350">
          <cell r="B350" t="str">
            <v>RM-00284</v>
          </cell>
          <cell r="C350" t="str">
            <v>S500 bakery improver محسن مخبوزات اس 500</v>
          </cell>
          <cell r="D350" t="str">
            <v>S500 bakery improver محسن مخبوزات اس 500</v>
          </cell>
          <cell r="E350" t="str">
            <v/>
          </cell>
          <cell r="F350" t="str">
            <v/>
          </cell>
          <cell r="G350" t="str">
            <v/>
          </cell>
          <cell r="H350" t="str">
            <v>✓</v>
          </cell>
          <cell r="I350" t="str">
            <v/>
          </cell>
          <cell r="J350" t="str">
            <v>✓</v>
          </cell>
          <cell r="K350">
            <v>2</v>
          </cell>
          <cell r="L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7</v>
          </cell>
          <cell r="T350" t="str">
            <v>A</v>
          </cell>
          <cell r="U350">
            <v>33</v>
          </cell>
          <cell r="V350" t="str">
            <v>BanoPuratos Arabia Co. "Sweet Mix Co. شركة خليط الحلى المتحدة"</v>
          </cell>
          <cell r="W350">
            <v>0</v>
          </cell>
          <cell r="X350">
            <v>0</v>
          </cell>
          <cell r="Z350" t="str">
            <v>RM-00284</v>
          </cell>
          <cell r="AA350" t="str">
            <v>S500 bakery improver محسن مخبوزات اس 500</v>
          </cell>
          <cell r="AB350" t="str">
            <v>RM-00284</v>
          </cell>
          <cell r="AC350" t="str">
            <v>S500 bakery improver محسن مخبوزات اس 500</v>
          </cell>
          <cell r="AD350">
            <v>33</v>
          </cell>
          <cell r="AE350" t="str">
            <v>BanoPuratos Arabia Co. "Sweet Mix Co. شركة خليط الحلى المتحدة"</v>
          </cell>
        </row>
        <row r="351">
          <cell r="B351" t="str">
            <v>RM-00289</v>
          </cell>
          <cell r="C351" t="str">
            <v>Sesame سمسم</v>
          </cell>
          <cell r="D351" t="str">
            <v>Sesame سمسم</v>
          </cell>
          <cell r="E351" t="str">
            <v/>
          </cell>
          <cell r="F351" t="str">
            <v/>
          </cell>
          <cell r="G351" t="str">
            <v/>
          </cell>
          <cell r="H351" t="str">
            <v>✓</v>
          </cell>
          <cell r="I351" t="str">
            <v/>
          </cell>
          <cell r="J351" t="str">
            <v>✓</v>
          </cell>
          <cell r="K351">
            <v>2</v>
          </cell>
          <cell r="L351">
            <v>2</v>
          </cell>
          <cell r="N351">
            <v>80</v>
          </cell>
          <cell r="O351">
            <v>1200</v>
          </cell>
          <cell r="P351">
            <v>0.66666666666666663</v>
          </cell>
          <cell r="Q351">
            <v>2.6666666666666665</v>
          </cell>
          <cell r="R351">
            <v>0</v>
          </cell>
          <cell r="S351">
            <v>7</v>
          </cell>
          <cell r="T351" t="str">
            <v>A</v>
          </cell>
          <cell r="U351">
            <v>7.2</v>
          </cell>
          <cell r="V351" t="str">
            <v>Tanzeem Al Afkar Trading Company | شركة تنظيم الافكار للتجارة</v>
          </cell>
          <cell r="W351">
            <v>0</v>
          </cell>
          <cell r="X351">
            <v>14.4</v>
          </cell>
          <cell r="Z351" t="str">
            <v>RM-00289</v>
          </cell>
          <cell r="AA351" t="str">
            <v>Sesame سمسم</v>
          </cell>
          <cell r="AB351" t="str">
            <v>RM-00289</v>
          </cell>
          <cell r="AC351" t="str">
            <v>Sesame سمسم</v>
          </cell>
          <cell r="AD351">
            <v>7.2</v>
          </cell>
          <cell r="AE351" t="str">
            <v>Tanzeem Al Afkar Trading Company | شركة تنظيم الافكار للتجارة</v>
          </cell>
        </row>
        <row r="352">
          <cell r="B352" t="str">
            <v>RM-00184</v>
          </cell>
          <cell r="C352" t="str">
            <v>Black Seed الحبه السوداء</v>
          </cell>
          <cell r="D352" t="str">
            <v>Black Seed الحبه السوداء</v>
          </cell>
          <cell r="E352" t="str">
            <v/>
          </cell>
          <cell r="F352" t="str">
            <v/>
          </cell>
          <cell r="G352" t="str">
            <v/>
          </cell>
          <cell r="H352" t="str">
            <v>✓</v>
          </cell>
          <cell r="I352" t="str">
            <v/>
          </cell>
          <cell r="J352" t="str">
            <v>✓</v>
          </cell>
          <cell r="K352">
            <v>2</v>
          </cell>
          <cell r="L352">
            <v>2</v>
          </cell>
          <cell r="N352">
            <v>0</v>
          </cell>
          <cell r="O352">
            <v>0</v>
          </cell>
          <cell r="P352">
            <v>0.66666666666666663</v>
          </cell>
          <cell r="Q352">
            <v>2.6666666666666665</v>
          </cell>
          <cell r="R352">
            <v>2.6666666666666665</v>
          </cell>
          <cell r="S352">
            <v>7</v>
          </cell>
          <cell r="T352" t="str">
            <v>A</v>
          </cell>
          <cell r="U352">
            <v>17.7</v>
          </cell>
          <cell r="V352" t="str">
            <v>شركة ناف الجود- NAF AL JOOD</v>
          </cell>
          <cell r="W352">
            <v>47.199999999999996</v>
          </cell>
          <cell r="X352">
            <v>35.4</v>
          </cell>
          <cell r="Z352" t="str">
            <v>RM-00184</v>
          </cell>
          <cell r="AA352" t="str">
            <v>Black Seed الحبه السوداء</v>
          </cell>
          <cell r="AB352" t="str">
            <v>RM-00184</v>
          </cell>
          <cell r="AC352" t="str">
            <v>Black Seed الحبه السوداء</v>
          </cell>
          <cell r="AD352">
            <v>17.7</v>
          </cell>
          <cell r="AE352" t="str">
            <v>شركة ناف الجود- NAF AL JOOD</v>
          </cell>
        </row>
        <row r="353">
          <cell r="B353" t="str">
            <v>RM-00175</v>
          </cell>
          <cell r="C353" t="str">
            <v>ORIG RANCH SAUCE | صوص الرانش</v>
          </cell>
          <cell r="D353" t="str">
            <v>صلصلة رانش فرشلي / FRESHLY RANCH SALAD DRESSING</v>
          </cell>
          <cell r="E353" t="str">
            <v/>
          </cell>
          <cell r="F353" t="str">
            <v/>
          </cell>
          <cell r="G353" t="str">
            <v/>
          </cell>
          <cell r="H353" t="str">
            <v>✓</v>
          </cell>
          <cell r="I353" t="str">
            <v/>
          </cell>
          <cell r="J353" t="str">
            <v>✓</v>
          </cell>
          <cell r="K353">
            <v>2</v>
          </cell>
          <cell r="L353">
            <v>15</v>
          </cell>
          <cell r="N353">
            <v>336.6</v>
          </cell>
          <cell r="O353">
            <v>673.2</v>
          </cell>
          <cell r="P353">
            <v>5</v>
          </cell>
          <cell r="Q353">
            <v>20</v>
          </cell>
          <cell r="R353">
            <v>0</v>
          </cell>
          <cell r="S353">
            <v>7</v>
          </cell>
          <cell r="T353" t="str">
            <v>A</v>
          </cell>
          <cell r="U353">
            <v>31.71247</v>
          </cell>
          <cell r="V353" t="str">
            <v>Tanzeem Al Afkar Trading Company | شركة تنظيم الافكار للتجارة</v>
          </cell>
          <cell r="W353">
            <v>0</v>
          </cell>
          <cell r="X353">
            <v>475.68705</v>
          </cell>
          <cell r="Z353" t="str">
            <v>RM-00679</v>
          </cell>
          <cell r="AA353" t="str">
            <v>صلصلة رانش فرشلي / FRESHLY RANCH SALAD DRESSING</v>
          </cell>
          <cell r="AB353" t="str">
            <v>RM-00175</v>
          </cell>
          <cell r="AC353" t="str">
            <v>ORIG RANCH SAUCE | صوص الرانش</v>
          </cell>
          <cell r="AD353">
            <v>48.742139999999999</v>
          </cell>
          <cell r="AE353" t="str">
            <v>شركة تموين الشرق للتجارة</v>
          </cell>
        </row>
        <row r="354">
          <cell r="B354" t="str">
            <v>RM-00106</v>
          </cell>
          <cell r="C354" t="str">
            <v>Labneh - لبنة</v>
          </cell>
          <cell r="D354" t="str">
            <v>Labneh - لبنة</v>
          </cell>
          <cell r="E354" t="str">
            <v/>
          </cell>
          <cell r="F354" t="str">
            <v/>
          </cell>
          <cell r="G354" t="str">
            <v/>
          </cell>
          <cell r="H354" t="str">
            <v>✓</v>
          </cell>
          <cell r="I354" t="str">
            <v/>
          </cell>
          <cell r="J354" t="str">
            <v/>
          </cell>
          <cell r="K354">
            <v>1</v>
          </cell>
          <cell r="L354">
            <v>1</v>
          </cell>
          <cell r="N354">
            <v>0</v>
          </cell>
          <cell r="O354">
            <v>0</v>
          </cell>
          <cell r="P354">
            <v>0.33333333333333331</v>
          </cell>
          <cell r="Q354">
            <v>1.3333333333333333</v>
          </cell>
          <cell r="R354">
            <v>1.3333333333333333</v>
          </cell>
          <cell r="S354">
            <v>7</v>
          </cell>
          <cell r="T354" t="str">
            <v>A</v>
          </cell>
          <cell r="U354">
            <v>24</v>
          </cell>
          <cell r="V354" t="str">
            <v>Al-Marai</v>
          </cell>
          <cell r="W354">
            <v>32</v>
          </cell>
          <cell r="X354">
            <v>24</v>
          </cell>
          <cell r="Z354" t="str">
            <v>RM-00106</v>
          </cell>
          <cell r="AA354" t="str">
            <v>Labneh - لبنة</v>
          </cell>
          <cell r="AB354" t="str">
            <v>RM-00106</v>
          </cell>
          <cell r="AC354" t="str">
            <v>Labneh - لبنة</v>
          </cell>
          <cell r="AD354">
            <v>24</v>
          </cell>
          <cell r="AE354" t="str">
            <v>Al-Marai</v>
          </cell>
        </row>
        <row r="355">
          <cell r="B355" t="str">
            <v>RM-00715</v>
          </cell>
          <cell r="C355" t="str">
            <v>معزز نكهات - MSG Ajinamoto</v>
          </cell>
          <cell r="D355" t="str">
            <v>معزز نكهات - MSG Ajinamoto</v>
          </cell>
          <cell r="E355" t="str">
            <v/>
          </cell>
          <cell r="F355" t="str">
            <v/>
          </cell>
          <cell r="G355" t="str">
            <v/>
          </cell>
          <cell r="H355" t="str">
            <v>✓</v>
          </cell>
          <cell r="I355" t="str">
            <v/>
          </cell>
          <cell r="J355" t="str">
            <v/>
          </cell>
          <cell r="K355">
            <v>1</v>
          </cell>
          <cell r="L355">
            <v>0.35</v>
          </cell>
          <cell r="N355">
            <v>0</v>
          </cell>
          <cell r="O355">
            <v>0</v>
          </cell>
          <cell r="P355">
            <v>0.11666666666666665</v>
          </cell>
          <cell r="Q355">
            <v>0.46666666666666662</v>
          </cell>
          <cell r="R355">
            <v>0.46666666666666662</v>
          </cell>
          <cell r="S355">
            <v>7</v>
          </cell>
          <cell r="T355" t="str">
            <v>A</v>
          </cell>
          <cell r="U355">
            <v>22.615639999999999</v>
          </cell>
          <cell r="V355" t="str">
            <v>شركة ناف الجود- NAF AL JOOD</v>
          </cell>
          <cell r="W355">
            <v>10.553965333333332</v>
          </cell>
          <cell r="X355">
            <v>7.9154739999999988</v>
          </cell>
          <cell r="Z355" t="str">
            <v>RM-00715</v>
          </cell>
          <cell r="AA355" t="str">
            <v>معزز نكهات - MSG Ajinamoto</v>
          </cell>
          <cell r="AB355" t="str">
            <v>RM-00715</v>
          </cell>
          <cell r="AC355" t="str">
            <v>معزز نكهات - MSG Ajinamoto</v>
          </cell>
          <cell r="AD355">
            <v>22.615639999999999</v>
          </cell>
          <cell r="AE355" t="str">
            <v>شركة ناف الجود- NAF AL JOOD</v>
          </cell>
        </row>
        <row r="356">
          <cell r="B356" t="str">
            <v>RM-00297</v>
          </cell>
          <cell r="C356" t="str">
            <v>Sumac سماق</v>
          </cell>
          <cell r="D356" t="str">
            <v>Sumac سماق</v>
          </cell>
          <cell r="E356" t="str">
            <v/>
          </cell>
          <cell r="F356" t="str">
            <v/>
          </cell>
          <cell r="G356" t="str">
            <v/>
          </cell>
          <cell r="H356" t="str">
            <v>✓</v>
          </cell>
          <cell r="I356" t="str">
            <v/>
          </cell>
          <cell r="J356" t="str">
            <v>✓</v>
          </cell>
          <cell r="K356">
            <v>2</v>
          </cell>
          <cell r="L356">
            <v>2</v>
          </cell>
          <cell r="N356">
            <v>2</v>
          </cell>
          <cell r="O356">
            <v>30</v>
          </cell>
          <cell r="P356">
            <v>0.66666666666666663</v>
          </cell>
          <cell r="Q356">
            <v>2.6666666666666665</v>
          </cell>
          <cell r="R356">
            <v>0.66666666666666652</v>
          </cell>
          <cell r="S356">
            <v>7</v>
          </cell>
          <cell r="T356" t="str">
            <v>A</v>
          </cell>
          <cell r="U356">
            <v>6</v>
          </cell>
          <cell r="V356" t="str">
            <v>Gourmet Gate شركة بوابة الذواقة لتجارة الاغذية</v>
          </cell>
          <cell r="W356">
            <v>3.9999999999999991</v>
          </cell>
          <cell r="X356">
            <v>12</v>
          </cell>
          <cell r="Z356" t="str">
            <v>RM-00297</v>
          </cell>
          <cell r="AA356" t="str">
            <v>Sumac سماق</v>
          </cell>
          <cell r="AB356" t="str">
            <v>RM-00297</v>
          </cell>
          <cell r="AC356" t="str">
            <v>Sumac سماق</v>
          </cell>
          <cell r="AD356">
            <v>6</v>
          </cell>
          <cell r="AE356" t="str">
            <v>Gourmet Gate شركة بوابة الذواقة لتجارة الاغذية</v>
          </cell>
        </row>
        <row r="357">
          <cell r="B357" t="str">
            <v>RM-00434</v>
          </cell>
          <cell r="C357" t="str">
            <v>Walnuts عين جمل</v>
          </cell>
          <cell r="D357" t="str">
            <v>Walnuts عين جمل</v>
          </cell>
          <cell r="E357" t="str">
            <v/>
          </cell>
          <cell r="F357" t="str">
            <v/>
          </cell>
          <cell r="G357" t="str">
            <v/>
          </cell>
          <cell r="H357" t="str">
            <v>✓</v>
          </cell>
          <cell r="I357" t="str">
            <v/>
          </cell>
          <cell r="J357" t="str">
            <v>✓</v>
          </cell>
          <cell r="K357">
            <v>2</v>
          </cell>
          <cell r="L357">
            <v>370</v>
          </cell>
          <cell r="N357">
            <v>1070</v>
          </cell>
          <cell r="O357">
            <v>86.756756756756758</v>
          </cell>
          <cell r="P357">
            <v>123.33333333333333</v>
          </cell>
          <cell r="Q357">
            <v>493.33333333333331</v>
          </cell>
          <cell r="R357">
            <v>0</v>
          </cell>
          <cell r="S357">
            <v>7</v>
          </cell>
          <cell r="T357" t="str">
            <v>A</v>
          </cell>
          <cell r="U357">
            <v>34.200000000000003</v>
          </cell>
          <cell r="V357" t="str">
            <v>Tanzeem Al Afkar Trading Company | شركة تنظيم الافكار للتجارة</v>
          </cell>
          <cell r="W357">
            <v>0</v>
          </cell>
          <cell r="X357">
            <v>12654.000000000002</v>
          </cell>
          <cell r="Z357" t="str">
            <v>RM-00434</v>
          </cell>
          <cell r="AA357" t="str">
            <v>Walnuts عين جمل</v>
          </cell>
          <cell r="AB357" t="str">
            <v>RM-00434</v>
          </cell>
          <cell r="AC357" t="str">
            <v>Walnuts عين جمل</v>
          </cell>
          <cell r="AD357">
            <v>34.200000000000003</v>
          </cell>
          <cell r="AE357" t="str">
            <v>Tanzeem Al Afkar Trading Company | شركة تنظيم الافكار للتجارة</v>
          </cell>
        </row>
        <row r="358">
          <cell r="B358" t="str">
            <v>RM-00195</v>
          </cell>
          <cell r="C358" t="str">
            <v>Jalapeno Pepper هايفا جلابينو</v>
          </cell>
          <cell r="D358" t="str">
            <v>Jalapeno Pepper هايفا جلابينو</v>
          </cell>
          <cell r="E358" t="str">
            <v/>
          </cell>
          <cell r="F358" t="str">
            <v/>
          </cell>
          <cell r="G358" t="str">
            <v/>
          </cell>
          <cell r="H358" t="str">
            <v>✓</v>
          </cell>
          <cell r="I358" t="str">
            <v/>
          </cell>
          <cell r="J358" t="str">
            <v>✓</v>
          </cell>
          <cell r="K358">
            <v>2</v>
          </cell>
          <cell r="L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7</v>
          </cell>
          <cell r="T358" t="str">
            <v>A</v>
          </cell>
          <cell r="U358">
            <v>7.8</v>
          </cell>
          <cell r="V358" t="str">
            <v>Tanzeem Al Afkar Trading Company | شركة تنظيم الافكار للتجارة</v>
          </cell>
          <cell r="W358">
            <v>0</v>
          </cell>
          <cell r="X358">
            <v>0</v>
          </cell>
          <cell r="Z358" t="str">
            <v>RM-00195</v>
          </cell>
          <cell r="AA358" t="str">
            <v>Jalapeno Pepper هايفا جلابينو</v>
          </cell>
          <cell r="AB358" t="str">
            <v>RM-00195</v>
          </cell>
          <cell r="AC358" t="str">
            <v>Jalapeno Pepper هايفا جلابينو</v>
          </cell>
          <cell r="AD358">
            <v>7.8</v>
          </cell>
          <cell r="AE358" t="str">
            <v>Tanzeem Al Afkar Trading Company | شركة تنظيم الافكار للتجارة</v>
          </cell>
        </row>
        <row r="359">
          <cell r="B359" t="str">
            <v>RM-00614</v>
          </cell>
          <cell r="C359" t="str">
            <v>Spreadable cheese analouge - Puck</v>
          </cell>
          <cell r="D359" t="str">
            <v>Spreadable cheese analouge - Puck</v>
          </cell>
          <cell r="E359" t="str">
            <v/>
          </cell>
          <cell r="F359" t="str">
            <v/>
          </cell>
          <cell r="G359" t="str">
            <v/>
          </cell>
          <cell r="H359" t="str">
            <v>✓</v>
          </cell>
          <cell r="I359" t="str">
            <v/>
          </cell>
          <cell r="J359" t="str">
            <v/>
          </cell>
          <cell r="K359">
            <v>1</v>
          </cell>
          <cell r="L359">
            <v>12</v>
          </cell>
          <cell r="M359" t="str">
            <v>keep</v>
          </cell>
          <cell r="N359">
            <v>0</v>
          </cell>
          <cell r="O359">
            <v>0</v>
          </cell>
          <cell r="P359">
            <v>4</v>
          </cell>
          <cell r="Q359">
            <v>16</v>
          </cell>
          <cell r="R359">
            <v>16</v>
          </cell>
          <cell r="S359">
            <v>7</v>
          </cell>
          <cell r="T359" t="str">
            <v>A</v>
          </cell>
          <cell r="U359">
            <v>21.062270000000002</v>
          </cell>
          <cell r="V359" t="str">
            <v>Tanzeem Al Afkar Trading Company | شركة تنظيم الافكار للتجارة</v>
          </cell>
          <cell r="W359">
            <v>336.99632000000003</v>
          </cell>
          <cell r="X359">
            <v>252.74724000000003</v>
          </cell>
          <cell r="Z359" t="str">
            <v>RM-00614</v>
          </cell>
          <cell r="AA359" t="str">
            <v>Spreadable cheese analouge - Puck</v>
          </cell>
          <cell r="AB359" t="str">
            <v>RM-00614</v>
          </cell>
          <cell r="AC359" t="str">
            <v>Spreadable cheese analouge - Puck</v>
          </cell>
          <cell r="AD359">
            <v>21.062270000000002</v>
          </cell>
          <cell r="AE359" t="str">
            <v>Tanzeem Al Afkar Trading Company | شركة تنظيم الافكار للتجارة</v>
          </cell>
        </row>
        <row r="360">
          <cell r="B360" t="str">
            <v>RM-00703</v>
          </cell>
          <cell r="C360" t="str">
            <v>AKKAWI - ASTRA FARMS |عكاوي</v>
          </cell>
          <cell r="D360" t="str">
            <v>AKKAWI - ASTRA FARMS |عكاوي</v>
          </cell>
          <cell r="E360" t="str">
            <v/>
          </cell>
          <cell r="F360" t="str">
            <v/>
          </cell>
          <cell r="G360" t="str">
            <v/>
          </cell>
          <cell r="H360" t="str">
            <v>✓</v>
          </cell>
          <cell r="I360" t="str">
            <v/>
          </cell>
          <cell r="J360" t="str">
            <v>✓</v>
          </cell>
          <cell r="K360">
            <v>2</v>
          </cell>
          <cell r="L360">
            <v>90</v>
          </cell>
          <cell r="N360">
            <v>0</v>
          </cell>
          <cell r="O360">
            <v>0</v>
          </cell>
          <cell r="P360">
            <v>30</v>
          </cell>
          <cell r="Q360">
            <v>120</v>
          </cell>
          <cell r="R360">
            <v>120</v>
          </cell>
          <cell r="S360">
            <v>7</v>
          </cell>
          <cell r="T360" t="str">
            <v>A</v>
          </cell>
          <cell r="U360">
            <v>41</v>
          </cell>
          <cell r="V360" t="str">
            <v>شركة ناف الجود- NAF AL JOOD</v>
          </cell>
          <cell r="W360">
            <v>4920</v>
          </cell>
          <cell r="X360">
            <v>3690</v>
          </cell>
          <cell r="Z360" t="str">
            <v>RM-00703</v>
          </cell>
          <cell r="AA360" t="str">
            <v>AKKAWI - ASTRA FARMS |عكاوي</v>
          </cell>
          <cell r="AB360" t="str">
            <v>RM-00703</v>
          </cell>
          <cell r="AC360" t="str">
            <v>AKKAWI - ASTRA FARMS |عكاوي</v>
          </cell>
          <cell r="AD360">
            <v>41</v>
          </cell>
          <cell r="AE360" t="str">
            <v>شركة ناف الجود- NAF AL JOOD</v>
          </cell>
        </row>
        <row r="361">
          <cell r="B361" t="str">
            <v>CO-00106</v>
          </cell>
          <cell r="C361" t="str">
            <v>Clb Bag Food  كلوب حفظ الطعام مقاس 10</v>
          </cell>
          <cell r="D361" t="str">
            <v>Clb Bag Food  كلوب حفظ الطعام مقاس 10</v>
          </cell>
          <cell r="E361" t="str">
            <v/>
          </cell>
          <cell r="F361" t="str">
            <v/>
          </cell>
          <cell r="G361" t="str">
            <v/>
          </cell>
          <cell r="H361" t="str">
            <v>✓</v>
          </cell>
          <cell r="I361" t="str">
            <v/>
          </cell>
          <cell r="J361" t="str">
            <v/>
          </cell>
          <cell r="K361">
            <v>1</v>
          </cell>
          <cell r="L361">
            <v>1500</v>
          </cell>
          <cell r="N361">
            <v>21600</v>
          </cell>
          <cell r="O361">
            <v>432</v>
          </cell>
          <cell r="P361">
            <v>500</v>
          </cell>
          <cell r="Q361">
            <v>2000</v>
          </cell>
          <cell r="R361">
            <v>0</v>
          </cell>
          <cell r="S361">
            <v>7</v>
          </cell>
          <cell r="T361" t="str">
            <v>A</v>
          </cell>
          <cell r="U361">
            <v>29.7</v>
          </cell>
          <cell r="V361" t="str">
            <v>Tanzeem Al Afkar Trading Company | شركة تنظيم الافكار للتجارة</v>
          </cell>
          <cell r="W361">
            <v>0</v>
          </cell>
          <cell r="X361">
            <v>44550</v>
          </cell>
          <cell r="Z361" t="str">
            <v>CO-00106</v>
          </cell>
          <cell r="AA361" t="str">
            <v>Clb Bag Food كلوب حفظ الطعام مقاس 10</v>
          </cell>
          <cell r="AB361" t="str">
            <v>CO-00106</v>
          </cell>
          <cell r="AC361" t="str">
            <v>Clb Bag Food  كلوب حفظ الطعام مقاس 10</v>
          </cell>
          <cell r="AD361">
            <v>29.7</v>
          </cell>
          <cell r="AE361" t="str">
            <v>Tanzeem Al Afkar Trading Company | شركة تنظيم الافكار للتجارة</v>
          </cell>
        </row>
        <row r="362">
          <cell r="B362" t="str">
            <v>CO-00107</v>
          </cell>
          <cell r="C362" t="str">
            <v>Clb Bag Food  كلوب حفظ الطعام مقاس 16</v>
          </cell>
          <cell r="D362" t="str">
            <v>Clb Bag Food  كلوب حفظ الطعام مقاس 16</v>
          </cell>
          <cell r="E362" t="str">
            <v/>
          </cell>
          <cell r="F362" t="str">
            <v/>
          </cell>
          <cell r="G362" t="str">
            <v/>
          </cell>
          <cell r="H362" t="str">
            <v>✓</v>
          </cell>
          <cell r="I362" t="str">
            <v/>
          </cell>
          <cell r="J362" t="str">
            <v/>
          </cell>
          <cell r="K362">
            <v>1</v>
          </cell>
          <cell r="L362">
            <v>1200</v>
          </cell>
          <cell r="N362">
            <v>19200</v>
          </cell>
          <cell r="O362">
            <v>480</v>
          </cell>
          <cell r="P362">
            <v>400</v>
          </cell>
          <cell r="Q362">
            <v>1600</v>
          </cell>
          <cell r="R362">
            <v>0</v>
          </cell>
          <cell r="S362">
            <v>7</v>
          </cell>
          <cell r="T362" t="str">
            <v>A</v>
          </cell>
          <cell r="U362">
            <v>7.46E-2</v>
          </cell>
          <cell r="V362" t="str">
            <v>GUANGZHOU MAIBAO PACKAGE CO. LTD</v>
          </cell>
          <cell r="W362">
            <v>0</v>
          </cell>
          <cell r="X362">
            <v>89.52</v>
          </cell>
          <cell r="Z362" t="str">
            <v>CO-00107</v>
          </cell>
          <cell r="AA362" t="str">
            <v>Clb Bag Food كلوب حفظ الطعام مقاس 16</v>
          </cell>
          <cell r="AB362" t="str">
            <v>CO-00107</v>
          </cell>
          <cell r="AC362" t="str">
            <v>Clb Bag Food  كلوب حفظ الطعام مقاس 16</v>
          </cell>
          <cell r="AD362">
            <v>7.46E-2</v>
          </cell>
          <cell r="AE362" t="str">
            <v>GUANGZHOU MAIBAO PACKAGE CO. LTD</v>
          </cell>
        </row>
        <row r="363">
          <cell r="B363" t="str">
            <v>CO-00361</v>
          </cell>
          <cell r="C363" t="str">
            <v>A4 printer paper - ورق طباعة</v>
          </cell>
          <cell r="D363" t="str">
            <v>A4 printer paper - ورق طباعة</v>
          </cell>
          <cell r="E363" t="str">
            <v/>
          </cell>
          <cell r="F363" t="str">
            <v/>
          </cell>
          <cell r="G363" t="str">
            <v/>
          </cell>
          <cell r="H363" t="str">
            <v>✓</v>
          </cell>
          <cell r="I363" t="str">
            <v/>
          </cell>
          <cell r="J363" t="str">
            <v/>
          </cell>
          <cell r="K363">
            <v>1</v>
          </cell>
          <cell r="L363">
            <v>1</v>
          </cell>
          <cell r="N363">
            <v>0</v>
          </cell>
          <cell r="O363">
            <v>0</v>
          </cell>
          <cell r="P363">
            <v>0.33333333333333331</v>
          </cell>
          <cell r="Q363">
            <v>1.3333333333333333</v>
          </cell>
          <cell r="R363">
            <v>1.3333333333333333</v>
          </cell>
          <cell r="S363">
            <v>7</v>
          </cell>
          <cell r="T363" t="str">
            <v>O</v>
          </cell>
          <cell r="U363">
            <v>12</v>
          </cell>
          <cell r="V363" t="str">
            <v>Maktabat Al Aibtikar Est. مؤسسة مكتبة الابتكار</v>
          </cell>
          <cell r="W363">
            <v>16</v>
          </cell>
          <cell r="X363">
            <v>12</v>
          </cell>
          <cell r="Z363" t="str">
            <v>CO-00361</v>
          </cell>
          <cell r="AA363" t="str">
            <v>A4 printer paper - ورق طباعة</v>
          </cell>
          <cell r="AB363" t="str">
            <v>CO-00361</v>
          </cell>
          <cell r="AC363" t="str">
            <v>A4 printer paper - ورق طباعة</v>
          </cell>
          <cell r="AD363">
            <v>12</v>
          </cell>
          <cell r="AE363" t="str">
            <v>Maktabat Al Aibtikar Est. مؤسسة مكتبة الابتكار</v>
          </cell>
        </row>
        <row r="364">
          <cell r="B364" t="str">
            <v>CO-00346</v>
          </cell>
          <cell r="C364" t="str">
            <v>Pillow Thamees 30 CM -    وسادة تميس 30 سانتي</v>
          </cell>
          <cell r="D364" t="str">
            <v>Pillow Thamees 30 CM -    وسادة تميس 30 سانتي</v>
          </cell>
          <cell r="E364" t="str">
            <v/>
          </cell>
          <cell r="F364" t="str">
            <v/>
          </cell>
          <cell r="G364" t="str">
            <v/>
          </cell>
          <cell r="H364" t="str">
            <v>✓</v>
          </cell>
          <cell r="I364" t="str">
            <v/>
          </cell>
          <cell r="J364" t="str">
            <v/>
          </cell>
          <cell r="K364">
            <v>1</v>
          </cell>
          <cell r="L364">
            <v>4</v>
          </cell>
          <cell r="N364">
            <v>12</v>
          </cell>
          <cell r="O364">
            <v>90</v>
          </cell>
          <cell r="P364">
            <v>1.3333333333333333</v>
          </cell>
          <cell r="Q364">
            <v>5.333333333333333</v>
          </cell>
          <cell r="R364">
            <v>0</v>
          </cell>
          <cell r="S364">
            <v>7</v>
          </cell>
          <cell r="T364" t="str">
            <v>A</v>
          </cell>
          <cell r="U364">
            <v>35</v>
          </cell>
          <cell r="V364" t="str">
            <v>مؤسسة مستر شيف</v>
          </cell>
          <cell r="W364">
            <v>0</v>
          </cell>
          <cell r="X364">
            <v>140</v>
          </cell>
          <cell r="Z364" t="str">
            <v>CO-00346</v>
          </cell>
          <cell r="AA364" t="str">
            <v xml:space="preserve">Pillow Thamees 30 CM -    وسادة تميس 30 سانتي </v>
          </cell>
          <cell r="AB364" t="str">
            <v>CO-00346</v>
          </cell>
          <cell r="AC364" t="str">
            <v>Pillow Thamees 30 CM -    وسادة تميس 30 سانتي</v>
          </cell>
          <cell r="AD364">
            <v>35</v>
          </cell>
          <cell r="AE364" t="str">
            <v>مؤسسة مستر شيف</v>
          </cell>
        </row>
        <row r="365">
          <cell r="B365" t="str">
            <v>CO-00123</v>
          </cell>
          <cell r="C365" t="str">
            <v>Heavy Duty Cutter مزيل الشحوم مركز</v>
          </cell>
          <cell r="D365" t="str">
            <v>Heavy Duty Cutter مزيل الشحوم مركز</v>
          </cell>
          <cell r="E365" t="str">
            <v/>
          </cell>
          <cell r="F365" t="str">
            <v/>
          </cell>
          <cell r="G365" t="str">
            <v/>
          </cell>
          <cell r="H365" t="str">
            <v>✓</v>
          </cell>
          <cell r="I365" t="str">
            <v/>
          </cell>
          <cell r="J365" t="str">
            <v/>
          </cell>
          <cell r="K365">
            <v>1</v>
          </cell>
          <cell r="L365">
            <v>2</v>
          </cell>
          <cell r="N365">
            <v>1221</v>
          </cell>
          <cell r="O365">
            <v>18315</v>
          </cell>
          <cell r="P365">
            <v>0.66666666666666663</v>
          </cell>
          <cell r="Q365">
            <v>2.6666666666666665</v>
          </cell>
          <cell r="R365">
            <v>0</v>
          </cell>
          <cell r="S365">
            <v>7</v>
          </cell>
          <cell r="T365" t="str">
            <v>A</v>
          </cell>
          <cell r="U365">
            <v>61.25</v>
          </cell>
          <cell r="V365" t="str">
            <v>شركة نابكو للتجارة والتوزيع</v>
          </cell>
          <cell r="W365">
            <v>0</v>
          </cell>
          <cell r="X365">
            <v>122.5</v>
          </cell>
          <cell r="Z365" t="str">
            <v>CO-00123</v>
          </cell>
          <cell r="AA365" t="str">
            <v>Heavy Duty Cutter مزيل الشحوم مركز</v>
          </cell>
          <cell r="AB365" t="str">
            <v>CO-00123</v>
          </cell>
          <cell r="AC365" t="str">
            <v>Heavy Duty Cutter مزيل الشحوم مركز</v>
          </cell>
          <cell r="AD365">
            <v>61.25</v>
          </cell>
          <cell r="AE365" t="str">
            <v>شركة نابكو للتجارة والتوزيع</v>
          </cell>
        </row>
        <row r="366">
          <cell r="B366" t="str">
            <v>CO-00126</v>
          </cell>
          <cell r="C366" t="str">
            <v>Maxi Roll 300mm ماكسي رول 300م</v>
          </cell>
          <cell r="D366" t="str">
            <v>Maxi Roll 300mm ماكسي رول 300م</v>
          </cell>
          <cell r="E366" t="str">
            <v/>
          </cell>
          <cell r="F366" t="str">
            <v/>
          </cell>
          <cell r="G366" t="str">
            <v/>
          </cell>
          <cell r="H366" t="str">
            <v>✓</v>
          </cell>
          <cell r="I366" t="str">
            <v/>
          </cell>
          <cell r="J366" t="str">
            <v/>
          </cell>
          <cell r="K366">
            <v>1</v>
          </cell>
          <cell r="L366">
            <v>1000</v>
          </cell>
          <cell r="N366">
            <v>396</v>
          </cell>
          <cell r="O366">
            <v>11.88</v>
          </cell>
          <cell r="P366">
            <v>333.33333333333331</v>
          </cell>
          <cell r="Q366">
            <v>1333.3333333333333</v>
          </cell>
          <cell r="R366">
            <v>937.33333333333326</v>
          </cell>
          <cell r="S366">
            <v>7</v>
          </cell>
          <cell r="T366" t="str">
            <v>S</v>
          </cell>
          <cell r="U366">
            <v>6</v>
          </cell>
          <cell r="V366" t="str">
            <v>شركة ألان للمنتجات الورقية</v>
          </cell>
          <cell r="W366">
            <v>5624</v>
          </cell>
          <cell r="X366">
            <v>6000</v>
          </cell>
          <cell r="Z366" t="str">
            <v>CO-00126</v>
          </cell>
          <cell r="AA366" t="str">
            <v>Maxi Roll 300mm ماكسي رول 300م</v>
          </cell>
          <cell r="AB366" t="str">
            <v>CO-00126</v>
          </cell>
          <cell r="AC366" t="str">
            <v>Maxi Roll 300mm ماكسي رول 300م</v>
          </cell>
          <cell r="AD366">
            <v>7</v>
          </cell>
          <cell r="AE366" t="str">
            <v>شركة نابكو للتجارة والتوزيع</v>
          </cell>
        </row>
        <row r="367">
          <cell r="B367" t="str">
            <v>CO-00064</v>
          </cell>
          <cell r="C367" t="str">
            <v>maog sponge اسفنج</v>
          </cell>
          <cell r="D367" t="str">
            <v>maog sponge اسفنج</v>
          </cell>
          <cell r="E367" t="str">
            <v/>
          </cell>
          <cell r="F367" t="str">
            <v/>
          </cell>
          <cell r="G367" t="str">
            <v/>
          </cell>
          <cell r="H367" t="str">
            <v>✓</v>
          </cell>
          <cell r="I367" t="str">
            <v/>
          </cell>
          <cell r="J367" t="str">
            <v>✓</v>
          </cell>
          <cell r="K367">
            <v>2</v>
          </cell>
          <cell r="L367">
            <v>620</v>
          </cell>
          <cell r="N367">
            <v>1980</v>
          </cell>
          <cell r="O367">
            <v>95.806451612903217</v>
          </cell>
          <cell r="P367">
            <v>206.66666666666666</v>
          </cell>
          <cell r="Q367">
            <v>826.66666666666663</v>
          </cell>
          <cell r="R367">
            <v>0</v>
          </cell>
          <cell r="S367">
            <v>7</v>
          </cell>
          <cell r="T367" t="str">
            <v>A</v>
          </cell>
          <cell r="U367">
            <v>0.43889</v>
          </cell>
          <cell r="V367" t="str">
            <v>شركة بوابة المبدعون للتجارة</v>
          </cell>
          <cell r="W367">
            <v>0</v>
          </cell>
          <cell r="X367">
            <v>272.11180000000002</v>
          </cell>
          <cell r="Z367" t="str">
            <v>CO-00064</v>
          </cell>
          <cell r="AA367" t="str">
            <v>maog sponge اسفنج</v>
          </cell>
          <cell r="AB367" t="str">
            <v>CO-00064</v>
          </cell>
          <cell r="AC367" t="str">
            <v>maog sponge اسفنج</v>
          </cell>
          <cell r="AD367">
            <v>0.43889</v>
          </cell>
          <cell r="AE367" t="str">
            <v>شركة بوابة المبدعون للتجارة</v>
          </cell>
        </row>
        <row r="368">
          <cell r="B368" t="str">
            <v>CO-00332</v>
          </cell>
          <cell r="C368" t="str">
            <v>charcoal فحم  بخور</v>
          </cell>
          <cell r="D368" t="str">
            <v>Coal فحم</v>
          </cell>
          <cell r="E368" t="str">
            <v>✓</v>
          </cell>
          <cell r="F368" t="str">
            <v/>
          </cell>
          <cell r="G368" t="str">
            <v/>
          </cell>
          <cell r="H368" t="str">
            <v/>
          </cell>
          <cell r="I368" t="str">
            <v/>
          </cell>
          <cell r="J368" t="str">
            <v/>
          </cell>
          <cell r="K368">
            <v>1</v>
          </cell>
          <cell r="L368">
            <v>10</v>
          </cell>
          <cell r="N368">
            <v>21.65</v>
          </cell>
          <cell r="O368">
            <v>64.95</v>
          </cell>
          <cell r="P368">
            <v>3.333333333333333</v>
          </cell>
          <cell r="Q368">
            <v>13.333333333333332</v>
          </cell>
          <cell r="R368">
            <v>0</v>
          </cell>
          <cell r="S368">
            <v>7</v>
          </cell>
          <cell r="T368" t="str">
            <v>A</v>
          </cell>
          <cell r="V368" t="e">
            <v>#N/A</v>
          </cell>
          <cell r="W368">
            <v>0</v>
          </cell>
          <cell r="X368">
            <v>0</v>
          </cell>
          <cell r="Z368" t="str">
            <v>CO-00317</v>
          </cell>
          <cell r="AA368" t="str">
            <v>Coal فحم</v>
          </cell>
          <cell r="AB368" t="str">
            <v>CO-00332</v>
          </cell>
          <cell r="AC368" t="str">
            <v>charcoal فحم  بخور</v>
          </cell>
          <cell r="AD368">
            <v>0</v>
          </cell>
          <cell r="AE368" t="str">
            <v>جزيرة الطيب</v>
          </cell>
        </row>
        <row r="369">
          <cell r="B369" t="str">
            <v>PM-00325</v>
          </cell>
          <cell r="C369" t="str">
            <v>Printed cash roll Four colors size 80 x 70 , 37 meter (NAMQ ) ورق كاشير مطبوع ( نمق )</v>
          </cell>
          <cell r="D369" t="str">
            <v>Cashier Rollورق فواتير - كاشير</v>
          </cell>
          <cell r="E369" t="str">
            <v/>
          </cell>
          <cell r="F369" t="str">
            <v/>
          </cell>
          <cell r="G369" t="str">
            <v/>
          </cell>
          <cell r="H369" t="str">
            <v>✓</v>
          </cell>
          <cell r="I369" t="str">
            <v/>
          </cell>
          <cell r="J369" t="str">
            <v/>
          </cell>
          <cell r="K369">
            <v>1</v>
          </cell>
          <cell r="L369">
            <v>1</v>
          </cell>
          <cell r="N369">
            <v>10297</v>
          </cell>
          <cell r="O369">
            <v>308910</v>
          </cell>
          <cell r="P369">
            <v>0.56666666666666665</v>
          </cell>
          <cell r="Q369">
            <v>1.5666666666666667</v>
          </cell>
          <cell r="R369">
            <v>0</v>
          </cell>
          <cell r="S369">
            <v>14</v>
          </cell>
          <cell r="T369" t="str">
            <v>A</v>
          </cell>
          <cell r="U369">
            <v>1.6</v>
          </cell>
          <cell r="V369" t="str">
            <v>شركة بوابة المبدعون للتجارة</v>
          </cell>
          <cell r="W369">
            <v>0</v>
          </cell>
          <cell r="X369">
            <v>1.6</v>
          </cell>
          <cell r="Z369" t="str">
            <v>PM-00325</v>
          </cell>
          <cell r="AA369" t="str">
            <v>Cashier Rollورق فواتير - كاشير</v>
          </cell>
          <cell r="AB369" t="str">
            <v>PM-00325</v>
          </cell>
          <cell r="AC369" t="str">
            <v>Printed cash roll Four colors size 80 x 70 , 37 meter (NAMQ ) ورق كاشير مطبوع ( نمق )</v>
          </cell>
          <cell r="AD369">
            <v>2.2000000000000002</v>
          </cell>
          <cell r="AE369" t="str">
            <v>شركة الاوراق الذهبية الصناعية</v>
          </cell>
        </row>
        <row r="370">
          <cell r="B370" t="str">
            <v>PM-00412</v>
          </cell>
          <cell r="C370" t="str">
            <v>استيكر صوص رايتا - بلاستيك 4سم (تاندو)Raita sauce sticker - plastic 4cm (tando)</v>
          </cell>
          <cell r="D370" t="str">
            <v>استيكر صوص رايتا - بلاستيك 4سم (تاندو)Raita sauce sticker - plastic 4cm (tando)</v>
          </cell>
          <cell r="E370" t="str">
            <v/>
          </cell>
          <cell r="F370" t="str">
            <v/>
          </cell>
          <cell r="G370" t="str">
            <v/>
          </cell>
          <cell r="H370" t="str">
            <v>✓</v>
          </cell>
          <cell r="I370" t="str">
            <v/>
          </cell>
          <cell r="J370" t="str">
            <v/>
          </cell>
          <cell r="K370">
            <v>1</v>
          </cell>
          <cell r="L370">
            <v>5000</v>
          </cell>
          <cell r="N370">
            <v>0</v>
          </cell>
          <cell r="O370">
            <v>0</v>
          </cell>
          <cell r="P370">
            <v>1666.6666666666665</v>
          </cell>
          <cell r="Q370">
            <v>6666.6666666666661</v>
          </cell>
          <cell r="R370">
            <v>6666.6666666666661</v>
          </cell>
          <cell r="S370">
            <v>7</v>
          </cell>
          <cell r="T370" t="str">
            <v>A</v>
          </cell>
          <cell r="U370">
            <v>0.05</v>
          </cell>
          <cell r="V370" t="str">
            <v>Active Square مؤسسة المربع الفعال التجارية</v>
          </cell>
          <cell r="W370">
            <v>333.33333333333331</v>
          </cell>
          <cell r="X370">
            <v>250</v>
          </cell>
          <cell r="Z370" t="str">
            <v>PM-00412</v>
          </cell>
          <cell r="AA370" t="str">
            <v>استيكر صوص رايتا - بلاستيك 4سم (تاندو)Raita sauce sticker - plastic 4cm (tando)</v>
          </cell>
          <cell r="AB370" t="str">
            <v>PM-00412</v>
          </cell>
          <cell r="AC370" t="str">
            <v>استيكر صوص رايتا - بلاستيك 4سم (تاندو)Raita sauce sticker - plastic 4cm (tando)</v>
          </cell>
          <cell r="AD370">
            <v>0.05</v>
          </cell>
          <cell r="AE370" t="str">
            <v>Active Square مؤسسة المربع الفعال التجارية</v>
          </cell>
        </row>
        <row r="371">
          <cell r="B371" t="str">
            <v>PM-00421</v>
          </cell>
          <cell r="C371" t="str">
            <v>استيكر ساندويش التكا-بلاستيك 4سم(تاندو)Tikka sandwich sticker - plastic 4cm (tando)</v>
          </cell>
          <cell r="D371" t="str">
            <v>استيكر ساندويش التكا-بلاستيك 4سم(تاندو)Tikka sandwich sticker - plastic 4cm (tando)</v>
          </cell>
          <cell r="E371" t="str">
            <v/>
          </cell>
          <cell r="F371" t="str">
            <v/>
          </cell>
          <cell r="G371" t="str">
            <v/>
          </cell>
          <cell r="H371" t="str">
            <v>✓</v>
          </cell>
          <cell r="I371" t="str">
            <v/>
          </cell>
          <cell r="J371" t="str">
            <v/>
          </cell>
          <cell r="K371">
            <v>1</v>
          </cell>
          <cell r="L371">
            <v>5000</v>
          </cell>
          <cell r="N371">
            <v>3000</v>
          </cell>
          <cell r="O371">
            <v>18</v>
          </cell>
          <cell r="P371">
            <v>1666.6666666666665</v>
          </cell>
          <cell r="Q371">
            <v>6666.6666666666661</v>
          </cell>
          <cell r="R371">
            <v>3666.6666666666661</v>
          </cell>
          <cell r="S371">
            <v>7</v>
          </cell>
          <cell r="T371" t="str">
            <v>A</v>
          </cell>
          <cell r="U371">
            <v>0.05</v>
          </cell>
          <cell r="V371" t="str">
            <v>Active Square مؤسسة المربع الفعال التجارية</v>
          </cell>
          <cell r="W371">
            <v>183.33333333333331</v>
          </cell>
          <cell r="X371">
            <v>250</v>
          </cell>
          <cell r="Z371" t="str">
            <v>PM-00421</v>
          </cell>
          <cell r="AA371" t="str">
            <v>استيكر ساندويش التكا-بلاستيك 4سم(تاندو)Tikka sandwich sticker - plastic 4cm (tando)</v>
          </cell>
          <cell r="AB371" t="str">
            <v>PM-00421</v>
          </cell>
          <cell r="AC371" t="str">
            <v>استيكر ساندويش التكا-بلاستيك 4سم(تاندو)Tikka sandwich sticker - plastic 4cm (tando)</v>
          </cell>
          <cell r="AD371">
            <v>0.05</v>
          </cell>
          <cell r="AE371" t="str">
            <v>Active Square مؤسسة المربع الفعال التجارية</v>
          </cell>
        </row>
        <row r="372">
          <cell r="B372" t="str">
            <v>PM-00422</v>
          </cell>
          <cell r="C372" t="str">
            <v>استيكر ساندويش السقنتشر-بلاستيك 4سم (تاندو)Signature sandwich sticker - plastic 4cm (Tando)</v>
          </cell>
          <cell r="D372" t="str">
            <v>استيكر ساندويش السقنتشر-بلاستيك 4سم (تاندو)Signature sandwich sticker - plastic 4cm (Tando)</v>
          </cell>
          <cell r="E372" t="str">
            <v/>
          </cell>
          <cell r="F372" t="str">
            <v/>
          </cell>
          <cell r="G372" t="str">
            <v/>
          </cell>
          <cell r="H372" t="str">
            <v>✓</v>
          </cell>
          <cell r="I372" t="str">
            <v/>
          </cell>
          <cell r="J372" t="str">
            <v/>
          </cell>
          <cell r="K372">
            <v>1</v>
          </cell>
          <cell r="L372">
            <v>5000</v>
          </cell>
          <cell r="N372">
            <v>0</v>
          </cell>
          <cell r="O372">
            <v>0</v>
          </cell>
          <cell r="P372">
            <v>1666.6666666666665</v>
          </cell>
          <cell r="Q372">
            <v>6666.6666666666661</v>
          </cell>
          <cell r="R372">
            <v>6666.6666666666661</v>
          </cell>
          <cell r="S372">
            <v>7</v>
          </cell>
          <cell r="T372" t="str">
            <v>A</v>
          </cell>
          <cell r="U372">
            <v>0.05</v>
          </cell>
          <cell r="V372" t="str">
            <v>Active Square مؤسسة المربع الفعال التجارية</v>
          </cell>
          <cell r="W372">
            <v>333.33333333333331</v>
          </cell>
          <cell r="X372">
            <v>250</v>
          </cell>
          <cell r="Z372" t="str">
            <v>PM-00422</v>
          </cell>
          <cell r="AA372" t="str">
            <v>استيكر ساندويش السقنتشر-بلاستيك 4سم (تاندو)Signature sandwich sticker - plastic 4cm (Tando)</v>
          </cell>
          <cell r="AB372" t="str">
            <v>PM-00422</v>
          </cell>
          <cell r="AC372" t="str">
            <v>استيكر ساندويش السقنتشر-بلاستيك 4سم (تاندو)Signature sandwich sticker - plastic 4cm (Tando)</v>
          </cell>
          <cell r="AD372">
            <v>0.05</v>
          </cell>
          <cell r="AE372" t="str">
            <v>Active Square مؤسسة المربع الفعال التجارية</v>
          </cell>
        </row>
        <row r="373">
          <cell r="B373" t="str">
            <v>RM-00529</v>
          </cell>
          <cell r="C373" t="str">
            <v>Nestle Caramel Milk - حليب نستله كراميل</v>
          </cell>
          <cell r="D373" t="str">
            <v>Nestle Caramel Milk - حليب نستله كراميل</v>
          </cell>
          <cell r="E373" t="str">
            <v/>
          </cell>
          <cell r="F373" t="str">
            <v/>
          </cell>
          <cell r="G373" t="str">
            <v/>
          </cell>
          <cell r="H373" t="str">
            <v/>
          </cell>
          <cell r="I373" t="str">
            <v/>
          </cell>
          <cell r="J373" t="str">
            <v>✓</v>
          </cell>
          <cell r="K373">
            <v>1</v>
          </cell>
          <cell r="L373">
            <v>3000</v>
          </cell>
          <cell r="N373">
            <v>476.4</v>
          </cell>
          <cell r="O373">
            <v>4.7640000000000002</v>
          </cell>
          <cell r="P373">
            <v>1000</v>
          </cell>
          <cell r="Q373">
            <v>4000</v>
          </cell>
          <cell r="R373">
            <v>3523.6</v>
          </cell>
          <cell r="S373">
            <v>7</v>
          </cell>
          <cell r="T373" t="str">
            <v>S</v>
          </cell>
          <cell r="U373">
            <v>23.50966</v>
          </cell>
          <cell r="V373" t="str">
            <v>Food Aroma شركة نكهة الغذاء التجارية المحدودة</v>
          </cell>
          <cell r="W373">
            <v>82838.637975999998</v>
          </cell>
          <cell r="X373">
            <v>70528.98</v>
          </cell>
          <cell r="Z373" t="str">
            <v>RM-00529</v>
          </cell>
          <cell r="AA373" t="str">
            <v>Nestle Caramel Milk - حليب نستله كراميل</v>
          </cell>
          <cell r="AB373" t="str">
            <v>RM-00529</v>
          </cell>
          <cell r="AC373" t="str">
            <v>Nestle Caramel Milk - حليب نستله كراميل</v>
          </cell>
          <cell r="AD373">
            <v>23.50966</v>
          </cell>
          <cell r="AE373" t="str">
            <v>Food Aroma شركة نكهة الغذاء التجارية المحدودة</v>
          </cell>
        </row>
        <row r="374">
          <cell r="B374" t="str">
            <v>RM-00009</v>
          </cell>
          <cell r="C374" t="str">
            <v>Cheese Cream | جبن كريمي</v>
          </cell>
          <cell r="D374" t="str">
            <v>Cheese Cream | جبن كريمي</v>
          </cell>
          <cell r="E374" t="str">
            <v/>
          </cell>
          <cell r="F374" t="str">
            <v/>
          </cell>
          <cell r="G374" t="str">
            <v/>
          </cell>
          <cell r="H374" t="str">
            <v/>
          </cell>
          <cell r="I374" t="str">
            <v/>
          </cell>
          <cell r="J374" t="str">
            <v>✓</v>
          </cell>
          <cell r="K374">
            <v>1</v>
          </cell>
          <cell r="L374">
            <v>6200</v>
          </cell>
          <cell r="N374">
            <v>10315</v>
          </cell>
          <cell r="O374">
            <v>49.911290322580648</v>
          </cell>
          <cell r="P374">
            <v>3513.333333333333</v>
          </cell>
          <cell r="Q374">
            <v>9713.3333333333321</v>
          </cell>
          <cell r="R374">
            <v>0</v>
          </cell>
          <cell r="S374">
            <v>14</v>
          </cell>
          <cell r="T374" t="str">
            <v>S</v>
          </cell>
          <cell r="U374">
            <v>26</v>
          </cell>
          <cell r="V374" t="str">
            <v>Food Book Company LLC شركة كتاب المأكولات لتقديم الوجبات</v>
          </cell>
          <cell r="W374">
            <v>0</v>
          </cell>
          <cell r="X374">
            <v>161200</v>
          </cell>
          <cell r="Z374" t="str">
            <v>RM-00009</v>
          </cell>
          <cell r="AA374" t="str">
            <v>Cheese Cream | جبن كريمي</v>
          </cell>
          <cell r="AB374" t="str">
            <v>RM-00009</v>
          </cell>
          <cell r="AC374" t="str">
            <v>Cheese Cream | جبن كريمي</v>
          </cell>
          <cell r="AD374">
            <v>26</v>
          </cell>
          <cell r="AE374" t="str">
            <v>Food Book Company LLC شركة كتاب المأكولات لتقديم الوجبات</v>
          </cell>
        </row>
        <row r="375">
          <cell r="B375" t="str">
            <v>RM-00054</v>
          </cell>
          <cell r="C375" t="str">
            <v>Betty Crocker dark chocolate بيتي كويكر شوكلاته</v>
          </cell>
          <cell r="D375" t="str">
            <v>Betty Crocker dark chocolate بيتي كويكر شوكلاته</v>
          </cell>
          <cell r="E375" t="str">
            <v/>
          </cell>
          <cell r="F375" t="str">
            <v/>
          </cell>
          <cell r="G375" t="str">
            <v/>
          </cell>
          <cell r="H375" t="str">
            <v/>
          </cell>
          <cell r="I375" t="str">
            <v/>
          </cell>
          <cell r="J375" t="str">
            <v>✓</v>
          </cell>
          <cell r="K375">
            <v>1</v>
          </cell>
          <cell r="L375">
            <v>3000</v>
          </cell>
          <cell r="N375">
            <v>913.32</v>
          </cell>
          <cell r="O375">
            <v>9.1332000000000022</v>
          </cell>
          <cell r="P375">
            <v>1000</v>
          </cell>
          <cell r="Q375">
            <v>4000</v>
          </cell>
          <cell r="R375">
            <v>3086.68</v>
          </cell>
          <cell r="S375">
            <v>7</v>
          </cell>
          <cell r="T375" t="str">
            <v>S</v>
          </cell>
          <cell r="U375">
            <v>20.08915</v>
          </cell>
          <cell r="V375" t="str">
            <v>الشركة السعودية المتخصصة لخدمات الاطعمة المحدودة - SFS</v>
          </cell>
          <cell r="W375">
            <v>62008.777521999997</v>
          </cell>
          <cell r="X375">
            <v>60267.45</v>
          </cell>
          <cell r="Z375" t="str">
            <v>RM-00054</v>
          </cell>
          <cell r="AA375" t="str">
            <v>Betty Crocker dark chocolate بيتي كويكر شوكلاته</v>
          </cell>
          <cell r="AB375" t="str">
            <v>RM-00054</v>
          </cell>
          <cell r="AC375" t="str">
            <v>Betty Crocker dark chocolate بيتي كويكر شوكلاته</v>
          </cell>
          <cell r="AD375">
            <v>20.08915</v>
          </cell>
          <cell r="AE375" t="str">
            <v>الشركة السعودية المتخصصة لخدمات الاطعمة المحدودة - SFS</v>
          </cell>
        </row>
        <row r="376">
          <cell r="B376" t="str">
            <v>RM-00449</v>
          </cell>
          <cell r="C376" t="str">
            <v>Sunflower Oil Sabrina | زيت دوار الشمس</v>
          </cell>
          <cell r="D376" t="str">
            <v>Sunflower Oil Sabrina | زيت دوار الشمس</v>
          </cell>
          <cell r="E376" t="str">
            <v/>
          </cell>
          <cell r="F376" t="str">
            <v/>
          </cell>
          <cell r="G376" t="str">
            <v/>
          </cell>
          <cell r="H376" t="str">
            <v/>
          </cell>
          <cell r="I376" t="str">
            <v/>
          </cell>
          <cell r="J376" t="str">
            <v>✓</v>
          </cell>
          <cell r="K376">
            <v>1</v>
          </cell>
          <cell r="L376">
            <v>2900</v>
          </cell>
          <cell r="N376">
            <v>0</v>
          </cell>
          <cell r="O376">
            <v>0</v>
          </cell>
          <cell r="P376">
            <v>966.66666666666663</v>
          </cell>
          <cell r="Q376">
            <v>3866.6666666666665</v>
          </cell>
          <cell r="R376">
            <v>3866.6666666666665</v>
          </cell>
          <cell r="S376">
            <v>7</v>
          </cell>
          <cell r="T376" t="str">
            <v>A</v>
          </cell>
          <cell r="U376">
            <v>9.2777799999999999</v>
          </cell>
          <cell r="V376" t="str">
            <v>Gulf central Company - شركة الخليج الوسطى</v>
          </cell>
          <cell r="W376">
            <v>35874.082666666662</v>
          </cell>
          <cell r="X376">
            <v>26905.561999999998</v>
          </cell>
          <cell r="Z376" t="str">
            <v>RM-00449</v>
          </cell>
          <cell r="AA376" t="str">
            <v xml:space="preserve">Sunflower Oil Sabrina | زيت دوار الشمس </v>
          </cell>
          <cell r="AB376" t="str">
            <v>RM-00449</v>
          </cell>
          <cell r="AC376" t="str">
            <v>Sunflower Oil Sabrina | زيت دوار الشمس</v>
          </cell>
          <cell r="AD376">
            <v>9.2777799999999999</v>
          </cell>
          <cell r="AE376" t="str">
            <v>Gulf central Company - شركة الخليج الوسطى</v>
          </cell>
        </row>
        <row r="377">
          <cell r="B377" t="str">
            <v>RM-00021</v>
          </cell>
          <cell r="C377" t="str">
            <v>MASCARPONE cheese جبنة ماسكربوني</v>
          </cell>
          <cell r="D377" t="str">
            <v>MASCARPONE cheese جبنة ماسكربوني</v>
          </cell>
          <cell r="E377" t="str">
            <v/>
          </cell>
          <cell r="F377" t="str">
            <v/>
          </cell>
          <cell r="G377" t="str">
            <v/>
          </cell>
          <cell r="H377" t="str">
            <v/>
          </cell>
          <cell r="I377" t="str">
            <v/>
          </cell>
          <cell r="J377" t="str">
            <v>✓</v>
          </cell>
          <cell r="K377">
            <v>1</v>
          </cell>
          <cell r="L377">
            <v>3500</v>
          </cell>
          <cell r="N377">
            <v>14696</v>
          </cell>
          <cell r="O377">
            <v>125.9657142857143</v>
          </cell>
          <cell r="P377">
            <v>1983.3333333333333</v>
          </cell>
          <cell r="Q377">
            <v>5483.333333333333</v>
          </cell>
          <cell r="R377">
            <v>0</v>
          </cell>
          <cell r="S377">
            <v>14</v>
          </cell>
          <cell r="T377" t="str">
            <v>S</v>
          </cell>
          <cell r="U377">
            <v>38.546259999999997</v>
          </cell>
          <cell r="V377" t="str">
            <v>Food Book Company LLC شركة كتاب المأكولات لتقديم الوجبات</v>
          </cell>
          <cell r="W377">
            <v>0</v>
          </cell>
          <cell r="X377">
            <v>134911.90999999997</v>
          </cell>
          <cell r="Z377" t="str">
            <v>RM-00021</v>
          </cell>
          <cell r="AA377" t="str">
            <v>MASCARPONE cheese جبنة ماسكربوني</v>
          </cell>
          <cell r="AB377" t="str">
            <v>RM-00021</v>
          </cell>
          <cell r="AC377" t="str">
            <v>MASCARPONE cheese جبنة ماسكربوني</v>
          </cell>
          <cell r="AD377">
            <v>43.98</v>
          </cell>
          <cell r="AE377" t="str">
            <v>Sitaf - سيتاف</v>
          </cell>
        </row>
        <row r="378">
          <cell r="B378" t="str">
            <v>RM-00138</v>
          </cell>
          <cell r="C378" t="str">
            <v>Deemah digestive biscuits بسكوت ديجاستيف ديمة</v>
          </cell>
          <cell r="D378" t="str">
            <v>Deemah digestive biscuits بسكوت ديجاستيف ديمة</v>
          </cell>
          <cell r="E378" t="str">
            <v/>
          </cell>
          <cell r="F378" t="str">
            <v/>
          </cell>
          <cell r="G378" t="str">
            <v/>
          </cell>
          <cell r="H378" t="str">
            <v/>
          </cell>
          <cell r="I378" t="str">
            <v/>
          </cell>
          <cell r="J378" t="str">
            <v>✓</v>
          </cell>
          <cell r="K378">
            <v>1</v>
          </cell>
          <cell r="L378">
            <v>3900</v>
          </cell>
          <cell r="N378">
            <v>0</v>
          </cell>
          <cell r="O378">
            <v>0</v>
          </cell>
          <cell r="P378">
            <v>2210</v>
          </cell>
          <cell r="Q378">
            <v>6110</v>
          </cell>
          <cell r="R378">
            <v>6110</v>
          </cell>
          <cell r="S378">
            <v>14</v>
          </cell>
          <cell r="T378" t="str">
            <v>S</v>
          </cell>
          <cell r="U378">
            <v>11.151960000000001</v>
          </cell>
          <cell r="V378" t="str">
            <v>شركة الوصيل التجاريه - AL WASEEL</v>
          </cell>
          <cell r="W378">
            <v>68138.475600000005</v>
          </cell>
          <cell r="X378">
            <v>43492.644</v>
          </cell>
          <cell r="Z378" t="str">
            <v>RM-00138</v>
          </cell>
          <cell r="AA378" t="str">
            <v>Deemah digestive biscuits بسكوت ديجاستيف ديمة</v>
          </cell>
          <cell r="AB378" t="str">
            <v>RM-00138</v>
          </cell>
          <cell r="AC378" t="str">
            <v>Deemah digestive biscuits بسكوت ديجاستيف ديمة</v>
          </cell>
          <cell r="AD378">
            <v>11.151960000000001</v>
          </cell>
          <cell r="AE378" t="str">
            <v>شركة صناعات الاغذية المتحدة المحدودة</v>
          </cell>
        </row>
        <row r="379">
          <cell r="B379" t="str">
            <v>RM-00086</v>
          </cell>
          <cell r="C379" t="str">
            <v>Cocoa powder medium L68 Macao | كاكاو بودرة متوسط</v>
          </cell>
          <cell r="D379" t="str">
            <v>Cocoa powder medium L68 Macao | كاكاو بودرة متوسط</v>
          </cell>
          <cell r="E379" t="str">
            <v/>
          </cell>
          <cell r="F379" t="str">
            <v/>
          </cell>
          <cell r="G379" t="str">
            <v/>
          </cell>
          <cell r="H379" t="str">
            <v/>
          </cell>
          <cell r="I379" t="str">
            <v/>
          </cell>
          <cell r="J379" t="str">
            <v>✓</v>
          </cell>
          <cell r="K379">
            <v>1</v>
          </cell>
          <cell r="L379">
            <v>1650</v>
          </cell>
          <cell r="N379">
            <v>1250</v>
          </cell>
          <cell r="O379">
            <v>22.727272727272727</v>
          </cell>
          <cell r="P379">
            <v>550</v>
          </cell>
          <cell r="Q379">
            <v>2200</v>
          </cell>
          <cell r="R379">
            <v>950</v>
          </cell>
          <cell r="S379">
            <v>7</v>
          </cell>
          <cell r="T379" t="str">
            <v>S</v>
          </cell>
          <cell r="U379">
            <v>29</v>
          </cell>
          <cell r="V379" t="str">
            <v>GRAAF FOOD CO. | شركة غراف الغذائية</v>
          </cell>
          <cell r="W379">
            <v>27550</v>
          </cell>
          <cell r="X379">
            <v>47850</v>
          </cell>
          <cell r="Z379" t="str">
            <v>RM-00086</v>
          </cell>
          <cell r="AA379" t="str">
            <v>Cocoa powder medium L68 Macao | كاكاو بودرة متوسط</v>
          </cell>
          <cell r="AB379" t="str">
            <v>RM-00086</v>
          </cell>
          <cell r="AC379" t="str">
            <v>Cocoa powder medium L68 Macao | كاكاو بودرة متوسط</v>
          </cell>
          <cell r="AD379">
            <v>29</v>
          </cell>
          <cell r="AE379" t="str">
            <v>GRAAF FOOD CO. | شركة غراف الغذائية</v>
          </cell>
        </row>
        <row r="380">
          <cell r="B380" t="str">
            <v>RM-00440</v>
          </cell>
          <cell r="C380" t="str">
            <v>Anti-stick oil yellow زيت مانع الألتصاق اصفر كارلوكس</v>
          </cell>
          <cell r="D380" t="str">
            <v>Anti-stick oil yellow زيت مانع الألتصاق اصفر كارلوكس</v>
          </cell>
          <cell r="E380" t="str">
            <v/>
          </cell>
          <cell r="F380" t="str">
            <v/>
          </cell>
          <cell r="G380" t="str">
            <v/>
          </cell>
          <cell r="H380" t="str">
            <v/>
          </cell>
          <cell r="I380" t="str">
            <v/>
          </cell>
          <cell r="J380" t="str">
            <v>✓</v>
          </cell>
          <cell r="K380">
            <v>1</v>
          </cell>
          <cell r="L380">
            <v>1300</v>
          </cell>
          <cell r="N380">
            <v>0</v>
          </cell>
          <cell r="O380">
            <v>0</v>
          </cell>
          <cell r="P380">
            <v>433.33333333333331</v>
          </cell>
          <cell r="Q380">
            <v>1733.3333333333333</v>
          </cell>
          <cell r="R380">
            <v>1733.3333333333333</v>
          </cell>
          <cell r="S380">
            <v>7</v>
          </cell>
          <cell r="T380" t="str">
            <v>S</v>
          </cell>
          <cell r="U380">
            <v>17.66666</v>
          </cell>
          <cell r="V380" t="str">
            <v>Ahmad A. Abed Trading Co. Ltd شركة احمد عبدالوهاب عابد للتجارة المحدودة</v>
          </cell>
          <cell r="W380">
            <v>30622.210666666666</v>
          </cell>
          <cell r="X380">
            <v>22966.657999999999</v>
          </cell>
          <cell r="Z380" t="str">
            <v>RM-00440</v>
          </cell>
          <cell r="AA380" t="str">
            <v>Anti-stick oil yellow زيت مانع الألتصاق اصفر كارلوكس</v>
          </cell>
          <cell r="AB380" t="str">
            <v>RM-00440</v>
          </cell>
          <cell r="AC380" t="str">
            <v>Anti-stick oil yellow زيت مانع الألتصاق اصفر كارلوكس</v>
          </cell>
          <cell r="AD380">
            <v>17.66666</v>
          </cell>
          <cell r="AE380" t="str">
            <v>Ahmad A. Abed Trading Co. Ltd شركة احمد عبدالوهاب عابد للتجارة المحدودة</v>
          </cell>
        </row>
        <row r="381">
          <cell r="B381" t="str">
            <v>RM-00083</v>
          </cell>
          <cell r="C381" t="str">
            <v>C501/J Drops Belcolade Dark Chocolate شوكلاته اقراص C501/J ( هوت تشوكلت )</v>
          </cell>
          <cell r="D381" t="str">
            <v>C501/UA Chunks Belcolade Dark Chocolate شوكلاته غامقة مربعات C501/UA ( هوت تشوكلت )</v>
          </cell>
          <cell r="E381" t="str">
            <v/>
          </cell>
          <cell r="F381" t="str">
            <v/>
          </cell>
          <cell r="G381" t="str">
            <v/>
          </cell>
          <cell r="H381" t="str">
            <v/>
          </cell>
          <cell r="I381" t="str">
            <v/>
          </cell>
          <cell r="J381" t="str">
            <v/>
          </cell>
          <cell r="K381">
            <v>0</v>
          </cell>
          <cell r="L381">
            <v>6375</v>
          </cell>
          <cell r="N381">
            <v>345</v>
          </cell>
          <cell r="O381">
            <v>1.6235294117647059</v>
          </cell>
          <cell r="P381">
            <v>2125</v>
          </cell>
          <cell r="Q381">
            <v>8500</v>
          </cell>
          <cell r="R381">
            <v>8155</v>
          </cell>
          <cell r="S381">
            <v>7</v>
          </cell>
          <cell r="T381" t="str">
            <v>S</v>
          </cell>
          <cell r="U381">
            <v>55</v>
          </cell>
          <cell r="V381" t="str">
            <v>BanoPuratos Arabia Co. "Sweet Mix Co. شركة خليط الحلى المتحدة"</v>
          </cell>
          <cell r="W381">
            <v>448525</v>
          </cell>
          <cell r="X381">
            <v>350625</v>
          </cell>
          <cell r="Z381" t="str">
            <v>RM-00051</v>
          </cell>
          <cell r="AA381" t="str">
            <v>C501/UA Chunks Belcolade Dark Chocolate شوكلاته غامقة مربعات C501/UA ( هوت تشوكلت )</v>
          </cell>
          <cell r="AB381" t="str">
            <v>RM-00083</v>
          </cell>
          <cell r="AC381" t="str">
            <v>C501/J Drops Belcolade Dark Chocolate شوكلاته اقراص C501/J ( هوت تشوكلت )</v>
          </cell>
          <cell r="AD381">
            <v>55</v>
          </cell>
          <cell r="AE381" t="str">
            <v>BanoPuratos Arabia Co. "Sweet Mix Co. شركة خليط الحلى المتحدة"</v>
          </cell>
        </row>
        <row r="382">
          <cell r="B382" t="str">
            <v>RM-00325</v>
          </cell>
          <cell r="C382" t="str">
            <v>Bisquisit Vanilla Sponge Mix BRAUN خليط كيك فانيليا</v>
          </cell>
          <cell r="D382" t="str">
            <v>Biscuit Vanilla Sponge Mix خليط كيك فانيليا</v>
          </cell>
          <cell r="E382" t="str">
            <v/>
          </cell>
          <cell r="F382" t="str">
            <v/>
          </cell>
          <cell r="G382" t="str">
            <v/>
          </cell>
          <cell r="H382" t="str">
            <v/>
          </cell>
          <cell r="I382" t="str">
            <v/>
          </cell>
          <cell r="J382" t="str">
            <v>✓</v>
          </cell>
          <cell r="K382">
            <v>1</v>
          </cell>
          <cell r="L382">
            <v>1100</v>
          </cell>
          <cell r="N382">
            <v>2835</v>
          </cell>
          <cell r="O382">
            <v>77.318181818181813</v>
          </cell>
          <cell r="P382">
            <v>366.66666666666663</v>
          </cell>
          <cell r="Q382">
            <v>1466.6666666666665</v>
          </cell>
          <cell r="R382">
            <v>0</v>
          </cell>
          <cell r="S382">
            <v>7</v>
          </cell>
          <cell r="T382" t="str">
            <v>S</v>
          </cell>
          <cell r="U382">
            <v>12.466670000000001</v>
          </cell>
          <cell r="V382" t="str">
            <v>BanoPuratos Arabia Co. "Sweet Mix Co. شركة خليط الحلى المتحدة"</v>
          </cell>
          <cell r="W382">
            <v>0</v>
          </cell>
          <cell r="X382">
            <v>13713.337000000001</v>
          </cell>
          <cell r="Z382" t="str">
            <v>RM-00325</v>
          </cell>
          <cell r="AA382" t="str">
            <v>Biscuit Vanilla Sponge Mix خليط كيك فانيليا</v>
          </cell>
          <cell r="AB382" t="str">
            <v>RM-00325</v>
          </cell>
          <cell r="AC382" t="str">
            <v>Bisquisit Vanilla Sponge Mix BRAUN خليط كيك فانيليا</v>
          </cell>
          <cell r="AD382">
            <v>12.466670000000001</v>
          </cell>
          <cell r="AE382" t="str">
            <v>BanoPuratos Arabia Co. "Sweet Mix Co. شركة خليط الحلى المتحدة"</v>
          </cell>
        </row>
        <row r="383">
          <cell r="B383" t="str">
            <v>RM-00048</v>
          </cell>
          <cell r="C383" t="str">
            <v>CT 0314/G Drops 15KG Bag شوكلاته اقراص CT 0314/G ( هوت تشوكلت )</v>
          </cell>
          <cell r="D383" t="str">
            <v>CT 0314/G Drops 15KG Bag شوكلاته اقراص CT 0314/G ( هوت تشوكلت )</v>
          </cell>
          <cell r="E383" t="str">
            <v/>
          </cell>
          <cell r="F383" t="str">
            <v/>
          </cell>
          <cell r="G383" t="str">
            <v/>
          </cell>
          <cell r="H383" t="str">
            <v/>
          </cell>
          <cell r="I383" t="str">
            <v/>
          </cell>
          <cell r="J383" t="str">
            <v>✓</v>
          </cell>
          <cell r="K383">
            <v>1</v>
          </cell>
          <cell r="L383">
            <v>6200</v>
          </cell>
          <cell r="N383">
            <v>522</v>
          </cell>
          <cell r="O383">
            <v>2.5258064516129033</v>
          </cell>
          <cell r="P383">
            <v>3513.333333333333</v>
          </cell>
          <cell r="Q383">
            <v>9713.3333333333321</v>
          </cell>
          <cell r="R383">
            <v>9191.3333333333321</v>
          </cell>
          <cell r="S383">
            <v>14</v>
          </cell>
          <cell r="T383" t="str">
            <v>S</v>
          </cell>
          <cell r="U383">
            <v>53.9</v>
          </cell>
          <cell r="V383" t="str">
            <v>BanoPuratos Arabia Co. "Sweet Mix Co. شركة خليط الحلى المتحدة"</v>
          </cell>
          <cell r="W383">
            <v>495412.86666666658</v>
          </cell>
          <cell r="X383">
            <v>334180</v>
          </cell>
          <cell r="Z383" t="str">
            <v>RM-00048</v>
          </cell>
          <cell r="AA383" t="str">
            <v>CT 0314/G Drops 15KG Bag شوكلاته اقراص CT 0314/G ( هوت تشوكلت )</v>
          </cell>
          <cell r="AB383" t="str">
            <v>RM-00048</v>
          </cell>
          <cell r="AC383" t="str">
            <v>CT 0314/G Drops 15KG Bag شوكلاته اقراص CT 0314/G ( هوت تشوكلت )</v>
          </cell>
          <cell r="AD383">
            <v>53.9</v>
          </cell>
          <cell r="AE383" t="str">
            <v>BanoPuratos Arabia Co. "Sweet Mix Co. شركة خليط الحلى المتحدة"</v>
          </cell>
        </row>
        <row r="384">
          <cell r="B384" t="str">
            <v>RM-00243</v>
          </cell>
          <cell r="C384" t="str">
            <v>Biscuit Filling With Crunchy Pieces Ripieno  | حشوة البسكويت مع كسر</v>
          </cell>
          <cell r="D384" t="str">
            <v>Biscuit Filling With Crunchy Pieces Ripieno  | حشوة البسكويت مع كسر</v>
          </cell>
          <cell r="E384" t="str">
            <v/>
          </cell>
          <cell r="F384" t="str">
            <v/>
          </cell>
          <cell r="G384" t="str">
            <v/>
          </cell>
          <cell r="H384" t="str">
            <v/>
          </cell>
          <cell r="I384" t="str">
            <v/>
          </cell>
          <cell r="J384" t="str">
            <v>✓</v>
          </cell>
          <cell r="K384">
            <v>1</v>
          </cell>
          <cell r="L384">
            <v>1500</v>
          </cell>
          <cell r="N384">
            <v>0</v>
          </cell>
          <cell r="O384">
            <v>0</v>
          </cell>
          <cell r="P384">
            <v>850</v>
          </cell>
          <cell r="Q384">
            <v>2350</v>
          </cell>
          <cell r="R384">
            <v>2350</v>
          </cell>
          <cell r="S384">
            <v>14</v>
          </cell>
          <cell r="T384" t="str">
            <v>S</v>
          </cell>
          <cell r="U384">
            <v>86</v>
          </cell>
          <cell r="V384" t="str">
            <v>BanoPuratos Arabia Co. "Sweet Mix Co. شركة خليط الحلى المتحدة"</v>
          </cell>
          <cell r="W384">
            <v>202100</v>
          </cell>
          <cell r="X384">
            <v>129000</v>
          </cell>
          <cell r="Z384" t="str">
            <v>RM-00243</v>
          </cell>
          <cell r="AA384" t="str">
            <v>Biscuit Filling With Crunchy Pieces Ripieno  | حشوة البسكويت مع كسر</v>
          </cell>
          <cell r="AB384" t="str">
            <v>RM-00243</v>
          </cell>
          <cell r="AC384" t="str">
            <v>Biscuit Filling With Crunchy Pieces Ripieno  | حشوة البسكويت مع كسر</v>
          </cell>
          <cell r="AD384">
            <v>86</v>
          </cell>
          <cell r="AE384" t="str">
            <v>BanoPuratos Arabia Co. "Sweet Mix Co. شركة خليط الحلى المتحدة"</v>
          </cell>
        </row>
        <row r="385">
          <cell r="B385" t="str">
            <v>RM-00497</v>
          </cell>
          <cell r="C385" t="str">
            <v>Brown Suger  SIS سكر بني سيس</v>
          </cell>
          <cell r="D385" t="str">
            <v>Brown Suger  SIS سكر بني سيس</v>
          </cell>
          <cell r="E385" t="str">
            <v/>
          </cell>
          <cell r="F385" t="str">
            <v/>
          </cell>
          <cell r="G385" t="str">
            <v/>
          </cell>
          <cell r="H385" t="str">
            <v/>
          </cell>
          <cell r="I385" t="str">
            <v/>
          </cell>
          <cell r="J385" t="str">
            <v>✓</v>
          </cell>
          <cell r="K385">
            <v>1</v>
          </cell>
          <cell r="L385">
            <v>1800</v>
          </cell>
          <cell r="N385">
            <v>1960</v>
          </cell>
          <cell r="O385">
            <v>32.666666666666664</v>
          </cell>
          <cell r="P385">
            <v>600</v>
          </cell>
          <cell r="Q385">
            <v>2400</v>
          </cell>
          <cell r="R385">
            <v>440</v>
          </cell>
          <cell r="S385">
            <v>7</v>
          </cell>
          <cell r="T385" t="str">
            <v>A</v>
          </cell>
          <cell r="U385">
            <v>10</v>
          </cell>
          <cell r="V385" t="str">
            <v>Ashraf Saleh Aldazaz Factory مصنع اشرف صالح الدعزازا للتعبئة والتغليف</v>
          </cell>
          <cell r="W385">
            <v>4400</v>
          </cell>
          <cell r="X385">
            <v>18000</v>
          </cell>
          <cell r="Z385" t="str">
            <v>RM-00497</v>
          </cell>
          <cell r="AA385" t="str">
            <v>Brown Suger  SIS سكر بني سيس</v>
          </cell>
          <cell r="AB385" t="str">
            <v>RM-00497</v>
          </cell>
          <cell r="AC385" t="str">
            <v>Brown Suger  SIS سكر بني سيس</v>
          </cell>
          <cell r="AD385">
            <v>10</v>
          </cell>
          <cell r="AE385" t="str">
            <v>Ashraf Saleh Aldazaz Factory مصنع اشرف صالح الدعزازا للتعبئة والتغليف</v>
          </cell>
        </row>
        <row r="386">
          <cell r="B386" t="str">
            <v>RM-00115</v>
          </cell>
          <cell r="C386" t="str">
            <v>Flour Premium T55 طحين T55</v>
          </cell>
          <cell r="D386" t="str">
            <v>Flour Premium T55 طحين T55</v>
          </cell>
          <cell r="E386" t="str">
            <v/>
          </cell>
          <cell r="F386" t="str">
            <v/>
          </cell>
          <cell r="G386" t="str">
            <v/>
          </cell>
          <cell r="H386" t="str">
            <v/>
          </cell>
          <cell r="I386" t="str">
            <v/>
          </cell>
          <cell r="J386" t="str">
            <v>✓</v>
          </cell>
          <cell r="K386">
            <v>1</v>
          </cell>
          <cell r="L386">
            <v>1000</v>
          </cell>
          <cell r="N386">
            <v>0</v>
          </cell>
          <cell r="O386">
            <v>0</v>
          </cell>
          <cell r="P386">
            <v>333.33333333333331</v>
          </cell>
          <cell r="Q386">
            <v>1333.3333333333333</v>
          </cell>
          <cell r="R386">
            <v>1333.3333333333333</v>
          </cell>
          <cell r="S386">
            <v>7</v>
          </cell>
          <cell r="T386" t="str">
            <v>S</v>
          </cell>
          <cell r="U386">
            <v>6.4</v>
          </cell>
          <cell r="V386" t="str">
            <v>Food Book Company LLC شركة كتاب المأكولات لتقديم الوجبات</v>
          </cell>
          <cell r="W386">
            <v>8533.3333333333339</v>
          </cell>
          <cell r="X386">
            <v>6400</v>
          </cell>
          <cell r="Z386" t="str">
            <v>RM-00115</v>
          </cell>
          <cell r="AA386" t="str">
            <v>Flour Premium T55 طحين T55</v>
          </cell>
          <cell r="AB386" t="str">
            <v>RM-00115</v>
          </cell>
          <cell r="AC386" t="str">
            <v>Flour Premium T55 طحين T55</v>
          </cell>
          <cell r="AD386">
            <v>6.4</v>
          </cell>
          <cell r="AE386" t="str">
            <v>Food Book Company LLC شركة كتاب المأكولات لتقديم الوجبات</v>
          </cell>
        </row>
        <row r="387">
          <cell r="B387" t="str">
            <v>RM-00072</v>
          </cell>
          <cell r="C387" t="str">
            <v>Dark Chocolate Chips 55% | شوكولاتة غامقة</v>
          </cell>
          <cell r="D387" t="str">
            <v>Dark Chocolate Chips 55% | شوكولاتة غامقة</v>
          </cell>
          <cell r="E387" t="str">
            <v/>
          </cell>
          <cell r="F387" t="str">
            <v/>
          </cell>
          <cell r="G387" t="str">
            <v/>
          </cell>
          <cell r="H387" t="str">
            <v/>
          </cell>
          <cell r="I387" t="str">
            <v/>
          </cell>
          <cell r="J387" t="str">
            <v>✓</v>
          </cell>
          <cell r="K387">
            <v>1</v>
          </cell>
          <cell r="L387">
            <v>1950</v>
          </cell>
          <cell r="N387">
            <v>750</v>
          </cell>
          <cell r="O387">
            <v>11.538461538461538</v>
          </cell>
          <cell r="P387">
            <v>650</v>
          </cell>
          <cell r="Q387">
            <v>2600</v>
          </cell>
          <cell r="R387">
            <v>1850</v>
          </cell>
          <cell r="S387">
            <v>7</v>
          </cell>
          <cell r="T387" t="str">
            <v>S</v>
          </cell>
          <cell r="U387">
            <v>52</v>
          </cell>
          <cell r="V387" t="str">
            <v>Food Book Company LLC شركة كتاب المأكولات لتقديم الوجبات</v>
          </cell>
          <cell r="W387">
            <v>96200</v>
          </cell>
          <cell r="X387">
            <v>101400</v>
          </cell>
          <cell r="Z387" t="str">
            <v>RM-00072</v>
          </cell>
          <cell r="AA387" t="str">
            <v>Dark Chocolate Chips 55% | شوكولاتة غامقة</v>
          </cell>
          <cell r="AB387" t="str">
            <v>RM-00072</v>
          </cell>
          <cell r="AC387" t="str">
            <v>Dark Chocolate Chips 55% | شوكولاتة غامقة</v>
          </cell>
          <cell r="AD387">
            <v>52</v>
          </cell>
          <cell r="AE387" t="str">
            <v>Food Book Company LLC شركة كتاب المأكولات لتقديم الوجبات</v>
          </cell>
        </row>
        <row r="388">
          <cell r="B388" t="str">
            <v>RM-00501</v>
          </cell>
          <cell r="C388" t="str">
            <v>Powder Sugarسكر بودرة</v>
          </cell>
          <cell r="D388" t="str">
            <v>Powder Sugarسكر بودرة</v>
          </cell>
          <cell r="E388" t="str">
            <v/>
          </cell>
          <cell r="F388" t="str">
            <v/>
          </cell>
          <cell r="G388" t="str">
            <v/>
          </cell>
          <cell r="H388" t="str">
            <v/>
          </cell>
          <cell r="I388" t="str">
            <v/>
          </cell>
          <cell r="J388" t="str">
            <v>✓</v>
          </cell>
          <cell r="K388">
            <v>1</v>
          </cell>
          <cell r="L388">
            <v>1050</v>
          </cell>
          <cell r="N388">
            <v>2200</v>
          </cell>
          <cell r="O388">
            <v>62.857142857142861</v>
          </cell>
          <cell r="P388">
            <v>350</v>
          </cell>
          <cell r="Q388">
            <v>1400</v>
          </cell>
          <cell r="R388">
            <v>0</v>
          </cell>
          <cell r="S388">
            <v>7</v>
          </cell>
          <cell r="T388" t="str">
            <v>S</v>
          </cell>
          <cell r="U388">
            <v>6.5</v>
          </cell>
          <cell r="V388" t="str">
            <v>Ahmad A. Abed Trading Co. Ltd شركة احمد عبدالوهاب عابد للتجارة المحدودة</v>
          </cell>
          <cell r="W388">
            <v>0</v>
          </cell>
          <cell r="X388">
            <v>6825</v>
          </cell>
          <cell r="Z388" t="str">
            <v>RM-00501</v>
          </cell>
          <cell r="AA388" t="str">
            <v>Powder Sugarسكر بودرة</v>
          </cell>
          <cell r="AB388" t="str">
            <v>RM-00501</v>
          </cell>
          <cell r="AC388" t="str">
            <v>Powder Sugarسكر بودرة</v>
          </cell>
          <cell r="AD388">
            <v>6.5</v>
          </cell>
          <cell r="AE388" t="str">
            <v>Ahmad A. Abed Trading Co. Ltd شركة احمد عبدالوهاب عابد للتجارة المحدودة</v>
          </cell>
        </row>
        <row r="389">
          <cell r="B389" t="str">
            <v>RM-00139</v>
          </cell>
          <cell r="C389" t="str">
            <v>Biscuit Bonomi savoiardi بسكويت بونومي سافوياردي</v>
          </cell>
          <cell r="D389" t="str">
            <v>Biscuit Bonomi savoiardi بسكويت بونومي سافوياردي</v>
          </cell>
          <cell r="E389" t="str">
            <v/>
          </cell>
          <cell r="F389" t="str">
            <v/>
          </cell>
          <cell r="G389" t="str">
            <v/>
          </cell>
          <cell r="H389" t="str">
            <v/>
          </cell>
          <cell r="I389" t="str">
            <v/>
          </cell>
          <cell r="J389" t="str">
            <v>✓</v>
          </cell>
          <cell r="K389">
            <v>1</v>
          </cell>
          <cell r="L389">
            <v>1100</v>
          </cell>
          <cell r="N389">
            <v>3978</v>
          </cell>
          <cell r="O389">
            <v>108.49090909090908</v>
          </cell>
          <cell r="P389">
            <v>366.66666666666663</v>
          </cell>
          <cell r="Q389">
            <v>1466.6666666666665</v>
          </cell>
          <cell r="R389">
            <v>0</v>
          </cell>
          <cell r="S389">
            <v>7</v>
          </cell>
          <cell r="T389" t="str">
            <v>S</v>
          </cell>
          <cell r="U389">
            <v>24.34667</v>
          </cell>
          <cell r="V389" t="str">
            <v>Al Kabli Marketing Co. شركة الكابلي للتسويق</v>
          </cell>
          <cell r="W389">
            <v>0</v>
          </cell>
          <cell r="X389">
            <v>26781.337</v>
          </cell>
          <cell r="Z389" t="str">
            <v>RM-00139</v>
          </cell>
          <cell r="AA389" t="str">
            <v>Biscuit Bonomi savoiardi بسكويت بونومي سافوياردي</v>
          </cell>
          <cell r="AB389" t="str">
            <v>RM-00139</v>
          </cell>
          <cell r="AC389" t="str">
            <v>Biscuit Bonomi savoiardi بسكويت بونومي سافوياردي</v>
          </cell>
          <cell r="AD389">
            <v>24.34667</v>
          </cell>
          <cell r="AE389" t="str">
            <v>Al Kabli Marketing Co. شركة الكابلي للتسويق</v>
          </cell>
        </row>
        <row r="390">
          <cell r="B390" t="str">
            <v>RM-00116</v>
          </cell>
          <cell r="C390" t="str">
            <v>Flour Premium T45 طحين T45</v>
          </cell>
          <cell r="D390" t="str">
            <v>Flour Premium T45 طحين T45</v>
          </cell>
          <cell r="E390" t="str">
            <v/>
          </cell>
          <cell r="F390" t="str">
            <v/>
          </cell>
          <cell r="G390" t="str">
            <v/>
          </cell>
          <cell r="H390" t="str">
            <v/>
          </cell>
          <cell r="I390" t="str">
            <v/>
          </cell>
          <cell r="J390" t="str">
            <v>✓</v>
          </cell>
          <cell r="K390">
            <v>1</v>
          </cell>
          <cell r="L390">
            <v>750</v>
          </cell>
          <cell r="N390">
            <v>500</v>
          </cell>
          <cell r="O390">
            <v>20</v>
          </cell>
          <cell r="P390">
            <v>250</v>
          </cell>
          <cell r="Q390">
            <v>1000</v>
          </cell>
          <cell r="R390">
            <v>500</v>
          </cell>
          <cell r="S390">
            <v>7</v>
          </cell>
          <cell r="T390" t="str">
            <v>S</v>
          </cell>
          <cell r="U390">
            <v>7.4</v>
          </cell>
          <cell r="V390" t="str">
            <v>Food Book Company LLC شركة كتاب المأكولات لتقديم الوجبات</v>
          </cell>
          <cell r="W390">
            <v>3700</v>
          </cell>
          <cell r="X390">
            <v>5550</v>
          </cell>
          <cell r="Z390" t="str">
            <v>RM-00116</v>
          </cell>
          <cell r="AA390" t="str">
            <v>Flour Premium T45 طحين T45</v>
          </cell>
          <cell r="AB390" t="str">
            <v>RM-00116</v>
          </cell>
          <cell r="AC390" t="str">
            <v>Flour Premium T45 طحين T45</v>
          </cell>
          <cell r="AD390">
            <v>7.4</v>
          </cell>
          <cell r="AE390" t="str">
            <v>Food Book Company LLC شركة كتاب المأكولات لتقديم الوجبات</v>
          </cell>
        </row>
        <row r="391">
          <cell r="B391" t="str">
            <v>RM-00242</v>
          </cell>
          <cell r="C391" t="str">
            <v>BELCHOCO | Caramel Liquid - بلشوكو كراميل توفي</v>
          </cell>
          <cell r="D391" t="str">
            <v>BELCHOCO | Caramel Liquid - بلشوكو كراميل توفي</v>
          </cell>
          <cell r="E391" t="str">
            <v/>
          </cell>
          <cell r="F391" t="str">
            <v/>
          </cell>
          <cell r="G391" t="str">
            <v/>
          </cell>
          <cell r="H391" t="str">
            <v/>
          </cell>
          <cell r="I391" t="str">
            <v/>
          </cell>
          <cell r="J391" t="str">
            <v>✓</v>
          </cell>
          <cell r="K391">
            <v>1</v>
          </cell>
          <cell r="L391">
            <v>900</v>
          </cell>
          <cell r="N391">
            <v>0</v>
          </cell>
          <cell r="O391">
            <v>0</v>
          </cell>
          <cell r="P391">
            <v>510</v>
          </cell>
          <cell r="Q391">
            <v>1410</v>
          </cell>
          <cell r="R391">
            <v>1410</v>
          </cell>
          <cell r="S391">
            <v>14</v>
          </cell>
          <cell r="T391" t="str">
            <v>S</v>
          </cell>
          <cell r="U391">
            <v>19.43</v>
          </cell>
          <cell r="V391" t="str">
            <v>شركة اضافات العالمية للتجارة-Edafat</v>
          </cell>
          <cell r="W391">
            <v>27396.3</v>
          </cell>
          <cell r="X391">
            <v>17487</v>
          </cell>
          <cell r="Z391" t="str">
            <v>RM-00242</v>
          </cell>
          <cell r="AA391" t="str">
            <v>BELCHOCO | Caramel Liquid - بلشوكو كراميل توفي</v>
          </cell>
          <cell r="AB391" t="str">
            <v>RM-00242</v>
          </cell>
          <cell r="AC391" t="str">
            <v>BELCHOCO | Caramel Liquid - بلشوكو كراميل توفي</v>
          </cell>
          <cell r="AD391">
            <v>19.43</v>
          </cell>
          <cell r="AE391" t="str">
            <v>شركة اضافات العالمية للتجارة-Edafat</v>
          </cell>
        </row>
        <row r="392">
          <cell r="B392" t="str">
            <v>RM-00109</v>
          </cell>
          <cell r="C392" t="str">
            <v>Sour cream | كريمة حامضة</v>
          </cell>
          <cell r="D392" t="str">
            <v>Sour cream | كريمة حامضة</v>
          </cell>
          <cell r="E392" t="str">
            <v/>
          </cell>
          <cell r="F392" t="str">
            <v/>
          </cell>
          <cell r="G392" t="str">
            <v/>
          </cell>
          <cell r="H392" t="str">
            <v/>
          </cell>
          <cell r="I392" t="str">
            <v/>
          </cell>
          <cell r="J392" t="str">
            <v>✓</v>
          </cell>
          <cell r="K392">
            <v>1</v>
          </cell>
          <cell r="L392">
            <v>100</v>
          </cell>
          <cell r="N392">
            <v>720</v>
          </cell>
          <cell r="O392">
            <v>216</v>
          </cell>
          <cell r="P392">
            <v>33.333333333333329</v>
          </cell>
          <cell r="Q392">
            <v>133.33333333333331</v>
          </cell>
          <cell r="R392">
            <v>0</v>
          </cell>
          <cell r="S392">
            <v>7</v>
          </cell>
          <cell r="T392" t="str">
            <v>A</v>
          </cell>
          <cell r="U392">
            <v>26.05</v>
          </cell>
          <cell r="V392" t="str">
            <v>Al-Marai</v>
          </cell>
          <cell r="W392">
            <v>0</v>
          </cell>
          <cell r="X392">
            <v>2605</v>
          </cell>
          <cell r="Z392" t="str">
            <v>RM-00109</v>
          </cell>
          <cell r="AA392" t="str">
            <v>Sour cream | كريمة حامضة</v>
          </cell>
          <cell r="AB392" t="str">
            <v>RM-00109</v>
          </cell>
          <cell r="AC392" t="str">
            <v>Sour cream | كريمة حامضة</v>
          </cell>
          <cell r="AD392">
            <v>26.05</v>
          </cell>
          <cell r="AE392" t="str">
            <v>Al-Marai</v>
          </cell>
        </row>
        <row r="393">
          <cell r="B393" t="str">
            <v>RM-00065</v>
          </cell>
          <cell r="C393" t="str">
            <v>BELGIAN CHOCOLATE MILK 35% -بلشوكو شوكلاته بالحليب</v>
          </cell>
          <cell r="D393" t="str">
            <v>BELGIAN CHOCOLATE MILK 35% -بلشوكو شوكلاته بالحليب</v>
          </cell>
          <cell r="E393" t="str">
            <v/>
          </cell>
          <cell r="F393" t="str">
            <v/>
          </cell>
          <cell r="G393" t="str">
            <v/>
          </cell>
          <cell r="H393" t="str">
            <v/>
          </cell>
          <cell r="I393" t="str">
            <v/>
          </cell>
          <cell r="J393" t="str">
            <v>✓</v>
          </cell>
          <cell r="K393">
            <v>1</v>
          </cell>
          <cell r="L393">
            <v>300</v>
          </cell>
          <cell r="N393">
            <v>195</v>
          </cell>
          <cell r="O393">
            <v>19.5</v>
          </cell>
          <cell r="P393">
            <v>170</v>
          </cell>
          <cell r="Q393">
            <v>470</v>
          </cell>
          <cell r="R393">
            <v>275</v>
          </cell>
          <cell r="S393">
            <v>14</v>
          </cell>
          <cell r="T393" t="str">
            <v>S</v>
          </cell>
          <cell r="U393">
            <v>40</v>
          </cell>
          <cell r="V393" t="str">
            <v>شركة اضافات العالمية للتجارة-Edafat</v>
          </cell>
          <cell r="W393">
            <v>11000</v>
          </cell>
          <cell r="X393">
            <v>12000</v>
          </cell>
          <cell r="Z393" t="str">
            <v>RM-00065</v>
          </cell>
          <cell r="AA393" t="str">
            <v>BELGIAN CHOCOLATE MILK 35% -بلشوكو شوكلاته بالحليب</v>
          </cell>
          <cell r="AB393" t="str">
            <v>RM-00065</v>
          </cell>
          <cell r="AC393" t="str">
            <v>BELGIAN CHOCOLATE MILK 35% -بلشوكو شوكلاته بالحليب</v>
          </cell>
          <cell r="AD393">
            <v>40</v>
          </cell>
          <cell r="AE393" t="str">
            <v>شركة اضافات العالمية للتجارة-Edafat</v>
          </cell>
        </row>
        <row r="394">
          <cell r="B394" t="str">
            <v>RM-00003</v>
          </cell>
          <cell r="C394" t="str">
            <v>Butter Sheet - Ellevire 10x1kg زبدة الكرواسون</v>
          </cell>
          <cell r="D394" t="str">
            <v>FLORIMONT BUTTER SHEETS - 82% FAT - FRANCE | زبدة كروسان</v>
          </cell>
          <cell r="E394" t="str">
            <v/>
          </cell>
          <cell r="F394" t="str">
            <v/>
          </cell>
          <cell r="G394" t="str">
            <v/>
          </cell>
          <cell r="H394" t="str">
            <v/>
          </cell>
          <cell r="I394" t="str">
            <v/>
          </cell>
          <cell r="J394" t="str">
            <v/>
          </cell>
          <cell r="K394">
            <v>0</v>
          </cell>
          <cell r="L394">
            <v>250</v>
          </cell>
          <cell r="N394">
            <v>0</v>
          </cell>
          <cell r="O394">
            <v>0</v>
          </cell>
          <cell r="P394">
            <v>83.333333333333329</v>
          </cell>
          <cell r="Q394">
            <v>333.33333333333331</v>
          </cell>
          <cell r="R394">
            <v>333.33333333333331</v>
          </cell>
          <cell r="S394">
            <v>7</v>
          </cell>
          <cell r="T394" t="str">
            <v>S</v>
          </cell>
          <cell r="U394">
            <v>51</v>
          </cell>
          <cell r="V394" t="str">
            <v>Food Book Company LLC شركة كتاب المأكولات لتقديم الوجبات</v>
          </cell>
          <cell r="W394">
            <v>17000</v>
          </cell>
          <cell r="X394">
            <v>12750</v>
          </cell>
          <cell r="Z394" t="str">
            <v>RM-00005</v>
          </cell>
          <cell r="AA394" t="str">
            <v xml:space="preserve">FLORIMONT BUTTER SHEETS - 82% FAT - FRANCE | زبدة كروسان </v>
          </cell>
          <cell r="AB394" t="str">
            <v>RM-00003</v>
          </cell>
          <cell r="AC394" t="str">
            <v>Butter Sheet - Ellevire 10x1kg زبدة الكرواسون</v>
          </cell>
          <cell r="AD394">
            <v>51</v>
          </cell>
          <cell r="AE394" t="str">
            <v>Food Book Company LLC شركة كتاب المأكولات لتقديم الوجبات</v>
          </cell>
        </row>
        <row r="395">
          <cell r="B395" t="str">
            <v>RM-00202</v>
          </cell>
          <cell r="C395" t="str">
            <v>Bakemate Liquid Glucose Syrup جلوكوز سائل</v>
          </cell>
          <cell r="D395" t="str">
            <v>Bakemate Liquid Glucose Syrup جلوكوز سائل</v>
          </cell>
          <cell r="E395" t="str">
            <v/>
          </cell>
          <cell r="F395" t="str">
            <v/>
          </cell>
          <cell r="G395" t="str">
            <v/>
          </cell>
          <cell r="H395" t="str">
            <v/>
          </cell>
          <cell r="I395" t="str">
            <v/>
          </cell>
          <cell r="J395" t="str">
            <v>✓</v>
          </cell>
          <cell r="K395">
            <v>1</v>
          </cell>
          <cell r="L395">
            <v>310</v>
          </cell>
          <cell r="N395">
            <v>2360</v>
          </cell>
          <cell r="O395">
            <v>228.38709677419357</v>
          </cell>
          <cell r="P395">
            <v>103.33333333333333</v>
          </cell>
          <cell r="Q395">
            <v>413.33333333333331</v>
          </cell>
          <cell r="R395">
            <v>0</v>
          </cell>
          <cell r="S395">
            <v>7</v>
          </cell>
          <cell r="T395" t="str">
            <v>A</v>
          </cell>
          <cell r="U395">
            <v>3.25</v>
          </cell>
          <cell r="V395" t="str">
            <v>Ahmad A. Abed Trading Co. Ltd شركة احمد عبدالوهاب عابد للتجارة المحدودة</v>
          </cell>
          <cell r="W395">
            <v>0</v>
          </cell>
          <cell r="X395">
            <v>1007.5</v>
          </cell>
          <cell r="Z395" t="str">
            <v>RM-00202</v>
          </cell>
          <cell r="AA395" t="str">
            <v>Bakemate Liquid Glucose Syrup جلوكوز سائل</v>
          </cell>
          <cell r="AB395" t="str">
            <v>RM-00202</v>
          </cell>
          <cell r="AC395" t="str">
            <v>Bakemate Liquid Glucose Syrup جلوكوز سائل</v>
          </cell>
          <cell r="AD395">
            <v>3.25</v>
          </cell>
          <cell r="AE395" t="str">
            <v>Ahmad A. Abed Trading Co. Ltd شركة احمد عبدالوهاب عابد للتجارة المحدودة</v>
          </cell>
        </row>
        <row r="396">
          <cell r="B396" t="str">
            <v>RM-00225</v>
          </cell>
          <cell r="C396" t="str">
            <v>Lotus Biscoff بسكويت لوتس</v>
          </cell>
          <cell r="D396" t="str">
            <v>Lotus Biscoff بسكويت لوتس</v>
          </cell>
          <cell r="E396" t="str">
            <v/>
          </cell>
          <cell r="F396" t="str">
            <v/>
          </cell>
          <cell r="G396" t="str">
            <v/>
          </cell>
          <cell r="H396" t="str">
            <v/>
          </cell>
          <cell r="I396" t="str">
            <v/>
          </cell>
          <cell r="J396" t="str">
            <v>✓</v>
          </cell>
          <cell r="K396">
            <v>1</v>
          </cell>
          <cell r="L396">
            <v>330</v>
          </cell>
          <cell r="N396">
            <v>0</v>
          </cell>
          <cell r="O396">
            <v>0</v>
          </cell>
          <cell r="P396">
            <v>110</v>
          </cell>
          <cell r="Q396">
            <v>440</v>
          </cell>
          <cell r="R396">
            <v>440</v>
          </cell>
          <cell r="S396">
            <v>7</v>
          </cell>
          <cell r="T396" t="str">
            <v>A</v>
          </cell>
          <cell r="U396">
            <v>25.2</v>
          </cell>
          <cell r="V396" t="str">
            <v>Al Shahrani International Co. شركة الشهراني العالمية المحدودة</v>
          </cell>
          <cell r="W396">
            <v>11088</v>
          </cell>
          <cell r="X396">
            <v>8316</v>
          </cell>
          <cell r="Z396" t="str">
            <v>RM-00225</v>
          </cell>
          <cell r="AA396" t="str">
            <v>Lotus Biscoff بسكويت لوتس</v>
          </cell>
          <cell r="AB396" t="str">
            <v>RM-00225</v>
          </cell>
          <cell r="AC396" t="str">
            <v>Lotus Biscoff بسكويت لوتس</v>
          </cell>
          <cell r="AD396">
            <v>25.2</v>
          </cell>
          <cell r="AE396" t="str">
            <v>Tanzeem Al Afkar Trading Company | شركة تنظيم الافكار للتجارة</v>
          </cell>
        </row>
        <row r="397">
          <cell r="B397" t="str">
            <v>RM-00445</v>
          </cell>
          <cell r="C397" t="str">
            <v>Kompletin Spray Oil بخاخ زيت كومبليت ان</v>
          </cell>
          <cell r="D397" t="str">
            <v>Kompletin Spray Oil بخاخ زيت كومبليت ان</v>
          </cell>
          <cell r="E397" t="str">
            <v/>
          </cell>
          <cell r="F397" t="str">
            <v/>
          </cell>
          <cell r="G397" t="str">
            <v/>
          </cell>
          <cell r="H397" t="str">
            <v/>
          </cell>
          <cell r="I397" t="str">
            <v/>
          </cell>
          <cell r="J397" t="str">
            <v>✓</v>
          </cell>
          <cell r="K397">
            <v>1</v>
          </cell>
          <cell r="L397">
            <v>150</v>
          </cell>
          <cell r="N397">
            <v>2451</v>
          </cell>
          <cell r="O397">
            <v>490.2</v>
          </cell>
          <cell r="P397">
            <v>50</v>
          </cell>
          <cell r="Q397">
            <v>200</v>
          </cell>
          <cell r="R397">
            <v>0</v>
          </cell>
          <cell r="S397">
            <v>7</v>
          </cell>
          <cell r="T397" t="str">
            <v>S</v>
          </cell>
          <cell r="U397">
            <v>20</v>
          </cell>
          <cell r="V397" t="str">
            <v>AL Babtain Food Co. شركة عبدالعزيز ومنصور إبراهيم البابطين</v>
          </cell>
          <cell r="W397">
            <v>0</v>
          </cell>
          <cell r="X397">
            <v>3000</v>
          </cell>
          <cell r="Z397" t="str">
            <v>RM-00445</v>
          </cell>
          <cell r="AA397" t="str">
            <v>Kompletin Spray Oil بخاخ زيت كومبليت ان</v>
          </cell>
          <cell r="AB397" t="str">
            <v>RM-00445</v>
          </cell>
          <cell r="AC397" t="str">
            <v>Kompletin Spray Oil بخاخ زيت كومبليت ان</v>
          </cell>
          <cell r="AD397">
            <v>20</v>
          </cell>
          <cell r="AE397" t="str">
            <v>AL Babtain Food Co. شركة عبدالعزيز ومنصور إبراهيم البابطين</v>
          </cell>
        </row>
        <row r="398">
          <cell r="B398" t="str">
            <v>RM-00563</v>
          </cell>
          <cell r="C398" t="str">
            <v>Syrup Pomegranate 1883 سيروب 1883 رمان</v>
          </cell>
          <cell r="D398" t="str">
            <v>Syrup Pomegranate 1883 سيروب 1883 رمان</v>
          </cell>
          <cell r="E398" t="str">
            <v/>
          </cell>
          <cell r="F398" t="str">
            <v/>
          </cell>
          <cell r="G398" t="str">
            <v/>
          </cell>
          <cell r="H398" t="str">
            <v/>
          </cell>
          <cell r="I398" t="str">
            <v/>
          </cell>
          <cell r="J398" t="str">
            <v>✓</v>
          </cell>
          <cell r="K398">
            <v>1</v>
          </cell>
          <cell r="L398">
            <v>270</v>
          </cell>
          <cell r="N398">
            <v>588</v>
          </cell>
          <cell r="O398">
            <v>65.333333333333329</v>
          </cell>
          <cell r="P398">
            <v>90</v>
          </cell>
          <cell r="Q398">
            <v>360</v>
          </cell>
          <cell r="R398">
            <v>0</v>
          </cell>
          <cell r="S398">
            <v>7</v>
          </cell>
          <cell r="T398" t="str">
            <v>A</v>
          </cell>
          <cell r="U398">
            <v>43.909790000000001</v>
          </cell>
          <cell r="V398" t="str">
            <v>شركة مصدر الامداد - Masdar Food Supply</v>
          </cell>
          <cell r="W398">
            <v>0</v>
          </cell>
          <cell r="X398">
            <v>11855.6433</v>
          </cell>
          <cell r="Z398" t="str">
            <v>RM-00563</v>
          </cell>
          <cell r="AA398" t="str">
            <v>Syrup Pomegranate 1883 سيروب 1883 رمان</v>
          </cell>
          <cell r="AB398" t="str">
            <v>RM-00563</v>
          </cell>
          <cell r="AC398" t="str">
            <v>Syrup Pomegranate 1883 سيروب 1883 رمان</v>
          </cell>
          <cell r="AD398">
            <v>43.909790000000001</v>
          </cell>
          <cell r="AE398" t="str">
            <v>شركة مصدر الامداد - Masdar Food Supply</v>
          </cell>
        </row>
        <row r="399">
          <cell r="B399" t="str">
            <v>RM-00423</v>
          </cell>
          <cell r="C399" t="str">
            <v>Hazelnut بندق</v>
          </cell>
          <cell r="D399" t="str">
            <v>Hazelnut بندق</v>
          </cell>
          <cell r="E399" t="str">
            <v/>
          </cell>
          <cell r="F399" t="str">
            <v/>
          </cell>
          <cell r="G399" t="str">
            <v/>
          </cell>
          <cell r="H399" t="str">
            <v/>
          </cell>
          <cell r="I399" t="str">
            <v/>
          </cell>
          <cell r="J399" t="str">
            <v>✓</v>
          </cell>
          <cell r="K399">
            <v>1</v>
          </cell>
          <cell r="L399">
            <v>250</v>
          </cell>
          <cell r="N399">
            <v>800</v>
          </cell>
          <cell r="O399">
            <v>96</v>
          </cell>
          <cell r="P399">
            <v>83.333333333333329</v>
          </cell>
          <cell r="Q399">
            <v>333.33333333333331</v>
          </cell>
          <cell r="R399">
            <v>0</v>
          </cell>
          <cell r="S399">
            <v>7</v>
          </cell>
          <cell r="T399" t="str">
            <v>A</v>
          </cell>
          <cell r="U399">
            <v>82.5</v>
          </cell>
          <cell r="V399" t="str">
            <v>Gourmet Gate شركة بوابة الذواقة لتجارة الاغذية</v>
          </cell>
          <cell r="W399">
            <v>0</v>
          </cell>
          <cell r="X399">
            <v>20625</v>
          </cell>
          <cell r="Z399" t="str">
            <v>RM-00423</v>
          </cell>
          <cell r="AA399" t="str">
            <v>Hazelnut بندق</v>
          </cell>
          <cell r="AB399" t="str">
            <v>RM-00423</v>
          </cell>
          <cell r="AC399" t="str">
            <v>Hazelnut بندق</v>
          </cell>
          <cell r="AD399">
            <v>82.5</v>
          </cell>
          <cell r="AE399" t="str">
            <v>شركة خالد درع الدرع وشريكة المحدودة</v>
          </cell>
        </row>
        <row r="400">
          <cell r="B400" t="str">
            <v>RM-00113</v>
          </cell>
          <cell r="C400" t="str">
            <v>KUWAIT FLOUR طحين الكويت فاخر</v>
          </cell>
          <cell r="D400" t="str">
            <v>KUWAIT FLOUR طحين الكويت فاخر</v>
          </cell>
          <cell r="E400" t="str">
            <v/>
          </cell>
          <cell r="F400" t="str">
            <v/>
          </cell>
          <cell r="G400" t="str">
            <v/>
          </cell>
          <cell r="H400" t="str">
            <v/>
          </cell>
          <cell r="I400" t="str">
            <v/>
          </cell>
          <cell r="J400" t="str">
            <v>✓</v>
          </cell>
          <cell r="K400">
            <v>1</v>
          </cell>
          <cell r="L400">
            <v>1500</v>
          </cell>
          <cell r="N400">
            <v>0</v>
          </cell>
          <cell r="O400">
            <v>0</v>
          </cell>
          <cell r="P400">
            <v>500</v>
          </cell>
          <cell r="Q400">
            <v>2000</v>
          </cell>
          <cell r="R400">
            <v>2000</v>
          </cell>
          <cell r="S400">
            <v>7</v>
          </cell>
          <cell r="T400" t="str">
            <v>S</v>
          </cell>
          <cell r="U400">
            <v>3.6</v>
          </cell>
          <cell r="V400" t="str">
            <v>Tanzeem Al Afkar Trading Company | شركة تنظيم الافكار للتجارة</v>
          </cell>
          <cell r="W400">
            <v>7200</v>
          </cell>
          <cell r="X400">
            <v>5400</v>
          </cell>
          <cell r="Z400" t="str">
            <v>RM-00113</v>
          </cell>
          <cell r="AA400" t="str">
            <v>KUWAIT FLOUR طحين الكويت فاخر</v>
          </cell>
          <cell r="AB400" t="str">
            <v>RM-00113</v>
          </cell>
          <cell r="AC400" t="str">
            <v>KUWAIT FLOUR طحين الكويت فاخر</v>
          </cell>
          <cell r="AD400">
            <v>3.6</v>
          </cell>
          <cell r="AE400" t="str">
            <v>Tanzeem Al Afkar Trading Company | شركة تنظيم الافكار للتجارة</v>
          </cell>
        </row>
        <row r="401">
          <cell r="B401" t="str">
            <v>RM-00146</v>
          </cell>
          <cell r="C401" t="str">
            <v>Baking powder باكنج باودر</v>
          </cell>
          <cell r="D401" t="str">
            <v>Baking powder باكنج باودر</v>
          </cell>
          <cell r="E401" t="str">
            <v/>
          </cell>
          <cell r="F401" t="str">
            <v/>
          </cell>
          <cell r="G401" t="str">
            <v/>
          </cell>
          <cell r="H401" t="str">
            <v/>
          </cell>
          <cell r="I401" t="str">
            <v/>
          </cell>
          <cell r="J401" t="str">
            <v>✓</v>
          </cell>
          <cell r="K401">
            <v>1</v>
          </cell>
          <cell r="L401">
            <v>380</v>
          </cell>
          <cell r="N401">
            <v>734.2</v>
          </cell>
          <cell r="O401">
            <v>57.963157894736845</v>
          </cell>
          <cell r="P401">
            <v>126.66666666666666</v>
          </cell>
          <cell r="Q401">
            <v>506.66666666666663</v>
          </cell>
          <cell r="R401">
            <v>0</v>
          </cell>
          <cell r="S401">
            <v>7</v>
          </cell>
          <cell r="T401" t="str">
            <v>A</v>
          </cell>
          <cell r="U401">
            <v>9.7430599999999998</v>
          </cell>
          <cell r="V401" t="str">
            <v>Tanzeem Al Afkar Trading Company | شركة تنظيم الافكار للتجارة</v>
          </cell>
          <cell r="W401">
            <v>0</v>
          </cell>
          <cell r="X401">
            <v>3702.3627999999999</v>
          </cell>
          <cell r="Z401" t="str">
            <v>RM-00146</v>
          </cell>
          <cell r="AA401" t="str">
            <v>Baking powder باكنج باودر</v>
          </cell>
          <cell r="AB401" t="str">
            <v>RM-00146</v>
          </cell>
          <cell r="AC401" t="str">
            <v>Baking powder باكنج باودر</v>
          </cell>
          <cell r="AD401">
            <v>9.7430599999999998</v>
          </cell>
          <cell r="AE401" t="str">
            <v>Tanzeem Al Afkar Trading Company | شركة تنظيم الافكار للتجارة</v>
          </cell>
        </row>
        <row r="402">
          <cell r="B402" t="str">
            <v>RM-00143</v>
          </cell>
          <cell r="C402" t="str">
            <v>Lite corn syrup شراب الذرة الفاتح</v>
          </cell>
          <cell r="D402" t="str">
            <v>Lite corn syrup شراب الذرة الفاتح</v>
          </cell>
          <cell r="E402" t="str">
            <v/>
          </cell>
          <cell r="F402" t="str">
            <v/>
          </cell>
          <cell r="G402" t="str">
            <v/>
          </cell>
          <cell r="H402" t="str">
            <v/>
          </cell>
          <cell r="I402" t="str">
            <v/>
          </cell>
          <cell r="J402" t="str">
            <v>✓</v>
          </cell>
          <cell r="K402">
            <v>1</v>
          </cell>
          <cell r="L402">
            <v>160</v>
          </cell>
          <cell r="N402">
            <v>213</v>
          </cell>
          <cell r="O402">
            <v>39.9375</v>
          </cell>
          <cell r="P402">
            <v>53.333333333333329</v>
          </cell>
          <cell r="Q402">
            <v>213.33333333333331</v>
          </cell>
          <cell r="R402">
            <v>0.33333333333331439</v>
          </cell>
          <cell r="S402">
            <v>7</v>
          </cell>
          <cell r="T402" t="str">
            <v>S</v>
          </cell>
          <cell r="U402">
            <v>25.12032</v>
          </cell>
          <cell r="V402" t="str">
            <v>شركة الوصيل التجاريه - AL WASEEL</v>
          </cell>
          <cell r="W402">
            <v>8.3734399999995244</v>
          </cell>
          <cell r="X402">
            <v>4019.2511999999997</v>
          </cell>
          <cell r="Z402" t="str">
            <v>RM-00143</v>
          </cell>
          <cell r="AA402" t="str">
            <v>Lite corn syrup شراب الذرة الفاتح</v>
          </cell>
          <cell r="AB402" t="str">
            <v>RM-00143</v>
          </cell>
          <cell r="AC402" t="str">
            <v>Lite corn syrup شراب الذرة الفاتح</v>
          </cell>
          <cell r="AD402">
            <v>25.12032</v>
          </cell>
          <cell r="AE402" t="str">
            <v>Tanzeem Al Afkar Trading Company | شركة تنظيم الافكار للتجارة</v>
          </cell>
        </row>
        <row r="403">
          <cell r="B403" t="str">
            <v>RM-00704</v>
          </cell>
          <cell r="C403" t="str">
            <v>COCONUT POWDER |جوز هند بودرة</v>
          </cell>
          <cell r="D403" t="str">
            <v>Coconut powder | جوز الهند بودر</v>
          </cell>
          <cell r="E403" t="str">
            <v/>
          </cell>
          <cell r="F403" t="str">
            <v/>
          </cell>
          <cell r="G403" t="str">
            <v/>
          </cell>
          <cell r="H403" t="str">
            <v/>
          </cell>
          <cell r="I403" t="str">
            <v/>
          </cell>
          <cell r="J403" t="str">
            <v/>
          </cell>
          <cell r="K403">
            <v>0</v>
          </cell>
          <cell r="L403">
            <v>60</v>
          </cell>
          <cell r="N403">
            <v>518</v>
          </cell>
          <cell r="O403">
            <v>259</v>
          </cell>
          <cell r="P403">
            <v>20</v>
          </cell>
          <cell r="Q403">
            <v>80</v>
          </cell>
          <cell r="R403">
            <v>0</v>
          </cell>
          <cell r="S403">
            <v>7</v>
          </cell>
          <cell r="T403" t="str">
            <v>A</v>
          </cell>
          <cell r="U403">
            <v>12.142860000000001</v>
          </cell>
          <cell r="V403" t="str">
            <v>Gourmet Gate شركة بوابة الذواقة لتجارة الاغذية</v>
          </cell>
          <cell r="W403">
            <v>0</v>
          </cell>
          <cell r="X403">
            <v>728.57159999999999</v>
          </cell>
          <cell r="Z403" t="str">
            <v>RM-00421</v>
          </cell>
          <cell r="AA403" t="str">
            <v>Coconut powder | جوز الهند بودر</v>
          </cell>
          <cell r="AB403" t="str">
            <v>RM-00704</v>
          </cell>
          <cell r="AC403" t="str">
            <v>COCONUT POWDER |جوز هند بودرة</v>
          </cell>
          <cell r="AD403">
            <v>12.142860000000001</v>
          </cell>
          <cell r="AE403" t="str">
            <v>شركة ناف الجود- NAF AL JOOD</v>
          </cell>
        </row>
        <row r="404">
          <cell r="B404" t="str">
            <v>RM-00313</v>
          </cell>
          <cell r="C404" t="str">
            <v>Vanilla bourbon فانيلا بوربون</v>
          </cell>
          <cell r="D404" t="str">
            <v>Vanilla bourbon فانيلا بوربون</v>
          </cell>
          <cell r="E404" t="str">
            <v/>
          </cell>
          <cell r="F404" t="str">
            <v/>
          </cell>
          <cell r="G404" t="str">
            <v/>
          </cell>
          <cell r="H404" t="str">
            <v/>
          </cell>
          <cell r="I404" t="str">
            <v/>
          </cell>
          <cell r="J404" t="str">
            <v>✓</v>
          </cell>
          <cell r="K404">
            <v>1</v>
          </cell>
          <cell r="L404">
            <v>200</v>
          </cell>
          <cell r="N404">
            <v>1565</v>
          </cell>
          <cell r="O404">
            <v>234.75</v>
          </cell>
          <cell r="P404">
            <v>66.666666666666657</v>
          </cell>
          <cell r="Q404">
            <v>266.66666666666663</v>
          </cell>
          <cell r="R404">
            <v>0</v>
          </cell>
          <cell r="S404">
            <v>7</v>
          </cell>
          <cell r="T404" t="str">
            <v>S</v>
          </cell>
          <cell r="U404">
            <v>126.66667</v>
          </cell>
          <cell r="V404" t="str">
            <v>Ahmad A. Abed Trading Co. Ltd شركة احمد عبدالوهاب عابد للتجارة المحدودة</v>
          </cell>
          <cell r="W404">
            <v>0</v>
          </cell>
          <cell r="X404">
            <v>25333.333999999999</v>
          </cell>
          <cell r="Z404" t="str">
            <v>RM-00313</v>
          </cell>
          <cell r="AA404" t="str">
            <v>Vanilla bourbon فانيلا بوربون</v>
          </cell>
          <cell r="AB404" t="str">
            <v>RM-00313</v>
          </cell>
          <cell r="AC404" t="str">
            <v>Vanilla bourbon فانيلا بوربون</v>
          </cell>
          <cell r="AD404">
            <v>126.66667</v>
          </cell>
          <cell r="AE404" t="str">
            <v>Ahmad A. Abed Trading Co. Ltd شركة احمد عبدالوهاب عابد للتجارة المحدودة</v>
          </cell>
        </row>
        <row r="405">
          <cell r="B405" t="str">
            <v>RM-00203</v>
          </cell>
          <cell r="C405" t="str">
            <v>Bicarbonate Gethai بيكربونات الصوديوم</v>
          </cell>
          <cell r="D405" t="str">
            <v>Bicarbonate Gethai بيكربونات الصوديوم</v>
          </cell>
          <cell r="E405" t="str">
            <v/>
          </cell>
          <cell r="F405" t="str">
            <v/>
          </cell>
          <cell r="G405" t="str">
            <v/>
          </cell>
          <cell r="H405" t="str">
            <v/>
          </cell>
          <cell r="I405" t="str">
            <v/>
          </cell>
          <cell r="J405" t="str">
            <v>✓</v>
          </cell>
          <cell r="K405">
            <v>1</v>
          </cell>
          <cell r="L405">
            <v>1</v>
          </cell>
          <cell r="N405">
            <v>97.44</v>
          </cell>
          <cell r="O405">
            <v>2923.2</v>
          </cell>
          <cell r="P405">
            <v>0.33333333333333331</v>
          </cell>
          <cell r="Q405">
            <v>1.3333333333333333</v>
          </cell>
          <cell r="R405">
            <v>0</v>
          </cell>
          <cell r="S405">
            <v>7</v>
          </cell>
          <cell r="T405" t="str">
            <v>A</v>
          </cell>
          <cell r="U405">
            <v>9.3055599999999998</v>
          </cell>
          <cell r="V405" t="str">
            <v>Tanzeem Al Afkar Trading Company | شركة تنظيم الافكار للتجارة</v>
          </cell>
          <cell r="W405">
            <v>0</v>
          </cell>
          <cell r="X405">
            <v>9.3055599999999998</v>
          </cell>
          <cell r="Z405" t="str">
            <v>RM-00203</v>
          </cell>
          <cell r="AA405" t="str">
            <v>Bicarbonate Gethai بيكربونات الصوديوم</v>
          </cell>
          <cell r="AB405" t="str">
            <v>RM-00203</v>
          </cell>
          <cell r="AC405" t="str">
            <v>Bicarbonate Gethai بيكربونات الصوديوم</v>
          </cell>
          <cell r="AD405">
            <v>9.3055599999999998</v>
          </cell>
          <cell r="AE405" t="str">
            <v>Tanzeem Al Afkar Trading Company | شركة تنظيم الافكار للتجارة</v>
          </cell>
        </row>
        <row r="406">
          <cell r="B406" t="str">
            <v>RM-00510</v>
          </cell>
          <cell r="C406" t="str">
            <v>Giffard Coconut Syrup  1L جيفارد شراب جوز الهند 1لتر</v>
          </cell>
          <cell r="D406" t="str">
            <v>Giffard Coconut Syrup  1L جيفارد شراب جوز الهند 1لتر</v>
          </cell>
          <cell r="E406" t="str">
            <v/>
          </cell>
          <cell r="F406" t="str">
            <v/>
          </cell>
          <cell r="G406" t="str">
            <v/>
          </cell>
          <cell r="H406" t="str">
            <v/>
          </cell>
          <cell r="I406" t="str">
            <v/>
          </cell>
          <cell r="J406" t="str">
            <v>✓</v>
          </cell>
          <cell r="K406">
            <v>1</v>
          </cell>
          <cell r="L406">
            <v>220</v>
          </cell>
          <cell r="N406">
            <v>0</v>
          </cell>
          <cell r="O406">
            <v>0</v>
          </cell>
          <cell r="P406">
            <v>73.333333333333329</v>
          </cell>
          <cell r="Q406">
            <v>293.33333333333331</v>
          </cell>
          <cell r="R406">
            <v>293.33333333333331</v>
          </cell>
          <cell r="S406">
            <v>7</v>
          </cell>
          <cell r="T406" t="str">
            <v>C</v>
          </cell>
          <cell r="U406">
            <v>30</v>
          </cell>
          <cell r="V406" t="str">
            <v>شركة بشريات الموسم للتجارة</v>
          </cell>
          <cell r="W406">
            <v>8800</v>
          </cell>
          <cell r="X406">
            <v>6600</v>
          </cell>
          <cell r="Z406" t="str">
            <v>RM-00510</v>
          </cell>
          <cell r="AA406" t="str">
            <v>Giffard Coconut Syrup  1L جيفارد شراب جوز الهند 1لتر</v>
          </cell>
          <cell r="AB406" t="str">
            <v>RM-00510</v>
          </cell>
          <cell r="AC406" t="str">
            <v>Giffard Coconut Syrup  1L جيفارد شراب جوز الهند 1لتر</v>
          </cell>
          <cell r="AD406">
            <v>30</v>
          </cell>
          <cell r="AE406" t="str">
            <v>شركة بشريات الموسم للتجارة</v>
          </cell>
        </row>
        <row r="407">
          <cell r="B407" t="str">
            <v>RM-00343</v>
          </cell>
          <cell r="C407" t="str">
            <v>Carrots - جزر</v>
          </cell>
          <cell r="D407" t="str">
            <v>Carrots - جزر</v>
          </cell>
          <cell r="E407" t="str">
            <v/>
          </cell>
          <cell r="F407" t="str">
            <v/>
          </cell>
          <cell r="G407" t="str">
            <v/>
          </cell>
          <cell r="H407" t="str">
            <v/>
          </cell>
          <cell r="I407" t="str">
            <v/>
          </cell>
          <cell r="J407" t="str">
            <v>✓</v>
          </cell>
          <cell r="K407">
            <v>1</v>
          </cell>
          <cell r="L407">
            <v>53</v>
          </cell>
          <cell r="N407">
            <v>0</v>
          </cell>
          <cell r="O407">
            <v>0</v>
          </cell>
          <cell r="P407">
            <v>17.666666666666664</v>
          </cell>
          <cell r="Q407">
            <v>70.666666666666657</v>
          </cell>
          <cell r="R407">
            <v>70.666666666666657</v>
          </cell>
          <cell r="S407">
            <v>7</v>
          </cell>
          <cell r="T407" t="str">
            <v>A</v>
          </cell>
          <cell r="U407">
            <v>4</v>
          </cell>
          <cell r="V407" t="str">
            <v>Delta Star Trading Co.</v>
          </cell>
          <cell r="W407">
            <v>282.66666666666663</v>
          </cell>
          <cell r="X407">
            <v>212</v>
          </cell>
          <cell r="Z407" t="str">
            <v>RM-00343</v>
          </cell>
          <cell r="AA407" t="str">
            <v>Carrots - جزر</v>
          </cell>
          <cell r="AB407" t="str">
            <v>RM-00343</v>
          </cell>
          <cell r="AC407" t="str">
            <v>Carrots - جزر</v>
          </cell>
          <cell r="AD407">
            <v>4</v>
          </cell>
          <cell r="AE407" t="str">
            <v>Delta Star Trading Co.</v>
          </cell>
        </row>
        <row r="408">
          <cell r="B408" t="str">
            <v>RM-00330</v>
          </cell>
          <cell r="C408" t="str">
            <v>FRENCH CRISPY CREPE FLAKES رقائق كريب الفرنسية المقرمشة</v>
          </cell>
          <cell r="D408" t="str">
            <v>FRENCH CRISPY CREPE FLAKES رقائق كريب الفرنسية المقرمشة</v>
          </cell>
          <cell r="E408" t="str">
            <v/>
          </cell>
          <cell r="F408" t="str">
            <v/>
          </cell>
          <cell r="G408" t="str">
            <v/>
          </cell>
          <cell r="H408" t="str">
            <v/>
          </cell>
          <cell r="I408" t="str">
            <v/>
          </cell>
          <cell r="J408" t="str">
            <v>✓</v>
          </cell>
          <cell r="K408">
            <v>1</v>
          </cell>
          <cell r="L408">
            <v>230</v>
          </cell>
          <cell r="N408">
            <v>252</v>
          </cell>
          <cell r="O408">
            <v>32.869565217391298</v>
          </cell>
          <cell r="P408">
            <v>130.33333333333334</v>
          </cell>
          <cell r="Q408">
            <v>360.33333333333337</v>
          </cell>
          <cell r="R408">
            <v>108.33333333333337</v>
          </cell>
          <cell r="S408">
            <v>14</v>
          </cell>
          <cell r="T408" t="str">
            <v>S</v>
          </cell>
          <cell r="U408">
            <v>46</v>
          </cell>
          <cell r="V408" t="str">
            <v>Gourmet Gate شركة بوابة الذواقة لتجارة الاغذية</v>
          </cell>
          <cell r="W408">
            <v>4983.3333333333348</v>
          </cell>
          <cell r="X408">
            <v>10580</v>
          </cell>
          <cell r="Z408" t="str">
            <v>RM-00330</v>
          </cell>
          <cell r="AA408" t="str">
            <v>FRENCH CRISPY CREPE FLAKES رقائق كريب الفرنسية المقرمشة</v>
          </cell>
          <cell r="AB408" t="str">
            <v>RM-00330</v>
          </cell>
          <cell r="AC408" t="str">
            <v>FRENCH CRISPY CREPE FLAKES رقائق كريب الفرنسية المقرمشة</v>
          </cell>
          <cell r="AD408">
            <v>46</v>
          </cell>
          <cell r="AE408" t="str">
            <v>شركة الشيف المثالي للتجارة-perfect chef</v>
          </cell>
        </row>
        <row r="409">
          <cell r="B409" t="str">
            <v>RM-00249</v>
          </cell>
          <cell r="C409" t="str">
            <v>Nescafe GOLD نسكافية</v>
          </cell>
          <cell r="D409" t="str">
            <v>Nescafe GOLD نسكافية</v>
          </cell>
          <cell r="E409" t="str">
            <v/>
          </cell>
          <cell r="F409" t="str">
            <v/>
          </cell>
          <cell r="G409" t="str">
            <v/>
          </cell>
          <cell r="H409" t="str">
            <v/>
          </cell>
          <cell r="I409" t="str">
            <v/>
          </cell>
          <cell r="J409" t="str">
            <v>✓</v>
          </cell>
          <cell r="K409">
            <v>1</v>
          </cell>
          <cell r="L409">
            <v>102</v>
          </cell>
          <cell r="N409">
            <v>115.14</v>
          </cell>
          <cell r="O409">
            <v>33.864705882352943</v>
          </cell>
          <cell r="P409">
            <v>34</v>
          </cell>
          <cell r="Q409">
            <v>136</v>
          </cell>
          <cell r="R409">
            <v>20.86</v>
          </cell>
          <cell r="S409">
            <v>7</v>
          </cell>
          <cell r="T409" t="str">
            <v>S</v>
          </cell>
          <cell r="U409">
            <v>155.26316</v>
          </cell>
          <cell r="V409" t="str">
            <v>Food Aroma شركة نكهة الغذاء التجارية المحدودة</v>
          </cell>
          <cell r="W409">
            <v>3238.7895175999997</v>
          </cell>
          <cell r="X409">
            <v>15836.84232</v>
          </cell>
          <cell r="Z409" t="str">
            <v>RM-00249</v>
          </cell>
          <cell r="AA409" t="str">
            <v>Nescafe GOLD نسكافية</v>
          </cell>
          <cell r="AB409" t="str">
            <v>RM-00249</v>
          </cell>
          <cell r="AC409" t="str">
            <v>Nescafe GOLD نسكافية</v>
          </cell>
          <cell r="AD409">
            <v>155.26316</v>
          </cell>
          <cell r="AE409" t="str">
            <v>Food Aroma شركة نكهة الغذاء التجارية المحدودة</v>
          </cell>
        </row>
        <row r="410">
          <cell r="B410" t="str">
            <v>RM-00721</v>
          </cell>
          <cell r="C410" t="str">
            <v>Fiordilampone  Raspberries MEC3</v>
          </cell>
          <cell r="D410" t="str">
            <v>Fiordilampone  Raspberries MEC3</v>
          </cell>
          <cell r="E410" t="str">
            <v/>
          </cell>
          <cell r="F410" t="str">
            <v/>
          </cell>
          <cell r="G410" t="str">
            <v/>
          </cell>
          <cell r="H410" t="str">
            <v/>
          </cell>
          <cell r="I410" t="str">
            <v/>
          </cell>
          <cell r="J410" t="str">
            <v>✓</v>
          </cell>
          <cell r="K410">
            <v>1</v>
          </cell>
          <cell r="L410">
            <v>150</v>
          </cell>
          <cell r="N410">
            <v>100</v>
          </cell>
          <cell r="O410">
            <v>20</v>
          </cell>
          <cell r="P410">
            <v>85</v>
          </cell>
          <cell r="Q410">
            <v>235</v>
          </cell>
          <cell r="R410">
            <v>135</v>
          </cell>
          <cell r="S410">
            <v>14</v>
          </cell>
          <cell r="T410" t="str">
            <v>A</v>
          </cell>
          <cell r="U410">
            <v>99.375</v>
          </cell>
          <cell r="V410" t="str">
            <v>AL Babtain Food Co. شركة عبدالعزيز ومنصور إبراهيم البابطين</v>
          </cell>
          <cell r="W410">
            <v>13415.625</v>
          </cell>
          <cell r="X410">
            <v>14906.25</v>
          </cell>
          <cell r="Z410" t="str">
            <v>RM-00721</v>
          </cell>
          <cell r="AA410" t="str">
            <v>Fiordilampone  Raspberries MEC3</v>
          </cell>
          <cell r="AB410" t="str">
            <v>RM-00721</v>
          </cell>
          <cell r="AC410" t="str">
            <v>Fiordilampone  Raspberries MEC3</v>
          </cell>
          <cell r="AD410">
            <v>99.375</v>
          </cell>
          <cell r="AE410" t="str">
            <v>AL Babtain Food Co. شركة عبدالعزيز ومنصور إبراهيم البابطين</v>
          </cell>
        </row>
        <row r="411">
          <cell r="B411" t="str">
            <v>RM-00261</v>
          </cell>
          <cell r="C411" t="str">
            <v>Oats شوفان</v>
          </cell>
          <cell r="D411" t="str">
            <v>Oats شوفان</v>
          </cell>
          <cell r="E411" t="str">
            <v/>
          </cell>
          <cell r="F411" t="str">
            <v/>
          </cell>
          <cell r="G411" t="str">
            <v/>
          </cell>
          <cell r="H411" t="str">
            <v/>
          </cell>
          <cell r="I411" t="str">
            <v/>
          </cell>
          <cell r="J411" t="str">
            <v>✓</v>
          </cell>
          <cell r="K411">
            <v>1</v>
          </cell>
          <cell r="L411">
            <v>10</v>
          </cell>
          <cell r="N411">
            <v>180</v>
          </cell>
          <cell r="O411">
            <v>540</v>
          </cell>
          <cell r="P411">
            <v>3.333333333333333</v>
          </cell>
          <cell r="Q411">
            <v>13.333333333333332</v>
          </cell>
          <cell r="R411">
            <v>0</v>
          </cell>
          <cell r="S411">
            <v>7</v>
          </cell>
          <cell r="T411" t="str">
            <v>A</v>
          </cell>
          <cell r="U411">
            <v>13.84259</v>
          </cell>
          <cell r="V411" t="str">
            <v>Tanzeem Al Afkar Trading Company | شركة تنظيم الافكار للتجارة</v>
          </cell>
          <cell r="W411">
            <v>0</v>
          </cell>
          <cell r="X411">
            <v>138.42589999999998</v>
          </cell>
          <cell r="Z411" t="str">
            <v>RM-00261</v>
          </cell>
          <cell r="AA411" t="str">
            <v>Oats شوفان</v>
          </cell>
          <cell r="AB411" t="str">
            <v>RM-00261</v>
          </cell>
          <cell r="AC411" t="str">
            <v>Oats شوفان</v>
          </cell>
          <cell r="AD411">
            <v>13.84259</v>
          </cell>
          <cell r="AE411" t="str">
            <v>Tanzeem Al Afkar Trading Company | شركة تنظيم الافكار للتجارة</v>
          </cell>
        </row>
        <row r="412">
          <cell r="B412" t="str">
            <v>RM-00367</v>
          </cell>
          <cell r="C412" t="str">
            <v>Chicken breast - صدور الدجاج</v>
          </cell>
          <cell r="D412" t="str">
            <v>Chicken breast - صدور الدجاج</v>
          </cell>
          <cell r="E412" t="str">
            <v/>
          </cell>
          <cell r="F412" t="str">
            <v/>
          </cell>
          <cell r="G412" t="str">
            <v/>
          </cell>
          <cell r="H412" t="str">
            <v/>
          </cell>
          <cell r="I412" t="str">
            <v/>
          </cell>
          <cell r="J412" t="str">
            <v>✓</v>
          </cell>
          <cell r="K412">
            <v>1</v>
          </cell>
          <cell r="L412">
            <v>180</v>
          </cell>
          <cell r="N412">
            <v>0</v>
          </cell>
          <cell r="O412">
            <v>0</v>
          </cell>
          <cell r="P412">
            <v>60</v>
          </cell>
          <cell r="Q412">
            <v>240</v>
          </cell>
          <cell r="R412">
            <v>240</v>
          </cell>
          <cell r="S412">
            <v>7</v>
          </cell>
          <cell r="T412" t="str">
            <v>A</v>
          </cell>
          <cell r="U412">
            <v>29</v>
          </cell>
          <cell r="V412" t="str">
            <v>دجاج اسيا - Asia chiken</v>
          </cell>
          <cell r="W412">
            <v>6960</v>
          </cell>
          <cell r="X412">
            <v>5220</v>
          </cell>
          <cell r="Z412" t="str">
            <v>RM-00367</v>
          </cell>
          <cell r="AA412" t="str">
            <v>Chicken breast - صدور الدجاج</v>
          </cell>
          <cell r="AB412" t="str">
            <v>RM-00367</v>
          </cell>
          <cell r="AC412" t="str">
            <v>Chicken breast - صدور الدجاج</v>
          </cell>
          <cell r="AD412">
            <v>29</v>
          </cell>
          <cell r="AE412" t="str">
            <v>دجاج اسيا - Asia chiken</v>
          </cell>
        </row>
        <row r="413">
          <cell r="B413" t="str">
            <v>RM-00233</v>
          </cell>
          <cell r="C413" t="str">
            <v>Cocoa Butter زبدة كاكاو</v>
          </cell>
          <cell r="D413" t="str">
            <v>Cocoa Butter زبدة كاكاو</v>
          </cell>
          <cell r="E413" t="str">
            <v/>
          </cell>
          <cell r="F413" t="str">
            <v/>
          </cell>
          <cell r="G413" t="str">
            <v/>
          </cell>
          <cell r="H413" t="str">
            <v/>
          </cell>
          <cell r="I413" t="str">
            <v/>
          </cell>
          <cell r="J413" t="str">
            <v>✓</v>
          </cell>
          <cell r="K413">
            <v>1</v>
          </cell>
          <cell r="L413">
            <v>30</v>
          </cell>
          <cell r="N413">
            <v>820</v>
          </cell>
          <cell r="O413">
            <v>820</v>
          </cell>
          <cell r="P413">
            <v>17</v>
          </cell>
          <cell r="Q413">
            <v>47</v>
          </cell>
          <cell r="R413">
            <v>0</v>
          </cell>
          <cell r="S413">
            <v>14</v>
          </cell>
          <cell r="T413" t="str">
            <v>S</v>
          </cell>
          <cell r="U413">
            <v>130</v>
          </cell>
          <cell r="V413" t="str">
            <v>شركة الشيف المثالي للتجارة-perfect chef</v>
          </cell>
          <cell r="W413">
            <v>0</v>
          </cell>
          <cell r="X413">
            <v>3900</v>
          </cell>
          <cell r="Z413" t="str">
            <v>RM-00233</v>
          </cell>
          <cell r="AA413" t="str">
            <v>Cocoa Butter زبدة كاكاو</v>
          </cell>
          <cell r="AB413" t="str">
            <v>RM-00233</v>
          </cell>
          <cell r="AC413" t="str">
            <v>Cocoa Butter زبدة كاكاو</v>
          </cell>
          <cell r="AD413">
            <v>130</v>
          </cell>
          <cell r="AE413" t="str">
            <v>شركة الشيف المثالي للتجارة-perfect chef</v>
          </cell>
        </row>
        <row r="414">
          <cell r="B414" t="str">
            <v>RM-00007</v>
          </cell>
          <cell r="C414" t="str">
            <v>Feta cheese - جبن فيتا</v>
          </cell>
          <cell r="D414" t="str">
            <v>Feta cheese - جبن فيتا</v>
          </cell>
          <cell r="E414" t="str">
            <v/>
          </cell>
          <cell r="F414" t="str">
            <v/>
          </cell>
          <cell r="G414" t="str">
            <v/>
          </cell>
          <cell r="H414" t="str">
            <v/>
          </cell>
          <cell r="I414" t="str">
            <v/>
          </cell>
          <cell r="J414" t="str">
            <v>✓</v>
          </cell>
          <cell r="K414">
            <v>1</v>
          </cell>
          <cell r="L414">
            <v>85</v>
          </cell>
          <cell r="N414">
            <v>0</v>
          </cell>
          <cell r="O414">
            <v>0</v>
          </cell>
          <cell r="P414">
            <v>28.333333333333332</v>
          </cell>
          <cell r="Q414">
            <v>113.33333333333333</v>
          </cell>
          <cell r="R414">
            <v>113.33333333333333</v>
          </cell>
          <cell r="S414">
            <v>7</v>
          </cell>
          <cell r="T414" t="str">
            <v>A</v>
          </cell>
          <cell r="U414">
            <v>20.225000000000001</v>
          </cell>
          <cell r="V414" t="str">
            <v>Al-Marai</v>
          </cell>
          <cell r="W414">
            <v>2292.1666666666665</v>
          </cell>
          <cell r="X414">
            <v>1719.1250000000002</v>
          </cell>
          <cell r="Z414" t="str">
            <v>RM-00007</v>
          </cell>
          <cell r="AA414" t="str">
            <v>Feta cheese - جبن فيتا</v>
          </cell>
          <cell r="AB414" t="str">
            <v>RM-00007</v>
          </cell>
          <cell r="AC414" t="str">
            <v>Feta cheese - جبن فيتا</v>
          </cell>
          <cell r="AD414">
            <v>20.225000000000001</v>
          </cell>
          <cell r="AE414" t="str">
            <v>Al-Marai</v>
          </cell>
        </row>
        <row r="415">
          <cell r="B415" t="str">
            <v>RM-00253</v>
          </cell>
          <cell r="C415" t="str">
            <v>Fresh yeast - خميرة فرش</v>
          </cell>
          <cell r="D415" t="str">
            <v>خميرة مايداغ مجمدة  |  Frozen Mayadag Yeast</v>
          </cell>
          <cell r="E415" t="str">
            <v/>
          </cell>
          <cell r="F415" t="str">
            <v/>
          </cell>
          <cell r="G415" t="str">
            <v/>
          </cell>
          <cell r="H415" t="str">
            <v/>
          </cell>
          <cell r="I415" t="str">
            <v/>
          </cell>
          <cell r="J415" t="str">
            <v/>
          </cell>
          <cell r="K415">
            <v>0</v>
          </cell>
          <cell r="L415">
            <v>66</v>
          </cell>
          <cell r="N415">
            <v>0</v>
          </cell>
          <cell r="O415">
            <v>0</v>
          </cell>
          <cell r="P415">
            <v>22</v>
          </cell>
          <cell r="Q415">
            <v>88</v>
          </cell>
          <cell r="R415">
            <v>88</v>
          </cell>
          <cell r="S415">
            <v>7</v>
          </cell>
          <cell r="T415" t="str">
            <v>S</v>
          </cell>
          <cell r="U415">
            <v>11</v>
          </cell>
          <cell r="V415" t="str">
            <v>شركة إبراهيم نافع للتجارة</v>
          </cell>
          <cell r="W415">
            <v>968</v>
          </cell>
          <cell r="X415">
            <v>726</v>
          </cell>
          <cell r="Z415" t="str">
            <v>RM-00335</v>
          </cell>
          <cell r="AA415" t="str">
            <v>خميرة مايداغ مجمدة  |  Frozen Mayadag Yeast</v>
          </cell>
          <cell r="AB415" t="str">
            <v>RM-00253</v>
          </cell>
          <cell r="AC415" t="str">
            <v>Fresh yeast - خميرة فرش</v>
          </cell>
          <cell r="AD415">
            <v>11</v>
          </cell>
          <cell r="AE415" t="str">
            <v>شركة إبراهيم نافع للتجارة</v>
          </cell>
        </row>
        <row r="416">
          <cell r="B416" t="str">
            <v>RM-00087</v>
          </cell>
          <cell r="C416" t="str">
            <v>Cocoa powder PURATOS |  بودرة كاكاو</v>
          </cell>
          <cell r="D416" t="str">
            <v>Cocoa powder PURATOS |  بودرة كاكاو</v>
          </cell>
          <cell r="E416" t="str">
            <v/>
          </cell>
          <cell r="F416" t="str">
            <v/>
          </cell>
          <cell r="G416" t="str">
            <v/>
          </cell>
          <cell r="H416" t="str">
            <v/>
          </cell>
          <cell r="I416" t="str">
            <v/>
          </cell>
          <cell r="J416" t="str">
            <v>✓</v>
          </cell>
          <cell r="K416">
            <v>1</v>
          </cell>
          <cell r="L416">
            <v>45</v>
          </cell>
          <cell r="N416">
            <v>575</v>
          </cell>
          <cell r="O416">
            <v>383.33333333333337</v>
          </cell>
          <cell r="P416">
            <v>25.5</v>
          </cell>
          <cell r="Q416">
            <v>70.5</v>
          </cell>
          <cell r="R416">
            <v>0</v>
          </cell>
          <cell r="S416">
            <v>14</v>
          </cell>
          <cell r="T416" t="str">
            <v>A</v>
          </cell>
          <cell r="U416">
            <v>60.5</v>
          </cell>
          <cell r="V416" t="str">
            <v>BanoPuratos Arabia Co. "Sweet Mix Co. شركة خليط الحلى المتحدة"</v>
          </cell>
          <cell r="W416">
            <v>0</v>
          </cell>
          <cell r="X416">
            <v>2722.5</v>
          </cell>
          <cell r="Z416" t="str">
            <v>RM-00087</v>
          </cell>
          <cell r="AA416" t="str">
            <v>Cocoa powder PURATOS |  بودرة كاكاو</v>
          </cell>
          <cell r="AB416" t="str">
            <v>RM-00087</v>
          </cell>
          <cell r="AC416" t="str">
            <v>Cocoa powder PURATOS |  بودرة كاكاو</v>
          </cell>
          <cell r="AD416">
            <v>60.5</v>
          </cell>
          <cell r="AE416" t="str">
            <v>BanoPuratos Arabia Co. "Sweet Mix Co. شركة خليط الحلى المتحدة"</v>
          </cell>
        </row>
        <row r="417">
          <cell r="B417" t="str">
            <v>RM-00266</v>
          </cell>
          <cell r="C417" t="str">
            <v>Pancake syrup سيروب بانكيك</v>
          </cell>
          <cell r="D417" t="str">
            <v>Pancake syrup سيروب بانكيك</v>
          </cell>
          <cell r="E417" t="str">
            <v/>
          </cell>
          <cell r="F417" t="str">
            <v/>
          </cell>
          <cell r="G417" t="str">
            <v/>
          </cell>
          <cell r="H417" t="str">
            <v/>
          </cell>
          <cell r="I417" t="str">
            <v/>
          </cell>
          <cell r="J417" t="str">
            <v>✓</v>
          </cell>
          <cell r="K417">
            <v>1</v>
          </cell>
          <cell r="L417">
            <v>45</v>
          </cell>
          <cell r="N417">
            <v>1099.48</v>
          </cell>
          <cell r="O417">
            <v>732.98666666666668</v>
          </cell>
          <cell r="P417">
            <v>15</v>
          </cell>
          <cell r="Q417">
            <v>60</v>
          </cell>
          <cell r="R417">
            <v>0</v>
          </cell>
          <cell r="S417">
            <v>7</v>
          </cell>
          <cell r="T417" t="str">
            <v>A</v>
          </cell>
          <cell r="U417">
            <v>19.78472</v>
          </cell>
          <cell r="V417" t="str">
            <v>شركة تموين الشرق للتجارة</v>
          </cell>
          <cell r="W417">
            <v>0</v>
          </cell>
          <cell r="X417">
            <v>890.31240000000003</v>
          </cell>
          <cell r="Z417" t="str">
            <v>RM-00266</v>
          </cell>
          <cell r="AA417" t="str">
            <v>Pancake syrup سيروب بانكيك</v>
          </cell>
          <cell r="AB417" t="str">
            <v>RM-00266</v>
          </cell>
          <cell r="AC417" t="str">
            <v>Pancake syrup سيروب بانكيك</v>
          </cell>
          <cell r="AD417">
            <v>19.78472</v>
          </cell>
          <cell r="AE417" t="str">
            <v>شركة تموين الشرق للتجارة</v>
          </cell>
        </row>
        <row r="418">
          <cell r="B418" t="str">
            <v>RM-00170</v>
          </cell>
          <cell r="C418" t="str">
            <v>CARAMEL SEA SALT كاراميل بالملح البحري</v>
          </cell>
          <cell r="D418" t="str">
            <v>CARAMEL SEA SALT كاراميل بالملح البحري</v>
          </cell>
          <cell r="E418" t="str">
            <v/>
          </cell>
          <cell r="F418" t="str">
            <v/>
          </cell>
          <cell r="G418" t="str">
            <v/>
          </cell>
          <cell r="H418" t="str">
            <v/>
          </cell>
          <cell r="I418" t="str">
            <v/>
          </cell>
          <cell r="J418" t="str">
            <v>✓</v>
          </cell>
          <cell r="K418">
            <v>1</v>
          </cell>
          <cell r="L418">
            <v>60</v>
          </cell>
          <cell r="N418">
            <v>3270</v>
          </cell>
          <cell r="O418">
            <v>1635</v>
          </cell>
          <cell r="P418">
            <v>20</v>
          </cell>
          <cell r="Q418">
            <v>80</v>
          </cell>
          <cell r="R418">
            <v>0</v>
          </cell>
          <cell r="S418">
            <v>7</v>
          </cell>
          <cell r="T418" t="str">
            <v>S</v>
          </cell>
          <cell r="U418">
            <v>17</v>
          </cell>
          <cell r="V418" t="str">
            <v>شركة الشيف المثالي للتجارة-perfect chef</v>
          </cell>
          <cell r="W418">
            <v>0</v>
          </cell>
          <cell r="X418">
            <v>1020</v>
          </cell>
          <cell r="Z418" t="str">
            <v>RM-00170</v>
          </cell>
          <cell r="AA418" t="str">
            <v>CARAMEL SEA SALT كاراميل بالملح البحري</v>
          </cell>
          <cell r="AB418" t="str">
            <v>RM-00170</v>
          </cell>
          <cell r="AC418" t="str">
            <v>CARAMEL SEA SALT كاراميل بالملح البحري</v>
          </cell>
          <cell r="AD418">
            <v>17</v>
          </cell>
          <cell r="AE418" t="str">
            <v>شركة الشيف المثالي للتجارة-perfect chef</v>
          </cell>
        </row>
        <row r="419">
          <cell r="B419" t="str">
            <v>RM-00149</v>
          </cell>
          <cell r="C419" t="str">
            <v>Alqassim Coffee Mixقهوة خلطة القصيم</v>
          </cell>
          <cell r="D419" t="str">
            <v>Alqassim Coffee Mixقهوة خلطة القصيم</v>
          </cell>
          <cell r="E419" t="str">
            <v/>
          </cell>
          <cell r="F419" t="str">
            <v/>
          </cell>
          <cell r="G419" t="str">
            <v/>
          </cell>
          <cell r="H419" t="str">
            <v/>
          </cell>
          <cell r="I419" t="str">
            <v/>
          </cell>
          <cell r="J419" t="str">
            <v>✓</v>
          </cell>
          <cell r="K419">
            <v>1</v>
          </cell>
          <cell r="L419">
            <v>56</v>
          </cell>
          <cell r="N419">
            <v>90</v>
          </cell>
          <cell r="O419">
            <v>48.214285714285715</v>
          </cell>
          <cell r="P419">
            <v>18.666666666666664</v>
          </cell>
          <cell r="Q419">
            <v>74.666666666666657</v>
          </cell>
          <cell r="R419">
            <v>0</v>
          </cell>
          <cell r="S419">
            <v>7</v>
          </cell>
          <cell r="T419" t="str">
            <v>A</v>
          </cell>
          <cell r="U419">
            <v>35.65</v>
          </cell>
          <cell r="V419" t="str">
            <v>Tanzeem Al Afkar Trading Company | شركة تنظيم الافكار للتجارة</v>
          </cell>
          <cell r="W419">
            <v>0</v>
          </cell>
          <cell r="X419">
            <v>1996.3999999999999</v>
          </cell>
          <cell r="Z419" t="str">
            <v>RM-00149</v>
          </cell>
          <cell r="AA419" t="str">
            <v>Alqassim Coffee Mixقهوة خلطة القصيم</v>
          </cell>
          <cell r="AB419" t="str">
            <v>RM-00149</v>
          </cell>
          <cell r="AC419" t="str">
            <v>Alqassim Coffee Mixقهوة خلطة القصيم</v>
          </cell>
          <cell r="AD419">
            <v>35.65</v>
          </cell>
          <cell r="AE419" t="str">
            <v>Tanzeem Al Afkar Trading Company | شركة تنظيم الافكار للتجارة</v>
          </cell>
        </row>
        <row r="420">
          <cell r="B420" t="str">
            <v>RM-00147</v>
          </cell>
          <cell r="C420" t="str">
            <v>Cardamom هيل حب</v>
          </cell>
          <cell r="D420" t="str">
            <v>Cardamom هيل حب</v>
          </cell>
          <cell r="E420" t="str">
            <v/>
          </cell>
          <cell r="F420" t="str">
            <v/>
          </cell>
          <cell r="G420" t="str">
            <v/>
          </cell>
          <cell r="H420" t="str">
            <v/>
          </cell>
          <cell r="I420" t="str">
            <v/>
          </cell>
          <cell r="J420" t="str">
            <v>✓</v>
          </cell>
          <cell r="K420">
            <v>1</v>
          </cell>
          <cell r="L420">
            <v>58</v>
          </cell>
          <cell r="N420">
            <v>6</v>
          </cell>
          <cell r="O420">
            <v>3.103448275862069</v>
          </cell>
          <cell r="P420">
            <v>19.333333333333332</v>
          </cell>
          <cell r="Q420">
            <v>77.333333333333329</v>
          </cell>
          <cell r="R420">
            <v>71.333333333333329</v>
          </cell>
          <cell r="S420">
            <v>7</v>
          </cell>
          <cell r="T420" t="str">
            <v>A</v>
          </cell>
          <cell r="U420">
            <v>138</v>
          </cell>
          <cell r="V420" t="str">
            <v>Tanzeem Al Afkar Trading Company | شركة تنظيم الافكار للتجارة</v>
          </cell>
          <cell r="W420">
            <v>9844</v>
          </cell>
          <cell r="X420">
            <v>8004</v>
          </cell>
          <cell r="Z420" t="str">
            <v>RM-00147</v>
          </cell>
          <cell r="AA420" t="str">
            <v>Cardamom هيل حب</v>
          </cell>
          <cell r="AB420" t="str">
            <v>RM-00147</v>
          </cell>
          <cell r="AC420" t="str">
            <v>Cardamom هيل حب</v>
          </cell>
          <cell r="AD420">
            <v>79.95</v>
          </cell>
          <cell r="AE420" t="str">
            <v>شركة ناف الجود- NAF AL JOOD</v>
          </cell>
        </row>
        <row r="421">
          <cell r="B421" t="str">
            <v>RM-00161</v>
          </cell>
          <cell r="C421" t="str">
            <v>Pesto Sauce صوص بيستو</v>
          </cell>
          <cell r="D421" t="str">
            <v>Pesto Sauce صوص بيستو</v>
          </cell>
          <cell r="E421" t="str">
            <v/>
          </cell>
          <cell r="F421" t="str">
            <v/>
          </cell>
          <cell r="G421" t="str">
            <v/>
          </cell>
          <cell r="H421" t="str">
            <v/>
          </cell>
          <cell r="I421" t="str">
            <v/>
          </cell>
          <cell r="J421" t="str">
            <v>✓</v>
          </cell>
          <cell r="K421">
            <v>1</v>
          </cell>
          <cell r="L421">
            <v>45</v>
          </cell>
          <cell r="N421">
            <v>62.7</v>
          </cell>
          <cell r="O421">
            <v>41.8</v>
          </cell>
          <cell r="P421">
            <v>15</v>
          </cell>
          <cell r="Q421">
            <v>60</v>
          </cell>
          <cell r="R421">
            <v>0</v>
          </cell>
          <cell r="S421">
            <v>7</v>
          </cell>
          <cell r="T421" t="str">
            <v>A</v>
          </cell>
          <cell r="U421">
            <v>48.742139999999999</v>
          </cell>
          <cell r="V421" t="str">
            <v>شركة تموين الشرق للتجارة</v>
          </cell>
          <cell r="W421">
            <v>0</v>
          </cell>
          <cell r="X421">
            <v>2193.3962999999999</v>
          </cell>
          <cell r="Z421" t="str">
            <v>RM-00161</v>
          </cell>
          <cell r="AA421" t="str">
            <v>Pesto Sauce 	صوص بيستو</v>
          </cell>
          <cell r="AB421" t="str">
            <v>RM-00161</v>
          </cell>
          <cell r="AC421" t="str">
            <v>Pesto Sauce صوص بيستو</v>
          </cell>
          <cell r="AD421">
            <v>48.742139999999999</v>
          </cell>
          <cell r="AE421" t="str">
            <v>شركة تموين الشرق للتجارة</v>
          </cell>
        </row>
        <row r="422">
          <cell r="B422" t="str">
            <v>RM-00095</v>
          </cell>
          <cell r="C422" t="str">
            <v>Greek yoghurt - زبادي يوناني</v>
          </cell>
          <cell r="D422" t="str">
            <v>Greek yoghurt - زبادي يوناني</v>
          </cell>
          <cell r="E422" t="str">
            <v/>
          </cell>
          <cell r="F422" t="str">
            <v/>
          </cell>
          <cell r="G422" t="str">
            <v/>
          </cell>
          <cell r="H422" t="str">
            <v/>
          </cell>
          <cell r="I422" t="str">
            <v/>
          </cell>
          <cell r="J422" t="str">
            <v>✓</v>
          </cell>
          <cell r="K422">
            <v>1</v>
          </cell>
          <cell r="L422">
            <v>31</v>
          </cell>
          <cell r="N422">
            <v>0</v>
          </cell>
          <cell r="O422">
            <v>0</v>
          </cell>
          <cell r="P422">
            <v>10.333333333333332</v>
          </cell>
          <cell r="Q422">
            <v>41.333333333333329</v>
          </cell>
          <cell r="R422">
            <v>41.333333333333329</v>
          </cell>
          <cell r="S422">
            <v>7</v>
          </cell>
          <cell r="T422" t="str">
            <v>A</v>
          </cell>
          <cell r="U422">
            <v>20.066669999999998</v>
          </cell>
          <cell r="V422" t="str">
            <v>Al-Marai</v>
          </cell>
          <cell r="W422">
            <v>829.4223599999998</v>
          </cell>
          <cell r="X422">
            <v>622.06676999999991</v>
          </cell>
          <cell r="Z422" t="str">
            <v>RM-00095</v>
          </cell>
          <cell r="AA422" t="str">
            <v>Greek yoghurt - زبادي يوناني</v>
          </cell>
          <cell r="AB422" t="str">
            <v>RM-00095</v>
          </cell>
          <cell r="AC422" t="str">
            <v>Greek yoghurt - زبادي يوناني</v>
          </cell>
          <cell r="AD422">
            <v>20.066669999999998</v>
          </cell>
          <cell r="AE422" t="str">
            <v>Al-Marai</v>
          </cell>
        </row>
        <row r="423">
          <cell r="B423" t="str">
            <v>RM-00117</v>
          </cell>
          <cell r="C423" t="str">
            <v>Flour Premium T65 طحين T65</v>
          </cell>
          <cell r="D423" t="str">
            <v>Flour Premium T65 طحين T65</v>
          </cell>
          <cell r="E423" t="str">
            <v/>
          </cell>
          <cell r="F423" t="str">
            <v/>
          </cell>
          <cell r="G423" t="str">
            <v/>
          </cell>
          <cell r="H423" t="str">
            <v/>
          </cell>
          <cell r="I423" t="str">
            <v/>
          </cell>
          <cell r="J423" t="str">
            <v>✓</v>
          </cell>
          <cell r="K423">
            <v>1</v>
          </cell>
          <cell r="L423">
            <v>50</v>
          </cell>
          <cell r="N423">
            <v>0</v>
          </cell>
          <cell r="O423">
            <v>0</v>
          </cell>
          <cell r="P423">
            <v>16.666666666666664</v>
          </cell>
          <cell r="Q423">
            <v>66.666666666666657</v>
          </cell>
          <cell r="R423">
            <v>66.666666666666657</v>
          </cell>
          <cell r="S423">
            <v>7</v>
          </cell>
          <cell r="T423" t="str">
            <v>S</v>
          </cell>
          <cell r="U423">
            <v>6.6</v>
          </cell>
          <cell r="V423" t="str">
            <v>Food Book Company LLC شركة كتاب المأكولات لتقديم الوجبات</v>
          </cell>
          <cell r="W423">
            <v>439.99999999999989</v>
          </cell>
          <cell r="X423">
            <v>330</v>
          </cell>
          <cell r="Z423" t="str">
            <v>RM-00117</v>
          </cell>
          <cell r="AA423" t="str">
            <v>Flour Premium T65 طحين T65</v>
          </cell>
          <cell r="AB423" t="str">
            <v>RM-00117</v>
          </cell>
          <cell r="AC423" t="str">
            <v>Flour Premium T65 طحين T65</v>
          </cell>
          <cell r="AD423">
            <v>6.6</v>
          </cell>
          <cell r="AE423" t="str">
            <v>Food Book Company LLC شركة كتاب المأكولات لتقديم الوجبات</v>
          </cell>
        </row>
        <row r="424">
          <cell r="B424" t="str">
            <v>RM-00533</v>
          </cell>
          <cell r="C424" t="str">
            <v>Sea Salt ملح بحري</v>
          </cell>
          <cell r="D424" t="str">
            <v>Magnesia Mag Sea Salt | ملح بحري عضوي مغنيسيا</v>
          </cell>
          <cell r="E424" t="str">
            <v/>
          </cell>
          <cell r="F424" t="str">
            <v/>
          </cell>
          <cell r="G424" t="str">
            <v/>
          </cell>
          <cell r="H424" t="str">
            <v/>
          </cell>
          <cell r="I424" t="str">
            <v/>
          </cell>
          <cell r="J424" t="str">
            <v>✓</v>
          </cell>
          <cell r="K424">
            <v>1</v>
          </cell>
          <cell r="L424">
            <v>1</v>
          </cell>
          <cell r="N424">
            <v>1125.5999999999999</v>
          </cell>
          <cell r="O424">
            <v>33768</v>
          </cell>
          <cell r="P424">
            <v>0.33333333333333331</v>
          </cell>
          <cell r="Q424">
            <v>1.3333333333333333</v>
          </cell>
          <cell r="R424">
            <v>0</v>
          </cell>
          <cell r="S424">
            <v>7</v>
          </cell>
          <cell r="T424" t="str">
            <v>A</v>
          </cell>
          <cell r="U424">
            <v>3.62798</v>
          </cell>
          <cell r="V424" t="str">
            <v>Tanzeem Al Afkar Trading Company | شركة تنظيم الافكار للتجارة</v>
          </cell>
          <cell r="W424">
            <v>0</v>
          </cell>
          <cell r="X424">
            <v>3.62798</v>
          </cell>
          <cell r="Z424" t="str">
            <v>RM-00533</v>
          </cell>
          <cell r="AA424" t="str">
            <v>Magnesia Mag Sea Salt | ملح بحري عضوي مغنيسيا</v>
          </cell>
          <cell r="AB424" t="str">
            <v>RM-00533</v>
          </cell>
          <cell r="AC424" t="str">
            <v>Sea Salt ملح بحري</v>
          </cell>
          <cell r="AD424">
            <v>3.62798</v>
          </cell>
          <cell r="AE424" t="str">
            <v>Tanzeem Al Afkar Trading Company | شركة تنظيم الافكار للتجارة</v>
          </cell>
        </row>
        <row r="425">
          <cell r="B425" t="str">
            <v>RM-00355</v>
          </cell>
          <cell r="C425" t="str">
            <v>Raspberry -توت أحمر</v>
          </cell>
          <cell r="D425" t="str">
            <v>Raspberry -توت أحمر</v>
          </cell>
          <cell r="E425" t="str">
            <v/>
          </cell>
          <cell r="F425" t="str">
            <v/>
          </cell>
          <cell r="G425" t="str">
            <v/>
          </cell>
          <cell r="H425" t="str">
            <v/>
          </cell>
          <cell r="I425" t="str">
            <v/>
          </cell>
          <cell r="J425" t="str">
            <v>✓</v>
          </cell>
          <cell r="K425">
            <v>1</v>
          </cell>
          <cell r="L425">
            <v>123</v>
          </cell>
          <cell r="N425">
            <v>0</v>
          </cell>
          <cell r="O425">
            <v>0</v>
          </cell>
          <cell r="P425">
            <v>41</v>
          </cell>
          <cell r="Q425">
            <v>164</v>
          </cell>
          <cell r="R425">
            <v>164</v>
          </cell>
          <cell r="S425">
            <v>7</v>
          </cell>
          <cell r="T425" t="str">
            <v>A</v>
          </cell>
          <cell r="U425">
            <v>144</v>
          </cell>
          <cell r="V425" t="str">
            <v>Delta Star Trading Co.</v>
          </cell>
          <cell r="W425">
            <v>23616</v>
          </cell>
          <cell r="X425">
            <v>17712</v>
          </cell>
          <cell r="Z425" t="str">
            <v>RM-00355</v>
          </cell>
          <cell r="AA425" t="str">
            <v>Raspberry -توت أحمر</v>
          </cell>
          <cell r="AB425" t="str">
            <v>RM-00355</v>
          </cell>
          <cell r="AC425" t="str">
            <v>Raspberry -توت أحمر</v>
          </cell>
          <cell r="AD425">
            <v>144</v>
          </cell>
          <cell r="AE425" t="str">
            <v>Delta Star Trading Co.</v>
          </cell>
        </row>
        <row r="426">
          <cell r="B426" t="str">
            <v>RM-00580</v>
          </cell>
          <cell r="C426" t="str">
            <v>Ketchup Tomato كاتشب</v>
          </cell>
          <cell r="D426" t="str">
            <v>Ketchup Tomato كاتشب</v>
          </cell>
          <cell r="E426" t="str">
            <v>✓</v>
          </cell>
          <cell r="F426" t="str">
            <v>✓</v>
          </cell>
          <cell r="G426" t="str">
            <v/>
          </cell>
          <cell r="H426" t="str">
            <v/>
          </cell>
          <cell r="I426" t="str">
            <v/>
          </cell>
          <cell r="J426" t="str">
            <v/>
          </cell>
          <cell r="K426">
            <v>2</v>
          </cell>
          <cell r="L426">
            <v>10</v>
          </cell>
          <cell r="N426">
            <v>95</v>
          </cell>
          <cell r="O426">
            <v>285</v>
          </cell>
          <cell r="P426">
            <v>3.333333333333333</v>
          </cell>
          <cell r="Q426">
            <v>13.333333333333332</v>
          </cell>
          <cell r="R426">
            <v>0</v>
          </cell>
          <cell r="S426">
            <v>7</v>
          </cell>
          <cell r="T426" t="str">
            <v>A</v>
          </cell>
          <cell r="U426">
            <v>16.947299999999998</v>
          </cell>
          <cell r="V426" t="str">
            <v>Tanzeem Al Afkar Trading Company | شركة تنظيم الافكار للتجارة</v>
          </cell>
          <cell r="W426">
            <v>0</v>
          </cell>
          <cell r="X426">
            <v>169.47299999999998</v>
          </cell>
          <cell r="Z426" t="str">
            <v>RM-00183</v>
          </cell>
          <cell r="AA426" t="str">
            <v>Ketchup Tomato كاتشب</v>
          </cell>
          <cell r="AB426" t="str">
            <v>RM-00580</v>
          </cell>
          <cell r="AC426" t="str">
            <v>Ketchup Tomato كاتشب</v>
          </cell>
          <cell r="AD426">
            <v>42.142859999999999</v>
          </cell>
          <cell r="AE426" t="str">
            <v>شركة اضافات العالمية للتجارة-Edafat</v>
          </cell>
        </row>
        <row r="427">
          <cell r="B427" t="str">
            <v>RM-00700</v>
          </cell>
          <cell r="C427" t="str">
            <v>MAKDOUS  |مكدوس</v>
          </cell>
          <cell r="D427" t="str">
            <v>MAKDOUS  |مكدوس</v>
          </cell>
          <cell r="E427" t="str">
            <v/>
          </cell>
          <cell r="F427" t="str">
            <v/>
          </cell>
          <cell r="G427" t="str">
            <v/>
          </cell>
          <cell r="H427" t="str">
            <v/>
          </cell>
          <cell r="I427" t="str">
            <v/>
          </cell>
          <cell r="J427" t="str">
            <v>✓</v>
          </cell>
          <cell r="K427">
            <v>1</v>
          </cell>
          <cell r="L427">
            <v>1</v>
          </cell>
          <cell r="N427">
            <v>7</v>
          </cell>
          <cell r="O427">
            <v>210</v>
          </cell>
          <cell r="P427">
            <v>0.56666666666666665</v>
          </cell>
          <cell r="Q427">
            <v>1.5666666666666667</v>
          </cell>
          <cell r="R427">
            <v>0</v>
          </cell>
          <cell r="S427">
            <v>14</v>
          </cell>
          <cell r="T427" t="str">
            <v>A</v>
          </cell>
          <cell r="U427">
            <v>15.171430000000001</v>
          </cell>
          <cell r="V427" t="str">
            <v>شركة ناف الجود- NAF AL JOOD</v>
          </cell>
          <cell r="W427">
            <v>0</v>
          </cell>
          <cell r="X427">
            <v>15.171430000000001</v>
          </cell>
          <cell r="Z427" t="str">
            <v>RM-00700</v>
          </cell>
          <cell r="AA427" t="str">
            <v>MAKDOUS  |مكدوس</v>
          </cell>
          <cell r="AB427" t="str">
            <v>RM-00700</v>
          </cell>
          <cell r="AC427" t="str">
            <v>MAKDOUS  |مكدوس</v>
          </cell>
          <cell r="AD427">
            <v>15.171430000000001</v>
          </cell>
          <cell r="AE427" t="str">
            <v>شركة ناف الجود- NAF AL JOOD</v>
          </cell>
        </row>
        <row r="428">
          <cell r="B428" t="str">
            <v>RM-00201</v>
          </cell>
          <cell r="C428" t="str">
            <v>Diamond Glaze Neutral دياموند جيلي تلميع سادة</v>
          </cell>
          <cell r="D428" t="str">
            <v>Diamond Glaze Neutral دياموند جيلي تلميع سادة</v>
          </cell>
          <cell r="E428" t="str">
            <v/>
          </cell>
          <cell r="F428" t="str">
            <v/>
          </cell>
          <cell r="G428" t="str">
            <v/>
          </cell>
          <cell r="H428" t="str">
            <v/>
          </cell>
          <cell r="I428" t="str">
            <v/>
          </cell>
          <cell r="J428" t="str">
            <v>✓</v>
          </cell>
          <cell r="K428">
            <v>1</v>
          </cell>
          <cell r="L428">
            <v>20</v>
          </cell>
          <cell r="N428">
            <v>250</v>
          </cell>
          <cell r="O428">
            <v>375</v>
          </cell>
          <cell r="P428">
            <v>6.6666666666666661</v>
          </cell>
          <cell r="Q428">
            <v>26.666666666666664</v>
          </cell>
          <cell r="R428">
            <v>0</v>
          </cell>
          <cell r="S428">
            <v>7</v>
          </cell>
          <cell r="T428" t="str">
            <v>A</v>
          </cell>
          <cell r="U428">
            <v>14</v>
          </cell>
          <cell r="V428" t="str">
            <v>Ahmad A. Abed Trading Co. Ltd شركة احمد عبدالوهاب عابد للتجارة المحدودة</v>
          </cell>
          <cell r="W428">
            <v>0</v>
          </cell>
          <cell r="X428">
            <v>280</v>
          </cell>
          <cell r="Z428" t="str">
            <v>RM-00201</v>
          </cell>
          <cell r="AA428" t="str">
            <v>Diamond Glaze Neutral دياموند جيلي تلميع سادة</v>
          </cell>
          <cell r="AB428" t="str">
            <v>RM-00201</v>
          </cell>
          <cell r="AC428" t="str">
            <v>Diamond Glaze Neutral دياموند جيلي تلميع سادة</v>
          </cell>
          <cell r="AD428">
            <v>14</v>
          </cell>
          <cell r="AE428" t="str">
            <v>Ahmad A. Abed Trading Co. Ltd شركة احمد عبدالوهاب عابد للتجارة المحدودة</v>
          </cell>
        </row>
        <row r="429">
          <cell r="B429" t="str">
            <v>RM-00498</v>
          </cell>
          <cell r="C429" t="str">
            <v>DEXTROSE POWDER ديكستروز - مسحوق سكر العنب</v>
          </cell>
          <cell r="D429" t="str">
            <v>DEXTROSE POWDER ديكستروز - مسحوق سكر العنب</v>
          </cell>
          <cell r="E429" t="str">
            <v/>
          </cell>
          <cell r="F429" t="str">
            <v/>
          </cell>
          <cell r="G429" t="str">
            <v/>
          </cell>
          <cell r="H429" t="str">
            <v/>
          </cell>
          <cell r="I429" t="str">
            <v/>
          </cell>
          <cell r="J429" t="str">
            <v>✓</v>
          </cell>
          <cell r="K429">
            <v>1</v>
          </cell>
          <cell r="L429">
            <v>13</v>
          </cell>
          <cell r="N429">
            <v>0</v>
          </cell>
          <cell r="O429">
            <v>0</v>
          </cell>
          <cell r="P429">
            <v>4.333333333333333</v>
          </cell>
          <cell r="Q429">
            <v>17.333333333333332</v>
          </cell>
          <cell r="R429">
            <v>17.333333333333332</v>
          </cell>
          <cell r="S429">
            <v>7</v>
          </cell>
          <cell r="T429" t="str">
            <v>A</v>
          </cell>
          <cell r="U429">
            <v>49.996670000000002</v>
          </cell>
          <cell r="V429" t="str">
            <v>Sitaf - سيتاف</v>
          </cell>
          <cell r="W429">
            <v>866.60894666666661</v>
          </cell>
          <cell r="X429">
            <v>649.95671000000004</v>
          </cell>
          <cell r="Z429" t="str">
            <v>RM-00498</v>
          </cell>
          <cell r="AA429" t="str">
            <v>DEXTROSE POWDER ديكستروز - مسحوق سكر العنب</v>
          </cell>
          <cell r="AB429" t="str">
            <v>RM-00498</v>
          </cell>
          <cell r="AC429" t="str">
            <v>DEXTROSE POWDER ديكستروز - مسحوق سكر العنب</v>
          </cell>
          <cell r="AD429">
            <v>49.996670000000002</v>
          </cell>
          <cell r="AE429" t="str">
            <v>Sitaf - سيتاف</v>
          </cell>
        </row>
        <row r="430">
          <cell r="B430" t="str">
            <v>RM-00443</v>
          </cell>
          <cell r="C430" t="str">
            <v>Coconut Oil زيت جوز الهند</v>
          </cell>
          <cell r="D430" t="str">
            <v>Coconut Oil زيت جوز الهند</v>
          </cell>
          <cell r="E430" t="str">
            <v/>
          </cell>
          <cell r="F430" t="str">
            <v/>
          </cell>
          <cell r="G430" t="str">
            <v/>
          </cell>
          <cell r="H430" t="str">
            <v/>
          </cell>
          <cell r="I430" t="str">
            <v/>
          </cell>
          <cell r="J430" t="str">
            <v>✓</v>
          </cell>
          <cell r="K430">
            <v>1</v>
          </cell>
          <cell r="L430">
            <v>10</v>
          </cell>
          <cell r="N430">
            <v>54</v>
          </cell>
          <cell r="O430">
            <v>162</v>
          </cell>
          <cell r="P430">
            <v>3.333333333333333</v>
          </cell>
          <cell r="Q430">
            <v>13.333333333333332</v>
          </cell>
          <cell r="R430">
            <v>0</v>
          </cell>
          <cell r="S430">
            <v>7</v>
          </cell>
          <cell r="T430" t="str">
            <v>C</v>
          </cell>
          <cell r="U430">
            <v>19.379629999999999</v>
          </cell>
          <cell r="V430" t="str">
            <v>Tanzeem Al Afkar Trading Company | شركة تنظيم الافكار للتجارة</v>
          </cell>
          <cell r="W430">
            <v>0</v>
          </cell>
          <cell r="X430">
            <v>193.79629999999997</v>
          </cell>
          <cell r="Z430" t="str">
            <v>RM-00443</v>
          </cell>
          <cell r="AA430" t="str">
            <v>Coconut Oil زيت جوز الهند</v>
          </cell>
          <cell r="AB430" t="str">
            <v>RM-00443</v>
          </cell>
          <cell r="AC430" t="str">
            <v>Coconut Oil زيت جوز الهند</v>
          </cell>
          <cell r="AD430">
            <v>19.379629999999999</v>
          </cell>
          <cell r="AE430" t="str">
            <v>Tanzeem Al Afkar Trading Company | شركة تنظيم الافكار للتجارة</v>
          </cell>
        </row>
        <row r="431">
          <cell r="B431" t="str">
            <v>RM-00328</v>
          </cell>
          <cell r="C431" t="str">
            <v>Dried banana slices شرائح موز مجفف</v>
          </cell>
          <cell r="D431" t="str">
            <v>Dried banana slices شرائح موز مجفف</v>
          </cell>
          <cell r="E431" t="str">
            <v/>
          </cell>
          <cell r="F431" t="str">
            <v/>
          </cell>
          <cell r="G431" t="str">
            <v/>
          </cell>
          <cell r="H431" t="str">
            <v/>
          </cell>
          <cell r="I431" t="str">
            <v/>
          </cell>
          <cell r="J431" t="str">
            <v>✓</v>
          </cell>
          <cell r="K431">
            <v>1</v>
          </cell>
          <cell r="L431">
            <v>20</v>
          </cell>
          <cell r="N431">
            <v>0</v>
          </cell>
          <cell r="O431">
            <v>0</v>
          </cell>
          <cell r="P431">
            <v>22</v>
          </cell>
          <cell r="Q431">
            <v>42</v>
          </cell>
          <cell r="R431">
            <v>42</v>
          </cell>
          <cell r="S431">
            <v>30</v>
          </cell>
          <cell r="T431" t="str">
            <v>A</v>
          </cell>
          <cell r="U431">
            <v>49</v>
          </cell>
          <cell r="V431" t="str">
            <v>Tanzeem Al Afkar Trading Company | شركة تنظيم الافكار للتجارة</v>
          </cell>
          <cell r="W431">
            <v>2058</v>
          </cell>
          <cell r="X431">
            <v>980</v>
          </cell>
          <cell r="Z431" t="str">
            <v>RM-00328</v>
          </cell>
          <cell r="AA431" t="str">
            <v>Dried banana slices شرائح موز مجفف</v>
          </cell>
          <cell r="AB431" t="str">
            <v>RM-00328</v>
          </cell>
          <cell r="AC431" t="str">
            <v>Dried banana slices شرائح موز مجفف</v>
          </cell>
          <cell r="AD431">
            <v>49</v>
          </cell>
          <cell r="AE431" t="str">
            <v>Tanzeem Al Afkar Trading Company | شركة تنظيم الافكار للتجارة</v>
          </cell>
        </row>
        <row r="432">
          <cell r="B432" t="str">
            <v>RM-00258</v>
          </cell>
          <cell r="C432" t="str">
            <v>Vanilla Beans AROME MADAGASCAR | حبوب الفانيلا مدغشقر</v>
          </cell>
          <cell r="D432" t="str">
            <v>Vanilla Beans AROME MADAGASCAR | حبوب الفانيلا مدغشقر</v>
          </cell>
          <cell r="E432" t="str">
            <v/>
          </cell>
          <cell r="F432" t="str">
            <v/>
          </cell>
          <cell r="G432" t="str">
            <v/>
          </cell>
          <cell r="H432" t="str">
            <v/>
          </cell>
          <cell r="I432" t="str">
            <v/>
          </cell>
          <cell r="J432" t="str">
            <v>✓</v>
          </cell>
          <cell r="K432">
            <v>1</v>
          </cell>
          <cell r="L432">
            <v>16</v>
          </cell>
          <cell r="N432">
            <v>46.5</v>
          </cell>
          <cell r="O432">
            <v>87.1875</v>
          </cell>
          <cell r="P432">
            <v>9.0666666666666664</v>
          </cell>
          <cell r="Q432">
            <v>25.066666666666666</v>
          </cell>
          <cell r="R432">
            <v>0</v>
          </cell>
          <cell r="S432">
            <v>14</v>
          </cell>
          <cell r="T432" t="str">
            <v>S</v>
          </cell>
          <cell r="U432">
            <v>1000</v>
          </cell>
          <cell r="V432" t="str">
            <v>Arome مؤﺳﺴﺔ ﺍﻟﺮﺍﺋﺤﺔ ﺍﻟﻤﺜﻠﻰ ﺍﻟﺘﺠﺎﺭﻳﺔ</v>
          </cell>
          <cell r="W432">
            <v>0</v>
          </cell>
          <cell r="X432">
            <v>16000</v>
          </cell>
          <cell r="Z432" t="str">
            <v>RM-00258</v>
          </cell>
          <cell r="AA432" t="str">
            <v>Vanilla Beans AROME MADAGASCAR | حبوب الفانيلا مدغشقر</v>
          </cell>
          <cell r="AB432" t="str">
            <v>RM-00258</v>
          </cell>
          <cell r="AC432" t="str">
            <v>Vanilla Beans AROME MADAGASCAR | حبوب الفانيلا مدغشقر</v>
          </cell>
          <cell r="AD432">
            <v>1000</v>
          </cell>
          <cell r="AE432" t="str">
            <v>Tanzeem Al Afkar Trading Company | شركة تنظيم الافكار للتجارة</v>
          </cell>
        </row>
        <row r="433">
          <cell r="B433" t="str">
            <v>RM-00114</v>
          </cell>
          <cell r="C433" t="str">
            <v>Brown Flour طحين فوم بر</v>
          </cell>
          <cell r="D433" t="str">
            <v>Brown Flour طحين فوم بر</v>
          </cell>
          <cell r="E433" t="str">
            <v/>
          </cell>
          <cell r="F433" t="str">
            <v/>
          </cell>
          <cell r="G433" t="str">
            <v/>
          </cell>
          <cell r="H433" t="str">
            <v/>
          </cell>
          <cell r="I433" t="str">
            <v/>
          </cell>
          <cell r="J433" t="str">
            <v>✓</v>
          </cell>
          <cell r="K433">
            <v>1</v>
          </cell>
          <cell r="L433">
            <v>50</v>
          </cell>
          <cell r="N433">
            <v>10</v>
          </cell>
          <cell r="O433">
            <v>6</v>
          </cell>
          <cell r="P433">
            <v>16.666666666666664</v>
          </cell>
          <cell r="Q433">
            <v>66.666666666666657</v>
          </cell>
          <cell r="R433">
            <v>56.666666666666657</v>
          </cell>
          <cell r="S433">
            <v>7</v>
          </cell>
          <cell r="T433" t="str">
            <v>S</v>
          </cell>
          <cell r="U433">
            <v>1.65</v>
          </cell>
          <cell r="V433" t="str">
            <v>Tanzeem Al Afkar Trading Company | شركة تنظيم الافكار للتجارة</v>
          </cell>
          <cell r="W433">
            <v>93.499999999999986</v>
          </cell>
          <cell r="X433">
            <v>82.5</v>
          </cell>
          <cell r="Z433" t="str">
            <v>RM-00114</v>
          </cell>
          <cell r="AA433" t="str">
            <v>Brown Flour طحين فوم بر</v>
          </cell>
          <cell r="AB433" t="str">
            <v>RM-00114</v>
          </cell>
          <cell r="AC433" t="str">
            <v>Brown Flour طحين فوم بر</v>
          </cell>
          <cell r="AD433">
            <v>1.65</v>
          </cell>
          <cell r="AE433" t="str">
            <v>Tanzeem Al Afkar Trading Company | شركة تنظيم الافكار للتجارة</v>
          </cell>
        </row>
        <row r="434">
          <cell r="B434" t="str">
            <v>RM-00331</v>
          </cell>
          <cell r="C434" t="str">
            <v>Gelatine Powder Bakemate بيكيميت جيلاتين بودر</v>
          </cell>
          <cell r="D434" t="str">
            <v>Gelatine Powder Bakemate بيكيميت جيلاتين بودر</v>
          </cell>
          <cell r="E434" t="str">
            <v/>
          </cell>
          <cell r="F434" t="str">
            <v/>
          </cell>
          <cell r="G434" t="str">
            <v/>
          </cell>
          <cell r="H434" t="str">
            <v/>
          </cell>
          <cell r="I434" t="str">
            <v/>
          </cell>
          <cell r="J434" t="str">
            <v>✓</v>
          </cell>
          <cell r="K434">
            <v>1</v>
          </cell>
          <cell r="L434">
            <v>14</v>
          </cell>
          <cell r="N434">
            <v>39.200000000000003</v>
          </cell>
          <cell r="O434">
            <v>84.000000000000014</v>
          </cell>
          <cell r="P434">
            <v>4.6666666666666661</v>
          </cell>
          <cell r="Q434">
            <v>18.666666666666664</v>
          </cell>
          <cell r="R434">
            <v>0</v>
          </cell>
          <cell r="S434">
            <v>7</v>
          </cell>
          <cell r="T434" t="str">
            <v>A</v>
          </cell>
          <cell r="U434">
            <v>92.142859999999999</v>
          </cell>
          <cell r="V434" t="str">
            <v>Ahmad A. Abed Trading Co. Ltd شركة احمد عبدالوهاب عابد للتجارة المحدودة</v>
          </cell>
          <cell r="W434">
            <v>0</v>
          </cell>
          <cell r="X434">
            <v>1290.0000399999999</v>
          </cell>
          <cell r="Z434" t="str">
            <v>RM-00331</v>
          </cell>
          <cell r="AA434" t="str">
            <v>Gelatine Powder Bakemate بيكيميت جيلاتين بودر</v>
          </cell>
          <cell r="AB434" t="str">
            <v>RM-00331</v>
          </cell>
          <cell r="AC434" t="str">
            <v>Gelatine Powder Bakemate بيكيميت جيلاتين بودر</v>
          </cell>
          <cell r="AD434">
            <v>92.142859999999999</v>
          </cell>
          <cell r="AE434" t="str">
            <v>Ahmad A. Abed Trading Co. Ltd شركة احمد عبدالوهاب عابد للتجارة المحدودة</v>
          </cell>
        </row>
        <row r="435">
          <cell r="B435" t="str">
            <v>RM-00314</v>
          </cell>
          <cell r="C435" t="str">
            <v>Vanilla Powder بودرة الفانيلا</v>
          </cell>
          <cell r="D435" t="str">
            <v>Vanilla Powder بودرة الفانيلا</v>
          </cell>
          <cell r="E435" t="str">
            <v/>
          </cell>
          <cell r="F435" t="str">
            <v/>
          </cell>
          <cell r="G435" t="str">
            <v/>
          </cell>
          <cell r="H435" t="str">
            <v/>
          </cell>
          <cell r="I435" t="str">
            <v/>
          </cell>
          <cell r="J435" t="str">
            <v>✓</v>
          </cell>
          <cell r="K435">
            <v>1</v>
          </cell>
          <cell r="L435">
            <v>1</v>
          </cell>
          <cell r="N435">
            <v>1720.32</v>
          </cell>
          <cell r="O435">
            <v>51609.599999999999</v>
          </cell>
          <cell r="P435">
            <v>0.33333333333333331</v>
          </cell>
          <cell r="Q435">
            <v>1.3333333333333333</v>
          </cell>
          <cell r="R435">
            <v>0</v>
          </cell>
          <cell r="S435">
            <v>7</v>
          </cell>
          <cell r="T435" t="str">
            <v>A</v>
          </cell>
          <cell r="U435">
            <v>6.5</v>
          </cell>
          <cell r="V435" t="str">
            <v>Ahmad A. Abed Trading Co. Ltd شركة احمد عبدالوهاب عابد للتجارة المحدودة</v>
          </cell>
          <cell r="W435">
            <v>0</v>
          </cell>
          <cell r="X435">
            <v>6.5</v>
          </cell>
          <cell r="Z435" t="str">
            <v>RM-00314</v>
          </cell>
          <cell r="AA435" t="str">
            <v>Vanilla Powder بودرة الفانيلا</v>
          </cell>
          <cell r="AB435" t="str">
            <v>RM-00314</v>
          </cell>
          <cell r="AC435" t="str">
            <v>Vanilla Powder بودرة الفانيلا</v>
          </cell>
          <cell r="AD435">
            <v>6.5</v>
          </cell>
          <cell r="AE435" t="str">
            <v>Ahmad A. Abed Trading Co. Ltd شركة احمد عبدالوهاب عابد للتجارة المحدودة</v>
          </cell>
        </row>
        <row r="436">
          <cell r="B436" t="str">
            <v>RM-00428</v>
          </cell>
          <cell r="C436" t="str">
            <v>Peeled pumpkin seeds حب قرع مقشر</v>
          </cell>
          <cell r="D436" t="str">
            <v>Peeled pumpkin seeds حب قرع مقشر</v>
          </cell>
          <cell r="E436" t="str">
            <v/>
          </cell>
          <cell r="F436" t="str">
            <v/>
          </cell>
          <cell r="G436" t="str">
            <v/>
          </cell>
          <cell r="H436" t="str">
            <v/>
          </cell>
          <cell r="I436" t="str">
            <v/>
          </cell>
          <cell r="J436" t="str">
            <v>✓</v>
          </cell>
          <cell r="K436">
            <v>1</v>
          </cell>
          <cell r="L436">
            <v>2</v>
          </cell>
          <cell r="N436">
            <v>30</v>
          </cell>
          <cell r="O436">
            <v>450</v>
          </cell>
          <cell r="P436">
            <v>0.66666666666666663</v>
          </cell>
          <cell r="Q436">
            <v>2.6666666666666665</v>
          </cell>
          <cell r="R436">
            <v>0</v>
          </cell>
          <cell r="S436">
            <v>7</v>
          </cell>
          <cell r="T436" t="str">
            <v>A</v>
          </cell>
          <cell r="U436">
            <v>18</v>
          </cell>
          <cell r="V436" t="str">
            <v>Tanzeem Al Afkar Trading Company | شركة تنظيم الافكار للتجارة</v>
          </cell>
          <cell r="W436">
            <v>0</v>
          </cell>
          <cell r="X436">
            <v>36</v>
          </cell>
          <cell r="Z436" t="str">
            <v>RM-00428</v>
          </cell>
          <cell r="AA436" t="str">
            <v>Peeled pumpkin seeds حب قرع مقشر</v>
          </cell>
          <cell r="AB436" t="str">
            <v>RM-00428</v>
          </cell>
          <cell r="AC436" t="str">
            <v>Peeled pumpkin seeds حب قرع مقشر</v>
          </cell>
          <cell r="AD436">
            <v>18</v>
          </cell>
          <cell r="AE436" t="str">
            <v>Tanzeem Al Afkar Trading Company | شركة تنظيم الافكار للتجارة</v>
          </cell>
        </row>
        <row r="437">
          <cell r="B437" t="str">
            <v>RM-00329</v>
          </cell>
          <cell r="C437" t="str">
            <v>Dried kiwi slices شرائح كيوي مجففة</v>
          </cell>
          <cell r="D437" t="str">
            <v>Dried kiwi slices شرائح كيوي مجففة</v>
          </cell>
          <cell r="E437" t="str">
            <v/>
          </cell>
          <cell r="F437" t="str">
            <v/>
          </cell>
          <cell r="G437" t="str">
            <v/>
          </cell>
          <cell r="H437" t="str">
            <v/>
          </cell>
          <cell r="I437" t="str">
            <v/>
          </cell>
          <cell r="J437" t="str">
            <v>✓</v>
          </cell>
          <cell r="K437">
            <v>1</v>
          </cell>
          <cell r="L437">
            <v>20</v>
          </cell>
          <cell r="N437">
            <v>0</v>
          </cell>
          <cell r="O437">
            <v>0</v>
          </cell>
          <cell r="P437">
            <v>22</v>
          </cell>
          <cell r="Q437">
            <v>42</v>
          </cell>
          <cell r="R437">
            <v>42</v>
          </cell>
          <cell r="S437">
            <v>30</v>
          </cell>
          <cell r="T437" t="str">
            <v>A</v>
          </cell>
          <cell r="U437">
            <v>49</v>
          </cell>
          <cell r="V437" t="str">
            <v>Tanzeem Al Afkar Trading Company | شركة تنظيم الافكار للتجارة</v>
          </cell>
          <cell r="W437">
            <v>2058</v>
          </cell>
          <cell r="X437">
            <v>980</v>
          </cell>
          <cell r="Z437" t="str">
            <v>RM-00329</v>
          </cell>
          <cell r="AA437" t="str">
            <v>Dried kiwi slices شرائح كيوي مجففة</v>
          </cell>
          <cell r="AB437" t="str">
            <v>RM-00329</v>
          </cell>
          <cell r="AC437" t="str">
            <v>Dried kiwi slices شرائح كيوي مجففة</v>
          </cell>
          <cell r="AD437">
            <v>49</v>
          </cell>
          <cell r="AE437" t="str">
            <v>Tanzeem Al Afkar Trading Company | شركة تنظيم الافكار للتجارة</v>
          </cell>
        </row>
        <row r="438">
          <cell r="B438" t="str">
            <v>RM-00154</v>
          </cell>
          <cell r="C438" t="str">
            <v>Chia seeds بذور الشيا</v>
          </cell>
          <cell r="D438" t="str">
            <v>Chia seeds بذور الشيا</v>
          </cell>
          <cell r="E438" t="str">
            <v/>
          </cell>
          <cell r="F438" t="str">
            <v/>
          </cell>
          <cell r="G438" t="str">
            <v/>
          </cell>
          <cell r="H438" t="str">
            <v/>
          </cell>
          <cell r="I438" t="str">
            <v/>
          </cell>
          <cell r="J438" t="str">
            <v>✓</v>
          </cell>
          <cell r="K438">
            <v>1</v>
          </cell>
          <cell r="L438">
            <v>1</v>
          </cell>
          <cell r="N438">
            <v>0</v>
          </cell>
          <cell r="O438">
            <v>0</v>
          </cell>
          <cell r="P438">
            <v>0.33333333333333331</v>
          </cell>
          <cell r="Q438">
            <v>1.3333333333333333</v>
          </cell>
          <cell r="R438">
            <v>1.3333333333333333</v>
          </cell>
          <cell r="S438">
            <v>7</v>
          </cell>
          <cell r="T438" t="str">
            <v>A</v>
          </cell>
          <cell r="U438">
            <v>18</v>
          </cell>
          <cell r="V438" t="str">
            <v>Tanzeem Al Afkar Trading Company | شركة تنظيم الافكار للتجارة</v>
          </cell>
          <cell r="W438">
            <v>24</v>
          </cell>
          <cell r="X438">
            <v>18</v>
          </cell>
          <cell r="Z438" t="str">
            <v>RM-00154</v>
          </cell>
          <cell r="AA438" t="str">
            <v>Chia seeds بذور الشيا</v>
          </cell>
          <cell r="AB438" t="str">
            <v>RM-00154</v>
          </cell>
          <cell r="AC438" t="str">
            <v>Chia seeds بذور الشيا</v>
          </cell>
          <cell r="AD438">
            <v>18</v>
          </cell>
          <cell r="AE438" t="str">
            <v>Tanzeem Al Afkar Trading Company | شركة تنظيم الافكار للتجارة</v>
          </cell>
        </row>
        <row r="439">
          <cell r="B439" t="str">
            <v>RM-00377</v>
          </cell>
          <cell r="C439" t="str">
            <v>Smoked turkey صدر ديك رومي مدخن</v>
          </cell>
          <cell r="D439" t="str">
            <v>Smoked turkey صدر ديك رومي مدخن</v>
          </cell>
          <cell r="E439" t="str">
            <v/>
          </cell>
          <cell r="F439" t="str">
            <v/>
          </cell>
          <cell r="G439" t="str">
            <v/>
          </cell>
          <cell r="H439" t="str">
            <v/>
          </cell>
          <cell r="I439" t="str">
            <v/>
          </cell>
          <cell r="J439" t="str">
            <v>✓</v>
          </cell>
          <cell r="K439">
            <v>1</v>
          </cell>
          <cell r="L439">
            <v>5</v>
          </cell>
          <cell r="N439">
            <v>0</v>
          </cell>
          <cell r="O439">
            <v>0</v>
          </cell>
          <cell r="P439">
            <v>1.6666666666666665</v>
          </cell>
          <cell r="Q439">
            <v>6.6666666666666661</v>
          </cell>
          <cell r="R439">
            <v>6.6666666666666661</v>
          </cell>
          <cell r="S439">
            <v>7</v>
          </cell>
          <cell r="T439" t="str">
            <v>A</v>
          </cell>
          <cell r="U439">
            <v>84.39</v>
          </cell>
          <cell r="V439" t="str">
            <v>Halwani Bros Co. شركة حلواني اخوان</v>
          </cell>
          <cell r="W439">
            <v>562.59999999999991</v>
          </cell>
          <cell r="X439">
            <v>421.95</v>
          </cell>
          <cell r="Z439" t="str">
            <v>RM-00377</v>
          </cell>
          <cell r="AA439" t="str">
            <v>Smoked turkey صدر ديك رومي مدخن</v>
          </cell>
          <cell r="AB439" t="str">
            <v>RM-00377</v>
          </cell>
          <cell r="AC439" t="str">
            <v>Smoked turkey صدر ديك رومي مدخن</v>
          </cell>
          <cell r="AD439">
            <v>84.39</v>
          </cell>
          <cell r="AE439" t="str">
            <v>Halwani Bros Co. شركة حلواني اخوان</v>
          </cell>
        </row>
        <row r="440">
          <cell r="B440" t="str">
            <v>RM-00018</v>
          </cell>
          <cell r="C440" t="str">
            <v>جبن شيدر انجليزي  Irish Mild yellow cheddar Cheese</v>
          </cell>
          <cell r="D440" t="str">
            <v>cheese chedder جبنة شيدر</v>
          </cell>
          <cell r="E440" t="str">
            <v/>
          </cell>
          <cell r="F440" t="str">
            <v/>
          </cell>
          <cell r="G440" t="str">
            <v/>
          </cell>
          <cell r="H440" t="str">
            <v>✓</v>
          </cell>
          <cell r="I440" t="str">
            <v/>
          </cell>
          <cell r="J440" t="str">
            <v>✓</v>
          </cell>
          <cell r="K440">
            <v>2</v>
          </cell>
          <cell r="L440">
            <v>9</v>
          </cell>
          <cell r="N440">
            <v>0</v>
          </cell>
          <cell r="O440">
            <v>0</v>
          </cell>
          <cell r="P440">
            <v>3</v>
          </cell>
          <cell r="Q440">
            <v>12</v>
          </cell>
          <cell r="R440">
            <v>12</v>
          </cell>
          <cell r="S440">
            <v>7</v>
          </cell>
          <cell r="T440" t="str">
            <v>A</v>
          </cell>
          <cell r="U440">
            <v>32.158589999999997</v>
          </cell>
          <cell r="V440" t="str">
            <v>شركة الطبق المفضل للتجارة</v>
          </cell>
          <cell r="W440">
            <v>385.90307999999993</v>
          </cell>
          <cell r="X440">
            <v>289.42730999999998</v>
          </cell>
          <cell r="Z440" t="str">
            <v>RM-00011</v>
          </cell>
          <cell r="AA440" t="str">
            <v>cheese chedder جبنة شيدر</v>
          </cell>
          <cell r="AB440" t="str">
            <v>RM-00018</v>
          </cell>
          <cell r="AC440" t="str">
            <v>جبن شيدر انجليزي  Irish Mild yellow cheddar Cheese</v>
          </cell>
          <cell r="AD440">
            <v>32</v>
          </cell>
          <cell r="AE440" t="str">
            <v>Gulf central Company - شركة الخليج الوسطى</v>
          </cell>
        </row>
        <row r="441">
          <cell r="B441" t="str">
            <v>RM-00272</v>
          </cell>
          <cell r="C441" t="str">
            <v>Pickels Cucumber مخلل الخيار</v>
          </cell>
          <cell r="D441" t="str">
            <v>Pickels Cucumber مخلل الخيار</v>
          </cell>
          <cell r="E441" t="str">
            <v/>
          </cell>
          <cell r="F441" t="str">
            <v/>
          </cell>
          <cell r="G441" t="str">
            <v/>
          </cell>
          <cell r="H441" t="str">
            <v/>
          </cell>
          <cell r="I441" t="str">
            <v/>
          </cell>
          <cell r="J441" t="str">
            <v>✓</v>
          </cell>
          <cell r="K441">
            <v>1</v>
          </cell>
          <cell r="L441">
            <v>5</v>
          </cell>
          <cell r="N441">
            <v>11.52</v>
          </cell>
          <cell r="O441">
            <v>69.11999999999999</v>
          </cell>
          <cell r="P441">
            <v>1.6666666666666665</v>
          </cell>
          <cell r="Q441">
            <v>6.6666666666666661</v>
          </cell>
          <cell r="R441">
            <v>0</v>
          </cell>
          <cell r="S441">
            <v>7</v>
          </cell>
          <cell r="T441" t="str">
            <v>A</v>
          </cell>
          <cell r="U441">
            <v>15.093540000000001</v>
          </cell>
          <cell r="V441" t="str">
            <v>شركة ناف الجود- NAF AL JOOD</v>
          </cell>
          <cell r="W441">
            <v>0</v>
          </cell>
          <cell r="X441">
            <v>75.467700000000008</v>
          </cell>
          <cell r="Z441" t="str">
            <v>RM-00272</v>
          </cell>
          <cell r="AA441" t="str">
            <v>Pickels Cucumber مخلل الخيار</v>
          </cell>
          <cell r="AB441" t="str">
            <v>RM-00272</v>
          </cell>
          <cell r="AC441" t="str">
            <v>Pickels Cucumber مخلل الخيار</v>
          </cell>
          <cell r="AD441">
            <v>15.093540000000001</v>
          </cell>
          <cell r="AE441" t="str">
            <v>شركة ناف الجود- NAF AL JOOD</v>
          </cell>
        </row>
        <row r="442">
          <cell r="B442" t="str">
            <v>RM-00617</v>
          </cell>
          <cell r="C442" t="str">
            <v>Saffaron Food Color - baba لون طعام زعفران - باب</v>
          </cell>
          <cell r="D442" t="str">
            <v>Saffaron Food Color - baba لون طعام زعفران - بابا</v>
          </cell>
          <cell r="E442" t="str">
            <v/>
          </cell>
          <cell r="F442" t="str">
            <v/>
          </cell>
          <cell r="G442" t="str">
            <v/>
          </cell>
          <cell r="H442" t="str">
            <v/>
          </cell>
          <cell r="I442" t="str">
            <v/>
          </cell>
          <cell r="J442" t="str">
            <v>✓</v>
          </cell>
          <cell r="K442">
            <v>1</v>
          </cell>
          <cell r="L442">
            <v>1</v>
          </cell>
          <cell r="N442">
            <v>106</v>
          </cell>
          <cell r="O442">
            <v>3180</v>
          </cell>
          <cell r="P442">
            <v>0.33333333333333331</v>
          </cell>
          <cell r="Q442">
            <v>1.3333333333333333</v>
          </cell>
          <cell r="R442">
            <v>0</v>
          </cell>
          <cell r="S442">
            <v>7</v>
          </cell>
          <cell r="T442" t="str">
            <v>A</v>
          </cell>
          <cell r="U442">
            <v>19.40625</v>
          </cell>
          <cell r="V442" t="str">
            <v>Tanzeem Al Afkar Trading Company | شركة تنظيم الافكار للتجارة</v>
          </cell>
          <cell r="W442">
            <v>0</v>
          </cell>
          <cell r="X442">
            <v>19.40625</v>
          </cell>
          <cell r="Z442" t="str">
            <v>RM-00617</v>
          </cell>
          <cell r="AA442" t="str">
            <v>Saffaron Food Color - baba لون طعام زعفران - بابا</v>
          </cell>
          <cell r="AB442" t="str">
            <v>RM-00617</v>
          </cell>
          <cell r="AC442" t="str">
            <v>Saffaron Food Color - baba لون طعام زعفران - باب</v>
          </cell>
          <cell r="AD442">
            <v>55</v>
          </cell>
          <cell r="AE442" t="str">
            <v>شركة ناف الجود- NAF AL JOOD</v>
          </cell>
        </row>
        <row r="443">
          <cell r="B443" t="str">
            <v>RM-00701</v>
          </cell>
          <cell r="C443" t="str">
            <v>TOMATO PESTO - ORIET GRADENS |بيستو بالطماطم</v>
          </cell>
          <cell r="D443" t="str">
            <v>TOMATO PESTO - ORIET GRADENS |بيستو بالطماطم</v>
          </cell>
          <cell r="E443" t="str">
            <v/>
          </cell>
          <cell r="F443" t="str">
            <v/>
          </cell>
          <cell r="G443" t="str">
            <v/>
          </cell>
          <cell r="H443" t="str">
            <v/>
          </cell>
          <cell r="I443" t="str">
            <v/>
          </cell>
          <cell r="J443" t="str">
            <v>✓</v>
          </cell>
          <cell r="K443">
            <v>1</v>
          </cell>
          <cell r="L443">
            <v>1</v>
          </cell>
          <cell r="N443">
            <v>9.36</v>
          </cell>
          <cell r="O443">
            <v>280.79999999999995</v>
          </cell>
          <cell r="P443">
            <v>0.33333333333333331</v>
          </cell>
          <cell r="Q443">
            <v>1.3333333333333333</v>
          </cell>
          <cell r="R443">
            <v>0</v>
          </cell>
          <cell r="S443">
            <v>7</v>
          </cell>
          <cell r="T443" t="str">
            <v>A</v>
          </cell>
          <cell r="U443">
            <v>62.529910000000001</v>
          </cell>
          <cell r="V443" t="str">
            <v>شركة ناف الجود- NAF AL JOOD</v>
          </cell>
          <cell r="W443">
            <v>0</v>
          </cell>
          <cell r="X443">
            <v>62.529910000000001</v>
          </cell>
          <cell r="Z443" t="str">
            <v>RM-00701</v>
          </cell>
          <cell r="AA443" t="str">
            <v>TOMATO PESTO - ORIET GRADENS |بيستو بالطماطم</v>
          </cell>
          <cell r="AB443" t="str">
            <v>RM-00701</v>
          </cell>
          <cell r="AC443" t="str">
            <v>TOMATO PESTO - ORIET GRADENS |بيستو بالطماطم</v>
          </cell>
          <cell r="AD443">
            <v>62.529910000000001</v>
          </cell>
          <cell r="AE443" t="str">
            <v>شركة تموين الشرق للتجارة</v>
          </cell>
        </row>
        <row r="444">
          <cell r="B444" t="str">
            <v>RM-00688</v>
          </cell>
          <cell r="C444" t="str">
            <v>زيتون كالاماتا / kalamon olives</v>
          </cell>
          <cell r="D444" t="str">
            <v>زيتون كالاماتا / kalamon olives</v>
          </cell>
          <cell r="E444" t="str">
            <v/>
          </cell>
          <cell r="F444" t="str">
            <v/>
          </cell>
          <cell r="G444" t="str">
            <v/>
          </cell>
          <cell r="H444" t="str">
            <v/>
          </cell>
          <cell r="I444" t="str">
            <v/>
          </cell>
          <cell r="J444" t="str">
            <v>✓</v>
          </cell>
          <cell r="K444">
            <v>1</v>
          </cell>
          <cell r="L444">
            <v>30</v>
          </cell>
          <cell r="N444">
            <v>644</v>
          </cell>
          <cell r="O444">
            <v>644</v>
          </cell>
          <cell r="P444">
            <v>10</v>
          </cell>
          <cell r="Q444">
            <v>40</v>
          </cell>
          <cell r="R444">
            <v>0</v>
          </cell>
          <cell r="S444">
            <v>7</v>
          </cell>
          <cell r="T444" t="str">
            <v>A</v>
          </cell>
          <cell r="U444">
            <v>25.2</v>
          </cell>
          <cell r="V444" t="str">
            <v>شركة الوصيل التجاريه - AL WASEEL</v>
          </cell>
          <cell r="W444">
            <v>0</v>
          </cell>
          <cell r="X444">
            <v>756</v>
          </cell>
          <cell r="Z444" t="str">
            <v>RM-00688</v>
          </cell>
          <cell r="AA444" t="str">
            <v>زيتون كالاماتا / kalamon olives</v>
          </cell>
          <cell r="AB444" t="str">
            <v>RM-00688</v>
          </cell>
          <cell r="AC444" t="str">
            <v>زيتون كالاماتا / kalamon olives</v>
          </cell>
          <cell r="AD444">
            <v>25.2</v>
          </cell>
          <cell r="AE444" t="str">
            <v>شركة ناف الجود- NAF AL JOOD</v>
          </cell>
        </row>
        <row r="445">
          <cell r="B445" t="str">
            <v>RM-00674</v>
          </cell>
          <cell r="C445" t="str">
            <v>Pizza Sauce</v>
          </cell>
          <cell r="D445" t="str">
            <v>صلصة بيتزا فرشلي / FRESHLY PIZZA SAUCE</v>
          </cell>
          <cell r="E445" t="str">
            <v/>
          </cell>
          <cell r="F445" t="str">
            <v/>
          </cell>
          <cell r="G445" t="str">
            <v/>
          </cell>
          <cell r="H445" t="str">
            <v/>
          </cell>
          <cell r="I445" t="str">
            <v/>
          </cell>
          <cell r="J445" t="str">
            <v/>
          </cell>
          <cell r="K445">
            <v>0</v>
          </cell>
          <cell r="L445">
            <v>1</v>
          </cell>
          <cell r="N445">
            <v>0</v>
          </cell>
          <cell r="O445">
            <v>0</v>
          </cell>
          <cell r="P445">
            <v>0.33333333333333331</v>
          </cell>
          <cell r="Q445">
            <v>1.3333333333333333</v>
          </cell>
          <cell r="R445">
            <v>1.3333333333333333</v>
          </cell>
          <cell r="S445">
            <v>7</v>
          </cell>
          <cell r="T445" t="str">
            <v>O</v>
          </cell>
          <cell r="U445">
            <v>19.392160000000001</v>
          </cell>
          <cell r="V445" t="str">
            <v>شركة الوصيل التجاريه - AL WASEEL</v>
          </cell>
          <cell r="W445">
            <v>25.856213333333333</v>
          </cell>
          <cell r="X445">
            <v>19.392160000000001</v>
          </cell>
          <cell r="Z445" t="str">
            <v>RM-00675</v>
          </cell>
          <cell r="AA445" t="str">
            <v>صلصة بيتزا فرشلي / FRESHLY PIZZA SAUCE</v>
          </cell>
          <cell r="AB445" t="str">
            <v>RM-00674</v>
          </cell>
          <cell r="AC445" t="str">
            <v>Pizza Sauce</v>
          </cell>
          <cell r="AD445">
            <v>19.392160000000001</v>
          </cell>
          <cell r="AE445" t="str">
            <v>شركة ناف الجود- NAF AL JOOD</v>
          </cell>
        </row>
        <row r="446">
          <cell r="B446" t="str">
            <v>RM-00650</v>
          </cell>
          <cell r="C446" t="str">
            <v>Saad Eddine microchip ميكروشية سعد الدين</v>
          </cell>
          <cell r="D446" t="str">
            <v>Saad Eddine microchip ميكروشية سعد الدين</v>
          </cell>
          <cell r="E446" t="str">
            <v/>
          </cell>
          <cell r="F446" t="str">
            <v/>
          </cell>
          <cell r="G446" t="str">
            <v/>
          </cell>
          <cell r="H446" t="str">
            <v/>
          </cell>
          <cell r="I446" t="str">
            <v/>
          </cell>
          <cell r="J446" t="str">
            <v>✓</v>
          </cell>
          <cell r="K446">
            <v>1</v>
          </cell>
          <cell r="L446">
            <v>10</v>
          </cell>
          <cell r="N446">
            <v>0</v>
          </cell>
          <cell r="O446">
            <v>0</v>
          </cell>
          <cell r="P446">
            <v>3.333333333333333</v>
          </cell>
          <cell r="Q446">
            <v>13.333333333333332</v>
          </cell>
          <cell r="R446">
            <v>13.333333333333332</v>
          </cell>
          <cell r="S446">
            <v>7</v>
          </cell>
          <cell r="T446" t="str">
            <v>A</v>
          </cell>
          <cell r="U446">
            <v>40.25</v>
          </cell>
          <cell r="V446" t="str">
            <v>Mohammed Ali Saadeddin | شركة محمد علي سعد الدين</v>
          </cell>
          <cell r="W446">
            <v>536.66666666666663</v>
          </cell>
          <cell r="X446">
            <v>402.5</v>
          </cell>
          <cell r="Z446" t="str">
            <v>RM-00650</v>
          </cell>
          <cell r="AA446" t="str">
            <v>Saad Eddine microchip ميكروشية سعد الدين</v>
          </cell>
          <cell r="AB446" t="str">
            <v>RM-00650</v>
          </cell>
          <cell r="AC446" t="str">
            <v>Saad Eddine microchip ميكروشية سعد الدين</v>
          </cell>
          <cell r="AD446">
            <v>40.25</v>
          </cell>
          <cell r="AE446" t="str">
            <v>Mohammed Ali Saadeddin | شركة محمد علي سعد الدين</v>
          </cell>
        </row>
        <row r="447">
          <cell r="B447" t="str">
            <v>RM-00618</v>
          </cell>
          <cell r="C447" t="str">
            <v>Lemon concentrated</v>
          </cell>
          <cell r="D447" t="str">
            <v>Lemon concentrated</v>
          </cell>
          <cell r="E447" t="str">
            <v/>
          </cell>
          <cell r="F447" t="str">
            <v/>
          </cell>
          <cell r="G447" t="str">
            <v/>
          </cell>
          <cell r="H447" t="str">
            <v/>
          </cell>
          <cell r="I447" t="str">
            <v/>
          </cell>
          <cell r="J447" t="str">
            <v>✓</v>
          </cell>
          <cell r="K447">
            <v>1</v>
          </cell>
          <cell r="L447">
            <v>3</v>
          </cell>
          <cell r="N447">
            <v>0</v>
          </cell>
          <cell r="O447">
            <v>0</v>
          </cell>
          <cell r="P447">
            <v>1</v>
          </cell>
          <cell r="Q447">
            <v>4</v>
          </cell>
          <cell r="R447">
            <v>4</v>
          </cell>
          <cell r="S447">
            <v>7</v>
          </cell>
          <cell r="T447" t="str">
            <v>A</v>
          </cell>
          <cell r="U447">
            <v>8</v>
          </cell>
          <cell r="V447" t="str">
            <v>Delta Star Trading Co.</v>
          </cell>
          <cell r="W447">
            <v>32</v>
          </cell>
          <cell r="X447">
            <v>24</v>
          </cell>
          <cell r="Z447" t="str">
            <v>RM-00618</v>
          </cell>
          <cell r="AA447" t="str">
            <v>Lemon concentrated</v>
          </cell>
          <cell r="AB447" t="str">
            <v>RM-00618</v>
          </cell>
          <cell r="AC447" t="str">
            <v>Lemon concentrated</v>
          </cell>
          <cell r="AD447">
            <v>8</v>
          </cell>
          <cell r="AE447" t="str">
            <v>Delta Star Trading Co.</v>
          </cell>
        </row>
        <row r="448">
          <cell r="B448" t="str">
            <v>RM-00432</v>
          </cell>
          <cell r="C448" t="str">
            <v>Sliced almond لوز شرايح امريكي</v>
          </cell>
          <cell r="D448" t="str">
            <v>Sliced almond لوز شرايح امريكي</v>
          </cell>
          <cell r="E448" t="str">
            <v/>
          </cell>
          <cell r="F448" t="str">
            <v/>
          </cell>
          <cell r="G448" t="str">
            <v/>
          </cell>
          <cell r="H448" t="str">
            <v/>
          </cell>
          <cell r="I448" t="str">
            <v/>
          </cell>
          <cell r="J448" t="str">
            <v>✓</v>
          </cell>
          <cell r="K448">
            <v>1</v>
          </cell>
          <cell r="L448">
            <v>130</v>
          </cell>
          <cell r="N448">
            <v>44</v>
          </cell>
          <cell r="O448">
            <v>10.153846153846155</v>
          </cell>
          <cell r="P448">
            <v>43.333333333333329</v>
          </cell>
          <cell r="Q448">
            <v>173.33333333333331</v>
          </cell>
          <cell r="R448">
            <v>129.33333333333331</v>
          </cell>
          <cell r="S448">
            <v>7</v>
          </cell>
          <cell r="T448" t="str">
            <v>A</v>
          </cell>
          <cell r="U448">
            <v>36.155200000000001</v>
          </cell>
          <cell r="V448" t="str">
            <v>شركة خالد درع الدرع وشريكة المحدودة</v>
          </cell>
          <cell r="W448">
            <v>4676.072533333333</v>
          </cell>
          <cell r="X448">
            <v>4700.1760000000004</v>
          </cell>
          <cell r="Z448" t="str">
            <v>RM-00432</v>
          </cell>
          <cell r="AA448" t="str">
            <v>Sliced almond لوز شرايح امريكي</v>
          </cell>
          <cell r="AB448" t="str">
            <v>RM-00432</v>
          </cell>
          <cell r="AC448" t="str">
            <v>Sliced almond لوز شرايح امريكي</v>
          </cell>
          <cell r="AD448">
            <v>36.155200000000001</v>
          </cell>
          <cell r="AE448" t="str">
            <v>شركة خالد درع الدرع وشريكة المحدودة</v>
          </cell>
        </row>
        <row r="449">
          <cell r="B449" t="str">
            <v>RM-00336</v>
          </cell>
          <cell r="C449" t="str">
            <v>فراولة مجففة | Dried strawberries</v>
          </cell>
          <cell r="D449" t="str">
            <v>فراولة مجففة | Dried strawberries</v>
          </cell>
          <cell r="E449" t="str">
            <v/>
          </cell>
          <cell r="F449" t="str">
            <v/>
          </cell>
          <cell r="G449" t="str">
            <v/>
          </cell>
          <cell r="H449" t="str">
            <v/>
          </cell>
          <cell r="I449" t="str">
            <v/>
          </cell>
          <cell r="J449" t="str">
            <v>✓</v>
          </cell>
          <cell r="K449">
            <v>1</v>
          </cell>
          <cell r="L449">
            <v>10</v>
          </cell>
          <cell r="N449">
            <v>0</v>
          </cell>
          <cell r="O449">
            <v>0</v>
          </cell>
          <cell r="P449">
            <v>5.6666666666666661</v>
          </cell>
          <cell r="Q449">
            <v>15.666666666666666</v>
          </cell>
          <cell r="R449">
            <v>15.666666666666666</v>
          </cell>
          <cell r="S449">
            <v>14</v>
          </cell>
          <cell r="T449" t="str">
            <v>A</v>
          </cell>
          <cell r="U449">
            <v>45</v>
          </cell>
          <cell r="V449" t="str">
            <v>شركة خطوط الافكار للتجارة</v>
          </cell>
          <cell r="W449">
            <v>705</v>
          </cell>
          <cell r="X449">
            <v>450</v>
          </cell>
          <cell r="Z449" t="str">
            <v>RM-00336</v>
          </cell>
          <cell r="AA449" t="str">
            <v>فراولة مجففة | Dried strawberries</v>
          </cell>
          <cell r="AB449" t="str">
            <v>RM-00336</v>
          </cell>
          <cell r="AC449" t="str">
            <v>فراولة مجففة | Dried strawberries</v>
          </cell>
          <cell r="AD449">
            <v>45</v>
          </cell>
          <cell r="AE449" t="str">
            <v>شركة زاد الطبيعة (متجر ميروس)</v>
          </cell>
        </row>
        <row r="450">
          <cell r="B450" t="str">
            <v>RM-00118</v>
          </cell>
          <cell r="C450" t="str">
            <v>Bobs Red Mill Vital Wheat Gluten Flour دقيق جلوتين القمح الحيوي</v>
          </cell>
          <cell r="D450" t="str">
            <v>Bobs Red Mill Vital Wheat Gluten Flour دقيق جلوتين القمح الحيوي</v>
          </cell>
          <cell r="E450" t="str">
            <v/>
          </cell>
          <cell r="F450" t="str">
            <v/>
          </cell>
          <cell r="G450" t="str">
            <v/>
          </cell>
          <cell r="H450" t="str">
            <v/>
          </cell>
          <cell r="I450" t="str">
            <v/>
          </cell>
          <cell r="J450" t="str">
            <v>✓</v>
          </cell>
          <cell r="K450">
            <v>1</v>
          </cell>
          <cell r="L450">
            <v>3</v>
          </cell>
          <cell r="N450">
            <v>250</v>
          </cell>
          <cell r="O450">
            <v>2500</v>
          </cell>
          <cell r="P450">
            <v>1</v>
          </cell>
          <cell r="Q450">
            <v>4</v>
          </cell>
          <cell r="R450">
            <v>0</v>
          </cell>
          <cell r="S450">
            <v>7</v>
          </cell>
          <cell r="T450" t="str">
            <v>A</v>
          </cell>
          <cell r="U450">
            <v>0.86667000000000005</v>
          </cell>
          <cell r="V450" t="str">
            <v>Abdullah .M Akhudairi Sons' co. شركة ابناء عبدالله محمد الخضيري</v>
          </cell>
          <cell r="W450">
            <v>0</v>
          </cell>
          <cell r="X450">
            <v>2.6000100000000002</v>
          </cell>
          <cell r="Z450" t="str">
            <v>RM-00118</v>
          </cell>
          <cell r="AA450" t="str">
            <v>Bobs Red Mill Vital Wheat Gluten Flour دقيق جلوتين القمح الحيوي</v>
          </cell>
          <cell r="AB450" t="str">
            <v>RM-00118</v>
          </cell>
          <cell r="AC450" t="str">
            <v>Bobs Red Mill Vital Wheat Gluten Flour دقيق جلوتين القمح الحيوي</v>
          </cell>
          <cell r="AD450">
            <v>0.86667000000000005</v>
          </cell>
          <cell r="AE450" t="str">
            <v>Ahmad A. Abed Trading Co. Ltd شركة احمد عبدالوهاب عابد للتجارة المحدودة</v>
          </cell>
        </row>
        <row r="451">
          <cell r="B451" t="str">
            <v>RM-00428</v>
          </cell>
          <cell r="C451" t="str">
            <v>Peeled pumpkin seeds حب قرع مقشر</v>
          </cell>
          <cell r="D451" t="str">
            <v>Pumpkin seeds |حب قرع مقشر</v>
          </cell>
          <cell r="E451" t="str">
            <v/>
          </cell>
          <cell r="F451" t="str">
            <v/>
          </cell>
          <cell r="G451" t="str">
            <v/>
          </cell>
          <cell r="H451" t="str">
            <v/>
          </cell>
          <cell r="I451" t="str">
            <v/>
          </cell>
          <cell r="J451" t="str">
            <v>✓</v>
          </cell>
          <cell r="K451">
            <v>1</v>
          </cell>
          <cell r="L451">
            <v>10</v>
          </cell>
          <cell r="N451">
            <v>30</v>
          </cell>
          <cell r="O451">
            <v>90</v>
          </cell>
          <cell r="P451">
            <v>3.333333333333333</v>
          </cell>
          <cell r="Q451">
            <v>13.333333333333332</v>
          </cell>
          <cell r="R451">
            <v>0</v>
          </cell>
          <cell r="S451">
            <v>7</v>
          </cell>
          <cell r="T451" t="str">
            <v>O</v>
          </cell>
          <cell r="U451">
            <v>18</v>
          </cell>
          <cell r="V451" t="str">
            <v>Tanzeem Al Afkar Trading Company | شركة تنظيم الافكار للتجارة</v>
          </cell>
          <cell r="W451">
            <v>0</v>
          </cell>
          <cell r="X451">
            <v>180</v>
          </cell>
          <cell r="Z451" t="str">
            <v>RM-00699</v>
          </cell>
          <cell r="AA451" t="str">
            <v>Pumpkin seeds |حب قرع مقشر</v>
          </cell>
          <cell r="AB451" t="str">
            <v>RM-00428</v>
          </cell>
          <cell r="AC451" t="str">
            <v>Peeled pumpkin seeds حب قرع مقشر</v>
          </cell>
          <cell r="AD451">
            <v>18</v>
          </cell>
          <cell r="AE451" t="str">
            <v>Tanzeem Al Afkar Trading Company | شركة تنظيم الافكار للتجارة</v>
          </cell>
        </row>
        <row r="452">
          <cell r="B452" t="str">
            <v>RM-00269</v>
          </cell>
          <cell r="C452" t="str">
            <v>Sweet Paprika بابريكا</v>
          </cell>
          <cell r="D452" t="str">
            <v>Sweet Paprika بابريكا</v>
          </cell>
          <cell r="E452" t="str">
            <v/>
          </cell>
          <cell r="F452" t="str">
            <v/>
          </cell>
          <cell r="G452" t="str">
            <v/>
          </cell>
          <cell r="H452" t="str">
            <v/>
          </cell>
          <cell r="I452" t="str">
            <v/>
          </cell>
          <cell r="J452" t="str">
            <v>✓</v>
          </cell>
          <cell r="K452">
            <v>1</v>
          </cell>
          <cell r="L452">
            <v>1</v>
          </cell>
          <cell r="N452">
            <v>65.448000000000008</v>
          </cell>
          <cell r="O452">
            <v>1963.4400000000003</v>
          </cell>
          <cell r="P452">
            <v>0.33333333333333331</v>
          </cell>
          <cell r="Q452">
            <v>1.3333333333333333</v>
          </cell>
          <cell r="R452">
            <v>0</v>
          </cell>
          <cell r="S452">
            <v>7</v>
          </cell>
          <cell r="T452" t="str">
            <v>A</v>
          </cell>
          <cell r="U452">
            <v>60.572690000000001</v>
          </cell>
          <cell r="V452" t="str">
            <v>Gourmet Gate شركة بوابة الذواقة لتجارة الاغذية</v>
          </cell>
          <cell r="W452">
            <v>0</v>
          </cell>
          <cell r="X452">
            <v>60.572690000000001</v>
          </cell>
          <cell r="Z452" t="str">
            <v>RM-00269</v>
          </cell>
          <cell r="AA452" t="str">
            <v>Sweet Paprika بابريكا</v>
          </cell>
          <cell r="AB452" t="str">
            <v>RM-00269</v>
          </cell>
          <cell r="AC452" t="str">
            <v>Sweet Paprika بابريكا</v>
          </cell>
          <cell r="AD452">
            <v>112.88545999999999</v>
          </cell>
          <cell r="AE452" t="str">
            <v>Tanzeem Al Afkar Trading Company | شركة تنظيم الافكار للتجارة</v>
          </cell>
        </row>
        <row r="453">
          <cell r="B453" t="str">
            <v>RM-00237</v>
          </cell>
          <cell r="C453" t="str">
            <v>Coopoliva Olives زيتون اسود كوبوليفا</v>
          </cell>
          <cell r="D453" t="str">
            <v>Coopoliva Olives زيتون اسود كوبوليفا</v>
          </cell>
          <cell r="E453" t="str">
            <v/>
          </cell>
          <cell r="F453" t="str">
            <v/>
          </cell>
          <cell r="G453" t="str">
            <v/>
          </cell>
          <cell r="H453" t="str">
            <v/>
          </cell>
          <cell r="I453" t="str">
            <v/>
          </cell>
          <cell r="J453" t="str">
            <v>✓</v>
          </cell>
          <cell r="K453">
            <v>1</v>
          </cell>
          <cell r="L453">
            <v>5</v>
          </cell>
          <cell r="N453">
            <v>19.2</v>
          </cell>
          <cell r="O453">
            <v>115.19999999999999</v>
          </cell>
          <cell r="P453">
            <v>1.6666666666666665</v>
          </cell>
          <cell r="Q453">
            <v>6.6666666666666661</v>
          </cell>
          <cell r="R453">
            <v>0</v>
          </cell>
          <cell r="S453">
            <v>7</v>
          </cell>
          <cell r="T453" t="str">
            <v>A</v>
          </cell>
          <cell r="U453">
            <v>31.14583</v>
          </cell>
          <cell r="V453" t="str">
            <v>Tanzeem Al Afkar Trading Company | شركة تنظيم الافكار للتجارة</v>
          </cell>
          <cell r="W453">
            <v>0</v>
          </cell>
          <cell r="X453">
            <v>155.72915</v>
          </cell>
          <cell r="Z453" t="str">
            <v>RM-00237</v>
          </cell>
          <cell r="AA453" t="str">
            <v>Coopoliva Olives زيتون اسود كوبوليفا</v>
          </cell>
          <cell r="AB453" t="str">
            <v>RM-00237</v>
          </cell>
          <cell r="AC453" t="str">
            <v>Coopoliva Olives زيتون اسود كوبوليفا</v>
          </cell>
          <cell r="AD453">
            <v>31.14583</v>
          </cell>
          <cell r="AE453" t="str">
            <v>Tanzeem Al Afkar Trading Company | شركة تنظيم الافكار للتجارة</v>
          </cell>
        </row>
        <row r="454">
          <cell r="B454" t="str">
            <v>RM-00144</v>
          </cell>
          <cell r="C454" t="str">
            <v>Ground cinnamon قرفة مطحونة</v>
          </cell>
          <cell r="D454" t="str">
            <v>Ground cinnamon قرفة مطحونة</v>
          </cell>
          <cell r="E454" t="str">
            <v/>
          </cell>
          <cell r="F454" t="str">
            <v/>
          </cell>
          <cell r="G454" t="str">
            <v/>
          </cell>
          <cell r="H454" t="str">
            <v/>
          </cell>
          <cell r="I454" t="str">
            <v/>
          </cell>
          <cell r="J454" t="str">
            <v>✓</v>
          </cell>
          <cell r="K454">
            <v>1</v>
          </cell>
          <cell r="L454">
            <v>6</v>
          </cell>
          <cell r="N454">
            <v>162</v>
          </cell>
          <cell r="O454">
            <v>810</v>
          </cell>
          <cell r="P454">
            <v>2</v>
          </cell>
          <cell r="Q454">
            <v>8</v>
          </cell>
          <cell r="R454">
            <v>0</v>
          </cell>
          <cell r="S454">
            <v>7</v>
          </cell>
          <cell r="T454" t="str">
            <v>A</v>
          </cell>
          <cell r="U454">
            <v>12.074999999999999</v>
          </cell>
          <cell r="V454" t="str">
            <v>Tanzeem Al Afkar Trading Company | شركة تنظيم الافكار للتجارة</v>
          </cell>
          <cell r="W454">
            <v>0</v>
          </cell>
          <cell r="X454">
            <v>72.449999999999989</v>
          </cell>
          <cell r="Z454" t="str">
            <v>RM-00144</v>
          </cell>
          <cell r="AA454" t="str">
            <v>Ground cinnamon قرفة مطحونة</v>
          </cell>
          <cell r="AB454" t="str">
            <v>RM-00144</v>
          </cell>
          <cell r="AC454" t="str">
            <v>Ground cinnamon قرفة مطحونة</v>
          </cell>
          <cell r="AD454">
            <v>12.074999999999999</v>
          </cell>
          <cell r="AE454" t="str">
            <v>Tanzeem Al Afkar Trading Company | شركة تنظيم الافكار للتجارة</v>
          </cell>
        </row>
        <row r="455">
          <cell r="B455" t="str">
            <v>RM-00528</v>
          </cell>
          <cell r="C455" t="str">
            <v>Powder Milk - Haliحليب بودرة هالي</v>
          </cell>
          <cell r="D455" t="str">
            <v>Powder Milk - Haliحليب بودرة هالي</v>
          </cell>
          <cell r="E455" t="str">
            <v/>
          </cell>
          <cell r="F455" t="str">
            <v/>
          </cell>
          <cell r="G455" t="str">
            <v/>
          </cell>
          <cell r="H455" t="str">
            <v/>
          </cell>
          <cell r="I455" t="str">
            <v/>
          </cell>
          <cell r="J455" t="str">
            <v>✓</v>
          </cell>
          <cell r="K455">
            <v>1</v>
          </cell>
          <cell r="L455">
            <v>105</v>
          </cell>
          <cell r="N455">
            <v>140.4</v>
          </cell>
          <cell r="O455">
            <v>40.114285714285714</v>
          </cell>
          <cell r="P455">
            <v>35</v>
          </cell>
          <cell r="Q455">
            <v>140</v>
          </cell>
          <cell r="R455">
            <v>0</v>
          </cell>
          <cell r="S455">
            <v>7</v>
          </cell>
          <cell r="T455" t="str">
            <v>C</v>
          </cell>
          <cell r="U455">
            <v>27.466670000000001</v>
          </cell>
          <cell r="V455" t="str">
            <v>شركة ناف الجود- NAF AL JOOD</v>
          </cell>
          <cell r="W455">
            <v>0</v>
          </cell>
          <cell r="X455">
            <v>2884.0003500000003</v>
          </cell>
          <cell r="Z455" t="str">
            <v>RM-00528</v>
          </cell>
          <cell r="AA455" t="str">
            <v xml:space="preserve">Powder Milk - Haliحليب بودرة هالي </v>
          </cell>
          <cell r="AB455" t="str">
            <v>RM-00528</v>
          </cell>
          <cell r="AC455" t="str">
            <v>Powder Milk - Haliحليب بودرة هالي</v>
          </cell>
          <cell r="AD455">
            <v>27.466670000000001</v>
          </cell>
          <cell r="AE455" t="str">
            <v>شركة ناف الجود- NAF AL JOOD</v>
          </cell>
        </row>
        <row r="456">
          <cell r="B456" t="str">
            <v>RM-00640</v>
          </cell>
          <cell r="C456" t="str">
            <v>Cucumber | خيار</v>
          </cell>
          <cell r="D456" t="str">
            <v>Cucumber | خيار</v>
          </cell>
          <cell r="E456" t="str">
            <v/>
          </cell>
          <cell r="F456" t="str">
            <v/>
          </cell>
          <cell r="G456" t="str">
            <v/>
          </cell>
          <cell r="H456" t="str">
            <v/>
          </cell>
          <cell r="I456" t="str">
            <v/>
          </cell>
          <cell r="J456" t="str">
            <v>✓</v>
          </cell>
          <cell r="K456">
            <v>1</v>
          </cell>
          <cell r="L456">
            <v>45</v>
          </cell>
          <cell r="N456">
            <v>0</v>
          </cell>
          <cell r="O456">
            <v>0</v>
          </cell>
          <cell r="P456">
            <v>15</v>
          </cell>
          <cell r="Q456">
            <v>60</v>
          </cell>
          <cell r="R456">
            <v>60</v>
          </cell>
          <cell r="S456">
            <v>7</v>
          </cell>
          <cell r="T456" t="str">
            <v>A</v>
          </cell>
          <cell r="U456">
            <v>3.5</v>
          </cell>
          <cell r="V456" t="str">
            <v>Delta Star Trading Co.</v>
          </cell>
          <cell r="W456">
            <v>210</v>
          </cell>
          <cell r="X456">
            <v>157.5</v>
          </cell>
          <cell r="Z456" t="str">
            <v>RM-00640</v>
          </cell>
          <cell r="AA456" t="str">
            <v>Cucumber | خيار</v>
          </cell>
          <cell r="AB456" t="str">
            <v>RM-00640</v>
          </cell>
          <cell r="AC456" t="str">
            <v>Cucumber | خيار</v>
          </cell>
          <cell r="AD456">
            <v>3.5</v>
          </cell>
          <cell r="AE456" t="str">
            <v>Delta Star Trading Co.</v>
          </cell>
        </row>
        <row r="457">
          <cell r="B457" t="str">
            <v>RM-00148</v>
          </cell>
          <cell r="C457" t="str">
            <v>Clove قرنفل</v>
          </cell>
          <cell r="D457" t="str">
            <v>Cloves Indonesian قرنفل</v>
          </cell>
          <cell r="E457" t="str">
            <v/>
          </cell>
          <cell r="F457" t="str">
            <v/>
          </cell>
          <cell r="G457" t="str">
            <v/>
          </cell>
          <cell r="H457" t="str">
            <v>✓</v>
          </cell>
          <cell r="I457" t="str">
            <v/>
          </cell>
          <cell r="J457" t="str">
            <v>✓</v>
          </cell>
          <cell r="K457">
            <v>2</v>
          </cell>
          <cell r="L457">
            <v>1</v>
          </cell>
          <cell r="N457">
            <v>10</v>
          </cell>
          <cell r="O457">
            <v>300</v>
          </cell>
          <cell r="P457">
            <v>0.33333333333333331</v>
          </cell>
          <cell r="Q457">
            <v>1.3333333333333333</v>
          </cell>
          <cell r="R457">
            <v>0</v>
          </cell>
          <cell r="S457">
            <v>7</v>
          </cell>
          <cell r="T457" t="str">
            <v>O</v>
          </cell>
          <cell r="U457">
            <v>53</v>
          </cell>
          <cell r="V457" t="str">
            <v>Tanzeem Al Afkar Trading Company | شركة تنظيم الافكار للتجارة</v>
          </cell>
          <cell r="W457">
            <v>0</v>
          </cell>
          <cell r="X457">
            <v>53</v>
          </cell>
          <cell r="Z457" t="str">
            <v>RM-00213</v>
          </cell>
          <cell r="AA457" t="str">
            <v>Cloves Indonesian قرنفل</v>
          </cell>
          <cell r="AB457" t="str">
            <v>RM-00148</v>
          </cell>
          <cell r="AC457" t="str">
            <v>Clove قرنفل</v>
          </cell>
          <cell r="AD457">
            <v>53</v>
          </cell>
          <cell r="AE457" t="str">
            <v>Tanzeem Al Afkar Trading Company | شركة تنظيم الافكار للتجارة</v>
          </cell>
        </row>
        <row r="458">
          <cell r="B458" t="str">
            <v>RM-00188</v>
          </cell>
          <cell r="C458" t="str">
            <v>Date paste معجون تمر</v>
          </cell>
          <cell r="D458" t="str">
            <v>Date paste معجون تمر</v>
          </cell>
          <cell r="E458" t="str">
            <v/>
          </cell>
          <cell r="F458" t="str">
            <v/>
          </cell>
          <cell r="G458" t="str">
            <v/>
          </cell>
          <cell r="H458" t="str">
            <v/>
          </cell>
          <cell r="I458" t="str">
            <v/>
          </cell>
          <cell r="J458" t="str">
            <v>✓</v>
          </cell>
          <cell r="K458">
            <v>1</v>
          </cell>
          <cell r="L458">
            <v>12</v>
          </cell>
          <cell r="N458">
            <v>8</v>
          </cell>
          <cell r="O458">
            <v>20</v>
          </cell>
          <cell r="P458">
            <v>4</v>
          </cell>
          <cell r="Q458">
            <v>16</v>
          </cell>
          <cell r="R458">
            <v>8</v>
          </cell>
          <cell r="S458">
            <v>7</v>
          </cell>
          <cell r="T458" t="str">
            <v>C</v>
          </cell>
          <cell r="U458">
            <v>7</v>
          </cell>
          <cell r="V458" t="str">
            <v>Tanzeem Al Afkar Trading Company | شركة تنظيم الافكار للتجارة</v>
          </cell>
          <cell r="W458">
            <v>56</v>
          </cell>
          <cell r="X458">
            <v>84</v>
          </cell>
          <cell r="Z458" t="str">
            <v>RM-00188</v>
          </cell>
          <cell r="AA458" t="str">
            <v>Date paste معجون تمر</v>
          </cell>
          <cell r="AB458" t="str">
            <v>RM-00188</v>
          </cell>
          <cell r="AC458" t="str">
            <v>Date paste معجون تمر</v>
          </cell>
          <cell r="AD458">
            <v>7</v>
          </cell>
          <cell r="AE458" t="str">
            <v>Tanzeem Al Afkar Trading Company | شركة تنظيم الافكار للتجارة</v>
          </cell>
        </row>
        <row r="459">
          <cell r="B459" t="str">
            <v>RM-00155</v>
          </cell>
          <cell r="C459" t="str">
            <v>Dates Ekhlasتمر اخلاص</v>
          </cell>
          <cell r="D459" t="str">
            <v>Dates Ekhlasتمر اخلاص</v>
          </cell>
          <cell r="E459" t="str">
            <v/>
          </cell>
          <cell r="F459" t="str">
            <v/>
          </cell>
          <cell r="G459" t="str">
            <v/>
          </cell>
          <cell r="H459" t="str">
            <v/>
          </cell>
          <cell r="I459" t="str">
            <v/>
          </cell>
          <cell r="J459" t="str">
            <v>✓</v>
          </cell>
          <cell r="K459">
            <v>1</v>
          </cell>
          <cell r="L459">
            <v>30</v>
          </cell>
          <cell r="N459">
            <v>296</v>
          </cell>
          <cell r="O459">
            <v>296</v>
          </cell>
          <cell r="P459">
            <v>10</v>
          </cell>
          <cell r="Q459">
            <v>40</v>
          </cell>
          <cell r="R459">
            <v>0</v>
          </cell>
          <cell r="S459">
            <v>7</v>
          </cell>
          <cell r="T459" t="str">
            <v>A</v>
          </cell>
          <cell r="U459">
            <v>7.5</v>
          </cell>
          <cell r="V459" t="str">
            <v>Tanzeem Al Afkar Trading Company | شركة تنظيم الافكار للتجارة</v>
          </cell>
          <cell r="W459">
            <v>0</v>
          </cell>
          <cell r="X459">
            <v>225</v>
          </cell>
          <cell r="Z459" t="str">
            <v>RM-00155</v>
          </cell>
          <cell r="AA459" t="str">
            <v>Dates Ekhlasتمر اخلاص</v>
          </cell>
          <cell r="AB459" t="str">
            <v>RM-00155</v>
          </cell>
          <cell r="AC459" t="str">
            <v>Dates Ekhlasتمر اخلاص</v>
          </cell>
          <cell r="AD459">
            <v>7.5</v>
          </cell>
          <cell r="AE459" t="str">
            <v>Tanzeem Al Afkar Trading Company | شركة تنظيم الافكار للتجارة</v>
          </cell>
        </row>
        <row r="460">
          <cell r="B460" t="str">
            <v>PM-00089</v>
          </cell>
          <cell r="C460" t="str">
            <v>Bar Box ( Breehant ) بوكس البارات ( بريهانت )</v>
          </cell>
          <cell r="D460" t="str">
            <v>Bar Box ( Breehant ) بوكس البارات ( بريهانت )</v>
          </cell>
          <cell r="E460" t="str">
            <v/>
          </cell>
          <cell r="F460" t="str">
            <v/>
          </cell>
          <cell r="G460" t="str">
            <v/>
          </cell>
          <cell r="H460" t="str">
            <v/>
          </cell>
          <cell r="I460" t="str">
            <v/>
          </cell>
          <cell r="J460" t="str">
            <v>✓</v>
          </cell>
          <cell r="K460">
            <v>1</v>
          </cell>
          <cell r="L460">
            <v>10000</v>
          </cell>
          <cell r="N460">
            <v>0</v>
          </cell>
          <cell r="O460">
            <v>0</v>
          </cell>
          <cell r="P460">
            <v>3333.333333333333</v>
          </cell>
          <cell r="Q460">
            <v>13333.333333333332</v>
          </cell>
          <cell r="R460">
            <v>13333.333333333332</v>
          </cell>
          <cell r="S460">
            <v>7</v>
          </cell>
          <cell r="T460" t="str">
            <v>A</v>
          </cell>
          <cell r="U460">
            <v>0.22</v>
          </cell>
          <cell r="V460" t="str">
            <v>شركة مطابع الأمل الحديثة</v>
          </cell>
          <cell r="W460">
            <v>2933.333333333333</v>
          </cell>
          <cell r="X460">
            <v>2200</v>
          </cell>
          <cell r="Z460" t="str">
            <v>PM-00752</v>
          </cell>
          <cell r="AA460" t="str">
            <v>استيكر الدولسي نمق | Namq Dolce Sticker</v>
          </cell>
          <cell r="AB460" t="str">
            <v>PM-00089</v>
          </cell>
          <cell r="AC460" t="str">
            <v>Bar Box ( Breehant ) بوكس البارات ( بريهانت )</v>
          </cell>
          <cell r="AD460">
            <v>0.05</v>
          </cell>
          <cell r="AE460" t="str">
            <v>المربع الفعال</v>
          </cell>
        </row>
        <row r="461">
          <cell r="B461" t="str">
            <v>PM-00377</v>
          </cell>
          <cell r="C461" t="str">
            <v>Crunchy Chocolate sticker (BREEHANT) ملصق كرانشي شوكلت ( بريهانت )</v>
          </cell>
          <cell r="D461" t="str">
            <v>Crunchy Chocolate Sticker Breehene</v>
          </cell>
          <cell r="E461" t="str">
            <v/>
          </cell>
          <cell r="F461" t="str">
            <v/>
          </cell>
          <cell r="G461" t="str">
            <v/>
          </cell>
          <cell r="H461" t="str">
            <v/>
          </cell>
          <cell r="I461" t="str">
            <v/>
          </cell>
          <cell r="J461" t="str">
            <v>✓</v>
          </cell>
          <cell r="K461">
            <v>1</v>
          </cell>
          <cell r="L461">
            <v>1500</v>
          </cell>
          <cell r="N461">
            <v>4000</v>
          </cell>
          <cell r="O461">
            <v>80</v>
          </cell>
          <cell r="P461">
            <v>1150</v>
          </cell>
          <cell r="Q461">
            <v>2650</v>
          </cell>
          <cell r="R461">
            <v>0</v>
          </cell>
          <cell r="S461">
            <v>20</v>
          </cell>
          <cell r="T461" t="str">
            <v>A</v>
          </cell>
          <cell r="U461">
            <v>0.28000000000000003</v>
          </cell>
          <cell r="V461" t="str">
            <v>Active Square مؤسسة المربع الفعال التجارية</v>
          </cell>
          <cell r="W461">
            <v>0</v>
          </cell>
          <cell r="X461">
            <v>420.00000000000006</v>
          </cell>
          <cell r="Z461" t="str">
            <v>PM-00742</v>
          </cell>
          <cell r="AA461" t="str">
            <v>بوكس كرات جوز الهند الفردي | Single coconut ball box</v>
          </cell>
          <cell r="AB461" t="str">
            <v>PM-00377</v>
          </cell>
          <cell r="AC461" t="str">
            <v>Crunchy Chocolate sticker (BREEHANT) ملصق كرانشي شوكلت ( بريهانت )</v>
          </cell>
          <cell r="AD461">
            <v>0.3</v>
          </cell>
          <cell r="AE461" t="str">
            <v>شركة مطابع الأمل الحديثة</v>
          </cell>
        </row>
        <row r="462">
          <cell r="B462" t="str">
            <v>PM-00375</v>
          </cell>
          <cell r="C462" t="str">
            <v>Caramel Bites Sticker Bar (Breehant) ستيكر بار كراميل بايتس ( بريهانت )</v>
          </cell>
          <cell r="D462" t="str">
            <v>Caramel Bites Sticker Bar (Breehant) ستيكر بار كراميل بايتس ( بريهانت )</v>
          </cell>
          <cell r="E462" t="str">
            <v/>
          </cell>
          <cell r="F462" t="str">
            <v/>
          </cell>
          <cell r="G462" t="str">
            <v/>
          </cell>
          <cell r="H462" t="str">
            <v/>
          </cell>
          <cell r="I462" t="str">
            <v/>
          </cell>
          <cell r="J462" t="str">
            <v>✓</v>
          </cell>
          <cell r="K462">
            <v>1</v>
          </cell>
          <cell r="L462">
            <v>1500</v>
          </cell>
          <cell r="N462">
            <v>2500</v>
          </cell>
          <cell r="O462">
            <v>50</v>
          </cell>
          <cell r="P462">
            <v>1150</v>
          </cell>
          <cell r="Q462">
            <v>2650</v>
          </cell>
          <cell r="R462">
            <v>150</v>
          </cell>
          <cell r="S462">
            <v>20</v>
          </cell>
          <cell r="T462" t="str">
            <v>A</v>
          </cell>
          <cell r="U462">
            <v>0.09</v>
          </cell>
          <cell r="V462" t="str">
            <v>Active Square مؤسسة المربع الفعال التجارية</v>
          </cell>
          <cell r="W462">
            <v>13.5</v>
          </cell>
          <cell r="X462">
            <v>135</v>
          </cell>
          <cell r="Z462" t="str">
            <v>PM-00741</v>
          </cell>
          <cell r="AA462" t="str">
            <v>بوكس كرات الكراميل الفردي | Single caramel balls box</v>
          </cell>
          <cell r="AB462" t="str">
            <v>PM-00375</v>
          </cell>
          <cell r="AC462" t="str">
            <v>Caramel Bites Sticker Bar (Breehant) ستيكر بار كراميل بايتس ( بريهانت )</v>
          </cell>
          <cell r="AD462">
            <v>0.3</v>
          </cell>
          <cell r="AE462" t="str">
            <v>شركة مطابع الأمل الحديثة</v>
          </cell>
        </row>
        <row r="463">
          <cell r="B463" t="str">
            <v>PM-00033</v>
          </cell>
          <cell r="C463" t="str">
            <v>Babka cake cover  ( Namq) غلاف كيكة البابكا ( نمق )</v>
          </cell>
          <cell r="D463" t="str">
            <v>Babka cake cover  (Namaq)</v>
          </cell>
          <cell r="E463" t="str">
            <v/>
          </cell>
          <cell r="F463" t="str">
            <v/>
          </cell>
          <cell r="G463" t="str">
            <v/>
          </cell>
          <cell r="H463" t="str">
            <v/>
          </cell>
          <cell r="I463" t="str">
            <v/>
          </cell>
          <cell r="J463" t="str">
            <v>✓</v>
          </cell>
          <cell r="K463">
            <v>1</v>
          </cell>
          <cell r="L463">
            <v>2000</v>
          </cell>
          <cell r="N463">
            <v>14000</v>
          </cell>
          <cell r="O463">
            <v>210</v>
          </cell>
          <cell r="P463">
            <v>666.66666666666663</v>
          </cell>
          <cell r="Q463">
            <v>2666.6666666666665</v>
          </cell>
          <cell r="R463">
            <v>0</v>
          </cell>
          <cell r="S463">
            <v>7</v>
          </cell>
          <cell r="T463" t="str">
            <v>A</v>
          </cell>
          <cell r="U463">
            <v>0.22</v>
          </cell>
          <cell r="V463" t="str">
            <v>شركة الماس باك للتغليف</v>
          </cell>
          <cell r="W463">
            <v>0</v>
          </cell>
          <cell r="X463">
            <v>440</v>
          </cell>
          <cell r="Z463" t="str">
            <v>PM-00673</v>
          </cell>
          <cell r="AA463" t="str">
            <v>sticker marshmallow-ستيكر المارشميلو</v>
          </cell>
          <cell r="AB463" t="str">
            <v>PM-00033</v>
          </cell>
          <cell r="AC463" t="str">
            <v>Babka cake cover  ( Namq) غلاف كيكة البابكا ( نمق )</v>
          </cell>
          <cell r="AD463">
            <v>7.0000000000000007E-2</v>
          </cell>
          <cell r="AE463" t="str">
            <v>المربع الفعال</v>
          </cell>
        </row>
        <row r="464">
          <cell r="B464" t="str">
            <v>PM-00668</v>
          </cell>
          <cell r="C464" t="str">
            <v>غلاف منتج بالمي قلب - BILMI HEART NAMQ</v>
          </cell>
          <cell r="D464" t="str">
            <v>غلاف منتج بالمي قلب - BILMI HEART NAMQ</v>
          </cell>
          <cell r="E464" t="str">
            <v/>
          </cell>
          <cell r="F464" t="str">
            <v/>
          </cell>
          <cell r="G464" t="str">
            <v/>
          </cell>
          <cell r="H464" t="str">
            <v/>
          </cell>
          <cell r="I464" t="str">
            <v/>
          </cell>
          <cell r="J464" t="str">
            <v>✓</v>
          </cell>
          <cell r="K464">
            <v>1</v>
          </cell>
          <cell r="L464">
            <v>2000</v>
          </cell>
          <cell r="N464">
            <v>9000</v>
          </cell>
          <cell r="O464">
            <v>135</v>
          </cell>
          <cell r="P464">
            <v>666.66666666666663</v>
          </cell>
          <cell r="Q464">
            <v>2666.6666666666665</v>
          </cell>
          <cell r="R464">
            <v>0</v>
          </cell>
          <cell r="S464">
            <v>7</v>
          </cell>
          <cell r="T464" t="str">
            <v>A</v>
          </cell>
          <cell r="U464">
            <v>0.15</v>
          </cell>
          <cell r="V464" t="str">
            <v>شركة مطابع الأمل الحديثة</v>
          </cell>
          <cell r="W464">
            <v>0</v>
          </cell>
          <cell r="X464">
            <v>300</v>
          </cell>
          <cell r="Z464" t="str">
            <v>PM-00668</v>
          </cell>
          <cell r="AA464" t="str">
            <v>غلاف منتج بالمي قلب - BILMI HEART NAMQ</v>
          </cell>
          <cell r="AB464" t="str">
            <v>PM-00668</v>
          </cell>
          <cell r="AC464" t="str">
            <v>غلاف منتج بالمي قلب - BILMI HEART NAMQ</v>
          </cell>
          <cell r="AD464">
            <v>0.15</v>
          </cell>
          <cell r="AE464" t="str">
            <v>شركة مطابع الأمل الحديثة</v>
          </cell>
        </row>
        <row r="465">
          <cell r="B465" t="str">
            <v>PM-00667</v>
          </cell>
          <cell r="C465" t="str">
            <v>سليف بار بيكان مكرمل |  Caramelized Pecan bar sleeve</v>
          </cell>
          <cell r="D465" t="str">
            <v>سليف بار بيكان مكرمل | Caramelized Pecan bar sleeve</v>
          </cell>
          <cell r="E465" t="str">
            <v/>
          </cell>
          <cell r="F465" t="str">
            <v/>
          </cell>
          <cell r="G465" t="str">
            <v/>
          </cell>
          <cell r="H465" t="str">
            <v/>
          </cell>
          <cell r="I465" t="str">
            <v/>
          </cell>
          <cell r="J465" t="str">
            <v>✓</v>
          </cell>
          <cell r="K465">
            <v>1</v>
          </cell>
          <cell r="L465">
            <v>6000</v>
          </cell>
          <cell r="N465">
            <v>11500</v>
          </cell>
          <cell r="O465">
            <v>57.5</v>
          </cell>
          <cell r="P465">
            <v>3400</v>
          </cell>
          <cell r="Q465">
            <v>9400</v>
          </cell>
          <cell r="R465">
            <v>0</v>
          </cell>
          <cell r="S465">
            <v>14</v>
          </cell>
          <cell r="T465" t="str">
            <v>A</v>
          </cell>
          <cell r="U465">
            <v>0.1</v>
          </cell>
          <cell r="V465" t="str">
            <v>شركة مطابع الأمل الحديثة</v>
          </cell>
          <cell r="W465">
            <v>0</v>
          </cell>
          <cell r="X465">
            <v>600</v>
          </cell>
          <cell r="Z465" t="str">
            <v>PM-00667</v>
          </cell>
          <cell r="AA465" t="str">
            <v>سليف بار بيكان مكرمل |  Caramelized Pecan bar sleeve</v>
          </cell>
          <cell r="AB465" t="str">
            <v>PM-00667</v>
          </cell>
          <cell r="AC465" t="str">
            <v>سليف بار بيكان مكرمل |  Caramelized Pecan bar sleeve</v>
          </cell>
          <cell r="AD465">
            <v>0.1</v>
          </cell>
          <cell r="AE465" t="str">
            <v>شركة مطابع الأمل الحديثة</v>
          </cell>
        </row>
        <row r="466">
          <cell r="B466" t="str">
            <v>PM-00666</v>
          </cell>
          <cell r="C466" t="str">
            <v>سليف بار كراميل بايتس |  Caramel Bites Bar sleeve</v>
          </cell>
          <cell r="D466" t="str">
            <v>سليف بار كراميل بايتس | Caramel Bites Bar sleeve</v>
          </cell>
          <cell r="E466" t="str">
            <v/>
          </cell>
          <cell r="F466" t="str">
            <v/>
          </cell>
          <cell r="G466" t="str">
            <v/>
          </cell>
          <cell r="H466" t="str">
            <v/>
          </cell>
          <cell r="I466" t="str">
            <v/>
          </cell>
          <cell r="J466" t="str">
            <v>✓</v>
          </cell>
          <cell r="K466">
            <v>1</v>
          </cell>
          <cell r="L466">
            <v>10000</v>
          </cell>
          <cell r="N466">
            <v>9000</v>
          </cell>
          <cell r="O466">
            <v>27</v>
          </cell>
          <cell r="P466">
            <v>5666.666666666667</v>
          </cell>
          <cell r="Q466">
            <v>15666.666666666668</v>
          </cell>
          <cell r="R466">
            <v>6666.6666666666679</v>
          </cell>
          <cell r="S466">
            <v>14</v>
          </cell>
          <cell r="T466" t="str">
            <v>A</v>
          </cell>
          <cell r="U466">
            <v>0.1</v>
          </cell>
          <cell r="V466" t="str">
            <v>شركة مطابع الأمل الحديثة</v>
          </cell>
          <cell r="W466">
            <v>666.66666666666686</v>
          </cell>
          <cell r="X466">
            <v>1000</v>
          </cell>
          <cell r="Z466" t="str">
            <v>PM-00666</v>
          </cell>
          <cell r="AA466" t="str">
            <v>سليف بار كراميل بايتس |  Caramel Bites Bar sleeve</v>
          </cell>
          <cell r="AB466" t="str">
            <v>PM-00666</v>
          </cell>
          <cell r="AC466" t="str">
            <v>سليف بار كراميل بايتس |  Caramel Bites Bar sleeve</v>
          </cell>
          <cell r="AD466">
            <v>0.1</v>
          </cell>
          <cell r="AE466" t="str">
            <v>شركة مطابع الأمل الحديثة</v>
          </cell>
        </row>
        <row r="467">
          <cell r="B467" t="str">
            <v>PM-00645</v>
          </cell>
          <cell r="C467" t="str">
            <v>علبة ألمنيوم مربعة 180 مل | 180ml square aluminum foil Tray</v>
          </cell>
          <cell r="D467" t="str">
            <v>علبة ألمنيوم مربعة 180 مل | 180ml square aluminum foil Tray</v>
          </cell>
          <cell r="E467" t="str">
            <v/>
          </cell>
          <cell r="F467" t="str">
            <v/>
          </cell>
          <cell r="G467" t="str">
            <v/>
          </cell>
          <cell r="H467" t="str">
            <v/>
          </cell>
          <cell r="I467" t="str">
            <v/>
          </cell>
          <cell r="J467" t="str">
            <v>✓</v>
          </cell>
          <cell r="K467">
            <v>1</v>
          </cell>
          <cell r="L467">
            <v>4000</v>
          </cell>
          <cell r="N467">
            <v>18000</v>
          </cell>
          <cell r="O467">
            <v>135</v>
          </cell>
          <cell r="P467">
            <v>12400</v>
          </cell>
          <cell r="Q467">
            <v>16400</v>
          </cell>
          <cell r="R467">
            <v>0</v>
          </cell>
          <cell r="S467">
            <v>90</v>
          </cell>
          <cell r="T467" t="str">
            <v>s</v>
          </cell>
          <cell r="U467">
            <v>0.6</v>
          </cell>
          <cell r="V467" t="str">
            <v>Al Anwar Arts Trading Est. مؤسسة فن الأنور التجارية</v>
          </cell>
          <cell r="W467">
            <v>0</v>
          </cell>
          <cell r="X467">
            <v>2400</v>
          </cell>
          <cell r="Z467" t="str">
            <v>PM-00645</v>
          </cell>
          <cell r="AA467" t="str">
            <v>علبة ألمنيوم مربعة 180 مل | 180ml square aluminum foil Tray</v>
          </cell>
          <cell r="AB467" t="str">
            <v>PM-00645</v>
          </cell>
          <cell r="AC467" t="str">
            <v>علبة ألمنيوم مربعة 180 مل | 180ml square aluminum foil Tray</v>
          </cell>
          <cell r="AD467">
            <v>0.55000000000000004</v>
          </cell>
          <cell r="AE467" t="str">
            <v>شركة جنا الدولية للتجارة - JANA</v>
          </cell>
        </row>
        <row r="468">
          <cell r="B468" t="str">
            <v>PM-00723</v>
          </cell>
          <cell r="C468" t="str">
            <v>كوب بودنق 8 أونص || 8oz Puidding cup</v>
          </cell>
          <cell r="L468">
            <v>5000</v>
          </cell>
          <cell r="N468">
            <v>9000</v>
          </cell>
          <cell r="O468">
            <v>54</v>
          </cell>
          <cell r="P468">
            <v>2833.3333333333335</v>
          </cell>
          <cell r="Q468">
            <v>7833.3333333333339</v>
          </cell>
          <cell r="R468">
            <v>0</v>
          </cell>
          <cell r="S468">
            <v>14</v>
          </cell>
          <cell r="T468" t="str">
            <v>A</v>
          </cell>
          <cell r="U468">
            <v>1.4550000000000001</v>
          </cell>
          <cell r="V468" t="str">
            <v>شركة مركز جدة للطباعة والصناعة والورق البلاستيك</v>
          </cell>
          <cell r="W468">
            <v>0</v>
          </cell>
          <cell r="X468">
            <v>7275</v>
          </cell>
          <cell r="Z468" t="str">
            <v>PM-00723</v>
          </cell>
          <cell r="AA468" t="str">
            <v>كوب بودنق 8 أونص || 8oz Puidding cup</v>
          </cell>
          <cell r="AB468" t="str">
            <v>PM-00723</v>
          </cell>
          <cell r="AC468" t="str">
            <v>كوب بودنق 8 أونص || 8oz Puidding cup</v>
          </cell>
          <cell r="AD468" t="e">
            <v>#N/A</v>
          </cell>
          <cell r="AE468" t="e">
            <v>#N/A</v>
          </cell>
        </row>
        <row r="469">
          <cell r="B469" t="str">
            <v>PM-00638</v>
          </cell>
          <cell r="C469" t="str">
            <v>Caramelized Pecan Paper Box 1 PCS (New ID) | علبة بيكان مكرمل ورقية</v>
          </cell>
          <cell r="D469" t="str">
            <v>Caramelized Pecan Paper Box 1 PCS (New ID) | علبة بيكان مكرمل ورقي</v>
          </cell>
          <cell r="E469" t="str">
            <v/>
          </cell>
          <cell r="F469" t="str">
            <v/>
          </cell>
          <cell r="G469" t="str">
            <v/>
          </cell>
          <cell r="H469" t="str">
            <v/>
          </cell>
          <cell r="I469" t="str">
            <v/>
          </cell>
          <cell r="J469" t="str">
            <v>✓</v>
          </cell>
          <cell r="K469">
            <v>1</v>
          </cell>
          <cell r="L469">
            <v>14000</v>
          </cell>
          <cell r="N469">
            <v>26500</v>
          </cell>
          <cell r="O469">
            <v>56.785714285714285</v>
          </cell>
          <cell r="P469">
            <v>10733.333333333334</v>
          </cell>
          <cell r="Q469">
            <v>24733.333333333336</v>
          </cell>
          <cell r="R469">
            <v>0</v>
          </cell>
          <cell r="S469">
            <v>20</v>
          </cell>
          <cell r="T469" t="str">
            <v>S</v>
          </cell>
          <cell r="U469">
            <v>0.15</v>
          </cell>
          <cell r="V469" t="str">
            <v>Alpha Pack Packaging Company شركة ألفا باك للتغليف</v>
          </cell>
          <cell r="W469">
            <v>0</v>
          </cell>
          <cell r="X469">
            <v>2100</v>
          </cell>
          <cell r="Z469" t="str">
            <v>PM-00638</v>
          </cell>
          <cell r="AA469" t="str">
            <v>Caramelized Pecan Paper Box 1 PCS (New ID) | علبة بيكان مكرمل ورقية</v>
          </cell>
          <cell r="AB469" t="str">
            <v>PM-00638</v>
          </cell>
          <cell r="AC469" t="str">
            <v>Caramelized Pecan Paper Box 1 PCS (New ID) | علبة بيكان مكرمل ورقية</v>
          </cell>
          <cell r="AD469">
            <v>0.22</v>
          </cell>
          <cell r="AE469" t="str">
            <v>شركة مطابع الأمل الحديثة</v>
          </cell>
        </row>
        <row r="470">
          <cell r="B470" t="str">
            <v>PM-00637</v>
          </cell>
          <cell r="C470" t="str">
            <v>Caramel Bites Paper Box 1 PCS (New ID) | علبة كراميل بايتس ورقية</v>
          </cell>
          <cell r="D470" t="str">
            <v>Caramel Bites Paper Box 1 PCS (New ID) | علبة كراميل بايتس ورقي</v>
          </cell>
          <cell r="E470" t="str">
            <v/>
          </cell>
          <cell r="F470" t="str">
            <v/>
          </cell>
          <cell r="G470" t="str">
            <v/>
          </cell>
          <cell r="H470" t="str">
            <v/>
          </cell>
          <cell r="I470" t="str">
            <v/>
          </cell>
          <cell r="J470" t="str">
            <v>✓</v>
          </cell>
          <cell r="K470">
            <v>1</v>
          </cell>
          <cell r="L470">
            <v>7000</v>
          </cell>
          <cell r="N470">
            <v>1500</v>
          </cell>
          <cell r="O470">
            <v>6.4285714285714279</v>
          </cell>
          <cell r="P470">
            <v>5366.666666666667</v>
          </cell>
          <cell r="Q470">
            <v>12366.666666666668</v>
          </cell>
          <cell r="R470">
            <v>10866.666666666668</v>
          </cell>
          <cell r="S470">
            <v>20</v>
          </cell>
          <cell r="T470" t="str">
            <v>S</v>
          </cell>
          <cell r="U470">
            <v>0.15</v>
          </cell>
          <cell r="V470" t="str">
            <v>Alpha Pack Packaging Company شركة ألفا باك للتغليف</v>
          </cell>
          <cell r="W470">
            <v>1630.0000000000002</v>
          </cell>
          <cell r="X470">
            <v>1050</v>
          </cell>
          <cell r="Z470" t="str">
            <v>PM-00637</v>
          </cell>
          <cell r="AA470" t="str">
            <v>Caramel Bites Paper Box 1 PCS (New ID) | علبة كراميل بايتس ورقية</v>
          </cell>
          <cell r="AB470" t="str">
            <v>PM-00637</v>
          </cell>
          <cell r="AC470" t="str">
            <v>Caramel Bites Paper Box 1 PCS (New ID) | علبة كراميل بايتس ورقية</v>
          </cell>
          <cell r="AD470">
            <v>0.22</v>
          </cell>
          <cell r="AE470" t="str">
            <v>شركة مطابع الأمل الحديثة</v>
          </cell>
        </row>
        <row r="471">
          <cell r="B471" t="str">
            <v>PM-00610</v>
          </cell>
          <cell r="C471" t="str">
            <v>ورق زبدة دائري بني | Round Brown Butter Paper</v>
          </cell>
          <cell r="D471" t="str">
            <v>ورق زبدة دائري بني | Round Brown Butter Paper</v>
          </cell>
          <cell r="E471" t="str">
            <v/>
          </cell>
          <cell r="F471" t="str">
            <v/>
          </cell>
          <cell r="G471" t="str">
            <v/>
          </cell>
          <cell r="H471" t="str">
            <v/>
          </cell>
          <cell r="I471" t="str">
            <v/>
          </cell>
          <cell r="J471" t="str">
            <v>✓</v>
          </cell>
          <cell r="K471">
            <v>1</v>
          </cell>
          <cell r="L471">
            <v>15000</v>
          </cell>
          <cell r="N471">
            <v>111000</v>
          </cell>
          <cell r="O471">
            <v>222</v>
          </cell>
          <cell r="P471">
            <v>5000</v>
          </cell>
          <cell r="Q471">
            <v>20000</v>
          </cell>
          <cell r="R471">
            <v>0</v>
          </cell>
          <cell r="S471">
            <v>7</v>
          </cell>
          <cell r="T471" t="str">
            <v>S</v>
          </cell>
          <cell r="U471">
            <v>0.16</v>
          </cell>
          <cell r="V471" t="str">
            <v>ALMAS ARABIAN INDUSTRY COMPANY - شركة الماس العربية الصناعية</v>
          </cell>
          <cell r="W471">
            <v>0</v>
          </cell>
          <cell r="X471">
            <v>2400</v>
          </cell>
          <cell r="Z471" t="str">
            <v>PM-00610</v>
          </cell>
          <cell r="AA471" t="str">
            <v>ورق زبدة دائري بني | Round Brown Butter Paper</v>
          </cell>
          <cell r="AB471" t="str">
            <v>PM-00610</v>
          </cell>
          <cell r="AC471" t="str">
            <v>ورق زبدة دائري بني | Round Brown Butter Paper</v>
          </cell>
          <cell r="AD471">
            <v>0.16</v>
          </cell>
          <cell r="AE471" t="str">
            <v>ALMAS ARABIAN INDUSTRY COMPANY - شركة الماس العربية الصناعية</v>
          </cell>
        </row>
        <row r="472">
          <cell r="B472" t="str">
            <v>PM-00726</v>
          </cell>
          <cell r="C472" t="str">
            <v>صحن ألمنيوم 230 مل | Aluminium plate</v>
          </cell>
          <cell r="L472">
            <v>40000</v>
          </cell>
          <cell r="N472">
            <v>60000</v>
          </cell>
          <cell r="O472">
            <v>45</v>
          </cell>
          <cell r="P472">
            <v>14666.666666666666</v>
          </cell>
          <cell r="Q472">
            <v>54666.666666666664</v>
          </cell>
          <cell r="R472">
            <v>0</v>
          </cell>
          <cell r="S472">
            <v>8</v>
          </cell>
          <cell r="T472" t="str">
            <v>A</v>
          </cell>
          <cell r="U472">
            <v>0.68</v>
          </cell>
          <cell r="V472" t="str">
            <v>Al Anwar Arts Trading Est. مؤسسة فن الأنور التجارية</v>
          </cell>
          <cell r="W472">
            <v>0</v>
          </cell>
          <cell r="X472">
            <v>27200.000000000004</v>
          </cell>
          <cell r="Z472" t="str">
            <v>PM-00727</v>
          </cell>
          <cell r="AA472" t="str">
            <v>صحن ألمنيوم 235 مل | Aluminium plate</v>
          </cell>
          <cell r="AB472" t="str">
            <v>PM-00726</v>
          </cell>
          <cell r="AC472" t="str">
            <v>صحن ألمنيوم 230 مل | Aluminium plate</v>
          </cell>
          <cell r="AD472">
            <v>0.68</v>
          </cell>
          <cell r="AE472" t="str">
            <v>Al Anwar Arts Trading Est. مؤسسة فن الأنور التجارية</v>
          </cell>
        </row>
        <row r="473">
          <cell r="B473" t="str">
            <v>PM-00596</v>
          </cell>
          <cell r="C473" t="str">
            <v>صحن سراميك للكوكيز مع غطاء بلاستيك  - Ceramic plate for cookies with a plastic lid</v>
          </cell>
          <cell r="D473" t="str">
            <v>Dulcey box</v>
          </cell>
          <cell r="E473" t="str">
            <v/>
          </cell>
          <cell r="F473" t="str">
            <v/>
          </cell>
          <cell r="G473" t="str">
            <v/>
          </cell>
          <cell r="H473" t="str">
            <v/>
          </cell>
          <cell r="I473" t="str">
            <v/>
          </cell>
          <cell r="J473" t="str">
            <v>✓</v>
          </cell>
          <cell r="K473">
            <v>1</v>
          </cell>
          <cell r="L473">
            <v>5000</v>
          </cell>
          <cell r="N473">
            <v>0</v>
          </cell>
          <cell r="O473">
            <v>0</v>
          </cell>
          <cell r="P473">
            <v>500</v>
          </cell>
          <cell r="Q473">
            <v>5500</v>
          </cell>
          <cell r="R473">
            <v>5500</v>
          </cell>
          <cell r="S473">
            <v>0</v>
          </cell>
          <cell r="T473" t="str">
            <v>O</v>
          </cell>
          <cell r="V473" t="str">
            <v>شركة مطابع الأمل الحديثة</v>
          </cell>
          <cell r="W473">
            <v>0</v>
          </cell>
          <cell r="X473">
            <v>0</v>
          </cell>
          <cell r="Z473" t="str">
            <v>PM-00596</v>
          </cell>
          <cell r="AA473" t="str">
            <v>صحن سراميك للكوكيز مع غطاء بلاستيك  - Ceramic plate for cookies with a plastic lid</v>
          </cell>
          <cell r="AB473" t="str">
            <v>PM-00596</v>
          </cell>
          <cell r="AC473" t="str">
            <v>صحن سراميك للكوكيز مع غطاء بلاستيك  - Ceramic plate for cookies with a plastic lid</v>
          </cell>
          <cell r="AD473">
            <v>4.8723200000000002</v>
          </cell>
          <cell r="AE473" t="str">
            <v xml:space="preserve">Hebei Roky </v>
          </cell>
        </row>
        <row r="474">
          <cell r="B474" t="str">
            <v>PM-00587</v>
          </cell>
          <cell r="C474" t="str">
            <v>Hard cover box – Salted Caramel  -   بوكس هارد كفر الكراميل المملح (نمق)</v>
          </cell>
          <cell r="D474" t="str">
            <v>Hard cover box – Salted Caramel - بوكس هارد كفر الكراميل المملح (نم</v>
          </cell>
          <cell r="E474" t="str">
            <v/>
          </cell>
          <cell r="F474" t="str">
            <v/>
          </cell>
          <cell r="G474" t="str">
            <v/>
          </cell>
          <cell r="H474" t="str">
            <v/>
          </cell>
          <cell r="I474" t="str">
            <v/>
          </cell>
          <cell r="J474" t="str">
            <v>✓</v>
          </cell>
          <cell r="K474">
            <v>1</v>
          </cell>
          <cell r="L474">
            <v>22000</v>
          </cell>
          <cell r="N474">
            <v>66840</v>
          </cell>
          <cell r="O474">
            <v>91.145454545454541</v>
          </cell>
          <cell r="P474">
            <v>79200</v>
          </cell>
          <cell r="Q474">
            <v>101200</v>
          </cell>
          <cell r="R474">
            <v>34360</v>
          </cell>
          <cell r="S474">
            <v>105</v>
          </cell>
          <cell r="T474" t="str">
            <v>S</v>
          </cell>
          <cell r="U474">
            <v>6.25</v>
          </cell>
          <cell r="V474" t="str">
            <v>Arjan Modern Printing مطبعة ارجان الحديثة للطباعة</v>
          </cell>
          <cell r="W474">
            <v>214750</v>
          </cell>
          <cell r="X474">
            <v>137500</v>
          </cell>
          <cell r="Z474" t="str">
            <v>PM-00587</v>
          </cell>
          <cell r="AA474" t="str">
            <v>Hard cover box – Salted Caramel  -   بوكس هارد كفر الكراميل المملح (نمق)</v>
          </cell>
          <cell r="AB474" t="str">
            <v>PM-00587</v>
          </cell>
          <cell r="AC474" t="str">
            <v>Hard cover box – Salted Caramel  -   بوكس هارد كفر الكراميل المملح (نمق)</v>
          </cell>
          <cell r="AD474">
            <v>6.25</v>
          </cell>
          <cell r="AE474" t="str">
            <v>Arjan Modern Printing مطبعة ارجان الحديثة للطباعة</v>
          </cell>
        </row>
        <row r="475">
          <cell r="B475" t="str">
            <v>PM-00550</v>
          </cell>
          <cell r="C475" t="str">
            <v>Cake base measuring 8.5 cm * 8.5 cm</v>
          </cell>
          <cell r="D475" t="str">
            <v>Cake base measuring 8.5 cm * 8.5 cm (breehant)</v>
          </cell>
          <cell r="E475" t="str">
            <v/>
          </cell>
          <cell r="F475" t="str">
            <v/>
          </cell>
          <cell r="G475" t="str">
            <v/>
          </cell>
          <cell r="H475" t="str">
            <v/>
          </cell>
          <cell r="I475" t="str">
            <v/>
          </cell>
          <cell r="J475" t="str">
            <v>✓</v>
          </cell>
          <cell r="K475">
            <v>1</v>
          </cell>
          <cell r="L475">
            <v>8000</v>
          </cell>
          <cell r="N475">
            <v>45900</v>
          </cell>
          <cell r="O475">
            <v>172.125</v>
          </cell>
          <cell r="P475">
            <v>2666.6666666666665</v>
          </cell>
          <cell r="Q475">
            <v>10666.666666666666</v>
          </cell>
          <cell r="R475">
            <v>0</v>
          </cell>
          <cell r="S475">
            <v>7</v>
          </cell>
          <cell r="T475" t="str">
            <v>A</v>
          </cell>
          <cell r="U475">
            <v>0.11</v>
          </cell>
          <cell r="V475" t="str">
            <v>شركة الاوراق الذهبية الصناعية</v>
          </cell>
          <cell r="W475">
            <v>0</v>
          </cell>
          <cell r="X475">
            <v>880</v>
          </cell>
          <cell r="Z475" t="str">
            <v>PM-00550</v>
          </cell>
          <cell r="AA475" t="str">
            <v>Cake base measuring 8.5 cm * 8.5 cm (breehant)</v>
          </cell>
          <cell r="AB475" t="str">
            <v>PM-00550</v>
          </cell>
          <cell r="AC475" t="str">
            <v>Cake base measuring 8.5 cm * 8.5 cm</v>
          </cell>
          <cell r="AD475">
            <v>0.11</v>
          </cell>
          <cell r="AE475" t="str">
            <v>شركة الاوراق الذهبية الصناعية</v>
          </cell>
        </row>
        <row r="476">
          <cell r="B476" t="str">
            <v>PM-00549</v>
          </cell>
          <cell r="C476" t="str">
            <v>Cake base size 10cm * 6cm</v>
          </cell>
          <cell r="D476" t="str">
            <v>Cake base size 10cm * 6cm (breehant)</v>
          </cell>
          <cell r="E476" t="str">
            <v/>
          </cell>
          <cell r="F476" t="str">
            <v/>
          </cell>
          <cell r="G476" t="str">
            <v/>
          </cell>
          <cell r="H476" t="str">
            <v/>
          </cell>
          <cell r="I476" t="str">
            <v/>
          </cell>
          <cell r="J476" t="str">
            <v>✓</v>
          </cell>
          <cell r="K476">
            <v>1</v>
          </cell>
          <cell r="L476">
            <v>2000</v>
          </cell>
          <cell r="N476">
            <v>39100</v>
          </cell>
          <cell r="O476">
            <v>586.5</v>
          </cell>
          <cell r="P476">
            <v>666.66666666666663</v>
          </cell>
          <cell r="Q476">
            <v>2666.6666666666665</v>
          </cell>
          <cell r="R476">
            <v>0</v>
          </cell>
          <cell r="S476">
            <v>7</v>
          </cell>
          <cell r="T476" t="str">
            <v>A</v>
          </cell>
          <cell r="U476">
            <v>0.11</v>
          </cell>
          <cell r="V476" t="str">
            <v>شركة الاوراق الذهبية الصناعية</v>
          </cell>
          <cell r="W476">
            <v>0</v>
          </cell>
          <cell r="X476">
            <v>220</v>
          </cell>
          <cell r="Z476" t="str">
            <v>PM-00549</v>
          </cell>
          <cell r="AA476" t="str">
            <v>Cake base size 10cm * 6cm (Breehant) -  قاعدة الكيك 10 سم * 6 سم (بريهانت)</v>
          </cell>
          <cell r="AB476" t="str">
            <v>PM-00549</v>
          </cell>
          <cell r="AC476" t="str">
            <v>Cake base size 10cm * 6cm</v>
          </cell>
          <cell r="AD476">
            <v>0.11</v>
          </cell>
          <cell r="AE476" t="str">
            <v>شركة الاوراق الذهبية الصناعية</v>
          </cell>
        </row>
        <row r="477">
          <cell r="B477" t="str">
            <v>PM-00509</v>
          </cell>
          <cell r="C477" t="str">
            <v>قاعدة كيك بريهانت المطبوعة 28سم Breehant Cake Base 28cm</v>
          </cell>
          <cell r="D477" t="str">
            <v>قاعدة كيك بريهانت المطبوعة 28سم Breehant Cake Base 28cm</v>
          </cell>
          <cell r="E477" t="str">
            <v/>
          </cell>
          <cell r="F477" t="str">
            <v/>
          </cell>
          <cell r="G477" t="str">
            <v/>
          </cell>
          <cell r="H477" t="str">
            <v/>
          </cell>
          <cell r="I477" t="str">
            <v/>
          </cell>
          <cell r="J477" t="str">
            <v>✓</v>
          </cell>
          <cell r="K477">
            <v>1</v>
          </cell>
          <cell r="L477">
            <v>1200</v>
          </cell>
          <cell r="N477">
            <v>1900</v>
          </cell>
          <cell r="O477">
            <v>47.5</v>
          </cell>
          <cell r="P477">
            <v>680</v>
          </cell>
          <cell r="Q477">
            <v>1880</v>
          </cell>
          <cell r="R477">
            <v>0</v>
          </cell>
          <cell r="S477">
            <v>14</v>
          </cell>
          <cell r="T477" t="str">
            <v>S</v>
          </cell>
          <cell r="U477">
            <v>1.25</v>
          </cell>
          <cell r="V477" t="str">
            <v>شركة مطابع الأمل الحديثة</v>
          </cell>
          <cell r="W477">
            <v>0</v>
          </cell>
          <cell r="X477">
            <v>1500</v>
          </cell>
          <cell r="Z477" t="str">
            <v>PM-00509</v>
          </cell>
          <cell r="AA477" t="str">
            <v>قاعدة كيك بريهانت المطبوعة 28سم Breehant Cake Base 28cm</v>
          </cell>
          <cell r="AB477" t="str">
            <v>PM-00509</v>
          </cell>
          <cell r="AC477" t="str">
            <v>قاعدة كيك بريهانت المطبوعة 28سم Breehant Cake Base 28cm</v>
          </cell>
          <cell r="AD477">
            <v>1.25</v>
          </cell>
          <cell r="AE477" t="str">
            <v>شركة مطابع الأمل الحديثة</v>
          </cell>
        </row>
        <row r="478">
          <cell r="B478" t="str">
            <v>PM-00493</v>
          </cell>
          <cell r="C478" t="str">
            <v>Granola Nuts Cover Breehant</v>
          </cell>
          <cell r="D478" t="str">
            <v>Granola Nuts Cover Breehant</v>
          </cell>
          <cell r="E478" t="str">
            <v/>
          </cell>
          <cell r="F478" t="str">
            <v/>
          </cell>
          <cell r="G478" t="str">
            <v/>
          </cell>
          <cell r="H478" t="str">
            <v/>
          </cell>
          <cell r="I478" t="str">
            <v/>
          </cell>
          <cell r="J478" t="str">
            <v>✓</v>
          </cell>
          <cell r="K478">
            <v>1</v>
          </cell>
          <cell r="L478">
            <v>1000</v>
          </cell>
          <cell r="N478">
            <v>0</v>
          </cell>
          <cell r="O478">
            <v>0</v>
          </cell>
          <cell r="P478">
            <v>333.33333333333331</v>
          </cell>
          <cell r="Q478">
            <v>1333.3333333333333</v>
          </cell>
          <cell r="R478">
            <v>1333.3333333333333</v>
          </cell>
          <cell r="S478">
            <v>7</v>
          </cell>
          <cell r="T478" t="str">
            <v>A</v>
          </cell>
          <cell r="V478" t="str">
            <v>شركة الوصيل التجاريه - AL WASEEL</v>
          </cell>
          <cell r="W478">
            <v>0</v>
          </cell>
          <cell r="X478">
            <v>0</v>
          </cell>
          <cell r="Z478" t="str">
            <v>PM-00493</v>
          </cell>
          <cell r="AA478" t="str">
            <v>Granola Nuts Cover Breehant</v>
          </cell>
          <cell r="AB478" t="str">
            <v>PM-00493</v>
          </cell>
          <cell r="AC478" t="str">
            <v>Granola Nuts Cover Breehant</v>
          </cell>
          <cell r="AD478">
            <v>0</v>
          </cell>
          <cell r="AE478" t="str">
            <v>شركة الوصيل التجاريه - AL WASEEL</v>
          </cell>
        </row>
        <row r="479">
          <cell r="B479" t="str">
            <v>PM-00443</v>
          </cell>
          <cell r="C479" t="str">
            <v>Caramel Bites Sticker  (Namq) ستيكر كارميل بايتس مقاس 5سم ( نمق )</v>
          </cell>
          <cell r="D479" t="str">
            <v>Caramel Bites Sticker (Namq) ستيكر كارميل بايتس مقاس 5سم ( نمق</v>
          </cell>
          <cell r="E479" t="str">
            <v/>
          </cell>
          <cell r="F479" t="str">
            <v/>
          </cell>
          <cell r="G479" t="str">
            <v/>
          </cell>
          <cell r="H479" t="str">
            <v/>
          </cell>
          <cell r="I479" t="str">
            <v/>
          </cell>
          <cell r="J479" t="str">
            <v>✓</v>
          </cell>
          <cell r="K479">
            <v>1</v>
          </cell>
          <cell r="L479">
            <v>10000</v>
          </cell>
          <cell r="N479">
            <v>0</v>
          </cell>
          <cell r="O479">
            <v>0</v>
          </cell>
          <cell r="P479">
            <v>3333.333333333333</v>
          </cell>
          <cell r="Q479">
            <v>13333.333333333332</v>
          </cell>
          <cell r="R479">
            <v>13333.333333333332</v>
          </cell>
          <cell r="S479">
            <v>7</v>
          </cell>
          <cell r="T479" t="str">
            <v>A</v>
          </cell>
          <cell r="U479">
            <v>0.05</v>
          </cell>
          <cell r="V479" t="str">
            <v>Active Square مؤسسة المربع الفعال التجارية</v>
          </cell>
          <cell r="W479">
            <v>666.66666666666663</v>
          </cell>
          <cell r="X479">
            <v>500</v>
          </cell>
          <cell r="Z479" t="str">
            <v>PM-00443</v>
          </cell>
          <cell r="AA479" t="str">
            <v>Caramel Bites Sticker  (Namq) ستيكر كارميل بايتس مقاس 5سم ( نمق )</v>
          </cell>
          <cell r="AB479" t="str">
            <v>PM-00443</v>
          </cell>
          <cell r="AC479" t="str">
            <v>Caramel Bites Sticker  (Namq) ستيكر كارميل بايتس مقاس 5سم ( نمق )</v>
          </cell>
          <cell r="AD479">
            <v>0.05</v>
          </cell>
          <cell r="AE479" t="str">
            <v>Active Square مؤسسة المربع الفعال التجارية</v>
          </cell>
        </row>
        <row r="480">
          <cell r="B480" t="str">
            <v>PM-00442</v>
          </cell>
          <cell r="C480" t="str">
            <v>Salted Caramel Brownie Stickers  (Namq) ستيكر براوني كراميل مملح  مقاس 5سم( نمق )</v>
          </cell>
          <cell r="D480" t="str">
            <v>Salted Caramel Brownie Stickers (Namq) ستيكر براوني كراميل مملح مقاس 5سم( نمق</v>
          </cell>
          <cell r="E480" t="str">
            <v/>
          </cell>
          <cell r="F480" t="str">
            <v/>
          </cell>
          <cell r="G480" t="str">
            <v/>
          </cell>
          <cell r="H480" t="str">
            <v/>
          </cell>
          <cell r="I480" t="str">
            <v/>
          </cell>
          <cell r="J480" t="str">
            <v>✓</v>
          </cell>
          <cell r="K480">
            <v>1</v>
          </cell>
          <cell r="L480">
            <v>12000</v>
          </cell>
          <cell r="N480">
            <v>54000</v>
          </cell>
          <cell r="O480">
            <v>135</v>
          </cell>
          <cell r="P480">
            <v>4000</v>
          </cell>
          <cell r="Q480">
            <v>16000</v>
          </cell>
          <cell r="R480">
            <v>0</v>
          </cell>
          <cell r="S480">
            <v>7</v>
          </cell>
          <cell r="T480" t="str">
            <v>A</v>
          </cell>
          <cell r="U480">
            <v>0.05</v>
          </cell>
          <cell r="V480" t="str">
            <v>Active Square مؤسسة المربع الفعال التجارية</v>
          </cell>
          <cell r="W480">
            <v>0</v>
          </cell>
          <cell r="X480">
            <v>600</v>
          </cell>
          <cell r="Z480" t="str">
            <v>PM-00442</v>
          </cell>
          <cell r="AA480" t="str">
            <v>Salted Caramel Brownie Stickers  (Namq) ستيكر براوني كراميل مملح  مقاس 5سم( نمق )</v>
          </cell>
          <cell r="AB480" t="str">
            <v>PM-00442</v>
          </cell>
          <cell r="AC480" t="str">
            <v>Salted Caramel Brownie Stickers  (Namq) ستيكر براوني كراميل مملح  مقاس 5سم( نمق )</v>
          </cell>
          <cell r="AD480">
            <v>0.05</v>
          </cell>
          <cell r="AE480" t="str">
            <v>Active Square مؤسسة المربع الفعال التجارية</v>
          </cell>
        </row>
        <row r="481">
          <cell r="B481" t="str">
            <v>PM-00430</v>
          </cell>
          <cell r="C481" t="str">
            <v>استيكر اغلاق بكج الجرانولا (بريهانت) Granola package closing sticker  BREEHANT</v>
          </cell>
          <cell r="D481" t="str">
            <v>استيكر اغلاق بكج الجرانولا (بريهانت) Granola package closing sticker  BREEHANT</v>
          </cell>
          <cell r="E481" t="str">
            <v/>
          </cell>
          <cell r="F481" t="str">
            <v/>
          </cell>
          <cell r="G481" t="str">
            <v/>
          </cell>
          <cell r="H481" t="str">
            <v/>
          </cell>
          <cell r="I481" t="str">
            <v/>
          </cell>
          <cell r="J481" t="str">
            <v>✓</v>
          </cell>
          <cell r="K481">
            <v>1</v>
          </cell>
          <cell r="L481">
            <v>500</v>
          </cell>
          <cell r="N481">
            <v>0</v>
          </cell>
          <cell r="O481">
            <v>0</v>
          </cell>
          <cell r="P481">
            <v>166.66666666666666</v>
          </cell>
          <cell r="Q481">
            <v>666.66666666666663</v>
          </cell>
          <cell r="R481">
            <v>666.66666666666663</v>
          </cell>
          <cell r="S481">
            <v>7</v>
          </cell>
          <cell r="T481" t="str">
            <v>A</v>
          </cell>
          <cell r="U481">
            <v>0.11</v>
          </cell>
          <cell r="V481" t="str">
            <v>Active Square مؤسسة المربع الفعال التجارية</v>
          </cell>
          <cell r="W481">
            <v>73.333333333333329</v>
          </cell>
          <cell r="X481">
            <v>55</v>
          </cell>
          <cell r="Z481" t="str">
            <v>PM-00430</v>
          </cell>
          <cell r="AA481" t="str">
            <v>استيكر اغلاق بكج الجرانولا (بريهانت) Granola package closing sticker  BREEHANT</v>
          </cell>
          <cell r="AB481" t="str">
            <v>PM-00430</v>
          </cell>
          <cell r="AC481" t="str">
            <v>استيكر اغلاق بكج الجرانولا (بريهانت) Granola package closing sticker  BREEHANT</v>
          </cell>
          <cell r="AD481">
            <v>0.11</v>
          </cell>
          <cell r="AE481" t="str">
            <v>Active Square مؤسسة المربع الفعال التجارية</v>
          </cell>
        </row>
        <row r="482">
          <cell r="B482" t="str">
            <v>PM-00388</v>
          </cell>
          <cell r="C482" t="str">
            <v>Tiramisu  Sticker  (NAMQ) ستيكر تراميسو  ( نمق )</v>
          </cell>
          <cell r="D482" t="str">
            <v>Cake base measuring 8.5 cm * 8.5 cm (breehant)</v>
          </cell>
          <cell r="E482" t="str">
            <v/>
          </cell>
          <cell r="F482" t="str">
            <v/>
          </cell>
          <cell r="G482" t="str">
            <v/>
          </cell>
          <cell r="H482" t="str">
            <v/>
          </cell>
          <cell r="I482" t="str">
            <v/>
          </cell>
          <cell r="J482" t="str">
            <v>✓</v>
          </cell>
          <cell r="K482">
            <v>1</v>
          </cell>
          <cell r="L482">
            <v>3000</v>
          </cell>
          <cell r="N482">
            <v>0</v>
          </cell>
          <cell r="O482">
            <v>0</v>
          </cell>
          <cell r="P482">
            <v>1000</v>
          </cell>
          <cell r="Q482">
            <v>4000</v>
          </cell>
          <cell r="R482">
            <v>4000</v>
          </cell>
          <cell r="S482">
            <v>7</v>
          </cell>
          <cell r="T482" t="str">
            <v>A</v>
          </cell>
          <cell r="U482">
            <v>0.11</v>
          </cell>
          <cell r="V482" t="str">
            <v>شركة الاوراق الذهبية الصناعية</v>
          </cell>
          <cell r="W482">
            <v>440</v>
          </cell>
          <cell r="X482">
            <v>330</v>
          </cell>
          <cell r="Z482" t="str">
            <v>PM-00388</v>
          </cell>
          <cell r="AA482" t="str">
            <v>Tiramisu  Sticker  (NAMQ) ستيكر تراميسو  ( نمق )</v>
          </cell>
          <cell r="AB482" t="str">
            <v>PM-00388</v>
          </cell>
          <cell r="AC482" t="str">
            <v>Tiramisu  Sticker  (NAMQ) ستيكر تراميسو  ( نمق )</v>
          </cell>
          <cell r="AD482">
            <v>0.05</v>
          </cell>
          <cell r="AE482" t="str">
            <v>شركة الاوراق الذهبية الصناعية</v>
          </cell>
        </row>
        <row r="483">
          <cell r="B483" t="str">
            <v>PM-00377</v>
          </cell>
          <cell r="C483" t="str">
            <v>Crunchy Chocolate sticker (BREEHANT) ملصق كرانشي شوكلت ( بريهانت )</v>
          </cell>
          <cell r="D483" t="str">
            <v>Crunchy Chocolate Sticker Breehant</v>
          </cell>
          <cell r="E483" t="str">
            <v/>
          </cell>
          <cell r="F483" t="str">
            <v/>
          </cell>
          <cell r="G483" t="str">
            <v/>
          </cell>
          <cell r="H483" t="str">
            <v/>
          </cell>
          <cell r="I483" t="str">
            <v/>
          </cell>
          <cell r="J483" t="str">
            <v>✓</v>
          </cell>
          <cell r="K483">
            <v>1</v>
          </cell>
          <cell r="L483">
            <v>3166</v>
          </cell>
          <cell r="N483">
            <v>4000</v>
          </cell>
          <cell r="O483">
            <v>37.90271636133923</v>
          </cell>
          <cell r="P483">
            <v>1055.3333333333333</v>
          </cell>
          <cell r="Q483">
            <v>4221.333333333333</v>
          </cell>
          <cell r="R483">
            <v>221.33333333333303</v>
          </cell>
          <cell r="S483">
            <v>7</v>
          </cell>
          <cell r="T483" t="str">
            <v>A</v>
          </cell>
          <cell r="U483">
            <v>0.28000000000000003</v>
          </cell>
          <cell r="V483" t="str">
            <v>Active Square مؤسسة المربع الفعال التجارية</v>
          </cell>
          <cell r="W483">
            <v>61.973333333333251</v>
          </cell>
          <cell r="X483">
            <v>886.48000000000013</v>
          </cell>
          <cell r="Z483" t="str">
            <v>PM-00377</v>
          </cell>
          <cell r="AA483" t="str">
            <v>Crunchy Chocolate sticker (BREEHANT) ملصق كرانشي شوكلت ( بريهانت )</v>
          </cell>
          <cell r="AB483" t="str">
            <v>PM-00377</v>
          </cell>
          <cell r="AC483" t="str">
            <v>Crunchy Chocolate sticker (BREEHANT) ملصق كرانشي شوكلت ( بريهانت )</v>
          </cell>
          <cell r="AD483">
            <v>0.3</v>
          </cell>
          <cell r="AE483" t="str">
            <v>شركة مطابع الأمل الحديثة</v>
          </cell>
        </row>
        <row r="484">
          <cell r="B484" t="str">
            <v>PM-00375</v>
          </cell>
          <cell r="C484" t="str">
            <v>Caramel Bites Sticker Bar (Breehant) ستيكر بار كراميل بايتس ( بريهانت )</v>
          </cell>
          <cell r="D484" t="str">
            <v>Caramel Bites Sticker Bar (Breehant) ستيكر بار كراميل بايتس ( بريهانت )</v>
          </cell>
          <cell r="E484" t="str">
            <v/>
          </cell>
          <cell r="F484" t="str">
            <v/>
          </cell>
          <cell r="G484" t="str">
            <v/>
          </cell>
          <cell r="H484" t="str">
            <v/>
          </cell>
          <cell r="I484" t="str">
            <v/>
          </cell>
          <cell r="J484" t="str">
            <v>✓</v>
          </cell>
          <cell r="K484">
            <v>1</v>
          </cell>
          <cell r="L484">
            <v>3000</v>
          </cell>
          <cell r="N484">
            <v>2500</v>
          </cell>
          <cell r="O484">
            <v>25</v>
          </cell>
          <cell r="P484">
            <v>1000</v>
          </cell>
          <cell r="Q484">
            <v>4000</v>
          </cell>
          <cell r="R484">
            <v>1500</v>
          </cell>
          <cell r="S484">
            <v>7</v>
          </cell>
          <cell r="T484" t="str">
            <v>A</v>
          </cell>
          <cell r="U484">
            <v>0.09</v>
          </cell>
          <cell r="V484" t="str">
            <v>Active Square مؤسسة المربع الفعال التجارية</v>
          </cell>
          <cell r="W484">
            <v>135</v>
          </cell>
          <cell r="X484">
            <v>270</v>
          </cell>
          <cell r="Z484" t="str">
            <v>PM-00375</v>
          </cell>
          <cell r="AA484" t="str">
            <v>Caramel Bites Sticker Bar (Breehant) ستيكر بار كراميل بايتس ( بريهانت )</v>
          </cell>
          <cell r="AB484" t="str">
            <v>PM-00375</v>
          </cell>
          <cell r="AC484" t="str">
            <v>Caramel Bites Sticker Bar (Breehant) ستيكر بار كراميل بايتس ( بريهانت )</v>
          </cell>
          <cell r="AD484">
            <v>0.3</v>
          </cell>
          <cell r="AE484" t="str">
            <v>شركة مطابع الأمل الحديثة</v>
          </cell>
        </row>
        <row r="485">
          <cell r="B485" t="str">
            <v>PM-00406</v>
          </cell>
          <cell r="C485" t="str">
            <v>Saudi coffee sticker ( NAMQ ) ستيكر القهوة السعودية ( نمق )</v>
          </cell>
          <cell r="D485" t="str">
            <v>Saudi coffee sticker roll رول استيكر القهوه السعودي</v>
          </cell>
          <cell r="E485" t="str">
            <v/>
          </cell>
          <cell r="F485" t="str">
            <v/>
          </cell>
          <cell r="G485" t="str">
            <v/>
          </cell>
          <cell r="H485" t="str">
            <v/>
          </cell>
          <cell r="I485" t="str">
            <v/>
          </cell>
          <cell r="J485" t="str">
            <v/>
          </cell>
          <cell r="K485">
            <v>0</v>
          </cell>
          <cell r="L485">
            <v>1500</v>
          </cell>
          <cell r="N485">
            <v>0</v>
          </cell>
          <cell r="O485">
            <v>0</v>
          </cell>
          <cell r="P485">
            <v>500</v>
          </cell>
          <cell r="Q485">
            <v>2000</v>
          </cell>
          <cell r="R485">
            <v>2000</v>
          </cell>
          <cell r="S485">
            <v>7</v>
          </cell>
          <cell r="T485" t="str">
            <v>A</v>
          </cell>
          <cell r="U485">
            <v>7.0000000000000007E-2</v>
          </cell>
          <cell r="V485" t="str">
            <v>Active Square مؤسسة المربع الفعال التجارية</v>
          </cell>
          <cell r="W485">
            <v>140</v>
          </cell>
          <cell r="X485">
            <v>105.00000000000001</v>
          </cell>
          <cell r="Z485" t="str">
            <v>PM-00369</v>
          </cell>
          <cell r="AA485" t="str">
            <v>Saudi coffee sticker roll رول استيكر القهوه السعوديه</v>
          </cell>
          <cell r="AB485" t="str">
            <v>PM-00406</v>
          </cell>
          <cell r="AC485" t="str">
            <v>Saudi coffee sticker ( NAMQ ) ستيكر القهوة السعودية ( نمق )</v>
          </cell>
          <cell r="AD485">
            <v>7.0000000000000007E-2</v>
          </cell>
          <cell r="AE485" t="str">
            <v>Active Square مؤسسة المربع الفعال التجارية</v>
          </cell>
        </row>
        <row r="486">
          <cell r="B486" t="str">
            <v>PM-00368</v>
          </cell>
          <cell r="C486" t="str">
            <v>Spanish sticker roll رول استيكر سبانش</v>
          </cell>
          <cell r="D486" t="str">
            <v>Spanish sticker roll رول استيكر سبانش</v>
          </cell>
          <cell r="E486" t="str">
            <v/>
          </cell>
          <cell r="F486" t="str">
            <v/>
          </cell>
          <cell r="G486" t="str">
            <v/>
          </cell>
          <cell r="H486" t="str">
            <v/>
          </cell>
          <cell r="I486" t="str">
            <v/>
          </cell>
          <cell r="J486" t="str">
            <v>✓</v>
          </cell>
          <cell r="K486">
            <v>1</v>
          </cell>
          <cell r="L486">
            <v>3500</v>
          </cell>
          <cell r="N486">
            <v>0</v>
          </cell>
          <cell r="O486">
            <v>0</v>
          </cell>
          <cell r="P486">
            <v>1166.6666666666665</v>
          </cell>
          <cell r="Q486">
            <v>4666.6666666666661</v>
          </cell>
          <cell r="R486">
            <v>4666.6666666666661</v>
          </cell>
          <cell r="S486">
            <v>7</v>
          </cell>
          <cell r="T486" t="str">
            <v>A</v>
          </cell>
          <cell r="U486">
            <v>7.0000000000000007E-2</v>
          </cell>
          <cell r="V486" t="str">
            <v>Active Square مؤسسة المربع الفعال التجارية</v>
          </cell>
          <cell r="W486">
            <v>326.66666666666663</v>
          </cell>
          <cell r="X486">
            <v>245.00000000000003</v>
          </cell>
          <cell r="Z486" t="str">
            <v>PM-00368</v>
          </cell>
          <cell r="AA486" t="str">
            <v>Spanish sticker roll رول استيكر سبانش</v>
          </cell>
          <cell r="AB486" t="str">
            <v>PM-00368</v>
          </cell>
          <cell r="AC486" t="str">
            <v>Spanish sticker roll رول استيكر سبانش</v>
          </cell>
          <cell r="AD486">
            <v>0.09</v>
          </cell>
          <cell r="AE486" t="str">
            <v>Active Square مؤسسة المربع الفعال التجارية</v>
          </cell>
        </row>
        <row r="487">
          <cell r="B487" t="str">
            <v>PM-00347</v>
          </cell>
          <cell r="C487" t="str">
            <v>ورق ترانسفير الكوكيز مقاس 10سم (بريهانت)Transfer cookies Paper(BREEHANT )</v>
          </cell>
          <cell r="D487" t="str">
            <v>ورق ترانسفير الكوكيز مقاس 10سم (بريهانت)Transfer cookies Paper(BREEHANT )</v>
          </cell>
          <cell r="E487" t="str">
            <v/>
          </cell>
          <cell r="F487" t="str">
            <v/>
          </cell>
          <cell r="G487" t="str">
            <v/>
          </cell>
          <cell r="H487" t="str">
            <v/>
          </cell>
          <cell r="I487" t="str">
            <v/>
          </cell>
          <cell r="J487" t="str">
            <v>✓</v>
          </cell>
          <cell r="K487">
            <v>1</v>
          </cell>
          <cell r="L487">
            <v>1000</v>
          </cell>
          <cell r="N487">
            <v>11400</v>
          </cell>
          <cell r="O487">
            <v>342</v>
          </cell>
          <cell r="P487">
            <v>766.66666666666674</v>
          </cell>
          <cell r="Q487">
            <v>1766.6666666666667</v>
          </cell>
          <cell r="R487">
            <v>0</v>
          </cell>
          <cell r="S487">
            <v>20</v>
          </cell>
          <cell r="T487" t="str">
            <v>A</v>
          </cell>
          <cell r="U487">
            <v>2.7</v>
          </cell>
          <cell r="V487" t="str">
            <v>شركة الاخوة المتحدة</v>
          </cell>
          <cell r="W487">
            <v>0</v>
          </cell>
          <cell r="X487">
            <v>2700</v>
          </cell>
          <cell r="Z487" t="str">
            <v>PM-00347</v>
          </cell>
          <cell r="AA487" t="str">
            <v>ورق ترانسفير الكوكيز مقاس 10سم (بريهانت)Transfer cookies Paper(BREEHANT )</v>
          </cell>
          <cell r="AB487" t="str">
            <v>PM-00347</v>
          </cell>
          <cell r="AC487" t="str">
            <v>ورق ترانسفير الكوكيز مقاس 10سم (بريهانت)Transfer cookies Paper(BREEHANT )</v>
          </cell>
          <cell r="AD487">
            <v>3</v>
          </cell>
          <cell r="AE487" t="str">
            <v>شركة الاخوة المتحدة</v>
          </cell>
        </row>
        <row r="488">
          <cell r="B488" t="str">
            <v>PM-00340</v>
          </cell>
          <cell r="C488" t="str">
            <v>ورق شوكولاته مطبوع  لبوكس الكرانشي بريهانتPrinted chocolate paper for crunchy BREEHANT box</v>
          </cell>
          <cell r="D488" t="str">
            <v>Printed chocolate paper for crunchy BREEHANT box</v>
          </cell>
          <cell r="E488" t="str">
            <v/>
          </cell>
          <cell r="F488" t="str">
            <v/>
          </cell>
          <cell r="G488" t="str">
            <v/>
          </cell>
          <cell r="H488" t="str">
            <v/>
          </cell>
          <cell r="I488" t="str">
            <v/>
          </cell>
          <cell r="J488" t="str">
            <v>✓</v>
          </cell>
          <cell r="K488">
            <v>1</v>
          </cell>
          <cell r="L488">
            <v>800</v>
          </cell>
          <cell r="N488">
            <v>0</v>
          </cell>
          <cell r="O488">
            <v>0</v>
          </cell>
          <cell r="P488">
            <v>613.33333333333337</v>
          </cell>
          <cell r="Q488">
            <v>1413.3333333333335</v>
          </cell>
          <cell r="R488">
            <v>1413.3333333333335</v>
          </cell>
          <cell r="S488">
            <v>20</v>
          </cell>
          <cell r="T488" t="str">
            <v>S</v>
          </cell>
          <cell r="V488" t="str">
            <v>شركة مطابع الأمل الحديثة</v>
          </cell>
          <cell r="W488">
            <v>0</v>
          </cell>
          <cell r="X488">
            <v>0</v>
          </cell>
          <cell r="Z488" t="str">
            <v>PM-00340</v>
          </cell>
          <cell r="AA488" t="str">
            <v>ورق شوكولاته مطبوع  لبوكس الكرانشي بريهانتPrinted chocolate paper for crunchy BREEHANT box</v>
          </cell>
          <cell r="AB488" t="str">
            <v>PM-00340</v>
          </cell>
          <cell r="AC488" t="str">
            <v>ورق شوكولاته مطبوع  لبوكس الكرانشي بريهانتPrinted chocolate paper for crunchy BREEHANT box</v>
          </cell>
          <cell r="AD488">
            <v>0.6</v>
          </cell>
          <cell r="AE488" t="str">
            <v>شركة مطابع الأمل الحديثة</v>
          </cell>
        </row>
        <row r="489">
          <cell r="B489" t="str">
            <v>PM-00339</v>
          </cell>
          <cell r="C489" t="str">
            <v>ورق ترانسفير الكوكيز مقاس 10سم (نمق)Transfer cookies Paper(NAMQ )</v>
          </cell>
          <cell r="D489" t="str">
            <v>ورق ترانسفير الكوكيز مقاس 10سم (نمق)Transfer cookies Paper(NAMQ )</v>
          </cell>
          <cell r="E489" t="str">
            <v/>
          </cell>
          <cell r="F489" t="str">
            <v/>
          </cell>
          <cell r="G489" t="str">
            <v/>
          </cell>
          <cell r="H489" t="str">
            <v/>
          </cell>
          <cell r="I489" t="str">
            <v/>
          </cell>
          <cell r="J489" t="str">
            <v>✓</v>
          </cell>
          <cell r="K489">
            <v>1</v>
          </cell>
          <cell r="L489">
            <v>1000</v>
          </cell>
          <cell r="N489">
            <v>0</v>
          </cell>
          <cell r="O489">
            <v>0</v>
          </cell>
          <cell r="P489">
            <v>766.66666666666674</v>
          </cell>
          <cell r="Q489">
            <v>1766.6666666666667</v>
          </cell>
          <cell r="R489">
            <v>1766.6666666666667</v>
          </cell>
          <cell r="S489">
            <v>20</v>
          </cell>
          <cell r="T489" t="str">
            <v>A</v>
          </cell>
          <cell r="U489">
            <v>2.7</v>
          </cell>
          <cell r="V489" t="str">
            <v>شركة الاخوة المتحدة</v>
          </cell>
          <cell r="W489">
            <v>4770.0000000000009</v>
          </cell>
          <cell r="X489">
            <v>2700</v>
          </cell>
          <cell r="Z489" t="str">
            <v>PM-00339</v>
          </cell>
          <cell r="AA489" t="str">
            <v>ورق ترانسفير الكوكيز مقاس 10سم (نمق)Transfer cookies Paper(NAMQ )</v>
          </cell>
          <cell r="AB489" t="str">
            <v>PM-00339</v>
          </cell>
          <cell r="AC489" t="str">
            <v>ورق ترانسفير الكوكيز مقاس 10سم (نمق)Transfer cookies Paper(NAMQ )</v>
          </cell>
          <cell r="AD489">
            <v>3</v>
          </cell>
          <cell r="AE489" t="str">
            <v>شركة الاخوة المتحدة</v>
          </cell>
        </row>
        <row r="490">
          <cell r="B490" t="str">
            <v>PM-00281</v>
          </cell>
          <cell r="C490" t="str">
            <v>Roll packing machine رول مكينة تغليف</v>
          </cell>
          <cell r="D490" t="str">
            <v>Roll packing machine رول مكينة تغليف</v>
          </cell>
          <cell r="E490" t="str">
            <v/>
          </cell>
          <cell r="F490" t="str">
            <v/>
          </cell>
          <cell r="G490" t="str">
            <v/>
          </cell>
          <cell r="H490" t="str">
            <v/>
          </cell>
          <cell r="I490" t="str">
            <v/>
          </cell>
          <cell r="J490" t="str">
            <v>✓</v>
          </cell>
          <cell r="K490">
            <v>1</v>
          </cell>
          <cell r="L490">
            <v>20</v>
          </cell>
          <cell r="N490">
            <v>42</v>
          </cell>
          <cell r="O490">
            <v>63</v>
          </cell>
          <cell r="P490">
            <v>6.6666666666666661</v>
          </cell>
          <cell r="Q490">
            <v>26.666666666666664</v>
          </cell>
          <cell r="R490">
            <v>0</v>
          </cell>
          <cell r="S490">
            <v>7</v>
          </cell>
          <cell r="T490" t="str">
            <v>S</v>
          </cell>
          <cell r="U490">
            <v>200</v>
          </cell>
          <cell r="V490" t="str">
            <v>مؤسسة ركن البيدق التجارية</v>
          </cell>
          <cell r="W490">
            <v>0</v>
          </cell>
          <cell r="X490">
            <v>4000</v>
          </cell>
          <cell r="Z490" t="str">
            <v>PM-00281</v>
          </cell>
          <cell r="AA490" t="str">
            <v>Roll packing machine رول مكينة تغليف</v>
          </cell>
          <cell r="AB490" t="str">
            <v>PM-00281</v>
          </cell>
          <cell r="AC490" t="str">
            <v>Roll packing machine رول مكينة تغليف</v>
          </cell>
          <cell r="AD490">
            <v>200</v>
          </cell>
          <cell r="AE490" t="str">
            <v>مؤسسة ركن البيدق التجارية</v>
          </cell>
        </row>
        <row r="491">
          <cell r="B491" t="str">
            <v>PM-00212</v>
          </cell>
          <cell r="C491" t="str">
            <v>Cup 12 Oz With lid and Sauce can كوب 12 اونصة مع علبة صوص وغطاء</v>
          </cell>
          <cell r="D491" t="str">
            <v>Cup 12 Oz With lid and Sauce can كوب 12 اونصة مع علبة صوص وغطاء</v>
          </cell>
          <cell r="E491" t="str">
            <v/>
          </cell>
          <cell r="F491" t="str">
            <v/>
          </cell>
          <cell r="G491" t="str">
            <v/>
          </cell>
          <cell r="H491" t="str">
            <v/>
          </cell>
          <cell r="I491" t="str">
            <v/>
          </cell>
          <cell r="J491" t="str">
            <v>✓</v>
          </cell>
          <cell r="K491">
            <v>1</v>
          </cell>
          <cell r="L491">
            <v>1000</v>
          </cell>
          <cell r="N491">
            <v>5000</v>
          </cell>
          <cell r="O491">
            <v>150</v>
          </cell>
          <cell r="P491">
            <v>333.33333333333331</v>
          </cell>
          <cell r="Q491">
            <v>1333.3333333333333</v>
          </cell>
          <cell r="R491">
            <v>0</v>
          </cell>
          <cell r="S491">
            <v>7</v>
          </cell>
          <cell r="T491" t="str">
            <v>A</v>
          </cell>
          <cell r="V491" t="str">
            <v>GUANGZHOU MAIBAO PACKAGE CO. LTD</v>
          </cell>
          <cell r="W491">
            <v>0</v>
          </cell>
          <cell r="X491">
            <v>0</v>
          </cell>
          <cell r="Z491" t="str">
            <v>PM-00212</v>
          </cell>
          <cell r="AA491" t="str">
            <v>Cup 12 Oz With lid and Sauce can 	كوب 12 اونصة مع علبة صوص وغطاء</v>
          </cell>
          <cell r="AB491" t="str">
            <v>PM-00212</v>
          </cell>
          <cell r="AC491" t="str">
            <v>Cup 12 Oz With lid and Sauce can كوب 12 اونصة مع علبة صوص وغطاء</v>
          </cell>
          <cell r="AD491">
            <v>0.47499999999999998</v>
          </cell>
          <cell r="AE491" t="str">
            <v xml:space="preserve">شركة بروتيا </v>
          </cell>
        </row>
        <row r="492">
          <cell r="B492" t="e">
            <v>#N/A</v>
          </cell>
          <cell r="C492" t="e">
            <v>#N/A</v>
          </cell>
          <cell r="D492" t="str">
            <v>Marshmallow box</v>
          </cell>
          <cell r="E492" t="e">
            <v>#N/A</v>
          </cell>
          <cell r="F492" t="e">
            <v>#N/A</v>
          </cell>
          <cell r="G492" t="e">
            <v>#N/A</v>
          </cell>
          <cell r="H492" t="e">
            <v>#N/A</v>
          </cell>
          <cell r="I492" t="e">
            <v>#N/A</v>
          </cell>
          <cell r="J492" t="e">
            <v>#N/A</v>
          </cell>
          <cell r="K492">
            <v>0</v>
          </cell>
          <cell r="L492">
            <v>1000</v>
          </cell>
          <cell r="N492">
            <v>0</v>
          </cell>
          <cell r="O492">
            <v>0</v>
          </cell>
          <cell r="P492">
            <v>766.66666666666674</v>
          </cell>
          <cell r="Q492">
            <v>1766.6666666666667</v>
          </cell>
          <cell r="R492">
            <v>1766.6666666666667</v>
          </cell>
          <cell r="S492">
            <v>20</v>
          </cell>
          <cell r="T492" t="str">
            <v>C</v>
          </cell>
          <cell r="U492">
            <v>0.22</v>
          </cell>
          <cell r="V492" t="str">
            <v>شركة مطابع الأمل الحديثة</v>
          </cell>
          <cell r="W492">
            <v>388.66666666666669</v>
          </cell>
          <cell r="X492">
            <v>220</v>
          </cell>
          <cell r="Z492" t="str">
            <v>PM-00112</v>
          </cell>
          <cell r="AA492" t="str">
            <v>Sandwich Box (NAMQ) بوكس الساندويتش (نمق)</v>
          </cell>
          <cell r="AB492" t="e">
            <v>#N/A</v>
          </cell>
          <cell r="AC492" t="e">
            <v>#N/A</v>
          </cell>
          <cell r="AD492" t="e">
            <v>#N/A</v>
          </cell>
          <cell r="AE492" t="e">
            <v>#N/A</v>
          </cell>
        </row>
        <row r="493">
          <cell r="B493" t="str">
            <v>PM-00105</v>
          </cell>
          <cell r="C493" t="str">
            <v>Crunchy Chocolate box (BREEHANT) بوكس كرانشي شوكلت ( بريهانت )</v>
          </cell>
          <cell r="D493" t="str">
            <v>Crunchy Chocolate box (BREEHANT) بوكس كرانشي شوكلت ( بريهانت )</v>
          </cell>
          <cell r="E493" t="str">
            <v/>
          </cell>
          <cell r="F493" t="str">
            <v/>
          </cell>
          <cell r="G493" t="str">
            <v/>
          </cell>
          <cell r="H493" t="str">
            <v/>
          </cell>
          <cell r="I493" t="str">
            <v/>
          </cell>
          <cell r="J493" t="str">
            <v>✓</v>
          </cell>
          <cell r="K493">
            <v>1</v>
          </cell>
          <cell r="L493">
            <v>1000</v>
          </cell>
          <cell r="N493">
            <v>0</v>
          </cell>
          <cell r="O493">
            <v>0</v>
          </cell>
          <cell r="P493">
            <v>766.66666666666674</v>
          </cell>
          <cell r="Q493">
            <v>1766.6666666666667</v>
          </cell>
          <cell r="R493">
            <v>1766.6666666666667</v>
          </cell>
          <cell r="S493">
            <v>20</v>
          </cell>
          <cell r="T493" t="str">
            <v>S</v>
          </cell>
          <cell r="U493">
            <v>0.28000000000000003</v>
          </cell>
          <cell r="V493" t="str">
            <v>Active Square مؤسسة المربع الفعال التجارية</v>
          </cell>
          <cell r="W493">
            <v>494.66666666666674</v>
          </cell>
          <cell r="X493">
            <v>280</v>
          </cell>
          <cell r="Z493" t="str">
            <v>PM-00105</v>
          </cell>
          <cell r="AA493" t="str">
            <v>Crunchy Chocolate box (BREEHANT)	بوكس كرانشي شوكلت ( بريهانت )</v>
          </cell>
          <cell r="AB493" t="str">
            <v>PM-00105</v>
          </cell>
          <cell r="AC493" t="str">
            <v>Crunchy Chocolate box (BREEHANT) بوكس كرانشي شوكلت ( بريهانت )</v>
          </cell>
          <cell r="AD493">
            <v>1.8</v>
          </cell>
          <cell r="AE493" t="str">
            <v>Active Square مؤسسة المربع الفعال التجارية</v>
          </cell>
        </row>
        <row r="494">
          <cell r="B494" t="str">
            <v>PM-00089</v>
          </cell>
          <cell r="C494" t="str">
            <v>Bar Box ( Breehant ) بوكس البارات ( بريهانت )</v>
          </cell>
          <cell r="D494" t="str">
            <v>Bar Box ( Breehant ) بوكس البارات ( بريهانت )</v>
          </cell>
          <cell r="E494" t="str">
            <v/>
          </cell>
          <cell r="F494" t="str">
            <v/>
          </cell>
          <cell r="G494" t="str">
            <v/>
          </cell>
          <cell r="H494" t="str">
            <v/>
          </cell>
          <cell r="I494" t="str">
            <v/>
          </cell>
          <cell r="J494" t="str">
            <v>✓</v>
          </cell>
          <cell r="K494">
            <v>1</v>
          </cell>
          <cell r="L494">
            <v>4000</v>
          </cell>
          <cell r="N494">
            <v>0</v>
          </cell>
          <cell r="O494">
            <v>0</v>
          </cell>
          <cell r="P494">
            <v>3066.666666666667</v>
          </cell>
          <cell r="Q494">
            <v>7066.666666666667</v>
          </cell>
          <cell r="R494">
            <v>7066.666666666667</v>
          </cell>
          <cell r="S494">
            <v>20</v>
          </cell>
          <cell r="T494" t="str">
            <v>S</v>
          </cell>
          <cell r="U494">
            <v>0.22</v>
          </cell>
          <cell r="V494" t="str">
            <v>شركة مطابع الأمل الحديثة</v>
          </cell>
          <cell r="W494">
            <v>1554.6666666666667</v>
          </cell>
          <cell r="X494">
            <v>880</v>
          </cell>
          <cell r="Z494" t="str">
            <v>PM-00089</v>
          </cell>
          <cell r="AA494" t="str">
            <v>Bar Box ( Breehant ) بوكس البارات ( بريهانت )</v>
          </cell>
          <cell r="AB494" t="str">
            <v>PM-00089</v>
          </cell>
          <cell r="AC494" t="str">
            <v>Bar Box ( Breehant ) بوكس البارات ( بريهانت )</v>
          </cell>
          <cell r="AD494">
            <v>0.05</v>
          </cell>
          <cell r="AE494" t="str">
            <v>المربع الفعال</v>
          </cell>
        </row>
        <row r="495">
          <cell r="B495" t="str">
            <v>PM-00576</v>
          </cell>
          <cell r="C495" t="str">
            <v>بكج تغليف حلا الزعتر Zaatar Sweets Packaging</v>
          </cell>
          <cell r="D495" t="str">
            <v>Thyme box ( NAMQ ) بوكس الزعتر ( نمق</v>
          </cell>
          <cell r="E495" t="str">
            <v/>
          </cell>
          <cell r="F495" t="str">
            <v/>
          </cell>
          <cell r="G495" t="str">
            <v/>
          </cell>
          <cell r="H495" t="str">
            <v/>
          </cell>
          <cell r="I495" t="str">
            <v/>
          </cell>
          <cell r="J495" t="str">
            <v/>
          </cell>
          <cell r="K495">
            <v>0</v>
          </cell>
          <cell r="L495">
            <v>3500</v>
          </cell>
          <cell r="N495">
            <v>186200</v>
          </cell>
          <cell r="O495">
            <v>1596</v>
          </cell>
          <cell r="P495">
            <v>2683.3333333333335</v>
          </cell>
          <cell r="Q495">
            <v>6183.3333333333339</v>
          </cell>
          <cell r="R495">
            <v>0</v>
          </cell>
          <cell r="S495">
            <v>20</v>
          </cell>
          <cell r="T495" t="str">
            <v>A</v>
          </cell>
          <cell r="V495" t="str">
            <v>Tanzeem Al Afkar Trading Company | شركة تنظيم الافكار للتجارة</v>
          </cell>
          <cell r="W495">
            <v>0</v>
          </cell>
          <cell r="X495">
            <v>0</v>
          </cell>
          <cell r="Z495" t="str">
            <v>PM-00082</v>
          </cell>
          <cell r="AA495" t="str">
            <v>Thyme box ( NAMQ ) بوكس الزعتر ( نمق )</v>
          </cell>
          <cell r="AB495" t="str">
            <v>PM-00576</v>
          </cell>
          <cell r="AC495" t="str">
            <v>بكج تغليف حلا الزعتر Zaatar Sweets Packaging</v>
          </cell>
          <cell r="AD495">
            <v>0</v>
          </cell>
          <cell r="AE495" t="str">
            <v>Tanzeem Al Afkar Trading Company | شركة تنظيم الافكار للتجارة</v>
          </cell>
        </row>
        <row r="496">
          <cell r="B496" t="str">
            <v>PM-00059</v>
          </cell>
          <cell r="C496" t="str">
            <v>Circled  Golden Cake Plate 28 cm قاعدة كيك ذهبية دائرية 28سم</v>
          </cell>
          <cell r="D496" t="str">
            <v>Circled  Golden Cake Plate 28 cm قاعدة كيك ذهبية دائرية 28سم</v>
          </cell>
          <cell r="E496" t="str">
            <v/>
          </cell>
          <cell r="F496" t="str">
            <v/>
          </cell>
          <cell r="G496" t="str">
            <v/>
          </cell>
          <cell r="H496" t="str">
            <v/>
          </cell>
          <cell r="I496" t="str">
            <v/>
          </cell>
          <cell r="J496" t="str">
            <v>✓</v>
          </cell>
          <cell r="K496">
            <v>1</v>
          </cell>
          <cell r="L496">
            <v>6200</v>
          </cell>
          <cell r="N496">
            <v>1190</v>
          </cell>
          <cell r="O496">
            <v>5.758064516129032</v>
          </cell>
          <cell r="P496">
            <v>2066.6666666666665</v>
          </cell>
          <cell r="Q496">
            <v>8266.6666666666661</v>
          </cell>
          <cell r="R496">
            <v>7076.6666666666661</v>
          </cell>
          <cell r="S496">
            <v>7</v>
          </cell>
          <cell r="T496" t="str">
            <v>A</v>
          </cell>
          <cell r="U496">
            <v>0.87324000000000002</v>
          </cell>
          <cell r="V496" t="str">
            <v>مؤسسة مستر شيف</v>
          </cell>
          <cell r="W496">
            <v>6179.6283999999996</v>
          </cell>
          <cell r="X496">
            <v>5414.0879999999997</v>
          </cell>
          <cell r="Z496" t="str">
            <v>PM-00059</v>
          </cell>
          <cell r="AA496" t="str">
            <v>Circled  Golden Cake Plate 28 cm قاعدة كيك ذهبية دائرية 28سم</v>
          </cell>
          <cell r="AB496" t="str">
            <v>PM-00059</v>
          </cell>
          <cell r="AC496" t="str">
            <v>Circled  Golden Cake Plate 28 cm قاعدة كيك ذهبية دائرية 28سم</v>
          </cell>
          <cell r="AD496">
            <v>0.87324000000000002</v>
          </cell>
          <cell r="AE496" t="str">
            <v>مؤسسة مستر شيف</v>
          </cell>
        </row>
        <row r="497">
          <cell r="B497" t="str">
            <v>PM-00740</v>
          </cell>
          <cell r="C497" t="str">
            <v>cake base 13*5 | قاعدة كيك 13*5</v>
          </cell>
          <cell r="D497" t="str">
            <v>Golden Cake Plate  قاعدة كيك ذهبية 13*4.5 سم</v>
          </cell>
          <cell r="E497" t="str">
            <v/>
          </cell>
          <cell r="F497" t="str">
            <v/>
          </cell>
          <cell r="G497" t="str">
            <v/>
          </cell>
          <cell r="H497" t="str">
            <v/>
          </cell>
          <cell r="I497" t="str">
            <v/>
          </cell>
          <cell r="J497" t="str">
            <v/>
          </cell>
          <cell r="K497">
            <v>0</v>
          </cell>
          <cell r="L497">
            <v>5000</v>
          </cell>
          <cell r="N497">
            <v>0</v>
          </cell>
          <cell r="O497">
            <v>0</v>
          </cell>
          <cell r="P497">
            <v>1666.6666666666665</v>
          </cell>
          <cell r="Q497">
            <v>6666.6666666666661</v>
          </cell>
          <cell r="R497">
            <v>6666.6666666666661</v>
          </cell>
          <cell r="S497">
            <v>7</v>
          </cell>
          <cell r="T497" t="str">
            <v>A</v>
          </cell>
          <cell r="U497">
            <v>0.1</v>
          </cell>
          <cell r="V497" t="str">
            <v>مجموعة فهد المعيذر التجارية</v>
          </cell>
          <cell r="W497">
            <v>666.66666666666663</v>
          </cell>
          <cell r="X497">
            <v>500</v>
          </cell>
          <cell r="Z497" t="str">
            <v>PM-00058</v>
          </cell>
          <cell r="AA497" t="str">
            <v>Golden Cake Plate  قاعدة كيك ذهبية 13*4.5 سم</v>
          </cell>
          <cell r="AB497" t="str">
            <v>PM-00740</v>
          </cell>
          <cell r="AC497" t="str">
            <v>cake base 13*5 | قاعدة كيك 13*5</v>
          </cell>
          <cell r="AD497">
            <v>0.1</v>
          </cell>
          <cell r="AE497" t="str">
            <v>مجموعة فهد المعيذر التجارية</v>
          </cell>
        </row>
        <row r="498">
          <cell r="B498" t="str">
            <v>PM-00052</v>
          </cell>
          <cell r="C498" t="str">
            <v>Fruit granola bag cove  (غطاء كيس جرانولا بالفواكه (بريهانت</v>
          </cell>
          <cell r="D498" t="str">
            <v>Fruit granola bag cove  (غطاء كيس جرانولا بالفواكه (بريهانت</v>
          </cell>
          <cell r="E498" t="str">
            <v/>
          </cell>
          <cell r="F498" t="str">
            <v/>
          </cell>
          <cell r="G498" t="str">
            <v/>
          </cell>
          <cell r="H498" t="str">
            <v/>
          </cell>
          <cell r="I498" t="str">
            <v/>
          </cell>
          <cell r="J498" t="str">
            <v>✓</v>
          </cell>
          <cell r="K498">
            <v>1</v>
          </cell>
          <cell r="L498">
            <v>1000</v>
          </cell>
          <cell r="N498">
            <v>15000</v>
          </cell>
          <cell r="O498">
            <v>450</v>
          </cell>
          <cell r="P498">
            <v>566.66666666666663</v>
          </cell>
          <cell r="Q498">
            <v>1566.6666666666665</v>
          </cell>
          <cell r="R498">
            <v>0</v>
          </cell>
          <cell r="S498">
            <v>14</v>
          </cell>
          <cell r="T498" t="str">
            <v>A</v>
          </cell>
          <cell r="U498">
            <v>0.6</v>
          </cell>
          <cell r="V498" t="str">
            <v>شركة مطابع الأمل الحديثة</v>
          </cell>
          <cell r="W498">
            <v>0</v>
          </cell>
          <cell r="X498">
            <v>600</v>
          </cell>
          <cell r="Z498" t="str">
            <v>PM-00052</v>
          </cell>
          <cell r="AA498" t="str">
            <v>Fruit granola bag cove  (غطاء كيس جرانولا بالفواكه (بريهانت</v>
          </cell>
          <cell r="AB498" t="str">
            <v>PM-00052</v>
          </cell>
          <cell r="AC498" t="str">
            <v>Fruit granola bag cove  (غطاء كيس جرانولا بالفواكه (بريهانت</v>
          </cell>
          <cell r="AD498">
            <v>0.6</v>
          </cell>
          <cell r="AE498" t="str">
            <v>شركة مطابع الأمل الحديثة</v>
          </cell>
        </row>
        <row r="499">
          <cell r="B499" t="str">
            <v>PM-00051</v>
          </cell>
          <cell r="C499" t="str">
            <v>Cover a bag of granola with dates and peanuts   (غطاء كيس جرانولا بالتمر والفول السوداني (بريهانت</v>
          </cell>
          <cell r="D499" t="str">
            <v>Cover a bag of granola with dates and peanuts   (غطاء كيس جرانولا بالتمر والفول السوداني (بريهانت</v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>✓</v>
          </cell>
          <cell r="K499">
            <v>1</v>
          </cell>
          <cell r="L499">
            <v>1000</v>
          </cell>
          <cell r="N499">
            <v>9200</v>
          </cell>
          <cell r="O499">
            <v>276</v>
          </cell>
          <cell r="P499">
            <v>566.66666666666663</v>
          </cell>
          <cell r="Q499">
            <v>1566.6666666666665</v>
          </cell>
          <cell r="R499">
            <v>0</v>
          </cell>
          <cell r="S499">
            <v>14</v>
          </cell>
          <cell r="T499" t="str">
            <v>A</v>
          </cell>
          <cell r="U499">
            <v>0.6</v>
          </cell>
          <cell r="V499" t="str">
            <v>شركة مطابع الأمل الحديثة</v>
          </cell>
          <cell r="W499">
            <v>0</v>
          </cell>
          <cell r="X499">
            <v>600</v>
          </cell>
          <cell r="Z499" t="str">
            <v>PM-00051</v>
          </cell>
          <cell r="AA499" t="str">
            <v>Cover a bag of granola with dates and peanuts   (غطاء كيس جرانولا بالتمر والفول السوداني (بريهانت</v>
          </cell>
          <cell r="AB499" t="str">
            <v>PM-00051</v>
          </cell>
          <cell r="AC499" t="str">
            <v>Cover a bag of granola with dates and peanuts   (غطاء كيس جرانولا بالتمر والفول السوداني (بريهانت</v>
          </cell>
          <cell r="AD499">
            <v>0.6</v>
          </cell>
          <cell r="AE499" t="str">
            <v>شركة مطابع الأمل الحديثة</v>
          </cell>
        </row>
        <row r="500">
          <cell r="B500" t="str">
            <v>PM-00044</v>
          </cell>
          <cell r="C500" t="str">
            <v>Granola foggy Bag 500 grams كيس جرانولا ضبابي500 جرام</v>
          </cell>
          <cell r="D500" t="str">
            <v>Granola foggy Bag 500 grams كيس جرانولا ضبابي500 جرام</v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>✓</v>
          </cell>
          <cell r="K500">
            <v>1</v>
          </cell>
          <cell r="L500">
            <v>500</v>
          </cell>
          <cell r="N500">
            <v>0</v>
          </cell>
          <cell r="O500">
            <v>0</v>
          </cell>
          <cell r="P500">
            <v>383.33333333333337</v>
          </cell>
          <cell r="Q500">
            <v>883.33333333333337</v>
          </cell>
          <cell r="R500">
            <v>883.33333333333337</v>
          </cell>
          <cell r="S500">
            <v>20</v>
          </cell>
          <cell r="T500" t="str">
            <v>A</v>
          </cell>
          <cell r="U500">
            <v>0.75</v>
          </cell>
          <cell r="V500" t="str">
            <v>مؤسسة ركن البيدق التجارية</v>
          </cell>
          <cell r="W500">
            <v>662.5</v>
          </cell>
          <cell r="X500">
            <v>375</v>
          </cell>
          <cell r="Z500" t="str">
            <v>PM-00044</v>
          </cell>
          <cell r="AA500" t="str">
            <v xml:space="preserve">Granola foggy Bag 500 grams كيس جرانولا ضبابي500 جرام </v>
          </cell>
          <cell r="AB500" t="str">
            <v>PM-00044</v>
          </cell>
          <cell r="AC500" t="str">
            <v>Granola foggy Bag 500 grams كيس جرانولا ضبابي500 جرام</v>
          </cell>
          <cell r="AD500">
            <v>0.75</v>
          </cell>
          <cell r="AE500" t="str">
            <v>مؤسسة ركن البيدق التجارية</v>
          </cell>
        </row>
        <row r="501">
          <cell r="B501" t="str">
            <v>PM-00033</v>
          </cell>
          <cell r="C501" t="str">
            <v>Babka cake cover  ( Namq) غلاف كيكة البابكا ( نمق )</v>
          </cell>
          <cell r="D501" t="str">
            <v>Babka cake cover  ( Namq) غلاف كيكة البابكا ( نمق )</v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>✓</v>
          </cell>
          <cell r="K501">
            <v>1</v>
          </cell>
          <cell r="L501">
            <v>15000</v>
          </cell>
          <cell r="N501">
            <v>14000</v>
          </cell>
          <cell r="O501">
            <v>28</v>
          </cell>
          <cell r="P501">
            <v>11500</v>
          </cell>
          <cell r="Q501">
            <v>26500</v>
          </cell>
          <cell r="R501">
            <v>12500</v>
          </cell>
          <cell r="S501">
            <v>20</v>
          </cell>
          <cell r="T501" t="str">
            <v>A</v>
          </cell>
          <cell r="U501">
            <v>0.22</v>
          </cell>
          <cell r="V501" t="str">
            <v>شركة الماس باك للتغليف</v>
          </cell>
          <cell r="W501">
            <v>2750</v>
          </cell>
          <cell r="X501">
            <v>3300</v>
          </cell>
          <cell r="Z501" t="str">
            <v>PM-00033</v>
          </cell>
          <cell r="AA501" t="str">
            <v>Babka cake cover  ( Namq) غلاف كيكة البابكا ( نمق )</v>
          </cell>
          <cell r="AB501" t="str">
            <v>PM-00033</v>
          </cell>
          <cell r="AC501" t="str">
            <v>Babka cake cover  ( Namq) غلاف كيكة البابكا ( نمق )</v>
          </cell>
          <cell r="AD501">
            <v>7.0000000000000007E-2</v>
          </cell>
          <cell r="AE501" t="str">
            <v>المربع الفعال</v>
          </cell>
        </row>
        <row r="502">
          <cell r="B502" t="str">
            <v>PM-00029</v>
          </cell>
          <cell r="C502" t="str">
            <v>foggy Bag size:13*17cm+3cm Thickness:0.05mm كيس ضبابي للكيك</v>
          </cell>
          <cell r="D502" t="str">
            <v>foggy Bag size:13*17cm+3cm Thickness:0.05mm كيس ضبابي للكيك</v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>✓</v>
          </cell>
          <cell r="K502">
            <v>1</v>
          </cell>
          <cell r="L502">
            <v>40000</v>
          </cell>
          <cell r="N502">
            <v>372400</v>
          </cell>
          <cell r="O502">
            <v>279.3</v>
          </cell>
          <cell r="P502">
            <v>124000</v>
          </cell>
          <cell r="Q502">
            <v>164000</v>
          </cell>
          <cell r="R502">
            <v>0</v>
          </cell>
          <cell r="S502">
            <v>90</v>
          </cell>
          <cell r="T502" t="str">
            <v>S</v>
          </cell>
          <cell r="U502">
            <v>1.0699999999999999E-2</v>
          </cell>
          <cell r="V502" t="str">
            <v>Xiamen Twinwin Packing Products Co. Ltd</v>
          </cell>
          <cell r="W502">
            <v>0</v>
          </cell>
          <cell r="X502">
            <v>428</v>
          </cell>
          <cell r="Z502" t="str">
            <v>PM-00029</v>
          </cell>
          <cell r="AA502" t="str">
            <v>foggy Bag size:13*17cm+3cm Thickness:0.05mm كيس ضبابي للكيك</v>
          </cell>
          <cell r="AB502" t="str">
            <v>PM-00029</v>
          </cell>
          <cell r="AC502" t="str">
            <v>foggy Bag size:13*17cm+3cm Thickness:0.05mm كيس ضبابي للكيك</v>
          </cell>
          <cell r="AD502">
            <v>1.0699999999999999E-2</v>
          </cell>
          <cell r="AE502" t="str">
            <v>Xiamen Twinwin Packing Products Co. Ltd</v>
          </cell>
        </row>
        <row r="503">
          <cell r="B503" t="str">
            <v>PM-00028</v>
          </cell>
          <cell r="C503" t="str">
            <v>Babka cake cover  (BREEHANT) غلاف بابكا تشوكلت ( بريهانت )</v>
          </cell>
          <cell r="D503" t="str">
            <v>Babka cake cover  (BREEHANT) غلاف بابكا تشوكلت ( بريهانت )</v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>✓</v>
          </cell>
          <cell r="K503">
            <v>1</v>
          </cell>
          <cell r="L503">
            <v>3500</v>
          </cell>
          <cell r="N503">
            <v>10500</v>
          </cell>
          <cell r="O503">
            <v>90</v>
          </cell>
          <cell r="P503">
            <v>2683.3333333333335</v>
          </cell>
          <cell r="Q503">
            <v>6183.3333333333339</v>
          </cell>
          <cell r="R503">
            <v>0</v>
          </cell>
          <cell r="S503">
            <v>20</v>
          </cell>
          <cell r="T503" t="str">
            <v>S</v>
          </cell>
          <cell r="U503">
            <v>0.1</v>
          </cell>
          <cell r="V503" t="str">
            <v>شركة مطابع الأمل الحديثة</v>
          </cell>
          <cell r="W503">
            <v>0</v>
          </cell>
          <cell r="X503">
            <v>350</v>
          </cell>
          <cell r="Z503" t="str">
            <v>PM-00028</v>
          </cell>
          <cell r="AA503" t="str">
            <v>Babka cake cover  (BREEHANT) غلاف بابكا تشوكلت ( بريهانت )</v>
          </cell>
          <cell r="AB503" t="str">
            <v>PM-00028</v>
          </cell>
          <cell r="AC503" t="str">
            <v>Babka cake cover  (BREEHANT) غلاف بابكا تشوكلت ( بريهانت )</v>
          </cell>
          <cell r="AD503">
            <v>0.1</v>
          </cell>
          <cell r="AE503" t="str">
            <v>شركة مطابع الأمل الحديثة</v>
          </cell>
        </row>
        <row r="504">
          <cell r="B504" t="str">
            <v>PM-00027</v>
          </cell>
          <cell r="C504" t="str">
            <v>Marble cake cover (BREEHANT) غلاف كيكة الماربل ( بريهانت )</v>
          </cell>
          <cell r="D504" t="str">
            <v>Marble cake cover (BREEHANT) غلاف كيكة الماربل ( بريهانت )</v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>✓</v>
          </cell>
          <cell r="K504">
            <v>1</v>
          </cell>
          <cell r="L504">
            <v>2500</v>
          </cell>
          <cell r="N504">
            <v>8500</v>
          </cell>
          <cell r="O504">
            <v>102</v>
          </cell>
          <cell r="P504">
            <v>1916.6666666666667</v>
          </cell>
          <cell r="Q504">
            <v>4416.666666666667</v>
          </cell>
          <cell r="R504">
            <v>0</v>
          </cell>
          <cell r="S504">
            <v>20</v>
          </cell>
          <cell r="T504" t="str">
            <v>S</v>
          </cell>
          <cell r="U504">
            <v>0.1</v>
          </cell>
          <cell r="V504" t="str">
            <v>شركة مطابع الأمل الحديثة</v>
          </cell>
          <cell r="W504">
            <v>0</v>
          </cell>
          <cell r="X504">
            <v>250</v>
          </cell>
          <cell r="Z504" t="str">
            <v>PM-00027</v>
          </cell>
          <cell r="AA504" t="str">
            <v>Marble cake cover (BREEHANT) غلاف كيكة الماربل ( بريهانت )</v>
          </cell>
          <cell r="AB504" t="str">
            <v>PM-00027</v>
          </cell>
          <cell r="AC504" t="str">
            <v>Marble cake cover (BREEHANT) غلاف كيكة الماربل ( بريهانت )</v>
          </cell>
          <cell r="AD504">
            <v>0.1</v>
          </cell>
          <cell r="AE504" t="str">
            <v>شركة مطابع الأمل الحديثة</v>
          </cell>
        </row>
        <row r="505">
          <cell r="B505" t="str">
            <v>PM-00026</v>
          </cell>
          <cell r="C505" t="str">
            <v>Lemon Cake cover (BREEHANT) غلاف  كيكة الليمون ( بريهانت )</v>
          </cell>
          <cell r="D505" t="str">
            <v>Lemon Cake cover (BREEHANT) غلاف  كيكة الليمون ( بريهانت )</v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>✓</v>
          </cell>
          <cell r="K505">
            <v>1</v>
          </cell>
          <cell r="L505">
            <v>4000</v>
          </cell>
          <cell r="N505">
            <v>5000</v>
          </cell>
          <cell r="O505">
            <v>37.5</v>
          </cell>
          <cell r="P505">
            <v>3066.666666666667</v>
          </cell>
          <cell r="Q505">
            <v>7066.666666666667</v>
          </cell>
          <cell r="R505">
            <v>2066.666666666667</v>
          </cell>
          <cell r="S505">
            <v>20</v>
          </cell>
          <cell r="T505" t="str">
            <v>A</v>
          </cell>
          <cell r="U505">
            <v>0.1</v>
          </cell>
          <cell r="V505" t="str">
            <v>شركة مطابع الأمل الحديثة</v>
          </cell>
          <cell r="W505">
            <v>206.66666666666671</v>
          </cell>
          <cell r="X505">
            <v>400</v>
          </cell>
          <cell r="Z505" t="str">
            <v>PM-00026</v>
          </cell>
          <cell r="AA505" t="str">
            <v>Lemon Cake cover (BREEHANT) غلاف  كيكة الليمون ( بريهانت )</v>
          </cell>
          <cell r="AB505" t="str">
            <v>PM-00026</v>
          </cell>
          <cell r="AC505" t="str">
            <v>Lemon Cake cover (BREEHANT) غلاف  كيكة الليمون ( بريهانت )</v>
          </cell>
          <cell r="AD505">
            <v>0.1</v>
          </cell>
          <cell r="AE505" t="str">
            <v>شركة مطابع الأمل الحديثة</v>
          </cell>
        </row>
        <row r="506">
          <cell r="B506" t="str">
            <v>PM-00021</v>
          </cell>
          <cell r="C506" t="str">
            <v>VACUUM BAG 200 كيس شفط الهواء 200</v>
          </cell>
          <cell r="D506" t="str">
            <v>VACUUM BAG 200 كيس شفط الهواء 200</v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>✓</v>
          </cell>
          <cell r="K506">
            <v>1</v>
          </cell>
          <cell r="L506">
            <v>3500</v>
          </cell>
          <cell r="N506">
            <v>10000</v>
          </cell>
          <cell r="O506">
            <v>85.714285714285722</v>
          </cell>
          <cell r="P506">
            <v>2683.3333333333335</v>
          </cell>
          <cell r="Q506">
            <v>6183.3333333333339</v>
          </cell>
          <cell r="R506">
            <v>0</v>
          </cell>
          <cell r="S506">
            <v>20</v>
          </cell>
          <cell r="T506" t="str">
            <v>A</v>
          </cell>
          <cell r="U506">
            <v>0.28999999999999998</v>
          </cell>
          <cell r="V506" t="str">
            <v>مؤسسة ركن البيدق التجارية</v>
          </cell>
          <cell r="W506">
            <v>0</v>
          </cell>
          <cell r="X506">
            <v>1014.9999999999999</v>
          </cell>
          <cell r="Z506" t="str">
            <v>PM-00021</v>
          </cell>
          <cell r="AA506" t="str">
            <v>VACUUM BAG 200 كيس شفط الهواء 200</v>
          </cell>
          <cell r="AB506" t="str">
            <v>PM-00021</v>
          </cell>
          <cell r="AC506" t="str">
            <v>VACUUM BAG 200 كيس شفط الهواء 200</v>
          </cell>
          <cell r="AD506">
            <v>0.28999999999999998</v>
          </cell>
          <cell r="AE506" t="str">
            <v>مؤسسة ركن البيدق التجارية</v>
          </cell>
        </row>
        <row r="507">
          <cell r="B507" t="str">
            <v>PM-00020</v>
          </cell>
          <cell r="C507" t="str">
            <v>VACUUM BAG 300 كيس شفط الهواء 300</v>
          </cell>
          <cell r="D507" t="str">
            <v>VACUUM BAG 300 كيس شفط الهواء 300</v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>✓</v>
          </cell>
          <cell r="K507">
            <v>1</v>
          </cell>
          <cell r="L507">
            <v>3500</v>
          </cell>
          <cell r="N507">
            <v>5000</v>
          </cell>
          <cell r="O507">
            <v>42.857142857142861</v>
          </cell>
          <cell r="P507">
            <v>2683.3333333333335</v>
          </cell>
          <cell r="Q507">
            <v>6183.3333333333339</v>
          </cell>
          <cell r="R507">
            <v>1183.3333333333339</v>
          </cell>
          <cell r="S507">
            <v>20</v>
          </cell>
          <cell r="T507" t="str">
            <v>A</v>
          </cell>
          <cell r="U507">
            <v>0.28999999999999998</v>
          </cell>
          <cell r="V507" t="str">
            <v>مؤسسة ركن البيدق التجارية</v>
          </cell>
          <cell r="W507">
            <v>343.1666666666668</v>
          </cell>
          <cell r="X507">
            <v>1014.9999999999999</v>
          </cell>
          <cell r="Z507" t="str">
            <v>PM-00020</v>
          </cell>
          <cell r="AA507" t="str">
            <v>VACUUM BAG 300 كيس شفط الهواء 300</v>
          </cell>
          <cell r="AB507" t="str">
            <v>PM-00020</v>
          </cell>
          <cell r="AC507" t="str">
            <v>VACUUM BAG 300 كيس شفط الهواء 300</v>
          </cell>
          <cell r="AD507">
            <v>0.28999999999999998</v>
          </cell>
          <cell r="AE507" t="str">
            <v>مؤسسة ركن البيدق التجارية</v>
          </cell>
        </row>
        <row r="508">
          <cell r="B508" t="str">
            <v>PM-00017</v>
          </cell>
          <cell r="C508" t="str">
            <v>Marble cake cover  ( NAMQ ) غلاف كيكة الماربل ( نمق )</v>
          </cell>
          <cell r="D508" t="str">
            <v>Marble cake cover ( NAMQ ) غلاف كيكة الماربل ( نمق</v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>✓</v>
          </cell>
          <cell r="K508">
            <v>1</v>
          </cell>
          <cell r="L508">
            <v>15000</v>
          </cell>
          <cell r="N508">
            <v>0</v>
          </cell>
          <cell r="O508">
            <v>0</v>
          </cell>
          <cell r="P508">
            <v>11500</v>
          </cell>
          <cell r="Q508">
            <v>26500</v>
          </cell>
          <cell r="R508">
            <v>26500</v>
          </cell>
          <cell r="S508">
            <v>20</v>
          </cell>
          <cell r="T508" t="str">
            <v>A</v>
          </cell>
          <cell r="U508">
            <v>0.22</v>
          </cell>
          <cell r="V508" t="str">
            <v>شركة الماس باك للتغليف</v>
          </cell>
          <cell r="W508">
            <v>5830</v>
          </cell>
          <cell r="X508">
            <v>3300</v>
          </cell>
          <cell r="Z508" t="str">
            <v>PM-00017</v>
          </cell>
          <cell r="AA508" t="str">
            <v>Marble cake cover  ( NAMQ ) غلاف كيكة الماربل ( نمق )</v>
          </cell>
          <cell r="AB508" t="str">
            <v>PM-00017</v>
          </cell>
          <cell r="AC508" t="str">
            <v>Marble cake cover  ( NAMQ ) غلاف كيكة الماربل ( نمق )</v>
          </cell>
          <cell r="AD508">
            <v>0.26</v>
          </cell>
          <cell r="AE508" t="str">
            <v>شركة الماس باك للتغليف</v>
          </cell>
        </row>
        <row r="509">
          <cell r="B509" t="str">
            <v>PM-00016</v>
          </cell>
          <cell r="C509" t="str">
            <v>Lemon Cake Cover ( NAMQ ) غلاف كيكة الليمون ( نمق )</v>
          </cell>
          <cell r="D509" t="str">
            <v>Lemon Cake Cover ( NAMQ ) غلاف كيكة الليمون ( نمق</v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>✓</v>
          </cell>
          <cell r="K509">
            <v>1</v>
          </cell>
          <cell r="L509">
            <v>8000</v>
          </cell>
          <cell r="N509">
            <v>16000</v>
          </cell>
          <cell r="O509">
            <v>60</v>
          </cell>
          <cell r="P509">
            <v>6133.3333333333339</v>
          </cell>
          <cell r="Q509">
            <v>14133.333333333334</v>
          </cell>
          <cell r="R509">
            <v>0</v>
          </cell>
          <cell r="S509">
            <v>20</v>
          </cell>
          <cell r="T509" t="str">
            <v>A</v>
          </cell>
          <cell r="U509">
            <v>0.26</v>
          </cell>
          <cell r="V509" t="str">
            <v>شركة الماس باك للتغليف</v>
          </cell>
          <cell r="W509">
            <v>0</v>
          </cell>
          <cell r="X509">
            <v>2080</v>
          </cell>
          <cell r="Z509" t="str">
            <v>PM-00016</v>
          </cell>
          <cell r="AA509" t="str">
            <v>Lemon Cake Cover ( NAMQ ) غلاف كيكة الليمون ( نمق )</v>
          </cell>
          <cell r="AB509" t="str">
            <v>PM-00016</v>
          </cell>
          <cell r="AC509" t="str">
            <v>Lemon Cake Cover ( NAMQ ) غلاف كيكة الليمون ( نمق )</v>
          </cell>
          <cell r="AD509">
            <v>0.26</v>
          </cell>
          <cell r="AE509" t="str">
            <v>شركة الماس باك للتغليف</v>
          </cell>
        </row>
        <row r="510">
          <cell r="B510" t="str">
            <v>CO-00095</v>
          </cell>
          <cell r="C510" t="str">
            <v>Shoes Cover 	غطا حذاء</v>
          </cell>
          <cell r="D510" t="str">
            <v>Shoes Cover غطا حذاء</v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>
            <v>0</v>
          </cell>
          <cell r="L510">
            <v>10000</v>
          </cell>
          <cell r="N510">
            <v>2000</v>
          </cell>
          <cell r="O510">
            <v>6</v>
          </cell>
          <cell r="P510">
            <v>3333.333333333333</v>
          </cell>
          <cell r="Q510">
            <v>13333.333333333332</v>
          </cell>
          <cell r="R510">
            <v>11333.333333333332</v>
          </cell>
          <cell r="S510">
            <v>7</v>
          </cell>
          <cell r="T510" t="str">
            <v>O</v>
          </cell>
          <cell r="U510">
            <v>100</v>
          </cell>
          <cell r="V510" t="str">
            <v>Haya Arabia Trading Co. شركة هيا العربية التجارية</v>
          </cell>
          <cell r="W510">
            <v>1133333.3333333333</v>
          </cell>
          <cell r="X510">
            <v>1000000</v>
          </cell>
          <cell r="Z510" t="str">
            <v>CO-00095</v>
          </cell>
          <cell r="AA510" t="str">
            <v>Shoes Cover 	غطا حذاء</v>
          </cell>
          <cell r="AB510" t="str">
            <v>CO-00095</v>
          </cell>
          <cell r="AC510" t="str">
            <v>Shoes Cover 	غطا حذاء</v>
          </cell>
          <cell r="AD510">
            <v>7.4999999999999997E-2</v>
          </cell>
          <cell r="AE510" t="str">
            <v>شركة بوابة المبدعون للتجارة</v>
          </cell>
        </row>
        <row r="511">
          <cell r="B511" t="str">
            <v>CO-00093</v>
          </cell>
          <cell r="C511" t="str">
            <v>Beard Cover With Single Loop 21 Mfr: LUXICARE غطاء الدقن</v>
          </cell>
          <cell r="D511" t="str">
            <v>Beard Cover With Single Loop 21 Mfr: LUXICARE غطاء الدقن</v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>✓</v>
          </cell>
          <cell r="K511">
            <v>1</v>
          </cell>
          <cell r="L511">
            <v>10000</v>
          </cell>
          <cell r="N511">
            <v>0</v>
          </cell>
          <cell r="O511">
            <v>0</v>
          </cell>
          <cell r="P511">
            <v>3333.333333333333</v>
          </cell>
          <cell r="Q511">
            <v>13333.333333333332</v>
          </cell>
          <cell r="R511">
            <v>13333.333333333332</v>
          </cell>
          <cell r="S511">
            <v>7</v>
          </cell>
          <cell r="T511" t="str">
            <v>A</v>
          </cell>
          <cell r="U511">
            <v>7.4999999999999997E-2</v>
          </cell>
          <cell r="V511" t="str">
            <v>شركة بوابة المبدعون للتجارة</v>
          </cell>
          <cell r="W511">
            <v>999.99999999999989</v>
          </cell>
          <cell r="X511">
            <v>750</v>
          </cell>
          <cell r="Z511" t="str">
            <v>CO-00093</v>
          </cell>
          <cell r="AA511" t="str">
            <v>Beard Cover With Single Loop 21 Mfr: LUXICARE	غطاء الدقن</v>
          </cell>
          <cell r="AB511" t="str">
            <v>CO-00093</v>
          </cell>
          <cell r="AC511" t="str">
            <v>Beard Cover With Single Loop 21 Mfr: LUXICARE غطاء الدقن</v>
          </cell>
          <cell r="AD511">
            <v>7.4999999999999997E-2</v>
          </cell>
          <cell r="AE511" t="str">
            <v>شركة بوابة المبدعون للتجارة</v>
          </cell>
        </row>
        <row r="512">
          <cell r="B512" t="str">
            <v>RM-00708</v>
          </cell>
          <cell r="C512" t="str">
            <v>قهوة سعودية - saudi coffee</v>
          </cell>
          <cell r="D512" t="str">
            <v>قهوة سعودية - saudi coffee</v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>✓</v>
          </cell>
          <cell r="K512">
            <v>1</v>
          </cell>
          <cell r="L512">
            <v>500</v>
          </cell>
          <cell r="N512">
            <v>0</v>
          </cell>
          <cell r="O512">
            <v>0</v>
          </cell>
          <cell r="P512">
            <v>166.66666666666666</v>
          </cell>
          <cell r="Q512">
            <v>666.66666666666663</v>
          </cell>
          <cell r="R512">
            <v>666.66666666666663</v>
          </cell>
          <cell r="S512">
            <v>7</v>
          </cell>
          <cell r="T512" t="str">
            <v>A</v>
          </cell>
          <cell r="U512">
            <v>42</v>
          </cell>
          <cell r="V512" t="str">
            <v>Dallah Al Jazeera Coffee Co. شركة دلة الجزيرة للقهوة</v>
          </cell>
          <cell r="W512">
            <v>28000</v>
          </cell>
          <cell r="X512">
            <v>21000</v>
          </cell>
          <cell r="Z512" t="str">
            <v>RM-00708</v>
          </cell>
          <cell r="AA512" t="str">
            <v>قهوة سعودية - saudi coffee</v>
          </cell>
          <cell r="AB512" t="str">
            <v>RM-00708</v>
          </cell>
          <cell r="AC512" t="str">
            <v>قهوة سعودية - saudi coffee</v>
          </cell>
          <cell r="AD512">
            <v>42</v>
          </cell>
          <cell r="AE512" t="str">
            <v>Dallah Al Jazeera Coffee Co. شركة دلة الجزيرة للقهوة</v>
          </cell>
        </row>
        <row r="513">
          <cell r="B513" t="str">
            <v>RM-00211</v>
          </cell>
          <cell r="C513" t="str">
            <v>Black pepper فلفل اسود</v>
          </cell>
          <cell r="D513" t="str">
            <v>Black pepper فلفل اسود</v>
          </cell>
          <cell r="E513" t="str">
            <v/>
          </cell>
          <cell r="F513" t="str">
            <v/>
          </cell>
          <cell r="G513" t="str">
            <v/>
          </cell>
          <cell r="H513" t="str">
            <v>✓</v>
          </cell>
          <cell r="I513" t="str">
            <v/>
          </cell>
          <cell r="J513" t="str">
            <v>✓</v>
          </cell>
          <cell r="K513">
            <v>2</v>
          </cell>
          <cell r="L513">
            <v>1</v>
          </cell>
          <cell r="N513">
            <v>5</v>
          </cell>
          <cell r="O513">
            <v>150</v>
          </cell>
          <cell r="P513">
            <v>0.33333333333333331</v>
          </cell>
          <cell r="Q513">
            <v>1.3333333333333333</v>
          </cell>
          <cell r="R513">
            <v>0</v>
          </cell>
          <cell r="S513">
            <v>7</v>
          </cell>
          <cell r="T513" t="str">
            <v>A</v>
          </cell>
          <cell r="U513">
            <v>15.6</v>
          </cell>
          <cell r="V513" t="str">
            <v>Tanzeem Al Afkar Trading Company | شركة تنظيم الافكار للتجارة</v>
          </cell>
          <cell r="W513">
            <v>0</v>
          </cell>
          <cell r="X513">
            <v>15.6</v>
          </cell>
          <cell r="Z513" t="str">
            <v>RM-00151</v>
          </cell>
          <cell r="AA513" t="str">
            <v>Black pepper فلفل اسود</v>
          </cell>
          <cell r="AB513" t="str">
            <v>RM-00211</v>
          </cell>
          <cell r="AC513" t="str">
            <v>Black pepper فلفل اسود</v>
          </cell>
          <cell r="AD513">
            <v>15.6</v>
          </cell>
          <cell r="AE513" t="str">
            <v>Tanzeem Al Afkar Trading Company | شركة تنظيم الافكار للتجارة</v>
          </cell>
        </row>
        <row r="514">
          <cell r="B514" t="str">
            <v>RM-00722</v>
          </cell>
          <cell r="C514" t="str">
            <v>Freeze Dried Raspberries Crispy</v>
          </cell>
          <cell r="D514" t="str">
            <v>Freeze Dried Raspberries Crispy</v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>✓</v>
          </cell>
          <cell r="K514">
            <v>1</v>
          </cell>
          <cell r="L514">
            <v>3</v>
          </cell>
          <cell r="N514">
            <v>0</v>
          </cell>
          <cell r="O514">
            <v>0</v>
          </cell>
          <cell r="P514">
            <v>1.7</v>
          </cell>
          <cell r="Q514">
            <v>4.7</v>
          </cell>
          <cell r="R514">
            <v>4.7</v>
          </cell>
          <cell r="S514">
            <v>14</v>
          </cell>
          <cell r="T514" t="str">
            <v>A</v>
          </cell>
          <cell r="U514">
            <v>712.5</v>
          </cell>
          <cell r="V514" t="str">
            <v>Sitaf - سيتاف</v>
          </cell>
          <cell r="W514">
            <v>3348.75</v>
          </cell>
          <cell r="X514">
            <v>2137.5</v>
          </cell>
          <cell r="Z514" t="str">
            <v>RM-00722</v>
          </cell>
          <cell r="AA514" t="str">
            <v>Freeze Dried Raspberries Crispy</v>
          </cell>
          <cell r="AB514" t="str">
            <v>RM-00722</v>
          </cell>
          <cell r="AC514" t="str">
            <v>Freeze Dried Raspberries Crispy</v>
          </cell>
          <cell r="AD514">
            <v>712.5</v>
          </cell>
          <cell r="AE514" t="str">
            <v>Sitaf - سيتاف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PUP"/>
      <sheetName val="Sheet1"/>
      <sheetName val="LOG"/>
      <sheetName val="Master File"/>
    </sheetNames>
    <sheetDataSet>
      <sheetData sheetId="0"/>
      <sheetData sheetId="1">
        <row r="3">
          <cell r="C3" t="str">
            <v>RM-00502</v>
          </cell>
          <cell r="D3" t="str">
            <v>Sugar Jaggery Vijay سكر جاجيري مدور</v>
          </cell>
          <cell r="E3" t="str">
            <v>Box</v>
          </cell>
          <cell r="F3" t="str">
            <v>Box</v>
          </cell>
          <cell r="G3">
            <v>1</v>
          </cell>
          <cell r="H3">
            <v>2</v>
          </cell>
          <cell r="I3">
            <v>2</v>
          </cell>
          <cell r="J3">
            <v>14</v>
          </cell>
          <cell r="K3">
            <v>1.1200000000000001</v>
          </cell>
          <cell r="L3">
            <v>-9</v>
          </cell>
          <cell r="M3">
            <v>-135</v>
          </cell>
          <cell r="N3" t="str">
            <v>ORDER NOW</v>
          </cell>
          <cell r="O3" t="str">
            <v>CRITICAL</v>
          </cell>
          <cell r="P3">
            <v>46127.5309837963</v>
          </cell>
        </row>
        <row r="4">
          <cell r="C4" t="str">
            <v>RM-00439</v>
          </cell>
          <cell r="D4" t="str">
            <v xml:space="preserve">Unroasted peanuts | فول سوداني </v>
          </cell>
          <cell r="E4" t="str">
            <v>1 Bag X 10 Kg</v>
          </cell>
          <cell r="F4" t="str">
            <v>bag</v>
          </cell>
          <cell r="G4">
            <v>0.1</v>
          </cell>
          <cell r="H4">
            <v>9.5</v>
          </cell>
          <cell r="I4">
            <v>95</v>
          </cell>
          <cell r="J4">
            <v>14</v>
          </cell>
          <cell r="K4">
            <v>53.2</v>
          </cell>
          <cell r="L4">
            <v>-195</v>
          </cell>
          <cell r="M4">
            <v>-61.578947368421055</v>
          </cell>
          <cell r="N4" t="str">
            <v>ORDER NOW</v>
          </cell>
          <cell r="O4" t="str">
            <v>CRITICAL</v>
          </cell>
          <cell r="P4">
            <v>46141.525081018517</v>
          </cell>
        </row>
        <row r="5">
          <cell r="C5" t="str">
            <v>RM-00509</v>
          </cell>
          <cell r="D5" t="str">
            <v>Syrup Raspberry Polot  توت أحمر سيروب - بولوت</v>
          </cell>
          <cell r="E5" t="str">
            <v>1 Box X 6 Bottle X 700 ml</v>
          </cell>
          <cell r="F5" t="str">
            <v>Box</v>
          </cell>
          <cell r="G5">
            <v>0.23809523809523814</v>
          </cell>
          <cell r="H5">
            <v>90.5</v>
          </cell>
          <cell r="I5">
            <v>380.09999999999991</v>
          </cell>
          <cell r="J5">
            <v>14</v>
          </cell>
          <cell r="K5">
            <v>212.85599999999997</v>
          </cell>
          <cell r="L5">
            <v>-398.99999999999994</v>
          </cell>
          <cell r="M5">
            <v>-31.491712707182327</v>
          </cell>
          <cell r="N5" t="str">
            <v>ORDER NOW</v>
          </cell>
          <cell r="O5" t="str">
            <v>CRITICAL</v>
          </cell>
          <cell r="P5">
            <v>46141.525104166663</v>
          </cell>
        </row>
        <row r="6">
          <cell r="C6" t="str">
            <v>SF-00189</v>
          </cell>
          <cell r="D6" t="str">
            <v>MANGO RIPPLING SAUSE - صوص المانجو مع القطع</v>
          </cell>
          <cell r="E6" t="str">
            <v>1 Box X 2Ltr</v>
          </cell>
          <cell r="F6" t="str">
            <v>Box</v>
          </cell>
          <cell r="G6">
            <v>0.5</v>
          </cell>
          <cell r="H6">
            <v>38.5</v>
          </cell>
          <cell r="I6">
            <v>77</v>
          </cell>
          <cell r="J6">
            <v>14</v>
          </cell>
          <cell r="K6">
            <v>43.120000000000005</v>
          </cell>
          <cell r="L6">
            <v>-42</v>
          </cell>
          <cell r="M6">
            <v>-16.363636363636363</v>
          </cell>
          <cell r="N6" t="str">
            <v>ORDER NOW</v>
          </cell>
          <cell r="O6" t="str">
            <v>CRITICAL</v>
          </cell>
          <cell r="P6">
            <v>46127.531030092592</v>
          </cell>
        </row>
        <row r="7">
          <cell r="C7" t="str">
            <v>RM-00423</v>
          </cell>
          <cell r="D7" t="str">
            <v>Hazelnut بندق</v>
          </cell>
          <cell r="E7" t="str">
            <v>1 Bag X 10 Kg</v>
          </cell>
          <cell r="F7" t="str">
            <v>Box</v>
          </cell>
          <cell r="G7">
            <v>0.1</v>
          </cell>
          <cell r="H7">
            <v>120</v>
          </cell>
          <cell r="I7">
            <v>1200</v>
          </cell>
          <cell r="J7">
            <v>14</v>
          </cell>
          <cell r="K7">
            <v>672.00000000000011</v>
          </cell>
          <cell r="L7">
            <v>-600</v>
          </cell>
          <cell r="M7">
            <v>-15</v>
          </cell>
          <cell r="N7" t="str">
            <v>ORDER NOW</v>
          </cell>
          <cell r="O7" t="str">
            <v>CRITICAL</v>
          </cell>
          <cell r="P7">
            <v>46134.446226851855</v>
          </cell>
        </row>
        <row r="8">
          <cell r="C8" t="str">
            <v>RM-00517</v>
          </cell>
          <cell r="D8" t="str">
            <v>Meranda ميراندا برتقال  علبة</v>
          </cell>
          <cell r="E8" t="str">
            <v>Box</v>
          </cell>
          <cell r="F8" t="str">
            <v>Box</v>
          </cell>
          <cell r="G8">
            <v>3.3333333333333333E-2</v>
          </cell>
          <cell r="H8">
            <v>10</v>
          </cell>
          <cell r="I8">
            <v>300</v>
          </cell>
          <cell r="J8">
            <v>14</v>
          </cell>
          <cell r="K8">
            <v>168.00000000000003</v>
          </cell>
          <cell r="L8">
            <v>-150</v>
          </cell>
          <cell r="M8">
            <v>-15</v>
          </cell>
          <cell r="N8" t="str">
            <v>ORDER NOW</v>
          </cell>
          <cell r="O8" t="str">
            <v>CRITICAL</v>
          </cell>
          <cell r="P8">
            <v>46127.531122685185</v>
          </cell>
        </row>
        <row r="9">
          <cell r="C9" t="str">
            <v>RM-00432</v>
          </cell>
          <cell r="D9" t="str">
            <v>Sliced almond لوز شرايح امريكي</v>
          </cell>
          <cell r="E9" t="str">
            <v>1 Box X 10 Kg</v>
          </cell>
          <cell r="F9" t="str">
            <v>Box</v>
          </cell>
          <cell r="G9">
            <v>0.1</v>
          </cell>
          <cell r="H9">
            <v>19</v>
          </cell>
          <cell r="I9">
            <v>190</v>
          </cell>
          <cell r="J9">
            <v>14</v>
          </cell>
          <cell r="K9">
            <v>106.4</v>
          </cell>
          <cell r="L9">
            <v>-80</v>
          </cell>
          <cell r="M9">
            <v>-12.631578947368421</v>
          </cell>
          <cell r="N9" t="str">
            <v>ORDER NOW</v>
          </cell>
          <cell r="O9" t="str">
            <v>CRITICAL</v>
          </cell>
          <cell r="P9">
            <v>46141.525092592594</v>
          </cell>
        </row>
        <row r="10">
          <cell r="C10" t="str">
            <v>CO-00139</v>
          </cell>
          <cell r="D10" t="str">
            <v>Sanita SK6 Duty Grease Cutter 	سانيتا منظف الأفران ومزيل الشحوم</v>
          </cell>
          <cell r="E10" t="str">
            <v>1 Pcs. X 5 Ltr</v>
          </cell>
          <cell r="F10" t="str">
            <v>Pcs</v>
          </cell>
          <cell r="G10">
            <v>1</v>
          </cell>
          <cell r="H10">
            <v>32.5</v>
          </cell>
          <cell r="I10">
            <v>32.5</v>
          </cell>
          <cell r="J10">
            <v>14</v>
          </cell>
          <cell r="K10">
            <v>18.200000000000003</v>
          </cell>
          <cell r="L10">
            <v>-7</v>
          </cell>
          <cell r="M10">
            <v>-6.4615384615384617</v>
          </cell>
          <cell r="N10" t="str">
            <v>ORDER NOW</v>
          </cell>
          <cell r="O10" t="str">
            <v>CRITICAL</v>
          </cell>
          <cell r="P10">
            <v>46113.430960648147</v>
          </cell>
        </row>
        <row r="11">
          <cell r="C11" t="str">
            <v>PM-00659</v>
          </cell>
          <cell r="D11" t="str">
            <v xml:space="preserve"> بوكس جمعات القشد | Qishd sharing box</v>
          </cell>
          <cell r="E11" t="str">
            <v xml:space="preserve"> Bundle X 100 pcs</v>
          </cell>
          <cell r="F11" t="str">
            <v>Pcs</v>
          </cell>
          <cell r="G11">
            <v>0.01</v>
          </cell>
          <cell r="H11">
            <v>5.5</v>
          </cell>
          <cell r="I11">
            <v>550</v>
          </cell>
          <cell r="J11">
            <v>14</v>
          </cell>
          <cell r="K11">
            <v>308.00000000000006</v>
          </cell>
          <cell r="L11">
            <v>-100</v>
          </cell>
          <cell r="M11">
            <v>-5.454545454545455</v>
          </cell>
          <cell r="N11" t="str">
            <v>ORDER NOW</v>
          </cell>
          <cell r="O11" t="str">
            <v>CRITICAL</v>
          </cell>
          <cell r="P11">
            <v>46131.432083333333</v>
          </cell>
        </row>
        <row r="12">
          <cell r="C12" t="str">
            <v>RM-00421</v>
          </cell>
          <cell r="D12" t="str">
            <v>Coconut powder | جوز الهند بودر</v>
          </cell>
          <cell r="E12" t="str">
            <v>1 BAG X  X 7 KG</v>
          </cell>
          <cell r="F12" t="str">
            <v>bag</v>
          </cell>
          <cell r="G12">
            <v>0.14285714285714285</v>
          </cell>
          <cell r="H12">
            <v>12</v>
          </cell>
          <cell r="I12">
            <v>84</v>
          </cell>
          <cell r="J12">
            <v>14</v>
          </cell>
          <cell r="K12">
            <v>47.040000000000006</v>
          </cell>
          <cell r="L12">
            <v>-49</v>
          </cell>
          <cell r="M12">
            <v>-4.8837209302325588</v>
          </cell>
          <cell r="N12" t="str">
            <v>ORDER NOW</v>
          </cell>
          <cell r="O12" t="str">
            <v>CRITICAL</v>
          </cell>
          <cell r="P12">
            <v>46113.430925925924</v>
          </cell>
        </row>
        <row r="13">
          <cell r="C13" t="str">
            <v>RM-00434</v>
          </cell>
          <cell r="D13" t="str">
            <v>Walnuts عين جمل</v>
          </cell>
          <cell r="E13" t="str">
            <v>1 Box X 10 Kg</v>
          </cell>
          <cell r="F13" t="str">
            <v>Box</v>
          </cell>
          <cell r="G13">
            <v>0.1</v>
          </cell>
          <cell r="H13">
            <v>200</v>
          </cell>
          <cell r="I13">
            <v>2000</v>
          </cell>
          <cell r="J13">
            <v>14</v>
          </cell>
          <cell r="K13">
            <v>1120</v>
          </cell>
          <cell r="L13">
            <v>-300</v>
          </cell>
          <cell r="M13">
            <v>-4.5</v>
          </cell>
          <cell r="N13" t="str">
            <v>ORDER NOW</v>
          </cell>
          <cell r="O13" t="str">
            <v>CRITICAL</v>
          </cell>
          <cell r="P13">
            <v>46113.430949074071</v>
          </cell>
        </row>
        <row r="14">
          <cell r="C14" t="str">
            <v>CO-00043</v>
          </cell>
          <cell r="D14" t="str">
            <v>Large Tissue Roll - Auto Kitمناديل رول كبير - اوتو كيت</v>
          </cell>
          <cell r="E14" t="str">
            <v>1 Box X 6 Roll</v>
          </cell>
          <cell r="F14" t="str">
            <v>Box</v>
          </cell>
          <cell r="G14">
            <v>0.16666666666666666</v>
          </cell>
          <cell r="H14">
            <v>2036.5</v>
          </cell>
          <cell r="I14">
            <v>12219</v>
          </cell>
          <cell r="J14">
            <v>14</v>
          </cell>
          <cell r="K14">
            <v>6842.64</v>
          </cell>
          <cell r="L14">
            <v>-1278</v>
          </cell>
          <cell r="M14">
            <v>-3.1377363123005155</v>
          </cell>
          <cell r="N14" t="str">
            <v>ORDER NOW</v>
          </cell>
          <cell r="O14" t="str">
            <v>CRITICAL</v>
          </cell>
          <cell r="P14">
            <v>46140.604803240742</v>
          </cell>
        </row>
        <row r="15">
          <cell r="C15" t="str">
            <v>CO-00523</v>
          </cell>
          <cell r="D15" t="str">
            <v>Turner Spoon Full Steel ملعقة ستيل</v>
          </cell>
          <cell r="E15" t="str">
            <v>1 Pcs</v>
          </cell>
          <cell r="F15" t="str">
            <v>Pcs</v>
          </cell>
          <cell r="G15">
            <v>1</v>
          </cell>
          <cell r="H15">
            <v>11</v>
          </cell>
          <cell r="I15">
            <v>11</v>
          </cell>
          <cell r="J15">
            <v>14</v>
          </cell>
          <cell r="K15">
            <v>6.16</v>
          </cell>
          <cell r="L15">
            <v>-1</v>
          </cell>
          <cell r="M15">
            <v>-2.7272727272727275</v>
          </cell>
          <cell r="N15" t="str">
            <v>ORDER NOW</v>
          </cell>
          <cell r="O15" t="str">
            <v>CRITICAL</v>
          </cell>
          <cell r="P15">
            <v>46138.481412037036</v>
          </cell>
        </row>
        <row r="16">
          <cell r="C16" t="str">
            <v>RM-00051</v>
          </cell>
          <cell r="D16" t="str">
            <v>C501/UA Chunks Belcolade Dark Chocolate شوكلاته غامقة مربعات C501/UA ( هوت تشوكلت )</v>
          </cell>
          <cell r="E16" t="str">
            <v>1 Bag X 15 KG</v>
          </cell>
          <cell r="F16" t="str">
            <v>bag</v>
          </cell>
          <cell r="G16">
            <v>6.6666666666666666E-2</v>
          </cell>
          <cell r="H16">
            <v>120</v>
          </cell>
          <cell r="I16">
            <v>1800</v>
          </cell>
          <cell r="J16">
            <v>14</v>
          </cell>
          <cell r="K16">
            <v>1008.0000000000001</v>
          </cell>
          <cell r="L16">
            <v>-150</v>
          </cell>
          <cell r="M16">
            <v>-2.5</v>
          </cell>
          <cell r="N16" t="str">
            <v>ORDER NOW</v>
          </cell>
          <cell r="O16" t="str">
            <v>CRITICAL</v>
          </cell>
          <cell r="P16">
            <v>46113.430925925924</v>
          </cell>
        </row>
        <row r="17">
          <cell r="C17" t="str">
            <v>PM-00281</v>
          </cell>
          <cell r="D17" t="str">
            <v>Roll packing machine رول مكينة تغليف</v>
          </cell>
          <cell r="E17" t="str">
            <v>Pcs.</v>
          </cell>
          <cell r="F17" t="str">
            <v>Pcs</v>
          </cell>
          <cell r="G17">
            <v>1</v>
          </cell>
          <cell r="H17">
            <v>80</v>
          </cell>
          <cell r="I17">
            <v>80</v>
          </cell>
          <cell r="J17">
            <v>14</v>
          </cell>
          <cell r="K17">
            <v>44.800000000000004</v>
          </cell>
          <cell r="L17">
            <v>-5</v>
          </cell>
          <cell r="M17">
            <v>-1.875</v>
          </cell>
          <cell r="N17" t="str">
            <v>ORDER NOW</v>
          </cell>
          <cell r="O17" t="str">
            <v>CRITICAL</v>
          </cell>
          <cell r="P17">
            <v>46113.430902777778</v>
          </cell>
        </row>
        <row r="18">
          <cell r="C18" t="str">
            <v>PM-00139</v>
          </cell>
          <cell r="D18" t="str">
            <v>كرت الاسبريسو نمق (سان اجناسيو) Espresso card (San Ignacio)</v>
          </cell>
          <cell r="E18" t="str">
            <v>1 Bundle X 500 pcs</v>
          </cell>
          <cell r="F18" t="str">
            <v>bundel</v>
          </cell>
          <cell r="G18">
            <v>2E-3</v>
          </cell>
          <cell r="H18">
            <v>5.5</v>
          </cell>
          <cell r="I18">
            <v>2750</v>
          </cell>
          <cell r="J18">
            <v>14</v>
          </cell>
          <cell r="K18">
            <v>1540.0000000000002</v>
          </cell>
          <cell r="L18">
            <v>-150.00000000000034</v>
          </cell>
          <cell r="M18">
            <v>-1.63636363636364</v>
          </cell>
          <cell r="N18" t="str">
            <v>ORDER NOW</v>
          </cell>
          <cell r="O18" t="str">
            <v>CRITICAL</v>
          </cell>
          <cell r="P18">
            <v>46141.52511574074</v>
          </cell>
        </row>
        <row r="19">
          <cell r="C19" t="str">
            <v>RM-00672</v>
          </cell>
          <cell r="D19" t="str">
            <v>Maboj Carrot | معبوج نورة جزر</v>
          </cell>
          <cell r="E19" t="str">
            <v>1 Pcs X 500 G</v>
          </cell>
          <cell r="F19" t="str">
            <v>Pcs</v>
          </cell>
          <cell r="G19">
            <v>2</v>
          </cell>
          <cell r="H19">
            <v>44</v>
          </cell>
          <cell r="I19">
            <v>22</v>
          </cell>
          <cell r="J19">
            <v>14</v>
          </cell>
          <cell r="K19">
            <v>12.32</v>
          </cell>
          <cell r="L19">
            <v>-1</v>
          </cell>
          <cell r="M19">
            <v>-1.3636363636363638</v>
          </cell>
          <cell r="N19" t="str">
            <v>ORDER NOW</v>
          </cell>
          <cell r="O19" t="str">
            <v>CRITICAL</v>
          </cell>
          <cell r="P19">
            <v>46113.430914351855</v>
          </cell>
        </row>
        <row r="20">
          <cell r="C20" t="str">
            <v>PM-00255</v>
          </cell>
          <cell r="D20" t="str">
            <v>Namq Straw شفاط نمق</v>
          </cell>
          <cell r="E20" t="str">
            <v>1 Box X 30 Pack X 100 Pcs</v>
          </cell>
          <cell r="F20" t="str">
            <v>Box</v>
          </cell>
          <cell r="G20">
            <v>3.3333333333333332E-4</v>
          </cell>
          <cell r="H20">
            <v>83.5</v>
          </cell>
          <cell r="I20">
            <v>250500</v>
          </cell>
          <cell r="J20">
            <v>14</v>
          </cell>
          <cell r="K20">
            <v>140280</v>
          </cell>
          <cell r="L20">
            <v>-9000</v>
          </cell>
          <cell r="M20">
            <v>-1.0778443113772456</v>
          </cell>
          <cell r="N20" t="str">
            <v>ORDER NOW</v>
          </cell>
          <cell r="O20" t="str">
            <v>CRITICAL</v>
          </cell>
          <cell r="P20">
            <v>46140.605439814812</v>
          </cell>
        </row>
        <row r="21">
          <cell r="C21" t="str">
            <v>RM-00681</v>
          </cell>
          <cell r="D21" t="str">
            <v>معبوج  تمر هندي / Tamrind</v>
          </cell>
          <cell r="E21" t="str">
            <v>1 Pcs X 500 G</v>
          </cell>
          <cell r="F21" t="str">
            <v>Pcs</v>
          </cell>
          <cell r="G21">
            <v>2</v>
          </cell>
          <cell r="H21">
            <v>44</v>
          </cell>
          <cell r="I21">
            <v>22</v>
          </cell>
          <cell r="J21">
            <v>14</v>
          </cell>
          <cell r="K21">
            <v>12.32</v>
          </cell>
          <cell r="L21">
            <v>-0.75</v>
          </cell>
          <cell r="M21">
            <v>-1.0227272727272727</v>
          </cell>
          <cell r="N21" t="str">
            <v>ORDER NOW</v>
          </cell>
          <cell r="O21" t="str">
            <v>CRITICAL</v>
          </cell>
          <cell r="P21">
            <v>46140.605092592596</v>
          </cell>
        </row>
        <row r="22">
          <cell r="C22" t="str">
            <v>RM-00175</v>
          </cell>
          <cell r="D22" t="str">
            <v>ORIG RANCH SAUCE | صوص الرانش</v>
          </cell>
          <cell r="E22"/>
          <cell r="F22"/>
          <cell r="G22">
            <v>1.0416666666666666E-2</v>
          </cell>
          <cell r="H22">
            <v>16</v>
          </cell>
          <cell r="I22">
            <v>60.800000000000004</v>
          </cell>
          <cell r="J22">
            <v>14</v>
          </cell>
          <cell r="K22">
            <v>34.048000000000009</v>
          </cell>
          <cell r="L22">
            <v>-38.399999999999991</v>
          </cell>
          <cell r="M22">
            <v>-0.74999999999999978</v>
          </cell>
          <cell r="N22" t="str">
            <v>ORDER NOW</v>
          </cell>
          <cell r="O22" t="str">
            <v>CRITICAL</v>
          </cell>
          <cell r="P22">
            <v>46138.48133101852</v>
          </cell>
        </row>
        <row r="23">
          <cell r="C23" t="str">
            <v>FPB-00077</v>
          </cell>
          <cell r="D23" t="str">
            <v>Costa Rica San ignacio 1 Kg</v>
          </cell>
          <cell r="E23" t="str">
            <v>KG</v>
          </cell>
          <cell r="F23" t="str">
            <v>Pcs</v>
          </cell>
          <cell r="G23">
            <v>1</v>
          </cell>
          <cell r="H23">
            <v>3410</v>
          </cell>
          <cell r="I23">
            <v>3410</v>
          </cell>
          <cell r="J23">
            <v>14</v>
          </cell>
          <cell r="K23">
            <v>1909.6000000000001</v>
          </cell>
          <cell r="L23">
            <v>-46</v>
          </cell>
          <cell r="M23">
            <v>-0.40469208211143698</v>
          </cell>
          <cell r="N23" t="str">
            <v>ORDER NOW</v>
          </cell>
          <cell r="O23" t="str">
            <v>CRITICAL</v>
          </cell>
          <cell r="P23">
            <v>46128.695023148146</v>
          </cell>
        </row>
        <row r="24">
          <cell r="C24" t="str">
            <v>CO-00068</v>
          </cell>
          <cell r="D24" t="str">
            <v>hopper cleaner منظف الهوبر</v>
          </cell>
          <cell r="E24" t="str">
            <v>1 Pcs. X 1 Ltr</v>
          </cell>
          <cell r="F24" t="str">
            <v>Pcs</v>
          </cell>
          <cell r="G24">
            <v>1</v>
          </cell>
          <cell r="H24">
            <v>85</v>
          </cell>
          <cell r="I24">
            <v>85</v>
          </cell>
          <cell r="J24">
            <v>14</v>
          </cell>
          <cell r="K24">
            <v>47.6</v>
          </cell>
          <cell r="L24">
            <v>-0.83333333333333215</v>
          </cell>
          <cell r="M24">
            <v>-0.2941176470588231</v>
          </cell>
          <cell r="N24" t="str">
            <v>ORDER NOW</v>
          </cell>
          <cell r="O24" t="str">
            <v>CRITICAL</v>
          </cell>
          <cell r="P24">
            <v>46134.446377314816</v>
          </cell>
        </row>
        <row r="25">
          <cell r="C25" t="str">
            <v>FPB-00061</v>
          </cell>
          <cell r="D25" t="str">
            <v>Brazil Rosa Morina 1 Kg</v>
          </cell>
          <cell r="E25" t="str">
            <v>KG</v>
          </cell>
          <cell r="F25" t="str">
            <v>Pcs</v>
          </cell>
          <cell r="G25">
            <v>1</v>
          </cell>
          <cell r="H25">
            <v>1815</v>
          </cell>
          <cell r="I25">
            <v>1815</v>
          </cell>
          <cell r="J25">
            <v>14</v>
          </cell>
          <cell r="K25">
            <v>1016.4000000000001</v>
          </cell>
          <cell r="L25">
            <v>-1</v>
          </cell>
          <cell r="M25">
            <v>-1.6528925619834708E-2</v>
          </cell>
          <cell r="N25" t="str">
            <v>ORDER NOW</v>
          </cell>
          <cell r="O25" t="str">
            <v>CRITICAL</v>
          </cell>
          <cell r="P25">
            <v>46134.446296296293</v>
          </cell>
        </row>
        <row r="26">
          <cell r="C26" t="str">
            <v>PM-00606</v>
          </cell>
          <cell r="D26" t="str">
            <v>Round aluminum plate 110 ml with cover | صحن دائري مع غطاء 110 مل</v>
          </cell>
          <cell r="E26" t="str">
            <v>Pcs.</v>
          </cell>
          <cell r="F26" t="str">
            <v>Pcs</v>
          </cell>
          <cell r="G26">
            <v>1</v>
          </cell>
          <cell r="H26">
            <v>60000</v>
          </cell>
          <cell r="I26">
            <v>60000</v>
          </cell>
          <cell r="J26">
            <v>14</v>
          </cell>
          <cell r="K26">
            <v>33600</v>
          </cell>
          <cell r="L26">
            <v>-20</v>
          </cell>
          <cell r="M26">
            <v>-0.01</v>
          </cell>
          <cell r="N26" t="str">
            <v>ORDER NOW</v>
          </cell>
          <cell r="O26" t="str">
            <v>CRITICAL</v>
          </cell>
          <cell r="P26">
            <v>46138.481400462966</v>
          </cell>
        </row>
        <row r="27">
          <cell r="C27" t="str">
            <v>RM-00538</v>
          </cell>
          <cell r="D27" t="str">
            <v>SYRUP LEMONADE 1883 سيروب ليموناضة</v>
          </cell>
          <cell r="E27" t="str">
            <v>1 Box X 6 Bottle X 1 Ltr</v>
          </cell>
          <cell r="F27" t="str">
            <v>Box</v>
          </cell>
          <cell r="G27">
            <v>0.16666666666666666</v>
          </cell>
          <cell r="H27">
            <v>16.5</v>
          </cell>
          <cell r="I27" t="e">
            <v>#VALUE!</v>
          </cell>
          <cell r="J27">
            <v>14</v>
          </cell>
          <cell r="K27" t="e">
            <v>#VALUE!</v>
          </cell>
          <cell r="L27">
            <v>-12</v>
          </cell>
          <cell r="M27">
            <v>0</v>
          </cell>
          <cell r="N27" t="str">
            <v>ORDER NOW</v>
          </cell>
          <cell r="O27" t="str">
            <v>CRITICAL</v>
          </cell>
          <cell r="P27">
            <v>46113.430949074071</v>
          </cell>
        </row>
        <row r="28">
          <cell r="C28" t="str">
            <v>RM-00677</v>
          </cell>
          <cell r="D28" t="str">
            <v>مايونيز قودي / Goody Mayonnaise</v>
          </cell>
          <cell r="E28" t="str">
            <v>1 Box X 4 Pcs X 3.75</v>
          </cell>
          <cell r="F28" t="str">
            <v>Box</v>
          </cell>
          <cell r="G28">
            <v>6.6666666666666666E-2</v>
          </cell>
          <cell r="H28">
            <v>13</v>
          </cell>
          <cell r="I28">
            <v>195</v>
          </cell>
          <cell r="J28">
            <v>14</v>
          </cell>
          <cell r="K28">
            <v>109.20000000000002</v>
          </cell>
          <cell r="L28">
            <v>0</v>
          </cell>
          <cell r="M28">
            <v>0</v>
          </cell>
          <cell r="N28" t="str">
            <v>ORDER NOW</v>
          </cell>
          <cell r="O28" t="str">
            <v>CRITICAL</v>
          </cell>
          <cell r="P28">
            <v>46141.525127314817</v>
          </cell>
        </row>
        <row r="29">
          <cell r="C29" t="str">
            <v>PM-00296</v>
          </cell>
          <cell r="D29" t="str">
            <v>Aluminium foil قصدير</v>
          </cell>
          <cell r="E29" t="str">
            <v>Box</v>
          </cell>
          <cell r="F29" t="str">
            <v>Box</v>
          </cell>
          <cell r="G29">
            <v>1</v>
          </cell>
          <cell r="H29">
            <v>2</v>
          </cell>
          <cell r="I29">
            <v>2</v>
          </cell>
          <cell r="J29">
            <v>14</v>
          </cell>
          <cell r="K29">
            <v>1.1200000000000001</v>
          </cell>
          <cell r="L29">
            <v>0</v>
          </cell>
          <cell r="M29">
            <v>0</v>
          </cell>
          <cell r="N29" t="str">
            <v>ORDER NOW</v>
          </cell>
          <cell r="O29" t="str">
            <v>CRITICAL</v>
          </cell>
          <cell r="P29">
            <v>46141.52516203704</v>
          </cell>
        </row>
        <row r="30">
          <cell r="C30" t="str">
            <v>RM-00206</v>
          </cell>
          <cell r="D30" t="str">
            <v>Mehran red pepper فلفل أحمر مهران</v>
          </cell>
          <cell r="E30" t="str">
            <v>Box</v>
          </cell>
          <cell r="F30" t="str">
            <v>Box</v>
          </cell>
          <cell r="G30">
            <v>1</v>
          </cell>
          <cell r="H30">
            <v>1</v>
          </cell>
          <cell r="I30">
            <v>1</v>
          </cell>
          <cell r="J30">
            <v>14</v>
          </cell>
          <cell r="K30">
            <v>0.56000000000000005</v>
          </cell>
          <cell r="L30">
            <v>0</v>
          </cell>
          <cell r="M30">
            <v>0</v>
          </cell>
          <cell r="N30" t="str">
            <v>ORDER NOW</v>
          </cell>
          <cell r="O30" t="str">
            <v>CRITICAL</v>
          </cell>
          <cell r="P30">
            <v>46141.525173611109</v>
          </cell>
        </row>
        <row r="31">
          <cell r="C31" t="str">
            <v>RM-00415</v>
          </cell>
          <cell r="D31" t="str">
            <v>جوز البيكان | Pecan nuts</v>
          </cell>
          <cell r="E31" t="str">
            <v xml:space="preserve">1 Bag X 13.6 Kg </v>
          </cell>
          <cell r="F31" t="str">
            <v>bag</v>
          </cell>
          <cell r="G31">
            <v>7.6923076923076927E-2</v>
          </cell>
          <cell r="H31">
            <v>89.5</v>
          </cell>
          <cell r="I31">
            <v>1163.5</v>
          </cell>
          <cell r="J31">
            <v>14</v>
          </cell>
          <cell r="K31">
            <v>651.56000000000006</v>
          </cell>
          <cell r="L31">
            <v>0</v>
          </cell>
          <cell r="M31">
            <v>0</v>
          </cell>
          <cell r="N31" t="str">
            <v>ORDER NOW</v>
          </cell>
          <cell r="O31" t="str">
            <v>CRITICAL</v>
          </cell>
          <cell r="P31">
            <v>46141.525208333333</v>
          </cell>
        </row>
        <row r="32">
          <cell r="C32" t="str">
            <v>RM-00183</v>
          </cell>
          <cell r="D32" t="str">
            <v>Ketchup Tomato كاتشب</v>
          </cell>
          <cell r="E32" t="str">
            <v xml:space="preserve">1 Box X 10pcs X 570 grm </v>
          </cell>
          <cell r="F32" t="str">
            <v>Box</v>
          </cell>
          <cell r="G32">
            <v>0.17543859649122809</v>
          </cell>
          <cell r="H32">
            <v>4</v>
          </cell>
          <cell r="I32">
            <v>22.799999999999997</v>
          </cell>
          <cell r="J32">
            <v>14</v>
          </cell>
          <cell r="K32">
            <v>12.767999999999999</v>
          </cell>
          <cell r="L32">
            <v>0</v>
          </cell>
          <cell r="M32">
            <v>0</v>
          </cell>
          <cell r="N32" t="str">
            <v>ORDER NOW</v>
          </cell>
          <cell r="O32" t="str">
            <v>CRITICAL</v>
          </cell>
          <cell r="P32">
            <v>46141.525219907409</v>
          </cell>
        </row>
        <row r="33">
          <cell r="C33" t="str">
            <v>RM-00018</v>
          </cell>
          <cell r="D33" t="str">
            <v>جبن شيدر انجليزي  Irish Mild yellow cheddar Cheese</v>
          </cell>
          <cell r="E33" t="str">
            <v>KG</v>
          </cell>
          <cell r="F33" t="str">
            <v>Pcs</v>
          </cell>
          <cell r="G33">
            <v>1</v>
          </cell>
          <cell r="H33">
            <v>13</v>
          </cell>
          <cell r="I33">
            <v>13</v>
          </cell>
          <cell r="J33">
            <v>14</v>
          </cell>
          <cell r="K33">
            <v>7.2800000000000011</v>
          </cell>
          <cell r="L33">
            <v>0</v>
          </cell>
          <cell r="M33">
            <v>0</v>
          </cell>
          <cell r="N33" t="str">
            <v>ORDER NOW</v>
          </cell>
          <cell r="O33" t="str">
            <v>CRITICAL</v>
          </cell>
          <cell r="P33">
            <v>46141.525243055556</v>
          </cell>
        </row>
        <row r="34">
          <cell r="C34" t="str">
            <v>RM-00582</v>
          </cell>
          <cell r="D34" t="str">
            <v>Syrup Mango Teisseireسيروب المانجو</v>
          </cell>
          <cell r="E34" t="str">
            <v>1 Box X 6 Bottle X 1 Ltr</v>
          </cell>
          <cell r="F34" t="str">
            <v>Box</v>
          </cell>
          <cell r="G34">
            <v>0.16666666666666666</v>
          </cell>
          <cell r="H34">
            <v>5.5</v>
          </cell>
          <cell r="I34">
            <v>33</v>
          </cell>
          <cell r="J34">
            <v>14</v>
          </cell>
          <cell r="K34">
            <v>18.48</v>
          </cell>
          <cell r="L34">
            <v>0</v>
          </cell>
          <cell r="M34">
            <v>0</v>
          </cell>
          <cell r="N34" t="str">
            <v>ORDER NOW</v>
          </cell>
          <cell r="O34" t="str">
            <v>CRITICAL</v>
          </cell>
          <cell r="P34">
            <v>46141.525254629632</v>
          </cell>
        </row>
        <row r="35">
          <cell r="C35" t="str">
            <v>PM-00357</v>
          </cell>
          <cell r="D35" t="str">
            <v>Pomegranate Iced Tea Sticker ( breehant ) ستيكر شاي مثلج بالرمان (بريهانت)</v>
          </cell>
          <cell r="E35" t="str">
            <v>1 bundle X 500 PCS</v>
          </cell>
          <cell r="F35" t="str">
            <v>bundel</v>
          </cell>
          <cell r="G35">
            <v>2E-3</v>
          </cell>
          <cell r="H35">
            <v>16</v>
          </cell>
          <cell r="I35">
            <v>8000</v>
          </cell>
          <cell r="J35">
            <v>14</v>
          </cell>
          <cell r="K35">
            <v>4480</v>
          </cell>
          <cell r="L35">
            <v>0</v>
          </cell>
          <cell r="M35">
            <v>0</v>
          </cell>
          <cell r="N35" t="str">
            <v>ORDER NOW</v>
          </cell>
          <cell r="O35" t="str">
            <v>CRITICAL</v>
          </cell>
          <cell r="P35">
            <v>46118.497731481482</v>
          </cell>
        </row>
        <row r="36">
          <cell r="C36" t="str">
            <v>SF-00154</v>
          </cell>
          <cell r="D36" t="str">
            <v>Monin PEACH TEA Syrup 1L مونین شراب شاي الخوخ 1لتر</v>
          </cell>
          <cell r="E36" t="str">
            <v>1 Box X 6 Bottle X 1 Ltr</v>
          </cell>
          <cell r="F36" t="str">
            <v>Box</v>
          </cell>
          <cell r="G36">
            <v>0.16666666666666666</v>
          </cell>
          <cell r="H36">
            <v>5.5</v>
          </cell>
          <cell r="I36">
            <v>33</v>
          </cell>
          <cell r="J36">
            <v>14</v>
          </cell>
          <cell r="K36">
            <v>18.48</v>
          </cell>
          <cell r="L36">
            <v>0</v>
          </cell>
          <cell r="M36">
            <v>0</v>
          </cell>
          <cell r="N36" t="str">
            <v>ORDER NOW</v>
          </cell>
          <cell r="O36" t="str">
            <v>CRITICAL</v>
          </cell>
          <cell r="P36">
            <v>46113.430937500001</v>
          </cell>
        </row>
        <row r="37">
          <cell r="C37" t="str">
            <v>PM-00287</v>
          </cell>
          <cell r="D37" t="str">
            <v>lids Cups Brehehant 6.5 Oz 80 ml اغطية اكواب القهوة - بريهانت 6.5 اونصه</v>
          </cell>
          <cell r="E37" t="str">
            <v>1 Box X 20 Pack X 50 Pcs</v>
          </cell>
          <cell r="F37" t="str">
            <v>Box</v>
          </cell>
          <cell r="G37">
            <v>1E-3</v>
          </cell>
          <cell r="H37">
            <v>18</v>
          </cell>
          <cell r="I37">
            <v>18000</v>
          </cell>
          <cell r="J37">
            <v>14</v>
          </cell>
          <cell r="K37">
            <v>10080.000000000002</v>
          </cell>
          <cell r="L37">
            <v>0</v>
          </cell>
          <cell r="M37">
            <v>0</v>
          </cell>
          <cell r="N37" t="str">
            <v>ORDER NOW</v>
          </cell>
          <cell r="O37" t="str">
            <v>CRITICAL</v>
          </cell>
          <cell r="P37">
            <v>46141.525266203702</v>
          </cell>
        </row>
        <row r="38">
          <cell r="C38" t="str">
            <v>PM-00270</v>
          </cell>
          <cell r="D38" t="str">
            <v>lids Cups Brehehant with stick اغطية اكواب القهوة - بريهانت</v>
          </cell>
          <cell r="E38" t="str">
            <v>1 Box X 20 Pack X 50 Pcs</v>
          </cell>
          <cell r="F38" t="str">
            <v>Box</v>
          </cell>
          <cell r="G38">
            <v>1E-3</v>
          </cell>
          <cell r="H38">
            <v>400</v>
          </cell>
          <cell r="I38">
            <v>400000</v>
          </cell>
          <cell r="J38">
            <v>14</v>
          </cell>
          <cell r="K38">
            <v>224000.00000000003</v>
          </cell>
          <cell r="L38">
            <v>0</v>
          </cell>
          <cell r="M38">
            <v>0</v>
          </cell>
          <cell r="N38" t="str">
            <v>ORDER NOW</v>
          </cell>
          <cell r="O38" t="str">
            <v>CRITICAL</v>
          </cell>
          <cell r="P38">
            <v>46128.686377314814</v>
          </cell>
        </row>
        <row r="39">
          <cell r="C39" t="str">
            <v>RM-00673</v>
          </cell>
          <cell r="D39" t="str">
            <v>Valrhona Javira 40% / شوكولاته فالرهونا</v>
          </cell>
          <cell r="E39" t="str">
            <v>1 Box X 3 x 3 KG</v>
          </cell>
          <cell r="F39" t="str">
            <v>Box</v>
          </cell>
          <cell r="G39">
            <v>0.1111111111111111</v>
          </cell>
          <cell r="H39">
            <v>22</v>
          </cell>
          <cell r="I39">
            <v>198</v>
          </cell>
          <cell r="J39">
            <v>14</v>
          </cell>
          <cell r="K39">
            <v>110.88000000000001</v>
          </cell>
          <cell r="L39">
            <v>0</v>
          </cell>
          <cell r="M39">
            <v>0</v>
          </cell>
          <cell r="N39" t="str">
            <v>ORDER NOW</v>
          </cell>
          <cell r="O39" t="str">
            <v>CRITICAL</v>
          </cell>
          <cell r="P39">
            <v>46128.686388888891</v>
          </cell>
        </row>
        <row r="40">
          <cell r="C40" t="str">
            <v>CO-00158</v>
          </cell>
          <cell r="D40" t="str">
            <v xml:space="preserve">تايقر فيتنامي بخور - Bokhur Tiger </v>
          </cell>
          <cell r="E40" t="str">
            <v>Pcs.</v>
          </cell>
          <cell r="F40" t="str">
            <v>Pcs</v>
          </cell>
          <cell r="G40">
            <v>1</v>
          </cell>
          <cell r="H40">
            <v>44</v>
          </cell>
          <cell r="I40">
            <v>44</v>
          </cell>
          <cell r="J40">
            <v>14</v>
          </cell>
          <cell r="K40">
            <v>24.64</v>
          </cell>
          <cell r="L40">
            <v>0</v>
          </cell>
          <cell r="M40">
            <v>0</v>
          </cell>
          <cell r="N40" t="str">
            <v>ORDER NOW</v>
          </cell>
          <cell r="O40" t="str">
            <v>CRITICAL</v>
          </cell>
          <cell r="P40">
            <v>46113.430902777778</v>
          </cell>
        </row>
        <row r="41">
          <cell r="C41" t="str">
            <v>CO-00330</v>
          </cell>
          <cell r="D41" t="str">
            <v>Jambo Filter 1st Phase فلتر جامبو شوائب مياه فيتنامي 20 إنش مرحلة اولى</v>
          </cell>
          <cell r="E41" t="str">
            <v>1 Pcs</v>
          </cell>
          <cell r="F41" t="str">
            <v>Pcs</v>
          </cell>
          <cell r="G41">
            <v>1</v>
          </cell>
          <cell r="H41">
            <v>55</v>
          </cell>
          <cell r="I41">
            <v>55</v>
          </cell>
          <cell r="J41">
            <v>14</v>
          </cell>
          <cell r="K41">
            <v>30.800000000000004</v>
          </cell>
          <cell r="L41">
            <v>0</v>
          </cell>
          <cell r="M41">
            <v>0</v>
          </cell>
          <cell r="N41" t="str">
            <v>ORDER NOW</v>
          </cell>
          <cell r="O41" t="str">
            <v>CRITICAL</v>
          </cell>
          <cell r="P41">
            <v>46138.481388888889</v>
          </cell>
        </row>
        <row r="42">
          <cell r="C42" t="str">
            <v>PM-00568</v>
          </cell>
          <cell r="D42" t="str">
            <v>كيس مخبوزات مطبوع مقاس 10 × 14.5 cm (نمق)-Printed Bakery Paper Bag, 10 × 14.5 cm(Namq)</v>
          </cell>
          <cell r="E42" t="str">
            <v>1Box X 8000</v>
          </cell>
          <cell r="F42" t="str">
            <v>Box</v>
          </cell>
          <cell r="G42">
            <v>1.25E-4</v>
          </cell>
          <cell r="H42">
            <v>8</v>
          </cell>
          <cell r="I42">
            <v>64000</v>
          </cell>
          <cell r="J42">
            <v>14</v>
          </cell>
          <cell r="K42">
            <v>35840</v>
          </cell>
          <cell r="L42">
            <v>0</v>
          </cell>
          <cell r="M42">
            <v>0</v>
          </cell>
          <cell r="N42" t="str">
            <v>ORDER NOW</v>
          </cell>
          <cell r="O42" t="str">
            <v>CRITICAL</v>
          </cell>
          <cell r="P42">
            <v>46141.525289351855</v>
          </cell>
        </row>
        <row r="43">
          <cell r="C43" t="str">
            <v>PM-00436</v>
          </cell>
          <cell r="D43" t="str">
            <v>استيكر هوت شوكلت  Hot chocolate sticker</v>
          </cell>
          <cell r="E43"/>
          <cell r="F43" t="str">
            <v>Box</v>
          </cell>
          <cell r="G43">
            <v>1</v>
          </cell>
          <cell r="H43">
            <v>5.5</v>
          </cell>
          <cell r="I43">
            <v>5.5</v>
          </cell>
          <cell r="J43">
            <v>14</v>
          </cell>
          <cell r="K43">
            <v>3.08</v>
          </cell>
          <cell r="L43">
            <v>0</v>
          </cell>
          <cell r="M43">
            <v>0</v>
          </cell>
          <cell r="N43" t="str">
            <v>ORDER NOW</v>
          </cell>
          <cell r="O43" t="str">
            <v>CRITICAL</v>
          </cell>
          <cell r="P43">
            <v>46113.430879629632</v>
          </cell>
        </row>
        <row r="44">
          <cell r="C44" t="str">
            <v>PM-00240</v>
          </cell>
          <cell r="D44" t="str">
            <v>Cold Brew Filter فلتر كولد برو خفيف</v>
          </cell>
          <cell r="E44" t="str">
            <v>1 Pcs</v>
          </cell>
          <cell r="F44" t="str">
            <v>Pcs</v>
          </cell>
          <cell r="G44">
            <v>1</v>
          </cell>
          <cell r="H44">
            <v>44</v>
          </cell>
          <cell r="I44">
            <v>44</v>
          </cell>
          <cell r="J44">
            <v>14</v>
          </cell>
          <cell r="K44">
            <v>24.64</v>
          </cell>
          <cell r="L44">
            <v>0</v>
          </cell>
          <cell r="M44">
            <v>0</v>
          </cell>
          <cell r="N44" t="str">
            <v>ORDER NOW</v>
          </cell>
          <cell r="O44" t="str">
            <v>CRITICAL</v>
          </cell>
          <cell r="P44">
            <v>46113.430879629632</v>
          </cell>
        </row>
        <row r="45">
          <cell r="C45" t="str">
            <v>PM-00276</v>
          </cell>
          <cell r="D45" t="str">
            <v>Tape شطرطون</v>
          </cell>
          <cell r="E45" t="str">
            <v>1 Box X 24 Pcs</v>
          </cell>
          <cell r="F45" t="str">
            <v>Box</v>
          </cell>
          <cell r="G45">
            <v>4.1666666666666664E-2</v>
          </cell>
          <cell r="H45">
            <v>5.5</v>
          </cell>
          <cell r="I45">
            <v>132</v>
          </cell>
          <cell r="J45">
            <v>14</v>
          </cell>
          <cell r="K45">
            <v>73.92</v>
          </cell>
          <cell r="L45">
            <v>0</v>
          </cell>
          <cell r="M45">
            <v>0</v>
          </cell>
          <cell r="N45" t="str">
            <v>ORDER NOW</v>
          </cell>
          <cell r="O45" t="str">
            <v>CRITICAL</v>
          </cell>
          <cell r="P45">
            <v>46113.430891203701</v>
          </cell>
        </row>
        <row r="46">
          <cell r="C46" t="str">
            <v>PM-00448</v>
          </cell>
          <cell r="D46" t="str">
            <v>Sticker Date ستيكر التاريخ</v>
          </cell>
          <cell r="E46"/>
          <cell r="F46"/>
          <cell r="G46">
            <v>1</v>
          </cell>
          <cell r="H46">
            <v>5.5</v>
          </cell>
          <cell r="I46">
            <v>5.5</v>
          </cell>
          <cell r="J46">
            <v>14</v>
          </cell>
          <cell r="K46">
            <v>3.08</v>
          </cell>
          <cell r="L46">
            <v>0</v>
          </cell>
          <cell r="M46">
            <v>0</v>
          </cell>
          <cell r="N46" t="str">
            <v>ORDER NOW</v>
          </cell>
          <cell r="O46" t="str">
            <v>CRITICAL</v>
          </cell>
          <cell r="P46">
            <v>46113.430891203701</v>
          </cell>
        </row>
        <row r="47">
          <cell r="C47" t="str">
            <v>PM-00341</v>
          </cell>
          <cell r="D47" t="str">
            <v>Point of sale roll - رول نقاط البيع</v>
          </cell>
          <cell r="E47" t="str">
            <v>1 Box X 50 Pcs</v>
          </cell>
          <cell r="F47" t="str">
            <v>Box</v>
          </cell>
          <cell r="G47">
            <v>0.02</v>
          </cell>
          <cell r="H47">
            <v>11</v>
          </cell>
          <cell r="I47">
            <v>550</v>
          </cell>
          <cell r="J47">
            <v>14</v>
          </cell>
          <cell r="K47">
            <v>308.00000000000006</v>
          </cell>
          <cell r="L47">
            <v>0</v>
          </cell>
          <cell r="M47">
            <v>0</v>
          </cell>
          <cell r="N47" t="str">
            <v>ORDER NOW</v>
          </cell>
          <cell r="O47" t="str">
            <v>CRITICAL</v>
          </cell>
          <cell r="P47">
            <v>46114.517268518517</v>
          </cell>
        </row>
        <row r="48">
          <cell r="C48" t="str">
            <v>PM-00182</v>
          </cell>
          <cell r="D48" t="str">
            <v>Breehant Paper cup 6.5 OZ كوب ورقي 6.5 اونص بريهانت</v>
          </cell>
          <cell r="E48" t="str">
            <v>1 Box 20 Pack X 25 Pcs</v>
          </cell>
          <cell r="F48" t="str">
            <v>Box</v>
          </cell>
          <cell r="G48">
            <v>2E-3</v>
          </cell>
          <cell r="H48">
            <v>150</v>
          </cell>
          <cell r="I48">
            <v>75000</v>
          </cell>
          <cell r="J48">
            <v>14</v>
          </cell>
          <cell r="K48">
            <v>42000.000000000007</v>
          </cell>
          <cell r="L48">
            <v>0</v>
          </cell>
          <cell r="M48">
            <v>0</v>
          </cell>
          <cell r="N48" t="str">
            <v>ORDER NOW</v>
          </cell>
          <cell r="O48" t="str">
            <v>CRITICAL</v>
          </cell>
          <cell r="P48">
            <v>46113.430891203701</v>
          </cell>
        </row>
        <row r="49">
          <cell r="C49" t="str">
            <v>PM-00268</v>
          </cell>
          <cell r="D49" t="str">
            <v>Breehant CANSعلبة بريهانت الباردة</v>
          </cell>
          <cell r="E49" t="str">
            <v>1 Box X 200 Pcs</v>
          </cell>
          <cell r="F49" t="str">
            <v>Box</v>
          </cell>
          <cell r="G49">
            <v>5.0000000000000001E-3</v>
          </cell>
          <cell r="H49">
            <v>25</v>
          </cell>
          <cell r="I49">
            <v>5000</v>
          </cell>
          <cell r="J49">
            <v>14</v>
          </cell>
          <cell r="K49">
            <v>2800.0000000000005</v>
          </cell>
          <cell r="L49">
            <v>0</v>
          </cell>
          <cell r="M49">
            <v>0</v>
          </cell>
          <cell r="N49" t="str">
            <v>ORDER NOW</v>
          </cell>
          <cell r="O49" t="str">
            <v>CRITICAL</v>
          </cell>
          <cell r="P49">
            <v>46113.430891203701</v>
          </cell>
        </row>
        <row r="50">
          <cell r="C50" t="str">
            <v>PM-00369</v>
          </cell>
          <cell r="D50" t="str">
            <v>Saudi coffee sticker roll رول استيكر القهوه السعوديه</v>
          </cell>
          <cell r="E50" t="str">
            <v>1 Box X 1000 Pcs</v>
          </cell>
          <cell r="F50" t="str">
            <v>Box</v>
          </cell>
          <cell r="G50">
            <v>1E-3</v>
          </cell>
          <cell r="H50">
            <v>15</v>
          </cell>
          <cell r="I50">
            <v>15000</v>
          </cell>
          <cell r="J50">
            <v>14</v>
          </cell>
          <cell r="K50">
            <v>8400</v>
          </cell>
          <cell r="L50">
            <v>0</v>
          </cell>
          <cell r="M50">
            <v>0</v>
          </cell>
          <cell r="N50" t="str">
            <v>ORDER NOW</v>
          </cell>
          <cell r="O50" t="str">
            <v>CRITICAL</v>
          </cell>
          <cell r="P50">
            <v>46113.430891203701</v>
          </cell>
        </row>
        <row r="51">
          <cell r="C51" t="str">
            <v>PM-00445</v>
          </cell>
          <cell r="D51" t="str">
            <v>Caramel Bites Sticker Bar (Nmaq) ستيكر بار كراميل بايتس ( نمق )</v>
          </cell>
          <cell r="E51" t="str">
            <v>1 Roll X 1000 Pcs.</v>
          </cell>
          <cell r="F51" t="str">
            <v>Box</v>
          </cell>
          <cell r="G51">
            <v>1E-3</v>
          </cell>
          <cell r="H51">
            <v>8</v>
          </cell>
          <cell r="I51">
            <v>8000</v>
          </cell>
          <cell r="J51">
            <v>14</v>
          </cell>
          <cell r="K51">
            <v>4480</v>
          </cell>
          <cell r="L51">
            <v>0</v>
          </cell>
          <cell r="M51">
            <v>0</v>
          </cell>
          <cell r="N51" t="str">
            <v>ORDER NOW</v>
          </cell>
          <cell r="O51" t="str">
            <v>CRITICAL</v>
          </cell>
          <cell r="P51">
            <v>46113.430891203701</v>
          </cell>
        </row>
        <row r="52">
          <cell r="C52" t="str">
            <v>PM-00080</v>
          </cell>
          <cell r="D52" t="str">
            <v>Bar Box (NAMQ)بوكس البارات (نمق)</v>
          </cell>
          <cell r="E52" t="str">
            <v>1 bundle X 500 PCS</v>
          </cell>
          <cell r="F52" t="str">
            <v>bundel</v>
          </cell>
          <cell r="G52">
            <v>2E-3</v>
          </cell>
          <cell r="H52">
            <v>15</v>
          </cell>
          <cell r="I52">
            <v>7500</v>
          </cell>
          <cell r="J52">
            <v>14</v>
          </cell>
          <cell r="K52">
            <v>4200</v>
          </cell>
          <cell r="L52">
            <v>0</v>
          </cell>
          <cell r="M52">
            <v>0</v>
          </cell>
          <cell r="N52" t="str">
            <v>ORDER NOW</v>
          </cell>
          <cell r="O52" t="str">
            <v>CRITICAL</v>
          </cell>
          <cell r="P52">
            <v>46113.430891203701</v>
          </cell>
        </row>
        <row r="53">
          <cell r="C53" t="str">
            <v>PM-00076</v>
          </cell>
          <cell r="D53" t="str">
            <v>Salted caramel box بوكس كراميل مملح</v>
          </cell>
          <cell r="E53" t="str">
            <v>1 bundle X 100 PCS</v>
          </cell>
          <cell r="F53" t="str">
            <v>bundel</v>
          </cell>
          <cell r="G53">
            <v>0.01</v>
          </cell>
          <cell r="H53">
            <v>300</v>
          </cell>
          <cell r="I53">
            <v>30000</v>
          </cell>
          <cell r="J53">
            <v>14</v>
          </cell>
          <cell r="K53">
            <v>16800</v>
          </cell>
          <cell r="L53">
            <v>0</v>
          </cell>
          <cell r="M53">
            <v>0</v>
          </cell>
          <cell r="N53" t="str">
            <v>ORDER NOW</v>
          </cell>
          <cell r="O53" t="str">
            <v>CRITICAL</v>
          </cell>
          <cell r="P53">
            <v>46113.430891203701</v>
          </cell>
        </row>
        <row r="54">
          <cell r="C54" t="str">
            <v>PM-00105</v>
          </cell>
          <cell r="D54" t="str">
            <v>Crunchy Chocolate box (BREEHANT) بوكس كرانشي شوكلت ( بريهانت )</v>
          </cell>
          <cell r="E54" t="str">
            <v>1 Box X 200 Pcs</v>
          </cell>
          <cell r="F54" t="str">
            <v>Box</v>
          </cell>
          <cell r="G54">
            <v>5.0000000000000001E-3</v>
          </cell>
          <cell r="H54">
            <v>50</v>
          </cell>
          <cell r="I54">
            <v>10000</v>
          </cell>
          <cell r="J54">
            <v>14</v>
          </cell>
          <cell r="K54">
            <v>5600.0000000000009</v>
          </cell>
          <cell r="L54">
            <v>0</v>
          </cell>
          <cell r="M54">
            <v>0</v>
          </cell>
          <cell r="N54" t="str">
            <v>ORDER NOW</v>
          </cell>
          <cell r="O54" t="str">
            <v>CRITICAL</v>
          </cell>
          <cell r="P54">
            <v>46113.430891203701</v>
          </cell>
        </row>
        <row r="55">
          <cell r="C55" t="str">
            <v>PM-00330</v>
          </cell>
          <cell r="D55" t="str">
            <v>Transfer Chocolate Paper ( Breehant ) ورق ترانسفير التشوكلت ( بريهانت )</v>
          </cell>
          <cell r="E55" t="str">
            <v>1 Bundle X 50 Pcs.</v>
          </cell>
          <cell r="F55" t="str">
            <v>bundel</v>
          </cell>
          <cell r="G55">
            <v>0.02</v>
          </cell>
          <cell r="H55">
            <v>0</v>
          </cell>
          <cell r="I55">
            <v>0</v>
          </cell>
          <cell r="J55">
            <v>14</v>
          </cell>
          <cell r="K55">
            <v>0</v>
          </cell>
          <cell r="L55">
            <v>0</v>
          </cell>
          <cell r="M55">
            <v>0</v>
          </cell>
          <cell r="N55" t="str">
            <v>ORDER NOW</v>
          </cell>
          <cell r="O55" t="str">
            <v>CRITICAL</v>
          </cell>
          <cell r="P55">
            <v>46113.430891203701</v>
          </cell>
        </row>
        <row r="56">
          <cell r="C56" t="str">
            <v>PM-00688</v>
          </cell>
          <cell r="D56" t="str">
            <v>سليف مارشميلو كراميل||Marshmallow Caramel Sleeve</v>
          </cell>
          <cell r="E56" t="str">
            <v>Pcs</v>
          </cell>
          <cell r="F56" t="str">
            <v>Pcs</v>
          </cell>
          <cell r="G56">
            <v>1</v>
          </cell>
          <cell r="H56">
            <v>0</v>
          </cell>
          <cell r="I56">
            <v>200</v>
          </cell>
          <cell r="J56">
            <v>14</v>
          </cell>
          <cell r="K56">
            <v>112.00000000000001</v>
          </cell>
          <cell r="L56">
            <v>0</v>
          </cell>
          <cell r="M56">
            <v>0</v>
          </cell>
          <cell r="N56" t="str">
            <v>ORDER NOW</v>
          </cell>
          <cell r="O56" t="str">
            <v>CRITICAL</v>
          </cell>
          <cell r="P56">
            <v>46113.430891203701</v>
          </cell>
        </row>
        <row r="57">
          <cell r="C57" t="str">
            <v>PM-00038</v>
          </cell>
          <cell r="D57" t="str">
            <v>Tiramisu Cover (breehant) غلاف تيراميسو (بريهانت)</v>
          </cell>
          <cell r="E57" t="str">
            <v>1 Bundle X 500 PCS</v>
          </cell>
          <cell r="F57" t="str">
            <v>bundel</v>
          </cell>
          <cell r="G57">
            <v>2E-3</v>
          </cell>
          <cell r="H57">
            <v>6</v>
          </cell>
          <cell r="I57">
            <v>3000</v>
          </cell>
          <cell r="J57">
            <v>14</v>
          </cell>
          <cell r="K57">
            <v>1680.0000000000002</v>
          </cell>
          <cell r="L57">
            <v>0</v>
          </cell>
          <cell r="M57">
            <v>0</v>
          </cell>
          <cell r="N57" t="str">
            <v>ORDER NOW</v>
          </cell>
          <cell r="O57" t="str">
            <v>CRITICAL</v>
          </cell>
          <cell r="P57">
            <v>46113.430902777778</v>
          </cell>
        </row>
        <row r="58">
          <cell r="C58" t="str">
            <v>PM-00347</v>
          </cell>
          <cell r="D58" t="str">
            <v>ورق ترانسفير الكوكيز مقاس 10سم (بريهانت)Transfer cookies Paper(BREEHANT )</v>
          </cell>
          <cell r="E58" t="str">
            <v>Sheet 25pcs</v>
          </cell>
          <cell r="F58" t="str">
            <v>Pcs</v>
          </cell>
          <cell r="G58">
            <v>0.04</v>
          </cell>
          <cell r="H58">
            <v>400</v>
          </cell>
          <cell r="I58">
            <v>10000</v>
          </cell>
          <cell r="J58">
            <v>14</v>
          </cell>
          <cell r="K58">
            <v>5600.0000000000009</v>
          </cell>
          <cell r="L58">
            <v>0</v>
          </cell>
          <cell r="M58">
            <v>0</v>
          </cell>
          <cell r="N58" t="str">
            <v>ORDER NOW</v>
          </cell>
          <cell r="O58" t="str">
            <v>CRITICAL</v>
          </cell>
          <cell r="P58">
            <v>46113.430902777778</v>
          </cell>
        </row>
        <row r="59">
          <cell r="C59" t="str">
            <v>PM-00643</v>
          </cell>
          <cell r="D59" t="str">
            <v>Pudding box 12 oz.(Breehant)-علبة بودنق 12 أونص (بريهانت)</v>
          </cell>
          <cell r="E59" t="str">
            <v>1 Box X 150</v>
          </cell>
          <cell r="F59" t="str">
            <v>Box</v>
          </cell>
          <cell r="G59">
            <v>6.6666666666666671E-3</v>
          </cell>
          <cell r="H59">
            <v>50</v>
          </cell>
          <cell r="I59">
            <v>7499.9999999999991</v>
          </cell>
          <cell r="J59">
            <v>14</v>
          </cell>
          <cell r="K59">
            <v>4200</v>
          </cell>
          <cell r="L59">
            <v>0</v>
          </cell>
          <cell r="M59">
            <v>0</v>
          </cell>
          <cell r="N59" t="str">
            <v>ORDER NOW</v>
          </cell>
          <cell r="O59" t="str">
            <v>CRITICAL</v>
          </cell>
          <cell r="P59">
            <v>46113.430902777778</v>
          </cell>
        </row>
        <row r="60">
          <cell r="C60" t="str">
            <v>PM-00036</v>
          </cell>
          <cell r="D60" t="str">
            <v>HD BAG PRINTED 2+2 COLORS SIZE كيس التاندو مطبوع</v>
          </cell>
          <cell r="E60" t="str">
            <v>Box</v>
          </cell>
          <cell r="F60" t="str">
            <v>Box</v>
          </cell>
          <cell r="G60">
            <v>3.1250000000000002E-3</v>
          </cell>
          <cell r="H60">
            <v>10</v>
          </cell>
          <cell r="I60">
            <v>3200</v>
          </cell>
          <cell r="J60">
            <v>14</v>
          </cell>
          <cell r="K60">
            <v>1792.0000000000002</v>
          </cell>
          <cell r="L60">
            <v>0</v>
          </cell>
          <cell r="M60">
            <v>0</v>
          </cell>
          <cell r="N60" t="str">
            <v>ORDER NOW</v>
          </cell>
          <cell r="O60" t="str">
            <v>CRITICAL</v>
          </cell>
          <cell r="P60">
            <v>46113.430902777778</v>
          </cell>
        </row>
        <row r="61">
          <cell r="C61" t="str">
            <v>PM-00697</v>
          </cell>
          <cell r="D61" t="str">
            <v>استيكر اغلاق بوكس فطورات كبير|| large breakfast box closure sticker</v>
          </cell>
          <cell r="E61" t="str">
            <v>Pcs</v>
          </cell>
          <cell r="F61" t="str">
            <v>Pcs</v>
          </cell>
          <cell r="G61">
            <v>1</v>
          </cell>
          <cell r="H61">
            <v>5000</v>
          </cell>
          <cell r="I61">
            <v>5000</v>
          </cell>
          <cell r="J61">
            <v>14</v>
          </cell>
          <cell r="K61">
            <v>2800.0000000000005</v>
          </cell>
          <cell r="L61">
            <v>0</v>
          </cell>
          <cell r="M61">
            <v>0</v>
          </cell>
          <cell r="N61" t="str">
            <v>ORDER NOW</v>
          </cell>
          <cell r="O61" t="str">
            <v>CRITICAL</v>
          </cell>
          <cell r="P61">
            <v>46113.430902777778</v>
          </cell>
        </row>
        <row r="62">
          <cell r="C62" t="str">
            <v>PM-00696</v>
          </cell>
          <cell r="D62" t="str">
            <v>استيكر اغلاق بوكس فطورات صغير|| small breakfast box closure sticker</v>
          </cell>
          <cell r="E62" t="str">
            <v>Pcs</v>
          </cell>
          <cell r="F62" t="str">
            <v>Pcs</v>
          </cell>
          <cell r="G62">
            <v>1</v>
          </cell>
          <cell r="H62">
            <v>5000</v>
          </cell>
          <cell r="I62">
            <v>5000</v>
          </cell>
          <cell r="J62">
            <v>14</v>
          </cell>
          <cell r="K62">
            <v>2800.0000000000005</v>
          </cell>
          <cell r="L62">
            <v>0</v>
          </cell>
          <cell r="M62">
            <v>0</v>
          </cell>
          <cell r="N62" t="str">
            <v>ORDER NOW</v>
          </cell>
          <cell r="O62" t="str">
            <v>CRITICAL</v>
          </cell>
          <cell r="P62">
            <v>46113.430902777778</v>
          </cell>
        </row>
        <row r="63">
          <cell r="C63" t="str">
            <v>CO-00473</v>
          </cell>
          <cell r="D63" t="str">
            <v>Loveramics Coffee Spoon Gold 10cm ملعقة اسبريسو</v>
          </cell>
          <cell r="E63" t="str">
            <v>1 Pcs</v>
          </cell>
          <cell r="F63" t="str">
            <v>Pcs</v>
          </cell>
          <cell r="G63">
            <v>1</v>
          </cell>
          <cell r="H63">
            <v>680</v>
          </cell>
          <cell r="I63">
            <v>680</v>
          </cell>
          <cell r="J63">
            <v>14</v>
          </cell>
          <cell r="K63">
            <v>380.8</v>
          </cell>
          <cell r="L63">
            <v>0</v>
          </cell>
          <cell r="M63">
            <v>0</v>
          </cell>
          <cell r="N63" t="str">
            <v>ORDER NOW</v>
          </cell>
          <cell r="O63" t="str">
            <v>CRITICAL</v>
          </cell>
          <cell r="P63">
            <v>46113.430902777778</v>
          </cell>
        </row>
        <row r="64">
          <cell r="C64" t="str">
            <v>CO-00522</v>
          </cell>
          <cell r="D64" t="str">
            <v>Ice Scoop S/S Round bottom مغرفة ايس سكوب</v>
          </cell>
          <cell r="E64" t="str">
            <v>1 Pcs</v>
          </cell>
          <cell r="F64" t="str">
            <v>Pcs</v>
          </cell>
          <cell r="G64">
            <v>1</v>
          </cell>
          <cell r="H64">
            <v>88</v>
          </cell>
          <cell r="I64">
            <v>88</v>
          </cell>
          <cell r="J64">
            <v>14</v>
          </cell>
          <cell r="K64">
            <v>49.28</v>
          </cell>
          <cell r="L64">
            <v>0</v>
          </cell>
          <cell r="M64">
            <v>0</v>
          </cell>
          <cell r="N64" t="str">
            <v>ORDER NOW</v>
          </cell>
          <cell r="O64" t="str">
            <v>CRITICAL</v>
          </cell>
          <cell r="P64">
            <v>46113.430902777778</v>
          </cell>
        </row>
        <row r="65">
          <cell r="C65" t="str">
            <v>CO-00127</v>
          </cell>
          <cell r="D65" t="str">
            <v>Microfiber mop with stick ممسحة مايكروفايبر مع العصا</v>
          </cell>
          <cell r="E65" t="str">
            <v>Pcs.</v>
          </cell>
          <cell r="F65" t="str">
            <v>Pcs</v>
          </cell>
          <cell r="G65">
            <v>1</v>
          </cell>
          <cell r="H65">
            <v>115.5</v>
          </cell>
          <cell r="I65">
            <v>115.5</v>
          </cell>
          <cell r="J65">
            <v>14</v>
          </cell>
          <cell r="K65">
            <v>64.680000000000007</v>
          </cell>
          <cell r="L65">
            <v>0</v>
          </cell>
          <cell r="M65">
            <v>0</v>
          </cell>
          <cell r="N65" t="str">
            <v>ORDER NOW</v>
          </cell>
          <cell r="O65" t="str">
            <v>CRITICAL</v>
          </cell>
          <cell r="P65">
            <v>46113.430902777778</v>
          </cell>
        </row>
        <row r="66">
          <cell r="C66" t="str">
            <v>CO-00148</v>
          </cell>
          <cell r="D66" t="str">
            <v>SINGLE FIX FLOORWIPER ممسحة شفط الارضيات 45 سم</v>
          </cell>
          <cell r="E66" t="str">
            <v>1 Pcs.</v>
          </cell>
          <cell r="F66" t="str">
            <v>Pcs</v>
          </cell>
          <cell r="G66">
            <v>1</v>
          </cell>
          <cell r="H66">
            <v>99</v>
          </cell>
          <cell r="I66">
            <v>99</v>
          </cell>
          <cell r="J66">
            <v>14</v>
          </cell>
          <cell r="K66">
            <v>55.440000000000005</v>
          </cell>
          <cell r="L66">
            <v>0</v>
          </cell>
          <cell r="M66">
            <v>0</v>
          </cell>
          <cell r="N66" t="str">
            <v>ORDER NOW</v>
          </cell>
          <cell r="O66" t="str">
            <v>CRITICAL</v>
          </cell>
          <cell r="P66">
            <v>46113.430902777778</v>
          </cell>
        </row>
        <row r="67">
          <cell r="C67" t="str">
            <v>CO-00487</v>
          </cell>
          <cell r="D67" t="str">
            <v>Pladtic Wet mop holder مقبض ممسحة مبللة بلاستيك</v>
          </cell>
          <cell r="E67" t="str">
            <v>1 Pcs</v>
          </cell>
          <cell r="F67" t="str">
            <v>Pcs</v>
          </cell>
          <cell r="G67">
            <v>1</v>
          </cell>
          <cell r="H67">
            <v>66</v>
          </cell>
          <cell r="I67">
            <v>66</v>
          </cell>
          <cell r="J67">
            <v>14</v>
          </cell>
          <cell r="K67">
            <v>36.96</v>
          </cell>
          <cell r="L67">
            <v>0</v>
          </cell>
          <cell r="M67">
            <v>0</v>
          </cell>
          <cell r="N67" t="str">
            <v>ORDER NOW</v>
          </cell>
          <cell r="O67" t="str">
            <v>CRITICAL</v>
          </cell>
          <cell r="P67">
            <v>46113.430902777778</v>
          </cell>
        </row>
        <row r="68">
          <cell r="C68" t="str">
            <v>CO-00356</v>
          </cell>
          <cell r="D68" t="str">
            <v>AL PROPAINT HANDFORWIPER عصا مع مسكة 140 سم</v>
          </cell>
          <cell r="E68" t="str">
            <v>1 Pcs</v>
          </cell>
          <cell r="F68" t="str">
            <v>Pcs</v>
          </cell>
          <cell r="G68">
            <v>1</v>
          </cell>
          <cell r="H68">
            <v>5.5</v>
          </cell>
          <cell r="I68">
            <v>5.5</v>
          </cell>
          <cell r="J68">
            <v>14</v>
          </cell>
          <cell r="K68">
            <v>3.08</v>
          </cell>
          <cell r="L68">
            <v>0</v>
          </cell>
          <cell r="M68">
            <v>0</v>
          </cell>
          <cell r="N68" t="str">
            <v>ORDER NOW</v>
          </cell>
          <cell r="O68" t="str">
            <v>CRITICAL</v>
          </cell>
          <cell r="P68">
            <v>46113.430902777778</v>
          </cell>
        </row>
        <row r="69">
          <cell r="C69" t="str">
            <v>CO-00129</v>
          </cell>
          <cell r="D69" t="str">
            <v>N.W BLU فوط غير منسوجة ازرق</v>
          </cell>
          <cell r="E69" t="str">
            <v>Pcs.</v>
          </cell>
          <cell r="F69" t="str">
            <v>Pcs</v>
          </cell>
          <cell r="G69">
            <v>1</v>
          </cell>
          <cell r="H69">
            <v>5.5</v>
          </cell>
          <cell r="I69">
            <v>0</v>
          </cell>
          <cell r="J69">
            <v>14</v>
          </cell>
          <cell r="K69">
            <v>0</v>
          </cell>
          <cell r="L69">
            <v>4</v>
          </cell>
          <cell r="M69">
            <v>0</v>
          </cell>
          <cell r="N69" t="str">
            <v>ORDER NOW</v>
          </cell>
          <cell r="O69" t="str">
            <v>CRITICAL</v>
          </cell>
          <cell r="P69">
            <v>46113.430902777778</v>
          </cell>
        </row>
        <row r="70">
          <cell r="C70" t="str">
            <v>CO-00072</v>
          </cell>
          <cell r="D70" t="str">
            <v>Tide تايد</v>
          </cell>
          <cell r="E70" t="str">
            <v>1 Case X 20 KG</v>
          </cell>
          <cell r="F70" t="str">
            <v>case</v>
          </cell>
          <cell r="G70">
            <v>0.05</v>
          </cell>
          <cell r="H70">
            <v>5.5</v>
          </cell>
          <cell r="I70">
            <v>110</v>
          </cell>
          <cell r="J70">
            <v>14</v>
          </cell>
          <cell r="K70">
            <v>61.600000000000009</v>
          </cell>
          <cell r="L70">
            <v>0</v>
          </cell>
          <cell r="M70">
            <v>0</v>
          </cell>
          <cell r="N70" t="str">
            <v>ORDER NOW</v>
          </cell>
          <cell r="O70" t="str">
            <v>CRITICAL</v>
          </cell>
          <cell r="P70">
            <v>46113.430902777778</v>
          </cell>
        </row>
        <row r="71">
          <cell r="C71" t="str">
            <v>CO-00352</v>
          </cell>
          <cell r="D71" t="str">
            <v>Anfim SP2 Grinder fan filter فلتر مروحة طاحونة انفيم اس بي 2</v>
          </cell>
          <cell r="E71" t="str">
            <v>1 Bundel X 10 Pcs</v>
          </cell>
          <cell r="F71" t="str">
            <v>bundel</v>
          </cell>
          <cell r="G71">
            <v>0.1</v>
          </cell>
          <cell r="H71">
            <v>184</v>
          </cell>
          <cell r="I71">
            <v>1840</v>
          </cell>
          <cell r="J71">
            <v>14</v>
          </cell>
          <cell r="K71">
            <v>1030.4000000000001</v>
          </cell>
          <cell r="L71">
            <v>0</v>
          </cell>
          <cell r="M71">
            <v>0</v>
          </cell>
          <cell r="N71" t="str">
            <v>ORDER NOW</v>
          </cell>
          <cell r="O71" t="str">
            <v>CRITICAL</v>
          </cell>
          <cell r="P71">
            <v>46113.430902777778</v>
          </cell>
        </row>
        <row r="72">
          <cell r="C72" t="str">
            <v>CO-00349</v>
          </cell>
          <cell r="D72" t="str">
            <v>BREAD KNIFE سكين مخبوزات</v>
          </cell>
          <cell r="E72" t="str">
            <v>1 Pcs</v>
          </cell>
          <cell r="F72" t="str">
            <v>Pcs</v>
          </cell>
          <cell r="G72">
            <v>1</v>
          </cell>
          <cell r="H72">
            <v>22</v>
          </cell>
          <cell r="I72">
            <v>22</v>
          </cell>
          <cell r="J72">
            <v>14</v>
          </cell>
          <cell r="K72">
            <v>12.32</v>
          </cell>
          <cell r="L72">
            <v>0</v>
          </cell>
          <cell r="M72">
            <v>0</v>
          </cell>
          <cell r="N72" t="str">
            <v>ORDER NOW</v>
          </cell>
          <cell r="O72" t="str">
            <v>CRITICAL</v>
          </cell>
          <cell r="P72">
            <v>46113.430902777778</v>
          </cell>
        </row>
        <row r="73">
          <cell r="C73" t="str">
            <v>CO-00505</v>
          </cell>
          <cell r="D73" t="str">
            <v>Steel Ashtray طفاية سجائر</v>
          </cell>
          <cell r="E73" t="str">
            <v>1 Pcs</v>
          </cell>
          <cell r="F73" t="str">
            <v>Pcs</v>
          </cell>
          <cell r="G73">
            <v>1</v>
          </cell>
          <cell r="H73">
            <v>600</v>
          </cell>
          <cell r="I73">
            <v>600</v>
          </cell>
          <cell r="J73">
            <v>14</v>
          </cell>
          <cell r="K73">
            <v>336.00000000000006</v>
          </cell>
          <cell r="L73">
            <v>0</v>
          </cell>
          <cell r="M73">
            <v>0</v>
          </cell>
          <cell r="N73" t="str">
            <v>ORDER NOW</v>
          </cell>
          <cell r="O73" t="str">
            <v>CRITICAL</v>
          </cell>
          <cell r="P73">
            <v>46113.430902777778</v>
          </cell>
        </row>
        <row r="74">
          <cell r="C74" t="str">
            <v>CO-00221</v>
          </cell>
          <cell r="D74" t="str">
            <v>PRICE MACHINE INK ROLLER ALL حبر الة تسعير وتواريخ</v>
          </cell>
          <cell r="E74" t="str">
            <v>1 Pcs</v>
          </cell>
          <cell r="F74" t="str">
            <v>Pcs</v>
          </cell>
          <cell r="G74">
            <v>1</v>
          </cell>
          <cell r="H74">
            <v>27.5</v>
          </cell>
          <cell r="I74">
            <v>27.5</v>
          </cell>
          <cell r="J74">
            <v>14</v>
          </cell>
          <cell r="K74">
            <v>15.400000000000002</v>
          </cell>
          <cell r="L74">
            <v>0</v>
          </cell>
          <cell r="M74">
            <v>0</v>
          </cell>
          <cell r="N74" t="str">
            <v>ORDER NOW</v>
          </cell>
          <cell r="O74" t="str">
            <v>CRITICAL</v>
          </cell>
          <cell r="P74">
            <v>46113.430902777778</v>
          </cell>
        </row>
        <row r="75">
          <cell r="C75" t="str">
            <v>CO-00412</v>
          </cell>
          <cell r="D75" t="str">
            <v>Namq Tooth Wipes</v>
          </cell>
          <cell r="E75" t="str">
            <v>1 Box X 1200 Pcs.</v>
          </cell>
          <cell r="F75" t="str">
            <v>Box</v>
          </cell>
          <cell r="G75">
            <v>8.3333333333333339E-4</v>
          </cell>
          <cell r="H75">
            <v>11</v>
          </cell>
          <cell r="I75">
            <v>13200</v>
          </cell>
          <cell r="J75">
            <v>14</v>
          </cell>
          <cell r="K75">
            <v>7392.0000000000009</v>
          </cell>
          <cell r="L75">
            <v>0</v>
          </cell>
          <cell r="M75">
            <v>0</v>
          </cell>
          <cell r="N75" t="str">
            <v>ORDER NOW</v>
          </cell>
          <cell r="O75" t="str">
            <v>CRITICAL</v>
          </cell>
          <cell r="P75">
            <v>46113.430902777778</v>
          </cell>
        </row>
        <row r="76">
          <cell r="C76" t="str">
            <v>CO-00217</v>
          </cell>
          <cell r="D76" t="str">
            <v>receipt NAMQ سند نمق</v>
          </cell>
          <cell r="E76" t="str">
            <v>Pcs.</v>
          </cell>
          <cell r="F76" t="str">
            <v>Pcs</v>
          </cell>
          <cell r="G76">
            <v>1</v>
          </cell>
          <cell r="H76">
            <v>22</v>
          </cell>
          <cell r="I76">
            <v>22</v>
          </cell>
          <cell r="J76">
            <v>14</v>
          </cell>
          <cell r="K76">
            <v>12.32</v>
          </cell>
          <cell r="L76">
            <v>0</v>
          </cell>
          <cell r="M76">
            <v>0</v>
          </cell>
          <cell r="N76" t="str">
            <v>ORDER NOW</v>
          </cell>
          <cell r="O76" t="str">
            <v>CRITICAL</v>
          </cell>
          <cell r="P76">
            <v>46113.430902777778</v>
          </cell>
        </row>
        <row r="77">
          <cell r="C77" t="str">
            <v>CO-00100</v>
          </cell>
          <cell r="D77" t="str">
            <v>Tape Namq لاصق نمق</v>
          </cell>
          <cell r="E77" t="str">
            <v>Pcs.</v>
          </cell>
          <cell r="F77" t="str">
            <v>Pcs</v>
          </cell>
          <cell r="G77">
            <v>1</v>
          </cell>
          <cell r="H77">
            <v>121</v>
          </cell>
          <cell r="I77">
            <v>121</v>
          </cell>
          <cell r="J77">
            <v>14</v>
          </cell>
          <cell r="K77">
            <v>67.760000000000005</v>
          </cell>
          <cell r="L77">
            <v>0</v>
          </cell>
          <cell r="M77">
            <v>0</v>
          </cell>
          <cell r="N77" t="str">
            <v>ORDER NOW</v>
          </cell>
          <cell r="O77" t="str">
            <v>CRITICAL</v>
          </cell>
          <cell r="P77">
            <v>46113.430902777778</v>
          </cell>
        </row>
        <row r="78">
          <cell r="C78" t="str">
            <v>CO-00219</v>
          </cell>
          <cell r="D78" t="str">
            <v>Money Detector	جهاز كشف اموال</v>
          </cell>
          <cell r="E78" t="str">
            <v>1 Pcs</v>
          </cell>
          <cell r="F78" t="str">
            <v>Pcs</v>
          </cell>
          <cell r="G78">
            <v>1</v>
          </cell>
          <cell r="H78">
            <v>11</v>
          </cell>
          <cell r="I78">
            <v>11</v>
          </cell>
          <cell r="J78">
            <v>14</v>
          </cell>
          <cell r="K78">
            <v>6.16</v>
          </cell>
          <cell r="L78">
            <v>0</v>
          </cell>
          <cell r="M78">
            <v>0</v>
          </cell>
          <cell r="N78" t="str">
            <v>ORDER NOW</v>
          </cell>
          <cell r="O78" t="str">
            <v>CRITICAL</v>
          </cell>
          <cell r="P78">
            <v>46113.430902777778</v>
          </cell>
        </row>
        <row r="79">
          <cell r="C79" t="str">
            <v>CO-00419</v>
          </cell>
          <cell r="D79" t="str">
            <v>Namq Stainless Steel magnetic name tag بطاقة تعريف اسم الموظف ستانلس ستيل مغناطيسي (نمق)</v>
          </cell>
          <cell r="E79" t="str">
            <v>Pcs.</v>
          </cell>
          <cell r="F79" t="str">
            <v>Pcs</v>
          </cell>
          <cell r="G79">
            <v>1</v>
          </cell>
          <cell r="H79">
            <v>27.5</v>
          </cell>
          <cell r="I79">
            <v>27.5</v>
          </cell>
          <cell r="J79">
            <v>14</v>
          </cell>
          <cell r="K79">
            <v>15.400000000000002</v>
          </cell>
          <cell r="L79">
            <v>0</v>
          </cell>
          <cell r="M79">
            <v>0</v>
          </cell>
          <cell r="N79" t="str">
            <v>ORDER NOW</v>
          </cell>
          <cell r="O79" t="str">
            <v>CRITICAL</v>
          </cell>
          <cell r="P79">
            <v>46113.430902777778</v>
          </cell>
        </row>
        <row r="80">
          <cell r="C80" t="str">
            <v>CO-00509</v>
          </cell>
          <cell r="D80" t="str">
            <v>حامل بطاقة خشبي Wooden ID Holder</v>
          </cell>
          <cell r="E80" t="str">
            <v>1 Pcs</v>
          </cell>
          <cell r="F80" t="str">
            <v>Pcs</v>
          </cell>
          <cell r="G80">
            <v>1</v>
          </cell>
          <cell r="H80">
            <v>82.5</v>
          </cell>
          <cell r="I80">
            <v>82.5</v>
          </cell>
          <cell r="J80">
            <v>14</v>
          </cell>
          <cell r="K80">
            <v>46.2</v>
          </cell>
          <cell r="L80">
            <v>0</v>
          </cell>
          <cell r="M80">
            <v>0</v>
          </cell>
          <cell r="N80" t="str">
            <v>ORDER NOW</v>
          </cell>
          <cell r="O80" t="str">
            <v>CRITICAL</v>
          </cell>
          <cell r="P80">
            <v>46113.430902777778</v>
          </cell>
        </row>
        <row r="81">
          <cell r="C81" t="str">
            <v>CO-00388</v>
          </cell>
          <cell r="D81" t="str">
            <v>Sticker No smoking small</v>
          </cell>
          <cell r="E81" t="str">
            <v>1 Pcs</v>
          </cell>
          <cell r="F81" t="str">
            <v>Pcs</v>
          </cell>
          <cell r="G81">
            <v>1</v>
          </cell>
          <cell r="H81">
            <v>165</v>
          </cell>
          <cell r="I81">
            <v>165</v>
          </cell>
          <cell r="J81">
            <v>14</v>
          </cell>
          <cell r="K81">
            <v>92.4</v>
          </cell>
          <cell r="L81">
            <v>0</v>
          </cell>
          <cell r="M81">
            <v>0</v>
          </cell>
          <cell r="N81" t="str">
            <v>ORDER NOW</v>
          </cell>
          <cell r="O81" t="str">
            <v>CRITICAL</v>
          </cell>
          <cell r="P81">
            <v>46113.430902777778</v>
          </cell>
        </row>
        <row r="82">
          <cell r="C82" t="str">
            <v>CO-00160</v>
          </cell>
          <cell r="D82" t="str">
            <v>Sticker No smoking ستيكر ممنوع التدخين</v>
          </cell>
          <cell r="E82" t="str">
            <v>1 Pcs</v>
          </cell>
          <cell r="F82" t="str">
            <v>Pcs</v>
          </cell>
          <cell r="G82">
            <v>1</v>
          </cell>
          <cell r="H82">
            <v>209</v>
          </cell>
          <cell r="I82">
            <v>209</v>
          </cell>
          <cell r="J82">
            <v>14</v>
          </cell>
          <cell r="K82">
            <v>117.04</v>
          </cell>
          <cell r="L82">
            <v>0</v>
          </cell>
          <cell r="M82">
            <v>0</v>
          </cell>
          <cell r="N82" t="str">
            <v>ORDER NOW</v>
          </cell>
          <cell r="O82" t="str">
            <v>CRITICAL</v>
          </cell>
          <cell r="P82">
            <v>46113.430902777778</v>
          </cell>
        </row>
        <row r="83">
          <cell r="C83" t="str">
            <v>CO-00017</v>
          </cell>
          <cell r="D83" t="str">
            <v>Acrylic No smoking اكريلك ممنوع التدخين</v>
          </cell>
          <cell r="E83" t="str">
            <v>Pcs.</v>
          </cell>
          <cell r="F83" t="str">
            <v>Pcs</v>
          </cell>
          <cell r="G83">
            <v>1</v>
          </cell>
          <cell r="H83">
            <v>11</v>
          </cell>
          <cell r="I83">
            <v>11</v>
          </cell>
          <cell r="J83">
            <v>14</v>
          </cell>
          <cell r="K83">
            <v>6.16</v>
          </cell>
          <cell r="L83">
            <v>0</v>
          </cell>
          <cell r="M83">
            <v>0</v>
          </cell>
          <cell r="N83" t="str">
            <v>ORDER NOW</v>
          </cell>
          <cell r="O83" t="str">
            <v>CRITICAL</v>
          </cell>
          <cell r="P83">
            <v>46113.430902777778</v>
          </cell>
        </row>
        <row r="84">
          <cell r="C84" t="str">
            <v>CO-00009</v>
          </cell>
          <cell r="D84" t="str">
            <v>Acrylic Family ( NAMQ ) اكريلك عائلات ( نمق )</v>
          </cell>
          <cell r="E84" t="str">
            <v>Pcs.</v>
          </cell>
          <cell r="F84" t="str">
            <v>Pcs</v>
          </cell>
          <cell r="G84">
            <v>1</v>
          </cell>
          <cell r="H84">
            <v>22</v>
          </cell>
          <cell r="I84">
            <v>22</v>
          </cell>
          <cell r="J84">
            <v>14</v>
          </cell>
          <cell r="K84">
            <v>12.32</v>
          </cell>
          <cell r="L84">
            <v>0</v>
          </cell>
          <cell r="M84">
            <v>0</v>
          </cell>
          <cell r="N84" t="str">
            <v>ORDER NOW</v>
          </cell>
          <cell r="O84" t="str">
            <v>CRITICAL</v>
          </cell>
          <cell r="P84">
            <v>46113.430902777778</v>
          </cell>
        </row>
        <row r="85">
          <cell r="C85" t="str">
            <v>CO-00016</v>
          </cell>
          <cell r="D85" t="str">
            <v>Acrylic Menu Small ( Namq ) منيو اكريلك  صغير ( نمق )</v>
          </cell>
          <cell r="E85" t="str">
            <v>Pcs.</v>
          </cell>
          <cell r="F85" t="str">
            <v>Pcs</v>
          </cell>
          <cell r="G85">
            <v>1</v>
          </cell>
          <cell r="H85">
            <v>11</v>
          </cell>
          <cell r="I85">
            <v>11</v>
          </cell>
          <cell r="J85">
            <v>14</v>
          </cell>
          <cell r="K85">
            <v>6.16</v>
          </cell>
          <cell r="L85">
            <v>0</v>
          </cell>
          <cell r="M85">
            <v>0</v>
          </cell>
          <cell r="N85" t="str">
            <v>ORDER NOW</v>
          </cell>
          <cell r="O85" t="str">
            <v>CRITICAL</v>
          </cell>
          <cell r="P85">
            <v>46113.430914351855</v>
          </cell>
        </row>
        <row r="86">
          <cell r="C86" t="str">
            <v>CO-00018</v>
          </cell>
          <cell r="D86" t="str">
            <v>Acrylic place policy 55cm	اكريلك سياسة المكان</v>
          </cell>
          <cell r="E86" t="str">
            <v>Pcs.</v>
          </cell>
          <cell r="F86" t="str">
            <v>Pcs</v>
          </cell>
          <cell r="G86">
            <v>1</v>
          </cell>
          <cell r="H86">
            <v>11</v>
          </cell>
          <cell r="I86">
            <v>11</v>
          </cell>
          <cell r="J86">
            <v>14</v>
          </cell>
          <cell r="K86">
            <v>6.16</v>
          </cell>
          <cell r="L86">
            <v>0</v>
          </cell>
          <cell r="M86">
            <v>0</v>
          </cell>
          <cell r="N86" t="str">
            <v>ORDER NOW</v>
          </cell>
          <cell r="O86" t="str">
            <v>CRITICAL</v>
          </cell>
          <cell r="P86">
            <v>46113.430914351855</v>
          </cell>
        </row>
        <row r="87">
          <cell r="C87" t="str">
            <v>CO-00008</v>
          </cell>
          <cell r="D87" t="str">
            <v>Acrylic evaluation 55cm	اكريلك التقييم</v>
          </cell>
          <cell r="E87" t="str">
            <v>Pcs.</v>
          </cell>
          <cell r="F87" t="str">
            <v>Pcs</v>
          </cell>
          <cell r="G87">
            <v>1</v>
          </cell>
          <cell r="H87">
            <v>11</v>
          </cell>
          <cell r="I87">
            <v>11</v>
          </cell>
          <cell r="J87">
            <v>14</v>
          </cell>
          <cell r="K87">
            <v>6.16</v>
          </cell>
          <cell r="L87">
            <v>0</v>
          </cell>
          <cell r="M87">
            <v>0</v>
          </cell>
          <cell r="N87" t="str">
            <v>ORDER NOW</v>
          </cell>
          <cell r="O87" t="str">
            <v>CRITICAL</v>
          </cell>
          <cell r="P87">
            <v>46113.430914351855</v>
          </cell>
        </row>
        <row r="88">
          <cell r="C88" t="str">
            <v>CO-00030</v>
          </cell>
          <cell r="D88" t="str">
            <v>Friday booth, mirror stand And three tables(NAMQ) بوث الجمعة استاند مرايا وثلاث طاولات (نمق)</v>
          </cell>
          <cell r="E88" t="str">
            <v>Pcs.</v>
          </cell>
          <cell r="F88" t="str">
            <v>Pcs</v>
          </cell>
          <cell r="G88">
            <v>1</v>
          </cell>
          <cell r="H88">
            <v>11</v>
          </cell>
          <cell r="I88">
            <v>11</v>
          </cell>
          <cell r="J88">
            <v>14</v>
          </cell>
          <cell r="K88">
            <v>6.16</v>
          </cell>
          <cell r="L88">
            <v>0</v>
          </cell>
          <cell r="M88">
            <v>0</v>
          </cell>
          <cell r="N88" t="str">
            <v>ORDER NOW</v>
          </cell>
          <cell r="O88" t="str">
            <v>CRITICAL</v>
          </cell>
          <cell r="P88">
            <v>46113.430914351855</v>
          </cell>
        </row>
        <row r="89">
          <cell r="C89" t="str">
            <v>CO-00032</v>
          </cell>
          <cell r="D89" t="str">
            <v>Acrylic staff board, size 97 cm * 97 cm, with UV printi( NAMQ )بورد موظفين اكريليك مقاس97 سم *97سم مع الطباعة (نمق)ng</v>
          </cell>
          <cell r="E89" t="str">
            <v>Pcs.</v>
          </cell>
          <cell r="F89" t="str">
            <v>Pcs</v>
          </cell>
          <cell r="G89">
            <v>1</v>
          </cell>
          <cell r="H89">
            <v>11</v>
          </cell>
          <cell r="I89">
            <v>11</v>
          </cell>
          <cell r="J89">
            <v>14</v>
          </cell>
          <cell r="K89">
            <v>6.16</v>
          </cell>
          <cell r="L89">
            <v>0</v>
          </cell>
          <cell r="M89">
            <v>0</v>
          </cell>
          <cell r="N89" t="str">
            <v>ORDER NOW</v>
          </cell>
          <cell r="O89" t="str">
            <v>CRITICAL</v>
          </cell>
          <cell r="P89">
            <v>46113.430914351855</v>
          </cell>
        </row>
        <row r="90">
          <cell r="C90" t="str">
            <v>CO-00001</v>
          </cell>
          <cell r="D90" t="str">
            <v>Acrylic drive-through UV printing (NAMQ)اكريليك درايف ثرو طباعة UV (نمق)</v>
          </cell>
          <cell r="E90" t="str">
            <v>Pcs.</v>
          </cell>
          <cell r="F90" t="str">
            <v>Pcs</v>
          </cell>
          <cell r="G90">
            <v>1</v>
          </cell>
          <cell r="H90">
            <v>11</v>
          </cell>
          <cell r="I90">
            <v>11</v>
          </cell>
          <cell r="J90">
            <v>14</v>
          </cell>
          <cell r="K90">
            <v>6.16</v>
          </cell>
          <cell r="L90">
            <v>0</v>
          </cell>
          <cell r="M90">
            <v>0</v>
          </cell>
          <cell r="N90" t="str">
            <v>ORDER NOW</v>
          </cell>
          <cell r="O90" t="str">
            <v>CRITICAL</v>
          </cell>
          <cell r="P90">
            <v>46113.430914351855</v>
          </cell>
        </row>
        <row r="91">
          <cell r="C91" t="str">
            <v>CO-00010</v>
          </cell>
          <cell r="D91" t="str">
            <v>Acrylic Friday ( NAMQ )	اكريلك جمعة نمق</v>
          </cell>
          <cell r="E91" t="str">
            <v>Pcs.</v>
          </cell>
          <cell r="F91" t="str">
            <v>Pcs</v>
          </cell>
          <cell r="G91">
            <v>1</v>
          </cell>
          <cell r="H91">
            <v>11</v>
          </cell>
          <cell r="I91">
            <v>11</v>
          </cell>
          <cell r="J91">
            <v>14</v>
          </cell>
          <cell r="K91">
            <v>6.16</v>
          </cell>
          <cell r="L91">
            <v>0</v>
          </cell>
          <cell r="M91">
            <v>0</v>
          </cell>
          <cell r="N91" t="str">
            <v>ORDER NOW</v>
          </cell>
          <cell r="O91" t="str">
            <v>CRITICAL</v>
          </cell>
          <cell r="P91">
            <v>46113.430914351855</v>
          </cell>
        </row>
        <row r="92">
          <cell r="C92" t="str">
            <v>CO-00022</v>
          </cell>
          <cell r="D92" t="str">
            <v>Acrylic wi-fi اكريلك واي فاي نمق</v>
          </cell>
          <cell r="E92" t="str">
            <v>Pcs.</v>
          </cell>
          <cell r="F92" t="str">
            <v>Pcs</v>
          </cell>
          <cell r="G92">
            <v>1</v>
          </cell>
          <cell r="H92">
            <v>22</v>
          </cell>
          <cell r="I92">
            <v>22</v>
          </cell>
          <cell r="J92">
            <v>14</v>
          </cell>
          <cell r="K92">
            <v>12.32</v>
          </cell>
          <cell r="L92">
            <v>0</v>
          </cell>
          <cell r="M92">
            <v>0</v>
          </cell>
          <cell r="N92" t="str">
            <v>ORDER NOW</v>
          </cell>
          <cell r="O92" t="str">
            <v>CRITICAL</v>
          </cell>
          <cell r="P92">
            <v>46113.430914351855</v>
          </cell>
        </row>
        <row r="93">
          <cell r="C93" t="str">
            <v>CO-00327</v>
          </cell>
          <cell r="D93" t="str">
            <v>Ice Cream Spoon ملعقة آيس كريم</v>
          </cell>
          <cell r="E93" t="str">
            <v>1 Pcs</v>
          </cell>
          <cell r="F93" t="str">
            <v>Pcs</v>
          </cell>
          <cell r="G93">
            <v>1</v>
          </cell>
          <cell r="H93">
            <v>8</v>
          </cell>
          <cell r="I93">
            <v>8</v>
          </cell>
          <cell r="J93">
            <v>14</v>
          </cell>
          <cell r="K93">
            <v>4.4800000000000004</v>
          </cell>
          <cell r="L93">
            <v>0</v>
          </cell>
          <cell r="M93">
            <v>0</v>
          </cell>
          <cell r="N93" t="str">
            <v>ORDER NOW</v>
          </cell>
          <cell r="O93" t="str">
            <v>CRITICAL</v>
          </cell>
          <cell r="P93">
            <v>46113.430914351855</v>
          </cell>
        </row>
        <row r="94">
          <cell r="C94" t="str">
            <v>CO-00038</v>
          </cell>
          <cell r="D94" t="str">
            <v>Acrylic advisory board (toilets)لوحة اكريليك ارشادية</v>
          </cell>
          <cell r="E94" t="str">
            <v>Pcs.</v>
          </cell>
          <cell r="F94" t="str">
            <v>Pcs</v>
          </cell>
          <cell r="G94">
            <v>1</v>
          </cell>
          <cell r="H94">
            <v>8</v>
          </cell>
          <cell r="I94">
            <v>8</v>
          </cell>
          <cell r="J94">
            <v>14</v>
          </cell>
          <cell r="K94">
            <v>4.4800000000000004</v>
          </cell>
          <cell r="L94">
            <v>0</v>
          </cell>
          <cell r="M94">
            <v>0</v>
          </cell>
          <cell r="N94" t="str">
            <v>ORDER NOW</v>
          </cell>
          <cell r="O94" t="str">
            <v>CRITICAL</v>
          </cell>
          <cell r="P94">
            <v>46118.497731481482</v>
          </cell>
        </row>
        <row r="95">
          <cell r="C95" t="str">
            <v>CO-00542</v>
          </cell>
          <cell r="D95" t="str">
            <v>Linen trousers Prehent بنطلون كتان بريهانت</v>
          </cell>
          <cell r="E95" t="str">
            <v>Pcs.</v>
          </cell>
          <cell r="F95" t="str">
            <v>Pcs</v>
          </cell>
          <cell r="G95">
            <v>1</v>
          </cell>
          <cell r="H95">
            <v>200</v>
          </cell>
          <cell r="I95">
            <v>200</v>
          </cell>
          <cell r="J95">
            <v>14</v>
          </cell>
          <cell r="K95">
            <v>112.00000000000001</v>
          </cell>
          <cell r="L95">
            <v>0</v>
          </cell>
          <cell r="M95">
            <v>0</v>
          </cell>
          <cell r="N95" t="str">
            <v>ORDER NOW</v>
          </cell>
          <cell r="O95" t="str">
            <v>CRITICAL</v>
          </cell>
          <cell r="P95">
            <v>46113.430914351855</v>
          </cell>
        </row>
        <row r="96">
          <cell r="C96" t="str">
            <v>CO-00543</v>
          </cell>
          <cell r="D96" t="str">
            <v>Breehant Hoodie هودي بريهانت</v>
          </cell>
          <cell r="E96" t="str">
            <v>Pcs.</v>
          </cell>
          <cell r="F96" t="str">
            <v>Pcs</v>
          </cell>
          <cell r="G96">
            <v>1</v>
          </cell>
          <cell r="H96">
            <v>200</v>
          </cell>
          <cell r="I96">
            <v>200</v>
          </cell>
          <cell r="J96">
            <v>14</v>
          </cell>
          <cell r="K96">
            <v>112.00000000000001</v>
          </cell>
          <cell r="L96">
            <v>0</v>
          </cell>
          <cell r="M96">
            <v>0</v>
          </cell>
          <cell r="N96" t="str">
            <v>ORDER NOW</v>
          </cell>
          <cell r="O96" t="str">
            <v>CRITICAL</v>
          </cell>
          <cell r="P96">
            <v>46113.430914351855</v>
          </cell>
        </row>
        <row r="97">
          <cell r="C97" t="str">
            <v>CO-00483</v>
          </cell>
          <cell r="D97" t="str">
            <v>Syscall SGP-300R 10c (set) Diamond pager +charger base with power supply" جهاز بيجر سانكول لبريهانت</v>
          </cell>
          <cell r="E97" t="str">
            <v>1 Box X 10 Pcs.</v>
          </cell>
          <cell r="F97" t="str">
            <v>Box</v>
          </cell>
          <cell r="G97">
            <v>0.1</v>
          </cell>
          <cell r="H97">
            <v>8</v>
          </cell>
          <cell r="I97">
            <v>80</v>
          </cell>
          <cell r="J97">
            <v>14</v>
          </cell>
          <cell r="K97">
            <v>44.800000000000004</v>
          </cell>
          <cell r="L97">
            <v>0</v>
          </cell>
          <cell r="M97">
            <v>0</v>
          </cell>
          <cell r="N97" t="str">
            <v>ORDER NOW</v>
          </cell>
          <cell r="O97" t="str">
            <v>CRITICAL</v>
          </cell>
          <cell r="P97">
            <v>46113.430914351855</v>
          </cell>
        </row>
        <row r="98">
          <cell r="C98" t="str">
            <v>CO-00144</v>
          </cell>
          <cell r="D98" t="str">
            <v>Trash bag small ( White ) اكياس ابيض  نفايات</v>
          </cell>
          <cell r="E98" t="str">
            <v>1 Box X 10 Bundel</v>
          </cell>
          <cell r="F98" t="str">
            <v>Box</v>
          </cell>
          <cell r="G98">
            <v>0.1</v>
          </cell>
          <cell r="H98">
            <v>1</v>
          </cell>
          <cell r="I98">
            <v>10</v>
          </cell>
          <cell r="J98">
            <v>14</v>
          </cell>
          <cell r="K98">
            <v>5.6000000000000005</v>
          </cell>
          <cell r="L98">
            <v>0</v>
          </cell>
          <cell r="M98">
            <v>0</v>
          </cell>
          <cell r="N98" t="str">
            <v>ORDER NOW</v>
          </cell>
          <cell r="O98" t="str">
            <v>CRITICAL</v>
          </cell>
          <cell r="P98">
            <v>46113.430914351855</v>
          </cell>
        </row>
        <row r="99">
          <cell r="C99" t="str">
            <v>CO-00097</v>
          </cell>
          <cell r="D99" t="str">
            <v>soft broom مكنسة ناعمة</v>
          </cell>
          <cell r="E99" t="str">
            <v>Pcs</v>
          </cell>
          <cell r="F99" t="str">
            <v>Pcs</v>
          </cell>
          <cell r="G99">
            <v>1</v>
          </cell>
          <cell r="H99">
            <v>30</v>
          </cell>
          <cell r="I99">
            <v>30</v>
          </cell>
          <cell r="J99">
            <v>14</v>
          </cell>
          <cell r="K99">
            <v>16.8</v>
          </cell>
          <cell r="L99">
            <v>0</v>
          </cell>
          <cell r="M99">
            <v>0</v>
          </cell>
          <cell r="N99" t="str">
            <v>ORDER NOW</v>
          </cell>
          <cell r="O99" t="str">
            <v>CRITICAL</v>
          </cell>
          <cell r="P99">
            <v>46113.430914351855</v>
          </cell>
        </row>
        <row r="100">
          <cell r="C100" t="str">
            <v>CO-00093</v>
          </cell>
          <cell r="D100" t="str">
            <v>Beard Cover With Single Loop 21 Mfr: LUXICARE غطاء الدقن</v>
          </cell>
          <cell r="E100" t="str">
            <v>1 Box X 1000 Pcs</v>
          </cell>
          <cell r="F100" t="str">
            <v>Box</v>
          </cell>
          <cell r="G100">
            <v>1E-3</v>
          </cell>
          <cell r="H100">
            <v>5</v>
          </cell>
          <cell r="I100">
            <v>5000</v>
          </cell>
          <cell r="J100">
            <v>14</v>
          </cell>
          <cell r="K100">
            <v>2800.0000000000005</v>
          </cell>
          <cell r="L100">
            <v>0</v>
          </cell>
          <cell r="M100">
            <v>0</v>
          </cell>
          <cell r="N100" t="str">
            <v>ORDER NOW</v>
          </cell>
          <cell r="O100" t="str">
            <v>CRITICAL</v>
          </cell>
          <cell r="P100">
            <v>46113.430914351855</v>
          </cell>
        </row>
        <row r="101">
          <cell r="C101" t="str">
            <v>CO-00364</v>
          </cell>
          <cell r="D101" t="str">
            <v>A4 Paper Holder Acralic برواز حامل اوراق</v>
          </cell>
          <cell r="E101" t="str">
            <v>1 Pcs</v>
          </cell>
          <cell r="F101" t="str">
            <v>Pcs</v>
          </cell>
          <cell r="G101">
            <v>1</v>
          </cell>
          <cell r="H101">
            <v>5</v>
          </cell>
          <cell r="I101">
            <v>5</v>
          </cell>
          <cell r="J101">
            <v>14</v>
          </cell>
          <cell r="K101">
            <v>2.8000000000000003</v>
          </cell>
          <cell r="L101">
            <v>0</v>
          </cell>
          <cell r="M101">
            <v>0</v>
          </cell>
          <cell r="N101" t="str">
            <v>ORDER NOW</v>
          </cell>
          <cell r="O101" t="str">
            <v>CRITICAL</v>
          </cell>
          <cell r="P101">
            <v>46131.431921296295</v>
          </cell>
        </row>
        <row r="102">
          <cell r="C102" t="str">
            <v>RM-00293</v>
          </cell>
          <cell r="D102" t="str">
            <v>Soft White Vanilla مسحوق فانيلا روبيكون</v>
          </cell>
          <cell r="E102" t="str">
            <v>1 Box X 8 Bag X 1.5 Kg</v>
          </cell>
          <cell r="F102" t="str">
            <v>Box</v>
          </cell>
          <cell r="G102">
            <v>8.3333333333333329E-2</v>
          </cell>
          <cell r="H102">
            <v>77</v>
          </cell>
          <cell r="I102">
            <v>924</v>
          </cell>
          <cell r="J102">
            <v>14</v>
          </cell>
          <cell r="K102">
            <v>517.44000000000005</v>
          </cell>
          <cell r="L102">
            <v>0</v>
          </cell>
          <cell r="M102">
            <v>0</v>
          </cell>
          <cell r="N102" t="str">
            <v>ORDER NOW</v>
          </cell>
          <cell r="O102" t="str">
            <v>CRITICAL</v>
          </cell>
          <cell r="P102">
            <v>46113.430914351855</v>
          </cell>
        </row>
        <row r="103">
          <cell r="C103" t="str">
            <v>RM-00573</v>
          </cell>
          <cell r="D103" t="str">
            <v>Syrup Giffard pomegranate سيروب رمان جيفارد</v>
          </cell>
          <cell r="E103" t="str">
            <v>1 Box 6 Bottle X 1 Ltr</v>
          </cell>
          <cell r="F103" t="str">
            <v>Box</v>
          </cell>
          <cell r="G103">
            <v>0.16666666666666666</v>
          </cell>
          <cell r="H103">
            <v>16.5</v>
          </cell>
          <cell r="I103">
            <v>99</v>
          </cell>
          <cell r="J103">
            <v>14</v>
          </cell>
          <cell r="K103">
            <v>55.440000000000005</v>
          </cell>
          <cell r="L103">
            <v>0</v>
          </cell>
          <cell r="M103">
            <v>0</v>
          </cell>
          <cell r="N103" t="str">
            <v>ORDER NOW</v>
          </cell>
          <cell r="O103" t="str">
            <v>CRITICAL</v>
          </cell>
          <cell r="P103">
            <v>46113.430914351855</v>
          </cell>
        </row>
        <row r="104">
          <cell r="C104" t="str">
            <v>RM-00572</v>
          </cell>
          <cell r="D104" t="str">
            <v>Syrup Giffard red raspberryسيروب توت احمر جيفراد</v>
          </cell>
          <cell r="E104" t="str">
            <v>1 Box 6 Bottle X 1 Ltr</v>
          </cell>
          <cell r="F104" t="str">
            <v>Box</v>
          </cell>
          <cell r="G104">
            <v>0.16666666666666666</v>
          </cell>
          <cell r="H104">
            <v>11</v>
          </cell>
          <cell r="I104">
            <v>66</v>
          </cell>
          <cell r="J104">
            <v>14</v>
          </cell>
          <cell r="K104">
            <v>36.96</v>
          </cell>
          <cell r="L104">
            <v>0</v>
          </cell>
          <cell r="M104">
            <v>0</v>
          </cell>
          <cell r="N104" t="str">
            <v>ORDER NOW</v>
          </cell>
          <cell r="O104" t="str">
            <v>CRITICAL</v>
          </cell>
          <cell r="P104">
            <v>46113.430914351855</v>
          </cell>
        </row>
        <row r="105">
          <cell r="C105" t="str">
            <v>RM-00100</v>
          </cell>
          <cell r="D105" t="str">
            <v>FLORIMONT CREAM WHIPPING 35% FAT - FRANCE |  كريمة خفق</v>
          </cell>
          <cell r="E105" t="str">
            <v>1 Box X 12 Bottle X 1 ltr</v>
          </cell>
          <cell r="F105" t="str">
            <v>Box</v>
          </cell>
          <cell r="G105">
            <v>8.3333333333333329E-2</v>
          </cell>
          <cell r="H105">
            <v>66</v>
          </cell>
          <cell r="I105">
            <v>792</v>
          </cell>
          <cell r="J105">
            <v>14</v>
          </cell>
          <cell r="K105">
            <v>443.52000000000004</v>
          </cell>
          <cell r="L105">
            <v>0</v>
          </cell>
          <cell r="M105">
            <v>0</v>
          </cell>
          <cell r="N105" t="str">
            <v>ORDER NOW</v>
          </cell>
          <cell r="O105" t="str">
            <v>CRITICAL</v>
          </cell>
          <cell r="P105">
            <v>46113.430914351855</v>
          </cell>
        </row>
        <row r="106">
          <cell r="C106" t="str">
            <v>RM-00371</v>
          </cell>
          <cell r="D106" t="str">
            <v>Fruits Puree Boiron Raspberry فواكة مهروسة بوارون - توت</v>
          </cell>
          <cell r="E106" t="str">
            <v>1 PCS X 10 KG</v>
          </cell>
          <cell r="F106" t="str">
            <v>Pcs</v>
          </cell>
          <cell r="G106">
            <v>0.1</v>
          </cell>
          <cell r="H106">
            <v>0</v>
          </cell>
          <cell r="I106">
            <v>0</v>
          </cell>
          <cell r="J106">
            <v>14</v>
          </cell>
          <cell r="K106">
            <v>0</v>
          </cell>
          <cell r="L106">
            <v>0</v>
          </cell>
          <cell r="M106">
            <v>0</v>
          </cell>
          <cell r="N106" t="str">
            <v>ORDER NOW</v>
          </cell>
          <cell r="O106" t="str">
            <v>CRITICAL</v>
          </cell>
          <cell r="P106">
            <v>46127.531087962961</v>
          </cell>
        </row>
        <row r="107">
          <cell r="C107" t="str">
            <v>RM-00113</v>
          </cell>
          <cell r="D107" t="str">
            <v>KUWAIT FLOUR طحين الكويت فاخر</v>
          </cell>
          <cell r="E107" t="str">
            <v>1 BUNDLE X 2 BAGS X 5 KG</v>
          </cell>
          <cell r="F107" t="str">
            <v>bundel</v>
          </cell>
          <cell r="G107">
            <v>0.1</v>
          </cell>
          <cell r="H107">
            <v>90</v>
          </cell>
          <cell r="I107">
            <v>900</v>
          </cell>
          <cell r="J107">
            <v>14</v>
          </cell>
          <cell r="K107">
            <v>504.00000000000006</v>
          </cell>
          <cell r="L107">
            <v>0</v>
          </cell>
          <cell r="M107">
            <v>0</v>
          </cell>
          <cell r="N107" t="str">
            <v>ORDER NOW</v>
          </cell>
          <cell r="O107" t="str">
            <v>CRITICAL</v>
          </cell>
          <cell r="P107">
            <v>46113.430914351855</v>
          </cell>
        </row>
        <row r="108">
          <cell r="C108" t="str">
            <v>RM-00359</v>
          </cell>
          <cell r="D108" t="str">
            <v>Frozen Whole Egg Liquid | بيض سائل كامل مفرزن</v>
          </cell>
          <cell r="E108" t="str">
            <v>1 Box X 4 Tin X 5 Kg</v>
          </cell>
          <cell r="F108" t="str">
            <v>Box</v>
          </cell>
          <cell r="G108">
            <v>0.05</v>
          </cell>
          <cell r="H108">
            <v>170</v>
          </cell>
          <cell r="I108">
            <v>3400</v>
          </cell>
          <cell r="J108">
            <v>14</v>
          </cell>
          <cell r="K108">
            <v>1904.0000000000002</v>
          </cell>
          <cell r="L108">
            <v>0</v>
          </cell>
          <cell r="M108">
            <v>0</v>
          </cell>
          <cell r="N108" t="str">
            <v>ORDER NOW</v>
          </cell>
          <cell r="O108" t="str">
            <v>CRITICAL</v>
          </cell>
          <cell r="P108">
            <v>46113.430925925924</v>
          </cell>
        </row>
        <row r="109">
          <cell r="C109" t="str">
            <v>RM-00011</v>
          </cell>
          <cell r="D109" t="str">
            <v>cheese chedder جبنة شيدر</v>
          </cell>
          <cell r="E109" t="str">
            <v>Ctn X 4X 2.27 Kg</v>
          </cell>
          <cell r="F109" t="str">
            <v>Ctn</v>
          </cell>
          <cell r="G109">
            <v>0.11013215859030837</v>
          </cell>
          <cell r="H109">
            <v>2</v>
          </cell>
          <cell r="I109">
            <v>18.16</v>
          </cell>
          <cell r="J109">
            <v>14</v>
          </cell>
          <cell r="K109">
            <v>10.169600000000001</v>
          </cell>
          <cell r="L109">
            <v>0</v>
          </cell>
          <cell r="M109">
            <v>0</v>
          </cell>
          <cell r="N109" t="str">
            <v>ORDER NOW</v>
          </cell>
          <cell r="O109" t="str">
            <v>CRITICAL</v>
          </cell>
          <cell r="P109">
            <v>46113.430925925924</v>
          </cell>
        </row>
        <row r="110">
          <cell r="C110" t="str">
            <v>RM-00008</v>
          </cell>
          <cell r="D110" t="str">
            <v>Hallomi cheese -جبن حلومي</v>
          </cell>
          <cell r="E110" t="str">
            <v>CTN X 40 X 250G</v>
          </cell>
          <cell r="F110" t="str">
            <v>Ctn</v>
          </cell>
          <cell r="G110">
            <v>0.1</v>
          </cell>
          <cell r="H110">
            <v>40</v>
          </cell>
          <cell r="I110">
            <v>400</v>
          </cell>
          <cell r="J110">
            <v>14</v>
          </cell>
          <cell r="K110">
            <v>224.00000000000003</v>
          </cell>
          <cell r="L110">
            <v>0</v>
          </cell>
          <cell r="M110">
            <v>0</v>
          </cell>
          <cell r="N110" t="str">
            <v>ORDER NOW</v>
          </cell>
          <cell r="O110" t="str">
            <v>CRITICAL</v>
          </cell>
          <cell r="P110">
            <v>46113.430925925924</v>
          </cell>
        </row>
        <row r="111">
          <cell r="C111" t="str">
            <v>RM-00686</v>
          </cell>
          <cell r="D111" t="str">
            <v>جبنة شيدر بالفلفل / Cheddar cheese with pepper</v>
          </cell>
          <cell r="E111" t="str">
            <v>Box  X 24X 255</v>
          </cell>
          <cell r="F111" t="str">
            <v>Box</v>
          </cell>
          <cell r="G111">
            <v>1.639344262295082E-3</v>
          </cell>
          <cell r="H111">
            <v>5</v>
          </cell>
          <cell r="I111">
            <v>30.599999999999998</v>
          </cell>
          <cell r="J111">
            <v>14</v>
          </cell>
          <cell r="K111">
            <v>17.135999999999999</v>
          </cell>
          <cell r="L111">
            <v>0</v>
          </cell>
          <cell r="M111">
            <v>0</v>
          </cell>
          <cell r="N111" t="str">
            <v>ORDER NOW</v>
          </cell>
          <cell r="O111" t="str">
            <v>CRITICAL</v>
          </cell>
          <cell r="P111">
            <v>46113.430925925924</v>
          </cell>
        </row>
        <row r="112">
          <cell r="C112" t="str">
            <v>RM-00021</v>
          </cell>
          <cell r="D112" t="str">
            <v>MASCARPONE cheese جبنة ماسكربوني</v>
          </cell>
          <cell r="E112" t="str">
            <v>1 box x 2 pcs x 2 kg</v>
          </cell>
          <cell r="F112" t="str">
            <v>Box</v>
          </cell>
          <cell r="G112">
            <v>0.25</v>
          </cell>
          <cell r="H112">
            <v>2400</v>
          </cell>
          <cell r="I112">
            <v>9600</v>
          </cell>
          <cell r="J112">
            <v>14</v>
          </cell>
          <cell r="K112">
            <v>5376.0000000000009</v>
          </cell>
          <cell r="L112">
            <v>0</v>
          </cell>
          <cell r="M112">
            <v>0</v>
          </cell>
          <cell r="N112" t="str">
            <v>ORDER NOW</v>
          </cell>
          <cell r="O112" t="str">
            <v>CRITICAL</v>
          </cell>
          <cell r="P112">
            <v>46113.430925925924</v>
          </cell>
        </row>
        <row r="113">
          <cell r="C113" t="str">
            <v>RM-00005</v>
          </cell>
          <cell r="D113" t="str">
            <v>FLORIMONT BUTTER SHEETS - 82% FAT - FRANCE | زبدة كروسان</v>
          </cell>
          <cell r="E113" t="str">
            <v>1 Box X 40 X 200g</v>
          </cell>
          <cell r="F113" t="str">
            <v>Box</v>
          </cell>
          <cell r="G113">
            <v>5.000000000000001E-3</v>
          </cell>
          <cell r="H113">
            <v>100</v>
          </cell>
          <cell r="I113">
            <v>800</v>
          </cell>
          <cell r="J113">
            <v>14</v>
          </cell>
          <cell r="K113">
            <v>448.00000000000006</v>
          </cell>
          <cell r="L113">
            <v>0</v>
          </cell>
          <cell r="M113">
            <v>0</v>
          </cell>
          <cell r="N113" t="str">
            <v>ORDER NOW</v>
          </cell>
          <cell r="O113" t="str">
            <v>CRITICAL</v>
          </cell>
          <cell r="P113">
            <v>46118.497754629629</v>
          </cell>
        </row>
        <row r="114">
          <cell r="C114" t="str">
            <v>RM-00441</v>
          </cell>
          <cell r="D114" t="str">
            <v>carlex oil spray بخاخ زيت كارلوكس</v>
          </cell>
          <cell r="E114" t="str">
            <v>Pcs</v>
          </cell>
          <cell r="F114" t="str">
            <v>Pcs</v>
          </cell>
          <cell r="G114">
            <v>1</v>
          </cell>
          <cell r="H114">
            <v>11</v>
          </cell>
          <cell r="I114">
            <v>11</v>
          </cell>
          <cell r="J114">
            <v>14</v>
          </cell>
          <cell r="K114">
            <v>6.16</v>
          </cell>
          <cell r="L114">
            <v>0</v>
          </cell>
          <cell r="M114">
            <v>0</v>
          </cell>
          <cell r="N114" t="str">
            <v>ORDER NOW</v>
          </cell>
          <cell r="O114" t="str">
            <v>CRITICAL</v>
          </cell>
          <cell r="P114">
            <v>46113.430925925924</v>
          </cell>
        </row>
        <row r="115">
          <cell r="C115" t="str">
            <v>RM-00531</v>
          </cell>
          <cell r="D115" t="str">
            <v>Low-Fat Natural Cocoa Powder N55  Macao | كاكاو بودرة قليل الدسم</v>
          </cell>
          <cell r="E115" t="str">
            <v>1 Bag X  25 KG</v>
          </cell>
          <cell r="F115" t="str">
            <v>bag</v>
          </cell>
          <cell r="G115">
            <v>1</v>
          </cell>
          <cell r="H115">
            <v>25</v>
          </cell>
          <cell r="I115">
            <v>25</v>
          </cell>
          <cell r="J115">
            <v>14</v>
          </cell>
          <cell r="K115">
            <v>14.000000000000002</v>
          </cell>
          <cell r="L115">
            <v>0</v>
          </cell>
          <cell r="M115">
            <v>0</v>
          </cell>
          <cell r="N115" t="str">
            <v>ORDER NOW</v>
          </cell>
          <cell r="O115" t="str">
            <v>CRITICAL</v>
          </cell>
          <cell r="P115">
            <v>46113.430925925924</v>
          </cell>
        </row>
        <row r="116">
          <cell r="C116" t="str">
            <v>RM-00087</v>
          </cell>
          <cell r="D116" t="str">
            <v>Cocoa powder PURATOS |  بودرة كاكاو</v>
          </cell>
          <cell r="E116" t="str">
            <v>25 KG</v>
          </cell>
          <cell r="F116" t="str">
            <v>Pcs</v>
          </cell>
          <cell r="G116">
            <v>0.04</v>
          </cell>
          <cell r="H116">
            <v>4</v>
          </cell>
          <cell r="I116">
            <v>100</v>
          </cell>
          <cell r="J116">
            <v>14</v>
          </cell>
          <cell r="K116">
            <v>56.000000000000007</v>
          </cell>
          <cell r="L116">
            <v>0</v>
          </cell>
          <cell r="M116">
            <v>0</v>
          </cell>
          <cell r="N116" t="str">
            <v>ORDER NOW</v>
          </cell>
          <cell r="O116" t="str">
            <v>CRITICAL</v>
          </cell>
          <cell r="P116">
            <v>46113.430925925924</v>
          </cell>
        </row>
        <row r="117">
          <cell r="C117" t="str">
            <v>RM-00048</v>
          </cell>
          <cell r="D117" t="str">
            <v>CT 0314/G Drops 15KG Bag شوكلاته اقراص CT 0314/G ( هوت تشوكلت )</v>
          </cell>
          <cell r="E117" t="str">
            <v>1 Bag X 15 KG</v>
          </cell>
          <cell r="F117" t="str">
            <v>bag</v>
          </cell>
          <cell r="G117">
            <v>6.6666666666666666E-2</v>
          </cell>
          <cell r="H117">
            <v>80</v>
          </cell>
          <cell r="I117">
            <v>1200</v>
          </cell>
          <cell r="J117">
            <v>14</v>
          </cell>
          <cell r="K117">
            <v>672.00000000000011</v>
          </cell>
          <cell r="L117">
            <v>0</v>
          </cell>
          <cell r="M117">
            <v>0</v>
          </cell>
          <cell r="N117" t="str">
            <v>ORDER NOW</v>
          </cell>
          <cell r="O117" t="str">
            <v>CRITICAL</v>
          </cell>
          <cell r="P117">
            <v>46118.497789351852</v>
          </cell>
        </row>
        <row r="118">
          <cell r="C118" t="str">
            <v>RM-00428</v>
          </cell>
          <cell r="D118" t="str">
            <v>Peeled pumpkin seeds حب قرع مقشر</v>
          </cell>
          <cell r="E118" t="str">
            <v>Box X 2 Bag X 10 KG</v>
          </cell>
          <cell r="F118" t="str">
            <v>Box</v>
          </cell>
          <cell r="G118">
            <v>0.05</v>
          </cell>
          <cell r="H118">
            <v>0</v>
          </cell>
          <cell r="I118">
            <v>0</v>
          </cell>
          <cell r="J118">
            <v>14</v>
          </cell>
          <cell r="K118">
            <v>0</v>
          </cell>
          <cell r="L118">
            <v>40</v>
          </cell>
          <cell r="M118">
            <v>0</v>
          </cell>
          <cell r="N118" t="str">
            <v>ORDER NOW</v>
          </cell>
          <cell r="O118" t="str">
            <v>CRITICAL</v>
          </cell>
          <cell r="P118">
            <v>46113.430925925924</v>
          </cell>
        </row>
        <row r="119">
          <cell r="C119" t="str">
            <v>RM-00155</v>
          </cell>
          <cell r="D119" t="str">
            <v>Dates Ekhlasتمر اخلاص</v>
          </cell>
          <cell r="E119" t="str">
            <v>1 box x 8 pcs x 1 kg</v>
          </cell>
          <cell r="F119" t="str">
            <v>Box</v>
          </cell>
          <cell r="G119">
            <v>0.125</v>
          </cell>
          <cell r="H119">
            <v>0</v>
          </cell>
          <cell r="I119">
            <v>0</v>
          </cell>
          <cell r="J119">
            <v>14</v>
          </cell>
          <cell r="K119">
            <v>0</v>
          </cell>
          <cell r="L119">
            <v>368</v>
          </cell>
          <cell r="M119">
            <v>0</v>
          </cell>
          <cell r="N119" t="str">
            <v>ORDER NOW</v>
          </cell>
          <cell r="O119" t="str">
            <v>CRITICAL</v>
          </cell>
          <cell r="P119">
            <v>46118.497812499998</v>
          </cell>
        </row>
        <row r="120">
          <cell r="C120" t="str">
            <v>RM-00377</v>
          </cell>
          <cell r="D120" t="str">
            <v>Smoked turkey صدر ديك رومي مدخن</v>
          </cell>
          <cell r="E120" t="str">
            <v>1 Ctn X 15 KG</v>
          </cell>
          <cell r="F120" t="str">
            <v>Ctn</v>
          </cell>
          <cell r="G120">
            <v>6.6666666666666666E-2</v>
          </cell>
          <cell r="H120">
            <v>1</v>
          </cell>
          <cell r="I120">
            <v>15</v>
          </cell>
          <cell r="J120">
            <v>14</v>
          </cell>
          <cell r="K120">
            <v>8.4</v>
          </cell>
          <cell r="L120">
            <v>0</v>
          </cell>
          <cell r="M120">
            <v>0</v>
          </cell>
          <cell r="N120" t="str">
            <v>ORDER NOW</v>
          </cell>
          <cell r="O120" t="str">
            <v>CRITICAL</v>
          </cell>
          <cell r="P120">
            <v>46113.430925925924</v>
          </cell>
        </row>
        <row r="121">
          <cell r="C121" t="str">
            <v>RM-00318</v>
          </cell>
          <cell r="D121" t="str">
            <v>INDOMIE - اندومي</v>
          </cell>
          <cell r="E121" t="str">
            <v>Box</v>
          </cell>
          <cell r="F121" t="str">
            <v>Box</v>
          </cell>
          <cell r="G121">
            <v>1</v>
          </cell>
          <cell r="H121">
            <v>25</v>
          </cell>
          <cell r="I121">
            <v>25</v>
          </cell>
          <cell r="J121">
            <v>14</v>
          </cell>
          <cell r="K121">
            <v>14.000000000000002</v>
          </cell>
          <cell r="L121">
            <v>0</v>
          </cell>
          <cell r="M121">
            <v>0</v>
          </cell>
          <cell r="N121" t="str">
            <v>ORDER NOW</v>
          </cell>
          <cell r="O121" t="str">
            <v>CRITICAL</v>
          </cell>
          <cell r="P121">
            <v>46113.430925925924</v>
          </cell>
        </row>
        <row r="122">
          <cell r="C122" t="str">
            <v>RM-00208</v>
          </cell>
          <cell r="D122" t="str">
            <v>Cardamom Whole JAMBO هيل اخضر</v>
          </cell>
          <cell r="E122" t="str">
            <v>KG</v>
          </cell>
          <cell r="F122" t="str">
            <v>Pcs</v>
          </cell>
          <cell r="G122">
            <v>1</v>
          </cell>
          <cell r="H122">
            <v>1</v>
          </cell>
          <cell r="I122">
            <v>1</v>
          </cell>
          <cell r="J122">
            <v>14</v>
          </cell>
          <cell r="K122">
            <v>0.56000000000000005</v>
          </cell>
          <cell r="L122">
            <v>0</v>
          </cell>
          <cell r="M122">
            <v>0</v>
          </cell>
          <cell r="N122" t="str">
            <v>ORDER NOW</v>
          </cell>
          <cell r="O122" t="str">
            <v>CRITICAL</v>
          </cell>
          <cell r="P122">
            <v>46118.497812499998</v>
          </cell>
        </row>
        <row r="123">
          <cell r="C123" t="str">
            <v>RM-00019</v>
          </cell>
          <cell r="D123" t="str">
            <v>Blue Cheese جبن ازرق</v>
          </cell>
          <cell r="E123" t="str">
            <v>KG</v>
          </cell>
          <cell r="F123" t="str">
            <v>Pcs</v>
          </cell>
          <cell r="G123">
            <v>1</v>
          </cell>
          <cell r="H123">
            <v>10</v>
          </cell>
          <cell r="I123">
            <v>10</v>
          </cell>
          <cell r="J123">
            <v>14</v>
          </cell>
          <cell r="K123">
            <v>5.6000000000000005</v>
          </cell>
          <cell r="L123">
            <v>0</v>
          </cell>
          <cell r="M123">
            <v>0</v>
          </cell>
          <cell r="N123" t="str">
            <v>ORDER NOW</v>
          </cell>
          <cell r="O123" t="str">
            <v>CRITICAL</v>
          </cell>
          <cell r="P123">
            <v>46138.481423611112</v>
          </cell>
        </row>
        <row r="124">
          <cell r="C124" t="str">
            <v>RM-00017</v>
          </cell>
          <cell r="D124" t="str">
            <v>جبن موزريلا مبشورة  Mozzarella cheese shredded</v>
          </cell>
          <cell r="E124" t="str">
            <v>KG</v>
          </cell>
          <cell r="F124" t="str">
            <v>Pcs</v>
          </cell>
          <cell r="G124">
            <v>1</v>
          </cell>
          <cell r="H124">
            <v>15</v>
          </cell>
          <cell r="I124">
            <v>15</v>
          </cell>
          <cell r="J124">
            <v>14</v>
          </cell>
          <cell r="K124">
            <v>8.4</v>
          </cell>
          <cell r="L124">
            <v>0</v>
          </cell>
          <cell r="M124">
            <v>0</v>
          </cell>
          <cell r="N124" t="str">
            <v>ORDER NOW</v>
          </cell>
          <cell r="O124" t="str">
            <v>CRITICAL</v>
          </cell>
          <cell r="P124">
            <v>46131.431944444441</v>
          </cell>
        </row>
        <row r="125">
          <cell r="C125" t="str">
            <v>RM-00374</v>
          </cell>
          <cell r="D125" t="str">
            <v>Lamb weston potato dippers بطاطس لامب وستون</v>
          </cell>
          <cell r="E125" t="str">
            <v>Box</v>
          </cell>
          <cell r="F125" t="str">
            <v>Box</v>
          </cell>
          <cell r="G125">
            <v>1</v>
          </cell>
          <cell r="H125">
            <v>20</v>
          </cell>
          <cell r="I125">
            <v>20</v>
          </cell>
          <cell r="J125">
            <v>14</v>
          </cell>
          <cell r="K125">
            <v>11.200000000000001</v>
          </cell>
          <cell r="L125">
            <v>0</v>
          </cell>
          <cell r="M125">
            <v>0</v>
          </cell>
          <cell r="N125" t="str">
            <v>ORDER NOW</v>
          </cell>
          <cell r="O125" t="str">
            <v>CRITICAL</v>
          </cell>
          <cell r="P125">
            <v>46113.430925925924</v>
          </cell>
        </row>
        <row r="126">
          <cell r="C126" t="str">
            <v>RM-00281</v>
          </cell>
          <cell r="D126" t="str">
            <v>Red color / Baba 100 لون طعام احمر</v>
          </cell>
          <cell r="E126" t="str">
            <v>Box</v>
          </cell>
          <cell r="F126" t="str">
            <v>Box</v>
          </cell>
          <cell r="G126">
            <v>1</v>
          </cell>
          <cell r="H126">
            <v>1</v>
          </cell>
          <cell r="I126">
            <v>1</v>
          </cell>
          <cell r="J126">
            <v>14</v>
          </cell>
          <cell r="K126">
            <v>0.56000000000000005</v>
          </cell>
          <cell r="L126">
            <v>0</v>
          </cell>
          <cell r="M126">
            <v>0</v>
          </cell>
          <cell r="N126" t="str">
            <v>ORDER NOW</v>
          </cell>
          <cell r="O126" t="str">
            <v>CRITICAL</v>
          </cell>
          <cell r="P126">
            <v>46141.525300925925</v>
          </cell>
        </row>
        <row r="127">
          <cell r="C127" t="str">
            <v>RM-00263</v>
          </cell>
          <cell r="D127" t="str">
            <v>Orange Flavor Powder بودرة طعام لون برتقالي</v>
          </cell>
          <cell r="E127" t="str">
            <v>Pcs</v>
          </cell>
          <cell r="F127" t="str">
            <v>Box</v>
          </cell>
          <cell r="G127">
            <v>1</v>
          </cell>
          <cell r="H127">
            <v>1</v>
          </cell>
          <cell r="I127">
            <v>1</v>
          </cell>
          <cell r="J127">
            <v>14</v>
          </cell>
          <cell r="K127">
            <v>0.56000000000000005</v>
          </cell>
          <cell r="L127">
            <v>0</v>
          </cell>
          <cell r="M127">
            <v>0</v>
          </cell>
          <cell r="N127" t="str">
            <v>ORDER NOW</v>
          </cell>
          <cell r="O127" t="str">
            <v>CRITICAL</v>
          </cell>
          <cell r="P127">
            <v>46113.430925925924</v>
          </cell>
        </row>
        <row r="128">
          <cell r="C128" t="str">
            <v>RM-00090</v>
          </cell>
          <cell r="D128" t="str">
            <v>Cooking Cream Almaraie كريمة طبخ</v>
          </cell>
          <cell r="E128" t="str">
            <v>Box</v>
          </cell>
          <cell r="F128" t="str">
            <v>Box</v>
          </cell>
          <cell r="G128">
            <v>1</v>
          </cell>
          <cell r="H128">
            <v>5</v>
          </cell>
          <cell r="I128">
            <v>5</v>
          </cell>
          <cell r="J128">
            <v>14</v>
          </cell>
          <cell r="K128">
            <v>2.8000000000000003</v>
          </cell>
          <cell r="L128">
            <v>0</v>
          </cell>
          <cell r="M128">
            <v>0</v>
          </cell>
          <cell r="N128" t="str">
            <v>ORDER NOW</v>
          </cell>
          <cell r="O128" t="str">
            <v>CRITICAL</v>
          </cell>
          <cell r="P128">
            <v>46113.430925925924</v>
          </cell>
        </row>
        <row r="129">
          <cell r="C129" t="str">
            <v>RM-00646</v>
          </cell>
          <cell r="D129" t="str">
            <v>long-life milk | حليب طويل الاجل</v>
          </cell>
          <cell r="E129" t="str">
            <v>Box</v>
          </cell>
          <cell r="F129" t="str">
            <v>Box</v>
          </cell>
          <cell r="G129">
            <v>1</v>
          </cell>
          <cell r="H129">
            <v>10</v>
          </cell>
          <cell r="I129">
            <v>10</v>
          </cell>
          <cell r="J129">
            <v>14</v>
          </cell>
          <cell r="K129">
            <v>5.6000000000000005</v>
          </cell>
          <cell r="L129">
            <v>0</v>
          </cell>
          <cell r="M129">
            <v>0</v>
          </cell>
          <cell r="N129" t="str">
            <v>ORDER NOW</v>
          </cell>
          <cell r="O129" t="str">
            <v>CRITICAL</v>
          </cell>
          <cell r="P129">
            <v>46118.497835648152</v>
          </cell>
        </row>
        <row r="130">
          <cell r="C130" t="str">
            <v>RM-00690</v>
          </cell>
          <cell r="D130" t="str">
            <v>Kashkaval cheese |جبن قشقوانcheese</v>
          </cell>
          <cell r="E130" t="str">
            <v>KG</v>
          </cell>
          <cell r="F130" t="str">
            <v>Pcs</v>
          </cell>
          <cell r="G130">
            <v>1</v>
          </cell>
          <cell r="H130">
            <v>25</v>
          </cell>
          <cell r="I130">
            <v>25</v>
          </cell>
          <cell r="J130">
            <v>14</v>
          </cell>
          <cell r="K130">
            <v>14.000000000000002</v>
          </cell>
          <cell r="L130">
            <v>0</v>
          </cell>
          <cell r="M130">
            <v>0</v>
          </cell>
          <cell r="N130" t="str">
            <v>ORDER NOW</v>
          </cell>
          <cell r="O130" t="str">
            <v>CRITICAL</v>
          </cell>
          <cell r="P130">
            <v>46113.430925925924</v>
          </cell>
        </row>
        <row r="131">
          <cell r="C131" t="str">
            <v>RM-00712</v>
          </cell>
          <cell r="D131" t="str">
            <v>فليفلة حمراء مطحونة - Red capsicum molases</v>
          </cell>
          <cell r="E131" t="str">
            <v>KG</v>
          </cell>
          <cell r="F131" t="str">
            <v>Pcs</v>
          </cell>
          <cell r="G131">
            <v>1</v>
          </cell>
          <cell r="H131">
            <v>1</v>
          </cell>
          <cell r="I131">
            <v>1</v>
          </cell>
          <cell r="J131">
            <v>14</v>
          </cell>
          <cell r="K131">
            <v>0.56000000000000005</v>
          </cell>
          <cell r="L131">
            <v>0</v>
          </cell>
          <cell r="M131">
            <v>0</v>
          </cell>
          <cell r="N131" t="str">
            <v>ORDER NOW</v>
          </cell>
          <cell r="O131" t="str">
            <v>CRITICAL</v>
          </cell>
          <cell r="P131">
            <v>46113.430925925924</v>
          </cell>
        </row>
        <row r="132">
          <cell r="C132" t="str">
            <v>RM-00302</v>
          </cell>
          <cell r="D132" t="str">
            <v>Tahina طحينة</v>
          </cell>
          <cell r="E132" t="str">
            <v>KG</v>
          </cell>
          <cell r="F132" t="str">
            <v>Pcs</v>
          </cell>
          <cell r="G132">
            <v>1</v>
          </cell>
          <cell r="H132">
            <v>4</v>
          </cell>
          <cell r="I132">
            <v>4</v>
          </cell>
          <cell r="J132">
            <v>14</v>
          </cell>
          <cell r="K132">
            <v>2.2400000000000002</v>
          </cell>
          <cell r="L132">
            <v>0</v>
          </cell>
          <cell r="M132">
            <v>0</v>
          </cell>
          <cell r="N132" t="str">
            <v>ORDER NOW</v>
          </cell>
          <cell r="O132" t="str">
            <v>CRITICAL</v>
          </cell>
          <cell r="P132">
            <v>46113.430925925924</v>
          </cell>
        </row>
        <row r="133">
          <cell r="C133" t="str">
            <v>RM-00711</v>
          </cell>
          <cell r="D133" t="str">
            <v>Truffle oil - زيت الترفل</v>
          </cell>
          <cell r="E133" t="str">
            <v>KG</v>
          </cell>
          <cell r="F133" t="str">
            <v>Pcs</v>
          </cell>
          <cell r="G133">
            <v>1</v>
          </cell>
          <cell r="H133">
            <v>1</v>
          </cell>
          <cell r="I133">
            <v>1</v>
          </cell>
          <cell r="J133">
            <v>14</v>
          </cell>
          <cell r="K133">
            <v>0.56000000000000005</v>
          </cell>
          <cell r="L133">
            <v>0</v>
          </cell>
          <cell r="M133">
            <v>0</v>
          </cell>
          <cell r="N133" t="str">
            <v>ORDER NOW</v>
          </cell>
          <cell r="O133" t="str">
            <v>CRITICAL</v>
          </cell>
          <cell r="P133">
            <v>46131.515243055554</v>
          </cell>
        </row>
        <row r="134">
          <cell r="C134" t="str">
            <v>RM-00288</v>
          </cell>
          <cell r="D134" t="str">
            <v>Saudi Tomato Paste معجون طماطم السعودي</v>
          </cell>
          <cell r="E134" t="str">
            <v>KG</v>
          </cell>
          <cell r="F134" t="str">
            <v>Pcs</v>
          </cell>
          <cell r="G134">
            <v>1</v>
          </cell>
          <cell r="H134">
            <v>8</v>
          </cell>
          <cell r="I134">
            <v>8</v>
          </cell>
          <cell r="J134">
            <v>14</v>
          </cell>
          <cell r="K134">
            <v>4.4800000000000004</v>
          </cell>
          <cell r="L134">
            <v>0</v>
          </cell>
          <cell r="M134">
            <v>0</v>
          </cell>
          <cell r="N134" t="str">
            <v>ORDER NOW</v>
          </cell>
          <cell r="O134" t="str">
            <v>CRITICAL</v>
          </cell>
          <cell r="P134">
            <v>46113.430937500001</v>
          </cell>
        </row>
        <row r="135">
          <cell r="C135" t="str">
            <v>RM-00184</v>
          </cell>
          <cell r="D135" t="str">
            <v>Black Seed الحبه السوداء</v>
          </cell>
          <cell r="E135" t="str">
            <v>KG</v>
          </cell>
          <cell r="F135" t="str">
            <v>Pcs</v>
          </cell>
          <cell r="G135">
            <v>1</v>
          </cell>
          <cell r="H135">
            <v>3</v>
          </cell>
          <cell r="I135">
            <v>3</v>
          </cell>
          <cell r="J135">
            <v>14</v>
          </cell>
          <cell r="K135">
            <v>1.6800000000000002</v>
          </cell>
          <cell r="L135">
            <v>0</v>
          </cell>
          <cell r="M135">
            <v>0</v>
          </cell>
          <cell r="N135" t="str">
            <v>ORDER NOW</v>
          </cell>
          <cell r="O135" t="str">
            <v>CRITICAL</v>
          </cell>
          <cell r="P135">
            <v>46113.430937500001</v>
          </cell>
        </row>
        <row r="136">
          <cell r="C136" t="str">
            <v>FA-00359</v>
          </cell>
          <cell r="D136" t="str">
            <v>فلتر شوائب فيتنامي 10 انش(شراء)</v>
          </cell>
          <cell r="E136" t="str">
            <v>Pcs</v>
          </cell>
          <cell r="F136" t="str">
            <v>Pcs</v>
          </cell>
          <cell r="G136">
            <v>1</v>
          </cell>
          <cell r="H136">
            <v>49.5</v>
          </cell>
          <cell r="I136">
            <v>49.5</v>
          </cell>
          <cell r="J136">
            <v>14</v>
          </cell>
          <cell r="K136">
            <v>27.720000000000002</v>
          </cell>
          <cell r="L136">
            <v>0</v>
          </cell>
          <cell r="M136">
            <v>0</v>
          </cell>
          <cell r="N136" t="str">
            <v>ORDER NOW</v>
          </cell>
          <cell r="O136" t="str">
            <v>CRITICAL</v>
          </cell>
          <cell r="P136">
            <v>46131.431956018518</v>
          </cell>
        </row>
        <row r="137">
          <cell r="C137" t="str">
            <v>FA-00031</v>
          </cell>
          <cell r="D137" t="str">
            <v>Barista space Pitcher 350 Sandy Rainbow بتشر تبخير الحاد - 350مل</v>
          </cell>
          <cell r="E137" t="str">
            <v>Pcs</v>
          </cell>
          <cell r="F137" t="str">
            <v>Pcs</v>
          </cell>
          <cell r="G137">
            <v>1</v>
          </cell>
          <cell r="H137">
            <v>5.5</v>
          </cell>
          <cell r="I137">
            <v>5.5</v>
          </cell>
          <cell r="J137">
            <v>14</v>
          </cell>
          <cell r="K137">
            <v>3.08</v>
          </cell>
          <cell r="L137">
            <v>0</v>
          </cell>
          <cell r="M137">
            <v>0</v>
          </cell>
          <cell r="N137" t="str">
            <v>ORDER NOW</v>
          </cell>
          <cell r="O137" t="str">
            <v>CRITICAL</v>
          </cell>
          <cell r="P137">
            <v>46113.430937500001</v>
          </cell>
        </row>
        <row r="138">
          <cell r="C138" t="str">
            <v>FA-00308</v>
          </cell>
          <cell r="D138" t="str">
            <v>Server Hario 02 سيرفر هايرو 02</v>
          </cell>
          <cell r="E138" t="str">
            <v>Pcs</v>
          </cell>
          <cell r="F138" t="str">
            <v>Pcs</v>
          </cell>
          <cell r="G138">
            <v>1</v>
          </cell>
          <cell r="H138">
            <v>22</v>
          </cell>
          <cell r="I138">
            <v>22</v>
          </cell>
          <cell r="J138">
            <v>14</v>
          </cell>
          <cell r="K138">
            <v>12.32</v>
          </cell>
          <cell r="L138">
            <v>0</v>
          </cell>
          <cell r="M138">
            <v>0</v>
          </cell>
          <cell r="N138" t="str">
            <v>ORDER NOW</v>
          </cell>
          <cell r="O138" t="str">
            <v>CRITICAL</v>
          </cell>
          <cell r="P138">
            <v>46113.430937500001</v>
          </cell>
        </row>
        <row r="139">
          <cell r="C139" t="str">
            <v>FA-00326</v>
          </cell>
          <cell r="D139" t="str">
            <v>battery بطارية</v>
          </cell>
          <cell r="E139" t="str">
            <v>Pcs</v>
          </cell>
          <cell r="F139" t="str">
            <v>Pcs</v>
          </cell>
          <cell r="G139">
            <v>1</v>
          </cell>
          <cell r="H139">
            <v>67.5</v>
          </cell>
          <cell r="I139">
            <v>67.5</v>
          </cell>
          <cell r="J139">
            <v>14</v>
          </cell>
          <cell r="K139">
            <v>37.800000000000004</v>
          </cell>
          <cell r="L139">
            <v>0</v>
          </cell>
          <cell r="M139">
            <v>0</v>
          </cell>
          <cell r="N139" t="str">
            <v>ORDER NOW</v>
          </cell>
          <cell r="O139" t="str">
            <v>CRITICAL</v>
          </cell>
          <cell r="P139">
            <v>46113.430937500001</v>
          </cell>
        </row>
        <row r="140">
          <cell r="C140" t="str">
            <v>FA-00092</v>
          </cell>
          <cell r="D140" t="str">
            <v>PEDAL DUSTBIN 50L RICHEN - حاوية مهملات ستيل بدعاسة 50 لتر</v>
          </cell>
          <cell r="E140" t="str">
            <v>Pcs</v>
          </cell>
          <cell r="F140" t="str">
            <v>Pcs</v>
          </cell>
          <cell r="G140">
            <v>1</v>
          </cell>
          <cell r="H140">
            <v>54.5</v>
          </cell>
          <cell r="I140">
            <v>54.5</v>
          </cell>
          <cell r="J140">
            <v>14</v>
          </cell>
          <cell r="K140">
            <v>30.520000000000003</v>
          </cell>
          <cell r="L140">
            <v>0</v>
          </cell>
          <cell r="M140">
            <v>0</v>
          </cell>
          <cell r="N140" t="str">
            <v>ORDER NOW</v>
          </cell>
          <cell r="O140" t="str">
            <v>CRITICAL</v>
          </cell>
          <cell r="P140">
            <v>46113.430937500001</v>
          </cell>
        </row>
        <row r="141">
          <cell r="C141" t="str">
            <v>FA-00125</v>
          </cell>
          <cell r="D141" t="str">
            <v>Stainless Steel Satin  Box for Gloves &amp; Mask بوكس تخزين ماسك وقفازات</v>
          </cell>
          <cell r="E141" t="str">
            <v>Pcs</v>
          </cell>
          <cell r="F141" t="str">
            <v>Pcs</v>
          </cell>
          <cell r="G141">
            <v>1</v>
          </cell>
          <cell r="H141">
            <v>5.5</v>
          </cell>
          <cell r="I141">
            <v>5.5</v>
          </cell>
          <cell r="J141">
            <v>14</v>
          </cell>
          <cell r="K141">
            <v>3.08</v>
          </cell>
          <cell r="L141">
            <v>0</v>
          </cell>
          <cell r="M141">
            <v>0</v>
          </cell>
          <cell r="N141" t="str">
            <v>ORDER NOW</v>
          </cell>
          <cell r="O141" t="str">
            <v>CRITICAL</v>
          </cell>
          <cell r="P141">
            <v>46113.430937500001</v>
          </cell>
        </row>
        <row r="142">
          <cell r="C142" t="str">
            <v>FA-00303</v>
          </cell>
          <cell r="D142" t="str">
            <v>BAN INSERT PAN STEEL 1/2 20CM - مقلاة</v>
          </cell>
          <cell r="E142" t="str">
            <v>Pcs</v>
          </cell>
          <cell r="F142" t="str">
            <v>Pcs</v>
          </cell>
          <cell r="G142">
            <v>1</v>
          </cell>
          <cell r="H142">
            <v>1</v>
          </cell>
          <cell r="I142">
            <v>1</v>
          </cell>
          <cell r="J142">
            <v>14</v>
          </cell>
          <cell r="K142">
            <v>0.56000000000000005</v>
          </cell>
          <cell r="L142">
            <v>0</v>
          </cell>
          <cell r="M142">
            <v>0</v>
          </cell>
          <cell r="N142" t="str">
            <v>ORDER NOW</v>
          </cell>
          <cell r="O142" t="str">
            <v>CRITICAL</v>
          </cell>
          <cell r="P142">
            <v>46113.430937500001</v>
          </cell>
        </row>
        <row r="143">
          <cell r="C143" t="str">
            <v>FA-00304</v>
          </cell>
          <cell r="D143" t="str">
            <v>BAN INSERT PAN POLYCARBONAT - مقلاة</v>
          </cell>
          <cell r="E143" t="str">
            <v>Pcs</v>
          </cell>
          <cell r="F143" t="str">
            <v>Pcs</v>
          </cell>
          <cell r="G143">
            <v>1</v>
          </cell>
          <cell r="H143">
            <v>2</v>
          </cell>
          <cell r="I143">
            <v>2</v>
          </cell>
          <cell r="J143">
            <v>14</v>
          </cell>
          <cell r="K143">
            <v>1.1200000000000001</v>
          </cell>
          <cell r="L143">
            <v>0</v>
          </cell>
          <cell r="M143">
            <v>0</v>
          </cell>
          <cell r="N143" t="str">
            <v>ORDER NOW</v>
          </cell>
          <cell r="O143" t="str">
            <v>CRITICAL</v>
          </cell>
          <cell r="P143">
            <v>46113.430937500001</v>
          </cell>
        </row>
        <row r="144">
          <cell r="C144" t="str">
            <v>FA-00305</v>
          </cell>
          <cell r="D144" t="str">
            <v>PLASTIC CONTAINER K600 - صندوق تخزين</v>
          </cell>
          <cell r="E144" t="str">
            <v>Pcs</v>
          </cell>
          <cell r="F144" t="str">
            <v>Pcs</v>
          </cell>
          <cell r="G144">
            <v>1</v>
          </cell>
          <cell r="H144">
            <v>25</v>
          </cell>
          <cell r="I144">
            <v>25</v>
          </cell>
          <cell r="J144">
            <v>14</v>
          </cell>
          <cell r="K144">
            <v>14.000000000000002</v>
          </cell>
          <cell r="L144">
            <v>0</v>
          </cell>
          <cell r="M144">
            <v>0</v>
          </cell>
          <cell r="N144" t="str">
            <v>ORDER NOW</v>
          </cell>
          <cell r="O144" t="str">
            <v>CRITICAL</v>
          </cell>
          <cell r="P144">
            <v>46113.430937500001</v>
          </cell>
        </row>
        <row r="145">
          <cell r="C145" t="str">
            <v>SF-00172</v>
          </cell>
          <cell r="D145" t="str">
            <v>Monin Watermelon Syrup 1L مونین شراب البطيخ 1لتر</v>
          </cell>
          <cell r="E145" t="str">
            <v>1 Box X 6 Bottle X 1 Ltr</v>
          </cell>
          <cell r="F145" t="str">
            <v>Box</v>
          </cell>
          <cell r="G145">
            <v>0.16666666666666666</v>
          </cell>
          <cell r="H145">
            <v>5.5</v>
          </cell>
          <cell r="I145">
            <v>33</v>
          </cell>
          <cell r="J145">
            <v>14</v>
          </cell>
          <cell r="K145">
            <v>18.48</v>
          </cell>
          <cell r="L145">
            <v>0</v>
          </cell>
          <cell r="M145">
            <v>0</v>
          </cell>
          <cell r="N145" t="str">
            <v>ORDER NOW</v>
          </cell>
          <cell r="O145" t="str">
            <v>CRITICAL</v>
          </cell>
          <cell r="P145">
            <v>46113.430937500001</v>
          </cell>
        </row>
        <row r="146">
          <cell r="C146" t="str">
            <v>SF-00148</v>
          </cell>
          <cell r="D146" t="str">
            <v>Pepsi Can علبة بيبسي</v>
          </cell>
          <cell r="E146" t="str">
            <v>Box</v>
          </cell>
          <cell r="F146" t="str">
            <v>Box</v>
          </cell>
          <cell r="G146">
            <v>1</v>
          </cell>
          <cell r="H146">
            <v>25</v>
          </cell>
          <cell r="I146">
            <v>25</v>
          </cell>
          <cell r="J146">
            <v>14</v>
          </cell>
          <cell r="K146">
            <v>14.000000000000002</v>
          </cell>
          <cell r="L146">
            <v>0</v>
          </cell>
          <cell r="M146">
            <v>0</v>
          </cell>
          <cell r="N146" t="str">
            <v>ORDER NOW</v>
          </cell>
          <cell r="O146" t="str">
            <v>CRITICAL</v>
          </cell>
          <cell r="P146">
            <v>46113.430937500001</v>
          </cell>
        </row>
        <row r="147">
          <cell r="C147" t="str">
            <v>SF-00149</v>
          </cell>
          <cell r="D147" t="str">
            <v>Pepsi Diet Can علبة بيبسي دايت</v>
          </cell>
          <cell r="E147" t="str">
            <v>Box</v>
          </cell>
          <cell r="F147" t="str">
            <v>Box</v>
          </cell>
          <cell r="G147">
            <v>1</v>
          </cell>
          <cell r="H147">
            <v>25</v>
          </cell>
          <cell r="I147">
            <v>25</v>
          </cell>
          <cell r="J147">
            <v>14</v>
          </cell>
          <cell r="K147">
            <v>14.000000000000002</v>
          </cell>
          <cell r="L147">
            <v>0</v>
          </cell>
          <cell r="M147">
            <v>0</v>
          </cell>
          <cell r="N147" t="str">
            <v>ORDER NOW</v>
          </cell>
          <cell r="O147" t="str">
            <v>CRITICAL</v>
          </cell>
          <cell r="P147">
            <v>46113.430937500001</v>
          </cell>
        </row>
        <row r="148">
          <cell r="C148" t="str">
            <v>FPB-00206</v>
          </cell>
          <cell r="D148" t="str">
            <v>Ethiopia Suke Natural 1 Kg</v>
          </cell>
          <cell r="E148" t="str">
            <v>KG</v>
          </cell>
          <cell r="F148" t="str">
            <v>Pcs</v>
          </cell>
          <cell r="G148">
            <v>1</v>
          </cell>
          <cell r="H148">
            <v>5940</v>
          </cell>
          <cell r="I148">
            <v>5940</v>
          </cell>
          <cell r="J148">
            <v>14</v>
          </cell>
          <cell r="K148">
            <v>3326.4</v>
          </cell>
          <cell r="L148">
            <v>0</v>
          </cell>
          <cell r="M148">
            <v>0</v>
          </cell>
          <cell r="N148" t="str">
            <v>ORDER NOW</v>
          </cell>
          <cell r="O148" t="str">
            <v>CRITICAL</v>
          </cell>
          <cell r="P148">
            <v>46113.430937500001</v>
          </cell>
        </row>
        <row r="149">
          <cell r="C149" t="str">
            <v>CO-00105</v>
          </cell>
          <cell r="D149" t="str">
            <v>CARPET CLEANER 1 Ltr - منظف كنب 1 لتر</v>
          </cell>
          <cell r="E149" t="str">
            <v>1 Pcs. X 1 Ltr</v>
          </cell>
          <cell r="F149" t="str">
            <v>Pcs</v>
          </cell>
          <cell r="G149">
            <v>1</v>
          </cell>
          <cell r="H149">
            <v>16.5</v>
          </cell>
          <cell r="I149">
            <v>16.5</v>
          </cell>
          <cell r="J149">
            <v>14</v>
          </cell>
          <cell r="K149">
            <v>9.24</v>
          </cell>
          <cell r="L149">
            <v>0</v>
          </cell>
          <cell r="M149">
            <v>0</v>
          </cell>
          <cell r="N149" t="str">
            <v>ORDER NOW</v>
          </cell>
          <cell r="O149" t="str">
            <v>CRITICAL</v>
          </cell>
          <cell r="P149">
            <v>46113.430902777778</v>
          </cell>
        </row>
        <row r="150">
          <cell r="C150" t="str">
            <v>RM-00133</v>
          </cell>
          <cell r="D150" t="str">
            <v>Maznah coffee قهوة مزنة</v>
          </cell>
          <cell r="E150" t="str">
            <v>1 Box X 12 Pcs X 800 Grm</v>
          </cell>
          <cell r="F150" t="str">
            <v>Box</v>
          </cell>
          <cell r="G150">
            <v>0.10416666666666666</v>
          </cell>
          <cell r="H150">
            <v>70</v>
          </cell>
          <cell r="I150">
            <v>672.00000000000011</v>
          </cell>
          <cell r="J150">
            <v>14</v>
          </cell>
          <cell r="K150">
            <v>376.32000000000011</v>
          </cell>
          <cell r="L150">
            <v>0</v>
          </cell>
          <cell r="M150">
            <v>0</v>
          </cell>
          <cell r="N150" t="str">
            <v>ORDER NOW</v>
          </cell>
          <cell r="O150" t="str">
            <v>CRITICAL</v>
          </cell>
          <cell r="P150">
            <v>46113.430925925924</v>
          </cell>
        </row>
        <row r="151">
          <cell r="C151" t="str">
            <v>CO-00206</v>
          </cell>
          <cell r="D151" t="str">
            <v>Blue Plastic Box Size 9 صندوق بلاستيك ازرق مقاس 9</v>
          </cell>
          <cell r="E151" t="str">
            <v>Pcs.</v>
          </cell>
          <cell r="F151" t="str">
            <v>Pcs</v>
          </cell>
          <cell r="G151">
            <v>1</v>
          </cell>
          <cell r="H151">
            <v>282.5</v>
          </cell>
          <cell r="I151">
            <v>282.5</v>
          </cell>
          <cell r="J151">
            <v>14</v>
          </cell>
          <cell r="K151">
            <v>158.20000000000002</v>
          </cell>
          <cell r="L151">
            <v>0</v>
          </cell>
          <cell r="M151">
            <v>0</v>
          </cell>
          <cell r="N151" t="str">
            <v>ORDER NOW</v>
          </cell>
          <cell r="O151" t="str">
            <v>CRITICAL</v>
          </cell>
          <cell r="P151">
            <v>46113.430949074071</v>
          </cell>
        </row>
        <row r="152">
          <cell r="C152" t="str">
            <v>CO-00496</v>
          </cell>
          <cell r="D152" t="str">
            <v>حواجز</v>
          </cell>
          <cell r="E152" t="str">
            <v>Pcs.</v>
          </cell>
          <cell r="F152" t="str">
            <v>Pcs</v>
          </cell>
          <cell r="G152">
            <v>1</v>
          </cell>
          <cell r="H152">
            <v>158.5</v>
          </cell>
          <cell r="I152">
            <v>158.5</v>
          </cell>
          <cell r="J152">
            <v>14</v>
          </cell>
          <cell r="K152">
            <v>88.76</v>
          </cell>
          <cell r="L152">
            <v>0</v>
          </cell>
          <cell r="M152">
            <v>0</v>
          </cell>
          <cell r="N152" t="str">
            <v>ORDER NOW</v>
          </cell>
          <cell r="O152" t="str">
            <v>CRITICAL</v>
          </cell>
          <cell r="P152">
            <v>46113.430949074071</v>
          </cell>
        </row>
        <row r="153">
          <cell r="C153" t="str">
            <v>CO-00498</v>
          </cell>
          <cell r="D153" t="str">
            <v>"Syscall GP -101R 10c (set) Digital Coaster pager +charger base with power supply"	جهاز بيجر سانكول لنمق</v>
          </cell>
          <cell r="E153" t="str">
            <v>1 Box X 10 Pcs</v>
          </cell>
          <cell r="F153" t="str">
            <v>Box</v>
          </cell>
          <cell r="G153">
            <v>0.1</v>
          </cell>
          <cell r="H153">
            <v>33</v>
          </cell>
          <cell r="I153">
            <v>330</v>
          </cell>
          <cell r="J153">
            <v>14</v>
          </cell>
          <cell r="K153">
            <v>184.8</v>
          </cell>
          <cell r="L153">
            <v>0</v>
          </cell>
          <cell r="M153">
            <v>0</v>
          </cell>
          <cell r="N153" t="str">
            <v>ORDER NOW</v>
          </cell>
          <cell r="O153" t="str">
            <v>CRITICAL</v>
          </cell>
          <cell r="P153">
            <v>46113.430949074071</v>
          </cell>
        </row>
        <row r="154">
          <cell r="C154" t="str">
            <v>CO-00324</v>
          </cell>
          <cell r="D154" t="str">
            <v>IMS SHOWER SCREEN LM 200 NT شاور سكرين لمكاين الاسبريسو 200</v>
          </cell>
          <cell r="E154" t="str">
            <v>1 Pcs</v>
          </cell>
          <cell r="F154" t="str">
            <v>Pcs</v>
          </cell>
          <cell r="G154">
            <v>1</v>
          </cell>
          <cell r="H154">
            <v>104.5</v>
          </cell>
          <cell r="I154">
            <v>104.5</v>
          </cell>
          <cell r="J154">
            <v>14</v>
          </cell>
          <cell r="K154">
            <v>58.52</v>
          </cell>
          <cell r="L154">
            <v>0</v>
          </cell>
          <cell r="M154">
            <v>0</v>
          </cell>
          <cell r="N154" t="str">
            <v>ORDER NOW</v>
          </cell>
          <cell r="O154" t="str">
            <v>CRITICAL</v>
          </cell>
          <cell r="P154">
            <v>46113.430949074071</v>
          </cell>
        </row>
        <row r="155">
          <cell r="C155" t="str">
            <v>CO-00491</v>
          </cell>
          <cell r="D155" t="str">
            <v>Toddy cold brew Container   وعاء تودي  لتحضير القهوة الباردة</v>
          </cell>
          <cell r="E155" t="str">
            <v>1 Pcs</v>
          </cell>
          <cell r="F155" t="str">
            <v>Pcs</v>
          </cell>
          <cell r="G155">
            <v>1</v>
          </cell>
          <cell r="H155">
            <v>55</v>
          </cell>
          <cell r="I155">
            <v>55</v>
          </cell>
          <cell r="J155">
            <v>14</v>
          </cell>
          <cell r="K155">
            <v>30.800000000000004</v>
          </cell>
          <cell r="L155">
            <v>0</v>
          </cell>
          <cell r="M155">
            <v>0</v>
          </cell>
          <cell r="N155" t="str">
            <v>ORDER NOW</v>
          </cell>
          <cell r="O155" t="str">
            <v>CRITICAL</v>
          </cell>
          <cell r="P155">
            <v>46113.430949074071</v>
          </cell>
        </row>
        <row r="156">
          <cell r="C156" t="str">
            <v>CO-00207</v>
          </cell>
          <cell r="D156" t="str">
            <v>Blue Plastic Box Size 7	صندوق بلاستيك ازرق مقاس 7</v>
          </cell>
          <cell r="E156" t="str">
            <v>Pcs.</v>
          </cell>
          <cell r="F156" t="str">
            <v>Pcs</v>
          </cell>
          <cell r="G156">
            <v>1</v>
          </cell>
          <cell r="H156">
            <v>110</v>
          </cell>
          <cell r="I156">
            <v>110</v>
          </cell>
          <cell r="J156">
            <v>14</v>
          </cell>
          <cell r="K156">
            <v>61.600000000000009</v>
          </cell>
          <cell r="L156">
            <v>0</v>
          </cell>
          <cell r="M156">
            <v>0</v>
          </cell>
          <cell r="N156" t="str">
            <v>ORDER NOW</v>
          </cell>
          <cell r="O156" t="str">
            <v>CRITICAL</v>
          </cell>
          <cell r="P156">
            <v>46113.430949074071</v>
          </cell>
        </row>
        <row r="157">
          <cell r="C157" t="str">
            <v>RM-00305</v>
          </cell>
          <cell r="D157" t="str">
            <v>Thyme زعتر</v>
          </cell>
          <cell r="E157" t="str">
            <v>1 Bag X 5 Kg</v>
          </cell>
          <cell r="F157" t="str">
            <v>bag</v>
          </cell>
          <cell r="G157">
            <v>0.2</v>
          </cell>
          <cell r="H157">
            <v>5</v>
          </cell>
          <cell r="I157">
            <v>25</v>
          </cell>
          <cell r="J157">
            <v>14</v>
          </cell>
          <cell r="K157">
            <v>14.000000000000002</v>
          </cell>
          <cell r="L157">
            <v>30</v>
          </cell>
          <cell r="M157">
            <v>0</v>
          </cell>
          <cell r="N157" t="str">
            <v>ORDER NOW</v>
          </cell>
          <cell r="O157" t="str">
            <v>CRITICAL</v>
          </cell>
          <cell r="P157">
            <v>46128.694664351853</v>
          </cell>
        </row>
        <row r="158">
          <cell r="C158" t="str">
            <v>RM-00188</v>
          </cell>
          <cell r="D158" t="str">
            <v>Date paste معجون تمر</v>
          </cell>
          <cell r="E158" t="str">
            <v>1 box x 8 pcs x 1 kg</v>
          </cell>
          <cell r="F158" t="str">
            <v>Box</v>
          </cell>
          <cell r="G158">
            <v>0.125</v>
          </cell>
          <cell r="H158">
            <v>3</v>
          </cell>
          <cell r="I158">
            <v>24</v>
          </cell>
          <cell r="J158">
            <v>14</v>
          </cell>
          <cell r="K158">
            <v>13.440000000000001</v>
          </cell>
          <cell r="L158">
            <v>0</v>
          </cell>
          <cell r="M158">
            <v>0</v>
          </cell>
          <cell r="N158" t="str">
            <v>ORDER NOW</v>
          </cell>
          <cell r="O158" t="str">
            <v>CRITICAL</v>
          </cell>
          <cell r="P158">
            <v>46141.525312500002</v>
          </cell>
        </row>
        <row r="159">
          <cell r="C159" t="str">
            <v>RM-00442</v>
          </cell>
          <cell r="D159" t="str">
            <v>CHEFMATE CLEAR LIQUID SHORTINING OIL زيت شيف ميت</v>
          </cell>
          <cell r="E159" t="str">
            <v>Can</v>
          </cell>
          <cell r="F159" t="str">
            <v>Box</v>
          </cell>
          <cell r="G159">
            <v>5.7803468208092484E-2</v>
          </cell>
          <cell r="H159">
            <v>25</v>
          </cell>
          <cell r="I159">
            <v>432.5</v>
          </cell>
          <cell r="J159">
            <v>14</v>
          </cell>
          <cell r="K159">
            <v>242.20000000000002</v>
          </cell>
          <cell r="L159">
            <v>0</v>
          </cell>
          <cell r="M159">
            <v>0</v>
          </cell>
          <cell r="N159" t="str">
            <v>ORDER NOW</v>
          </cell>
          <cell r="O159" t="str">
            <v>CRITICAL</v>
          </cell>
          <cell r="P159">
            <v>46118.497881944444</v>
          </cell>
        </row>
        <row r="160">
          <cell r="C160" t="str">
            <v>RM-00231</v>
          </cell>
          <cell r="D160" t="str">
            <v>Cumin Powder كمون مطحون</v>
          </cell>
          <cell r="E160" t="str">
            <v>Box</v>
          </cell>
          <cell r="F160" t="str">
            <v>Box</v>
          </cell>
          <cell r="G160">
            <v>1</v>
          </cell>
          <cell r="H160">
            <v>5</v>
          </cell>
          <cell r="I160">
            <v>5</v>
          </cell>
          <cell r="J160">
            <v>14</v>
          </cell>
          <cell r="K160">
            <v>2.8000000000000003</v>
          </cell>
          <cell r="L160">
            <v>0</v>
          </cell>
          <cell r="M160">
            <v>0</v>
          </cell>
          <cell r="N160" t="str">
            <v>ORDER NOW</v>
          </cell>
          <cell r="O160" t="str">
            <v>CRITICAL</v>
          </cell>
          <cell r="P160">
            <v>46141.525381944448</v>
          </cell>
        </row>
        <row r="161">
          <cell r="C161" t="str">
            <v>PM-00301</v>
          </cell>
          <cell r="D161" t="str">
            <v>Plain Table Napkin منديل سفرة</v>
          </cell>
          <cell r="E161" t="str">
            <v>Box</v>
          </cell>
          <cell r="F161" t="str">
            <v>Box</v>
          </cell>
          <cell r="G161">
            <v>4.1666666666666669E-4</v>
          </cell>
          <cell r="H161">
            <v>10</v>
          </cell>
          <cell r="I161">
            <v>24000</v>
          </cell>
          <cell r="J161">
            <v>14</v>
          </cell>
          <cell r="K161">
            <v>13440.000000000002</v>
          </cell>
          <cell r="L161">
            <v>0</v>
          </cell>
          <cell r="M161">
            <v>0</v>
          </cell>
          <cell r="N161" t="str">
            <v>ORDER NOW</v>
          </cell>
          <cell r="O161" t="str">
            <v>CRITICAL</v>
          </cell>
          <cell r="P161">
            <v>46119.49287037037</v>
          </cell>
        </row>
        <row r="162">
          <cell r="C162" t="str">
            <v>RM-00605</v>
          </cell>
          <cell r="D162" t="str">
            <v>Shaalan amber cedar - ارز الشعلان عنبر</v>
          </cell>
          <cell r="E162" t="str">
            <v>KG</v>
          </cell>
          <cell r="F162" t="str">
            <v>Box</v>
          </cell>
          <cell r="G162">
            <v>0.1</v>
          </cell>
          <cell r="H162">
            <v>100</v>
          </cell>
          <cell r="I162">
            <v>1000</v>
          </cell>
          <cell r="J162">
            <v>14</v>
          </cell>
          <cell r="K162">
            <v>560</v>
          </cell>
          <cell r="L162">
            <v>0</v>
          </cell>
          <cell r="M162">
            <v>0</v>
          </cell>
          <cell r="N162" t="str">
            <v>ORDER NOW</v>
          </cell>
          <cell r="O162" t="str">
            <v>CRITICAL</v>
          </cell>
          <cell r="P162">
            <v>46134.446238425924</v>
          </cell>
        </row>
        <row r="163">
          <cell r="C163" t="str">
            <v>PM-00003</v>
          </cell>
          <cell r="D163" t="str">
            <v>Cream bags أكياس كريمة</v>
          </cell>
          <cell r="E163" t="str">
            <v>1 Box X 10 Pack X 100 pcs</v>
          </cell>
          <cell r="F163" t="str">
            <v>Box</v>
          </cell>
          <cell r="G163">
            <v>1E-3</v>
          </cell>
          <cell r="H163">
            <v>92</v>
          </cell>
          <cell r="I163">
            <v>92000</v>
          </cell>
          <cell r="J163">
            <v>14</v>
          </cell>
          <cell r="K163">
            <v>51520.000000000007</v>
          </cell>
          <cell r="L163">
            <v>0</v>
          </cell>
          <cell r="M163">
            <v>0</v>
          </cell>
          <cell r="N163" t="str">
            <v>ORDER NOW</v>
          </cell>
          <cell r="O163" t="str">
            <v>CRITICAL</v>
          </cell>
          <cell r="P163">
            <v>46113.430949074071</v>
          </cell>
        </row>
        <row r="164">
          <cell r="C164" t="str">
            <v>CO-00063</v>
          </cell>
          <cell r="D164" t="str">
            <v>plastic bib مريلة بلاستيك</v>
          </cell>
          <cell r="E164" t="str">
            <v>1 Box X 1000 Pcs</v>
          </cell>
          <cell r="F164" t="str">
            <v>Box</v>
          </cell>
          <cell r="G164">
            <v>1E-3</v>
          </cell>
          <cell r="H164">
            <v>46</v>
          </cell>
          <cell r="I164">
            <v>46000</v>
          </cell>
          <cell r="J164">
            <v>14</v>
          </cell>
          <cell r="K164">
            <v>25760.000000000004</v>
          </cell>
          <cell r="L164">
            <v>0</v>
          </cell>
          <cell r="M164">
            <v>0</v>
          </cell>
          <cell r="N164" t="str">
            <v>ORDER NOW</v>
          </cell>
          <cell r="O164" t="str">
            <v>CRITICAL</v>
          </cell>
          <cell r="P164">
            <v>46113.430960648147</v>
          </cell>
        </row>
        <row r="165">
          <cell r="C165" t="str">
            <v>PM-00433</v>
          </cell>
          <cell r="D165" t="str">
            <v>استيكر كولد برو  للعبوة الزجاجية (بريهانت)Cold Brew sticker for glass container (BREEHANT)</v>
          </cell>
          <cell r="E165" t="str">
            <v>1 Box X 500 Pcs</v>
          </cell>
          <cell r="F165" t="str">
            <v>Box</v>
          </cell>
          <cell r="G165">
            <v>2E-3</v>
          </cell>
          <cell r="H165">
            <v>10</v>
          </cell>
          <cell r="I165">
            <v>5000</v>
          </cell>
          <cell r="J165">
            <v>14</v>
          </cell>
          <cell r="K165">
            <v>2800.0000000000005</v>
          </cell>
          <cell r="L165">
            <v>0</v>
          </cell>
          <cell r="M165">
            <v>0</v>
          </cell>
          <cell r="N165" t="str">
            <v>ORDER NOW</v>
          </cell>
          <cell r="O165" t="str">
            <v>CRITICAL</v>
          </cell>
          <cell r="P165">
            <v>46141.525335648148</v>
          </cell>
        </row>
        <row r="166">
          <cell r="C166" t="str">
            <v>RM-00369</v>
          </cell>
          <cell r="D166" t="str">
            <v>Frozen Beans بازلاء وجزر مجمد</v>
          </cell>
          <cell r="E166" t="str">
            <v>Box</v>
          </cell>
          <cell r="F166" t="str">
            <v>Box</v>
          </cell>
          <cell r="G166">
            <v>1</v>
          </cell>
          <cell r="H166">
            <v>10</v>
          </cell>
          <cell r="I166">
            <v>10</v>
          </cell>
          <cell r="J166">
            <v>14</v>
          </cell>
          <cell r="K166">
            <v>5.6000000000000005</v>
          </cell>
          <cell r="L166">
            <v>0</v>
          </cell>
          <cell r="M166">
            <v>0</v>
          </cell>
          <cell r="N166" t="str">
            <v>ORDER NOW</v>
          </cell>
          <cell r="O166" t="str">
            <v>CRITICAL</v>
          </cell>
          <cell r="P166">
            <v>46141.525347222225</v>
          </cell>
        </row>
        <row r="167">
          <cell r="C167" t="str">
            <v>PM-00690</v>
          </cell>
          <cell r="D167" t="str">
            <v>سليف مادلين بيكان جوز الهند||Madeleine Pecan Coconut Sleeve</v>
          </cell>
          <cell r="E167" t="str">
            <v>Pcs</v>
          </cell>
          <cell r="F167" t="str">
            <v>Pcs</v>
          </cell>
          <cell r="G167">
            <v>1</v>
          </cell>
          <cell r="H167">
            <v>0</v>
          </cell>
          <cell r="I167">
            <v>200</v>
          </cell>
          <cell r="J167">
            <v>14</v>
          </cell>
          <cell r="K167">
            <v>112.00000000000001</v>
          </cell>
          <cell r="L167">
            <v>0</v>
          </cell>
          <cell r="M167">
            <v>0</v>
          </cell>
          <cell r="N167" t="str">
            <v>ORDER NOW</v>
          </cell>
          <cell r="O167" t="str">
            <v>CRITICAL</v>
          </cell>
          <cell r="P167">
            <v>46113.430902777778</v>
          </cell>
        </row>
        <row r="168">
          <cell r="C168" t="str">
            <v>RM-00449</v>
          </cell>
          <cell r="D168" t="str">
            <v>Sunflower Oil Sabrina | زيت دوار الشمس</v>
          </cell>
          <cell r="E168" t="str">
            <v>1 Pcs X 18 Ltr</v>
          </cell>
          <cell r="F168" t="str">
            <v>Pcs</v>
          </cell>
          <cell r="G168">
            <v>5.5555555555555552E-2</v>
          </cell>
          <cell r="H168">
            <v>190</v>
          </cell>
          <cell r="I168">
            <v>3420</v>
          </cell>
          <cell r="J168">
            <v>14</v>
          </cell>
          <cell r="K168">
            <v>1915.2000000000003</v>
          </cell>
          <cell r="L168">
            <v>0</v>
          </cell>
          <cell r="M168">
            <v>0</v>
          </cell>
          <cell r="N168" t="str">
            <v>ORDER NOW</v>
          </cell>
          <cell r="O168" t="str">
            <v>CRITICAL</v>
          </cell>
          <cell r="P168">
            <v>46141.525405092594</v>
          </cell>
        </row>
        <row r="169">
          <cell r="C169" t="str">
            <v>RM-00424</v>
          </cell>
          <cell r="D169" t="str">
            <v>Indian Cashew كاجو هندي</v>
          </cell>
          <cell r="E169" t="str">
            <v>1 Tin X 20 Kg</v>
          </cell>
          <cell r="F169" t="str">
            <v>Pcs</v>
          </cell>
          <cell r="G169">
            <v>0.05</v>
          </cell>
          <cell r="H169">
            <v>11</v>
          </cell>
          <cell r="I169">
            <v>220</v>
          </cell>
          <cell r="J169">
            <v>14</v>
          </cell>
          <cell r="K169">
            <v>123.20000000000002</v>
          </cell>
          <cell r="L169">
            <v>0</v>
          </cell>
          <cell r="M169">
            <v>0</v>
          </cell>
          <cell r="N169" t="str">
            <v>ORDER NOW</v>
          </cell>
          <cell r="O169" t="str">
            <v>CRITICAL</v>
          </cell>
          <cell r="P169">
            <v>46128.694976851853</v>
          </cell>
        </row>
        <row r="170">
          <cell r="C170" t="str">
            <v>RM-00242</v>
          </cell>
          <cell r="D170" t="str">
            <v>BELCHOCO | Caramel Liquid - بلشوكو كراميل توفي</v>
          </cell>
          <cell r="E170" t="str">
            <v>1 box x 2 pcs x 3.5 kg</v>
          </cell>
          <cell r="F170" t="str">
            <v>Box</v>
          </cell>
          <cell r="G170">
            <v>0.14285714285714285</v>
          </cell>
          <cell r="H170">
            <v>100</v>
          </cell>
          <cell r="I170">
            <v>700</v>
          </cell>
          <cell r="J170">
            <v>14</v>
          </cell>
          <cell r="K170">
            <v>392.00000000000006</v>
          </cell>
          <cell r="L170">
            <v>0</v>
          </cell>
          <cell r="M170">
            <v>0</v>
          </cell>
          <cell r="N170" t="str">
            <v>ORDER NOW</v>
          </cell>
          <cell r="O170" t="str">
            <v>CRITICAL</v>
          </cell>
          <cell r="P170">
            <v>46141.525416666664</v>
          </cell>
        </row>
        <row r="171">
          <cell r="C171" t="str">
            <v>RM-00222</v>
          </cell>
          <cell r="D171" t="str">
            <v>Bread Crumb بقسماط</v>
          </cell>
          <cell r="E171" t="str">
            <v>Box</v>
          </cell>
          <cell r="F171" t="str">
            <v>Box</v>
          </cell>
          <cell r="G171">
            <v>0.18518518518518517</v>
          </cell>
          <cell r="H171">
            <v>1</v>
          </cell>
          <cell r="I171">
            <v>5.4</v>
          </cell>
          <cell r="J171">
            <v>14</v>
          </cell>
          <cell r="K171">
            <v>3.0240000000000005</v>
          </cell>
          <cell r="L171">
            <v>0</v>
          </cell>
          <cell r="M171">
            <v>0</v>
          </cell>
          <cell r="N171" t="str">
            <v>ORDER NOW</v>
          </cell>
          <cell r="O171" t="str">
            <v>CRITICAL</v>
          </cell>
          <cell r="P171">
            <v>46134.446261574078</v>
          </cell>
        </row>
        <row r="172">
          <cell r="C172" t="str">
            <v>RM-00300</v>
          </cell>
          <cell r="D172" t="str">
            <v>Sweet Soy Sauce Indofood صوص صويا اندفود</v>
          </cell>
          <cell r="E172" t="str">
            <v>Box</v>
          </cell>
          <cell r="F172" t="str">
            <v>Box</v>
          </cell>
          <cell r="G172">
            <v>0.13333333333333333</v>
          </cell>
          <cell r="H172">
            <v>1</v>
          </cell>
          <cell r="I172">
            <v>7.5</v>
          </cell>
          <cell r="J172">
            <v>14</v>
          </cell>
          <cell r="K172">
            <v>4.2</v>
          </cell>
          <cell r="L172">
            <v>0</v>
          </cell>
          <cell r="M172">
            <v>0</v>
          </cell>
          <cell r="N172" t="str">
            <v>ORDER NOW</v>
          </cell>
          <cell r="O172" t="str">
            <v>CRITICAL</v>
          </cell>
          <cell r="P172">
            <v>46141.525439814817</v>
          </cell>
        </row>
        <row r="173">
          <cell r="C173" t="str">
            <v>RM-00050</v>
          </cell>
          <cell r="D173" t="str">
            <v>Happy cao Cocoa powder بودرة كاكاو هابي كاو</v>
          </cell>
          <cell r="E173" t="str">
            <v>1 Bag X 10 Kg</v>
          </cell>
          <cell r="F173" t="str">
            <v>bag</v>
          </cell>
          <cell r="G173">
            <v>0.1</v>
          </cell>
          <cell r="H173">
            <v>30.25</v>
          </cell>
          <cell r="I173">
            <v>302.5</v>
          </cell>
          <cell r="J173">
            <v>14</v>
          </cell>
          <cell r="K173">
            <v>169.4</v>
          </cell>
          <cell r="L173">
            <v>0</v>
          </cell>
          <cell r="M173">
            <v>0</v>
          </cell>
          <cell r="N173" t="str">
            <v>ORDER NOW</v>
          </cell>
          <cell r="O173" t="str">
            <v>CRITICAL</v>
          </cell>
          <cell r="P173">
            <v>46131.432013888887</v>
          </cell>
        </row>
        <row r="174">
          <cell r="C174" t="str">
            <v>PM-00197</v>
          </cell>
          <cell r="D174" t="str">
            <v>Plastic cup Full Printed 14oz كوب بلاستيك مطبوعه 14 اونصه</v>
          </cell>
          <cell r="E174" t="str">
            <v>1 Box X 500 Pcs.</v>
          </cell>
          <cell r="F174" t="str">
            <v>Box</v>
          </cell>
          <cell r="G174">
            <v>2E-3</v>
          </cell>
          <cell r="H174">
            <v>192.5</v>
          </cell>
          <cell r="I174">
            <v>96250</v>
          </cell>
          <cell r="J174">
            <v>60</v>
          </cell>
          <cell r="K174">
            <v>231000</v>
          </cell>
          <cell r="L174">
            <v>0</v>
          </cell>
          <cell r="M174">
            <v>0</v>
          </cell>
          <cell r="N174" t="str">
            <v>ORDER NOW</v>
          </cell>
          <cell r="O174" t="str">
            <v>CRITICAL</v>
          </cell>
          <cell r="P174">
            <v>46128.695381944446</v>
          </cell>
        </row>
        <row r="175">
          <cell r="C175" t="str">
            <v>PM-00049</v>
          </cell>
          <cell r="D175" t="str">
            <v>Breehant Small Foggy Plastic Bag 44cm*40cmكيس بلاستيك ضبابي بريهانت  الصغير  مقاس 44سم *40سم مع لاصق اغلاق</v>
          </cell>
          <cell r="E175" t="str">
            <v>1 Box X 320 Pcs</v>
          </cell>
          <cell r="F175" t="str">
            <v>Box</v>
          </cell>
          <cell r="G175">
            <v>3.1250000000000002E-3</v>
          </cell>
          <cell r="H175">
            <v>40</v>
          </cell>
          <cell r="I175">
            <v>12800</v>
          </cell>
          <cell r="J175">
            <v>14</v>
          </cell>
          <cell r="K175">
            <v>7168.0000000000009</v>
          </cell>
          <cell r="L175">
            <v>0</v>
          </cell>
          <cell r="M175">
            <v>0</v>
          </cell>
          <cell r="N175" t="str">
            <v>ORDER NOW</v>
          </cell>
          <cell r="O175" t="str">
            <v>CRITICAL</v>
          </cell>
          <cell r="P175">
            <v>46141.525451388887</v>
          </cell>
        </row>
        <row r="176">
          <cell r="C176" t="str">
            <v>PM-00377</v>
          </cell>
          <cell r="D176" t="str">
            <v>Crunchy Chocolate sticker (BREEHANT) ملصق كرانشي شوكلت ( بريهانت )</v>
          </cell>
          <cell r="E176" t="str">
            <v>1 Box X 500 Pcs</v>
          </cell>
          <cell r="F176" t="str">
            <v>box</v>
          </cell>
          <cell r="G176">
            <v>2E-3</v>
          </cell>
          <cell r="H176">
            <v>30</v>
          </cell>
          <cell r="I176">
            <v>15000</v>
          </cell>
          <cell r="J176">
            <v>14</v>
          </cell>
          <cell r="K176">
            <v>8400</v>
          </cell>
          <cell r="L176">
            <v>0</v>
          </cell>
          <cell r="M176">
            <v>0</v>
          </cell>
          <cell r="N176" t="str">
            <v>ORDER NOW</v>
          </cell>
          <cell r="O176" t="str">
            <v>CRITICAL</v>
          </cell>
          <cell r="P176">
            <v>46128.687951388885</v>
          </cell>
        </row>
        <row r="177">
          <cell r="C177" t="str">
            <v>CO-00094</v>
          </cell>
          <cell r="D177" t="str">
            <v>Cafetto Grinder Clean اقراص تنظيف طاحونة كافييتو</v>
          </cell>
          <cell r="E177" t="str">
            <v xml:space="preserve"> Pcs</v>
          </cell>
          <cell r="F177" t="str">
            <v>Pcs</v>
          </cell>
          <cell r="G177">
            <v>1</v>
          </cell>
          <cell r="H177">
            <v>367.5</v>
          </cell>
          <cell r="I177">
            <v>367.5</v>
          </cell>
          <cell r="J177">
            <v>14</v>
          </cell>
          <cell r="K177">
            <v>205.8</v>
          </cell>
          <cell r="L177">
            <v>0</v>
          </cell>
          <cell r="M177">
            <v>0</v>
          </cell>
          <cell r="N177" t="str">
            <v>ORDER NOW</v>
          </cell>
          <cell r="O177" t="str">
            <v>CRITICAL</v>
          </cell>
          <cell r="P177">
            <v>46128.687604166669</v>
          </cell>
        </row>
        <row r="178">
          <cell r="C178" t="str">
            <v>RM-00603</v>
          </cell>
          <cell r="D178" t="str">
            <v>PASSION FRUIT TEA | أعشاب شاي الباشن فروت</v>
          </cell>
          <cell r="E178" t="str">
            <v>1 KG</v>
          </cell>
          <cell r="F178" t="str">
            <v>Pcs</v>
          </cell>
          <cell r="G178">
            <v>1</v>
          </cell>
          <cell r="H178">
            <v>160</v>
          </cell>
          <cell r="I178">
            <v>160</v>
          </cell>
          <cell r="J178">
            <v>14</v>
          </cell>
          <cell r="K178">
            <v>89.600000000000009</v>
          </cell>
          <cell r="L178">
            <v>0</v>
          </cell>
          <cell r="M178">
            <v>0</v>
          </cell>
          <cell r="N178" t="str">
            <v>ORDER NOW</v>
          </cell>
          <cell r="O178" t="str">
            <v>CRITICAL</v>
          </cell>
          <cell r="P178">
            <v>46127.531180555554</v>
          </cell>
        </row>
        <row r="179">
          <cell r="C179" t="str">
            <v>RM-00109</v>
          </cell>
          <cell r="D179" t="str">
            <v>Sour cream | كريمة حامضة</v>
          </cell>
          <cell r="E179" t="str">
            <v>1 box x 10 pcs x 1 kg</v>
          </cell>
          <cell r="F179" t="str">
            <v>Box</v>
          </cell>
          <cell r="G179">
            <v>0.1</v>
          </cell>
          <cell r="H179">
            <v>30</v>
          </cell>
          <cell r="I179">
            <v>300</v>
          </cell>
          <cell r="J179">
            <v>14</v>
          </cell>
          <cell r="K179">
            <v>168.00000000000003</v>
          </cell>
          <cell r="L179">
            <v>0</v>
          </cell>
          <cell r="M179">
            <v>0</v>
          </cell>
          <cell r="N179" t="str">
            <v>ORDER NOW</v>
          </cell>
          <cell r="O179" t="str">
            <v>CRITICAL</v>
          </cell>
          <cell r="P179">
            <v>46131.521678240744</v>
          </cell>
        </row>
        <row r="180">
          <cell r="C180" t="str">
            <v>PM-00060</v>
          </cell>
          <cell r="D180" t="str">
            <v>Golden Cake Plate  قاعدة كيك ذهبية 13*4.5 سم</v>
          </cell>
          <cell r="E180" t="str">
            <v>box x 1000 pcs</v>
          </cell>
          <cell r="F180" t="str">
            <v>Pcs</v>
          </cell>
          <cell r="G180">
            <v>1E-3</v>
          </cell>
          <cell r="H180">
            <v>25</v>
          </cell>
          <cell r="I180">
            <v>25000</v>
          </cell>
          <cell r="J180">
            <v>14</v>
          </cell>
          <cell r="K180">
            <v>14000.000000000002</v>
          </cell>
          <cell r="L180">
            <v>0</v>
          </cell>
          <cell r="M180">
            <v>0</v>
          </cell>
          <cell r="N180" t="str">
            <v>ORDER NOW</v>
          </cell>
          <cell r="O180" t="str">
            <v>CRITICAL</v>
          </cell>
          <cell r="P180">
            <v>46141.525462962964</v>
          </cell>
        </row>
        <row r="181">
          <cell r="C181" t="str">
            <v>CO-00126</v>
          </cell>
          <cell r="D181" t="str">
            <v>Maxi Roll 300mm ماكسي رول 300م</v>
          </cell>
          <cell r="E181" t="str">
            <v>Box</v>
          </cell>
          <cell r="F181" t="str">
            <v>Box</v>
          </cell>
          <cell r="G181">
            <v>0.16666666666666666</v>
          </cell>
          <cell r="H181">
            <v>4</v>
          </cell>
          <cell r="I181">
            <v>24</v>
          </cell>
          <cell r="J181">
            <v>14</v>
          </cell>
          <cell r="K181">
            <v>13.440000000000001</v>
          </cell>
          <cell r="L181">
            <v>0</v>
          </cell>
          <cell r="M181">
            <v>0</v>
          </cell>
          <cell r="N181" t="str">
            <v>ORDER NOW</v>
          </cell>
          <cell r="O181" t="str">
            <v>CRITICAL</v>
          </cell>
          <cell r="P181">
            <v>46141.525682870371</v>
          </cell>
        </row>
        <row r="182">
          <cell r="C182" t="str">
            <v>PM-00375</v>
          </cell>
          <cell r="D182" t="str">
            <v>Caramel Bites Sticker Bar (Breehant) ستيكر بار كراميل بايتس ( بريهانت )</v>
          </cell>
          <cell r="E182" t="str">
            <v>1 Roll X 1000 Pcs.</v>
          </cell>
          <cell r="F182" t="str">
            <v>roll</v>
          </cell>
          <cell r="G182">
            <v>1E-3</v>
          </cell>
          <cell r="H182">
            <v>3</v>
          </cell>
          <cell r="I182">
            <v>3000</v>
          </cell>
          <cell r="J182">
            <v>14</v>
          </cell>
          <cell r="K182">
            <v>1680.0000000000002</v>
          </cell>
          <cell r="L182">
            <v>0</v>
          </cell>
          <cell r="M182">
            <v>0</v>
          </cell>
          <cell r="N182" t="str">
            <v>ORDER NOW</v>
          </cell>
          <cell r="O182" t="str">
            <v>CRITICAL</v>
          </cell>
          <cell r="P182">
            <v>46138.481435185182</v>
          </cell>
        </row>
        <row r="183">
          <cell r="C183" t="str">
            <v>RM-00138</v>
          </cell>
          <cell r="D183" t="str">
            <v>Deemah digestive biscuits بسكوت ديجاستيف ديمة</v>
          </cell>
          <cell r="E183" t="str">
            <v>1 Box X 24 Pckt X 340 Grm</v>
          </cell>
          <cell r="F183" t="str">
            <v>Box</v>
          </cell>
          <cell r="G183">
            <v>0.12254901960784313</v>
          </cell>
          <cell r="H183">
            <v>290</v>
          </cell>
          <cell r="I183">
            <v>2366.4</v>
          </cell>
          <cell r="J183">
            <v>14</v>
          </cell>
          <cell r="K183">
            <v>1325.1840000000002</v>
          </cell>
          <cell r="L183">
            <v>0</v>
          </cell>
          <cell r="M183">
            <v>0</v>
          </cell>
          <cell r="N183" t="str">
            <v>ORDER NOW</v>
          </cell>
          <cell r="O183" t="str">
            <v>CRITICAL</v>
          </cell>
          <cell r="P183">
            <v>46141.525625000002</v>
          </cell>
        </row>
        <row r="184">
          <cell r="C184" t="str">
            <v>RM-00054</v>
          </cell>
          <cell r="D184" t="str">
            <v>Betty Crocker dark chocolate بيتي كويكر شوكلاته</v>
          </cell>
          <cell r="E184" t="str">
            <v>1 Box X 12 Pcs X 430 Grm</v>
          </cell>
          <cell r="F184" t="str">
            <v>Box</v>
          </cell>
          <cell r="G184">
            <v>0.19379844961240308</v>
          </cell>
          <cell r="H184">
            <v>550</v>
          </cell>
          <cell r="I184">
            <v>2838.0000000000005</v>
          </cell>
          <cell r="J184">
            <v>14</v>
          </cell>
          <cell r="K184">
            <v>1589.2800000000004</v>
          </cell>
          <cell r="L184">
            <v>0</v>
          </cell>
          <cell r="M184">
            <v>0</v>
          </cell>
          <cell r="N184" t="str">
            <v>ORDER NOW</v>
          </cell>
          <cell r="O184" t="str">
            <v>CRITICAL</v>
          </cell>
          <cell r="P184">
            <v>46141.52579861111</v>
          </cell>
        </row>
        <row r="185">
          <cell r="C185" t="str">
            <v>RM-00115</v>
          </cell>
          <cell r="D185" t="str">
            <v>Flour Premium T55 طحين T55</v>
          </cell>
          <cell r="E185" t="str">
            <v>1 BAG x 25 Kg</v>
          </cell>
          <cell r="F185" t="str">
            <v>bag</v>
          </cell>
          <cell r="G185">
            <v>0.04</v>
          </cell>
          <cell r="H185">
            <v>40</v>
          </cell>
          <cell r="I185">
            <v>1000</v>
          </cell>
          <cell r="J185">
            <v>14</v>
          </cell>
          <cell r="K185">
            <v>560</v>
          </cell>
          <cell r="L185">
            <v>0</v>
          </cell>
          <cell r="M185">
            <v>0</v>
          </cell>
          <cell r="N185" t="str">
            <v>ORDER NOW</v>
          </cell>
          <cell r="O185" t="str">
            <v>CRITICAL</v>
          </cell>
          <cell r="P185">
            <v>46141.525694444441</v>
          </cell>
        </row>
        <row r="186">
          <cell r="C186" t="str">
            <v>RM-00297</v>
          </cell>
          <cell r="D186" t="str">
            <v>Sumac سماق</v>
          </cell>
          <cell r="E186" t="str">
            <v>1 KG</v>
          </cell>
          <cell r="F186" t="str">
            <v>Pcs</v>
          </cell>
          <cell r="G186">
            <v>1</v>
          </cell>
          <cell r="H186">
            <v>4</v>
          </cell>
          <cell r="I186">
            <v>4</v>
          </cell>
          <cell r="J186">
            <v>14</v>
          </cell>
          <cell r="K186">
            <v>2.2400000000000002</v>
          </cell>
          <cell r="L186">
            <v>0</v>
          </cell>
          <cell r="M186">
            <v>0</v>
          </cell>
          <cell r="N186" t="str">
            <v>ORDER NOW</v>
          </cell>
          <cell r="O186" t="str">
            <v>CRITICAL</v>
          </cell>
          <cell r="P186">
            <v>46141.525902777779</v>
          </cell>
        </row>
        <row r="187">
          <cell r="C187" t="str">
            <v>RM-00195</v>
          </cell>
          <cell r="D187" t="str">
            <v>Jalapeno Pepper هايفا جلابينو</v>
          </cell>
          <cell r="E187" t="str">
            <v>1 Box X 4botlle  X 5 KG</v>
          </cell>
          <cell r="F187" t="str">
            <v>Box</v>
          </cell>
          <cell r="G187">
            <v>0.05</v>
          </cell>
          <cell r="H187">
            <v>1</v>
          </cell>
          <cell r="I187">
            <v>20</v>
          </cell>
          <cell r="J187">
            <v>14</v>
          </cell>
          <cell r="K187">
            <v>11.200000000000001</v>
          </cell>
          <cell r="L187">
            <v>0</v>
          </cell>
          <cell r="M187">
            <v>0</v>
          </cell>
          <cell r="N187" t="str">
            <v>ORDER NOW</v>
          </cell>
          <cell r="O187" t="str">
            <v>CRITICAL</v>
          </cell>
          <cell r="P187">
            <v>46141.525914351849</v>
          </cell>
        </row>
        <row r="188">
          <cell r="C188" t="str">
            <v>RM-00416</v>
          </cell>
          <cell r="D188" t="str">
            <v>Pine Nuts | صنوبر</v>
          </cell>
          <cell r="E188" t="str">
            <v>KG</v>
          </cell>
          <cell r="F188" t="str">
            <v>Pcs</v>
          </cell>
          <cell r="G188">
            <v>1</v>
          </cell>
          <cell r="H188">
            <v>10</v>
          </cell>
          <cell r="I188">
            <v>10</v>
          </cell>
          <cell r="J188">
            <v>14</v>
          </cell>
          <cell r="K188">
            <v>5.6000000000000005</v>
          </cell>
          <cell r="L188">
            <v>0</v>
          </cell>
          <cell r="M188">
            <v>0</v>
          </cell>
          <cell r="N188" t="str">
            <v>ORDER NOW</v>
          </cell>
          <cell r="O188" t="str">
            <v>CRITICAL</v>
          </cell>
          <cell r="P188">
            <v>46141.52548611111</v>
          </cell>
        </row>
        <row r="189">
          <cell r="C189" t="str">
            <v>RM-00304</v>
          </cell>
          <cell r="D189" t="str">
            <v>Tamrind Freshly  تمر هندي فرشلي</v>
          </cell>
          <cell r="E189" t="str">
            <v>Box</v>
          </cell>
          <cell r="F189" t="str">
            <v>Box</v>
          </cell>
          <cell r="G189">
            <v>0.1</v>
          </cell>
          <cell r="H189">
            <v>1</v>
          </cell>
          <cell r="I189">
            <v>10</v>
          </cell>
          <cell r="J189">
            <v>14</v>
          </cell>
          <cell r="K189">
            <v>5.6000000000000005</v>
          </cell>
          <cell r="L189">
            <v>0</v>
          </cell>
          <cell r="M189">
            <v>0</v>
          </cell>
          <cell r="N189" t="str">
            <v>ORDER NOW</v>
          </cell>
          <cell r="O189" t="str">
            <v>CRITICAL</v>
          </cell>
          <cell r="P189">
            <v>46141.526030092595</v>
          </cell>
        </row>
        <row r="190">
          <cell r="C190" t="str">
            <v>PM-00622</v>
          </cell>
          <cell r="D190" t="str">
            <v>بوكس ورقي  ثلاثه قطع فطورات Paper box, three pieces, for Fotorat</v>
          </cell>
          <cell r="E190" t="str">
            <v>Pcs</v>
          </cell>
          <cell r="F190" t="str">
            <v>Pcs</v>
          </cell>
          <cell r="G190">
            <v>1</v>
          </cell>
          <cell r="H190">
            <v>5000</v>
          </cell>
          <cell r="I190">
            <v>5000</v>
          </cell>
          <cell r="J190">
            <v>14</v>
          </cell>
          <cell r="K190">
            <v>2800.0000000000005</v>
          </cell>
          <cell r="L190">
            <v>1</v>
          </cell>
          <cell r="M190">
            <v>6.0000000000000001E-3</v>
          </cell>
          <cell r="N190" t="str">
            <v>ORDER NOW</v>
          </cell>
          <cell r="O190" t="str">
            <v>CRITICAL</v>
          </cell>
          <cell r="P190">
            <v>46134.44630787037</v>
          </cell>
        </row>
        <row r="191">
          <cell r="C191" t="str">
            <v>PM-00621</v>
          </cell>
          <cell r="D191" t="str">
            <v>بوكس ورقي قطعة واحده فطورات Paper box, one piece, for Fotorat</v>
          </cell>
          <cell r="E191" t="str">
            <v>Pcs</v>
          </cell>
          <cell r="F191" t="str">
            <v>Pcs</v>
          </cell>
          <cell r="G191">
            <v>1</v>
          </cell>
          <cell r="H191">
            <v>5000</v>
          </cell>
          <cell r="I191">
            <v>5000</v>
          </cell>
          <cell r="J191">
            <v>14</v>
          </cell>
          <cell r="K191">
            <v>2800.0000000000005</v>
          </cell>
          <cell r="L191">
            <v>1</v>
          </cell>
          <cell r="M191">
            <v>6.0000000000000001E-3</v>
          </cell>
          <cell r="N191" t="str">
            <v>ORDER NOW</v>
          </cell>
          <cell r="O191" t="str">
            <v>CRITICAL</v>
          </cell>
          <cell r="P191">
            <v>46113.430949074071</v>
          </cell>
        </row>
        <row r="192">
          <cell r="C192" t="str">
            <v>RM-00009</v>
          </cell>
          <cell r="D192" t="str">
            <v>Cheese Cream | جبن كريمي</v>
          </cell>
          <cell r="E192" t="str">
            <v>1 Box X 4 Pack X 1650 Grm</v>
          </cell>
          <cell r="F192" t="str">
            <v>Box</v>
          </cell>
          <cell r="G192">
            <v>0.15151515151515152</v>
          </cell>
          <cell r="H192">
            <v>1700</v>
          </cell>
          <cell r="I192">
            <v>11220</v>
          </cell>
          <cell r="J192">
            <v>14</v>
          </cell>
          <cell r="K192">
            <v>6283.2000000000007</v>
          </cell>
          <cell r="L192">
            <v>6.6</v>
          </cell>
          <cell r="M192">
            <v>1.7647058823529412E-2</v>
          </cell>
          <cell r="N192" t="str">
            <v>ORDER NOW</v>
          </cell>
          <cell r="O192" t="str">
            <v>CRITICAL</v>
          </cell>
          <cell r="P192">
            <v>46128.695462962962</v>
          </cell>
        </row>
        <row r="193">
          <cell r="C193" t="str">
            <v>CO-00120</v>
          </cell>
          <cell r="D193" t="str">
            <v xml:space="preserve">Gloves Black Color قفازات سوداء </v>
          </cell>
          <cell r="E193" t="str">
            <v>1 Box X 10 Pack X 100 pcs</v>
          </cell>
          <cell r="F193" t="str">
            <v>Box</v>
          </cell>
          <cell r="G193">
            <v>1E-3</v>
          </cell>
          <cell r="H193">
            <v>673</v>
          </cell>
          <cell r="I193">
            <v>673000</v>
          </cell>
          <cell r="J193">
            <v>14</v>
          </cell>
          <cell r="K193">
            <v>376880.00000000006</v>
          </cell>
          <cell r="L193">
            <v>1000</v>
          </cell>
          <cell r="M193">
            <v>4.457652303120356E-2</v>
          </cell>
          <cell r="N193" t="str">
            <v>ORDER NOW</v>
          </cell>
          <cell r="O193" t="str">
            <v>CRITICAL</v>
          </cell>
          <cell r="P193">
            <v>46140.605763888889</v>
          </cell>
        </row>
        <row r="194">
          <cell r="C194" t="str">
            <v>PM-00627</v>
          </cell>
          <cell r="D194" t="str">
            <v>ورق زبدة بني 22سم دائري-Brown baking paper, 22 cm, round</v>
          </cell>
          <cell r="E194"/>
          <cell r="F194"/>
          <cell r="G194">
            <v>1</v>
          </cell>
          <cell r="H194">
            <v>15000</v>
          </cell>
          <cell r="I194">
            <v>15000</v>
          </cell>
          <cell r="J194">
            <v>14</v>
          </cell>
          <cell r="K194">
            <v>8400</v>
          </cell>
          <cell r="L194">
            <v>48</v>
          </cell>
          <cell r="M194">
            <v>9.6000000000000002E-2</v>
          </cell>
          <cell r="N194" t="str">
            <v>ORDER NOW</v>
          </cell>
          <cell r="O194" t="str">
            <v>CRITICAL</v>
          </cell>
          <cell r="P194">
            <v>46134.446319444447</v>
          </cell>
        </row>
        <row r="195">
          <cell r="C195" t="str">
            <v>RM-00006</v>
          </cell>
          <cell r="D195" t="str">
            <v>Goody Creamy Peanut Butte | قودي زبدة الفول السوداني الناعمة</v>
          </cell>
          <cell r="E195" t="str">
            <v>12pcs x 1 kg</v>
          </cell>
          <cell r="F195" t="str">
            <v>Pcs</v>
          </cell>
          <cell r="G195">
            <v>8.3333333333333329E-2</v>
          </cell>
          <cell r="H195">
            <v>55</v>
          </cell>
          <cell r="I195">
            <v>660</v>
          </cell>
          <cell r="J195">
            <v>14</v>
          </cell>
          <cell r="K195">
            <v>369.6</v>
          </cell>
          <cell r="L195">
            <v>2.3999999999999915</v>
          </cell>
          <cell r="M195">
            <v>0.1090909090909087</v>
          </cell>
          <cell r="N195" t="str">
            <v>ORDER NOW</v>
          </cell>
          <cell r="O195" t="str">
            <v>CRITICAL</v>
          </cell>
          <cell r="P195">
            <v>46134.446331018517</v>
          </cell>
        </row>
        <row r="196">
          <cell r="C196" t="str">
            <v>PM-00645</v>
          </cell>
          <cell r="D196" t="str">
            <v>علبة ألمنيوم مربعة 180 مل | 180ml square aluminum foil Tray</v>
          </cell>
          <cell r="E196" t="str">
            <v>Pcs.</v>
          </cell>
          <cell r="F196" t="str">
            <v>Pcs</v>
          </cell>
          <cell r="G196">
            <v>1</v>
          </cell>
          <cell r="H196">
            <v>4000</v>
          </cell>
          <cell r="I196">
            <v>4000</v>
          </cell>
          <cell r="J196">
            <v>14</v>
          </cell>
          <cell r="K196">
            <v>2240</v>
          </cell>
          <cell r="L196">
            <v>20</v>
          </cell>
          <cell r="M196">
            <v>0.15</v>
          </cell>
          <cell r="N196" t="str">
            <v>ORDER NOW</v>
          </cell>
          <cell r="O196" t="str">
            <v>CRITICAL</v>
          </cell>
          <cell r="P196">
            <v>46134.44635416667</v>
          </cell>
        </row>
        <row r="197">
          <cell r="C197" t="str">
            <v>PM-00580</v>
          </cell>
          <cell r="D197" t="str">
            <v>ماعون طبق قصب سكر عازل 1000 ملي مع غطاء بلاستيك - Sugarcane pulp bowl 1000 ml with plastic lid</v>
          </cell>
          <cell r="E197" t="str">
            <v>Pcs</v>
          </cell>
          <cell r="F197" t="str">
            <v>Pcs</v>
          </cell>
          <cell r="G197">
            <v>1</v>
          </cell>
          <cell r="H197">
            <v>25000</v>
          </cell>
          <cell r="I197">
            <v>25000</v>
          </cell>
          <cell r="J197">
            <v>14</v>
          </cell>
          <cell r="K197">
            <v>14000.000000000002</v>
          </cell>
          <cell r="L197">
            <v>139</v>
          </cell>
          <cell r="M197">
            <v>0.1668</v>
          </cell>
          <cell r="N197" t="str">
            <v>ORDER NOW</v>
          </cell>
          <cell r="O197" t="str">
            <v>CRITICAL</v>
          </cell>
          <cell r="P197">
            <v>46134.44636574074</v>
          </cell>
        </row>
        <row r="198">
          <cell r="C198" t="str">
            <v>RM-00020</v>
          </cell>
          <cell r="D198" t="str">
            <v>Westminster White Mild Cheddar Cheese جبنة شيدر ابيض و</v>
          </cell>
          <cell r="E198" t="str">
            <v>KG</v>
          </cell>
          <cell r="F198" t="str">
            <v>Pcs</v>
          </cell>
          <cell r="G198">
            <v>1</v>
          </cell>
          <cell r="H198">
            <v>10</v>
          </cell>
          <cell r="I198">
            <v>10</v>
          </cell>
          <cell r="J198">
            <v>14</v>
          </cell>
          <cell r="K198">
            <v>5.6000000000000005</v>
          </cell>
          <cell r="L198">
            <v>7.0000000000000284E-2</v>
          </cell>
          <cell r="M198">
            <v>0.21000000000000085</v>
          </cell>
          <cell r="N198" t="str">
            <v>ORDER NOW</v>
          </cell>
          <cell r="O198" t="str">
            <v>CRITICAL</v>
          </cell>
          <cell r="P198">
            <v>46141.525925925926</v>
          </cell>
        </row>
        <row r="199">
          <cell r="C199" t="str">
            <v>CO-00415</v>
          </cell>
          <cell r="D199" t="str">
            <v>Trash bags 55 gallon | اكياس نفايات 55 جالون</v>
          </cell>
          <cell r="E199" t="str">
            <v>1 Case X 10 Kg</v>
          </cell>
          <cell r="F199" t="str">
            <v>case</v>
          </cell>
          <cell r="G199">
            <v>0.1</v>
          </cell>
          <cell r="H199">
            <v>663</v>
          </cell>
          <cell r="I199">
            <v>6630</v>
          </cell>
          <cell r="J199">
            <v>14</v>
          </cell>
          <cell r="K199">
            <v>3712.8</v>
          </cell>
          <cell r="L199">
            <v>60</v>
          </cell>
          <cell r="M199">
            <v>0.27149321266968329</v>
          </cell>
          <cell r="N199" t="str">
            <v>ORDER NOW</v>
          </cell>
          <cell r="O199" t="str">
            <v>CRITICAL</v>
          </cell>
          <cell r="P199">
            <v>46140.605787037035</v>
          </cell>
        </row>
        <row r="200">
          <cell r="C200" t="str">
            <v>RM-00584</v>
          </cell>
          <cell r="D200" t="str">
            <v>coconut milk حليب جوز هند</v>
          </cell>
          <cell r="E200" t="str">
            <v>1 Box 12 Bottle X 1 Ltr</v>
          </cell>
          <cell r="F200" t="str">
            <v>Box</v>
          </cell>
          <cell r="G200">
            <v>8.3333333333333329E-2</v>
          </cell>
          <cell r="H200">
            <v>103.5</v>
          </cell>
          <cell r="I200">
            <v>1242</v>
          </cell>
          <cell r="J200">
            <v>14</v>
          </cell>
          <cell r="K200">
            <v>695.5200000000001</v>
          </cell>
          <cell r="L200">
            <v>12.000000000000085</v>
          </cell>
          <cell r="M200">
            <v>0.28985507246377018</v>
          </cell>
          <cell r="N200" t="str">
            <v>ORDER NOW</v>
          </cell>
          <cell r="O200" t="str">
            <v>CRITICAL</v>
          </cell>
          <cell r="P200">
            <v>46141.525520833333</v>
          </cell>
        </row>
        <row r="201">
          <cell r="C201" t="str">
            <v>RM-00097</v>
          </cell>
          <cell r="D201" t="str">
            <v>Whipping cream كريمة خفق</v>
          </cell>
          <cell r="E201" t="str">
            <v>1 Box X 12 Bottle X 1 ltr</v>
          </cell>
          <cell r="F201" t="str">
            <v>Box</v>
          </cell>
          <cell r="G201">
            <v>8.3333333333333329E-2</v>
          </cell>
          <cell r="H201">
            <v>608</v>
          </cell>
          <cell r="I201">
            <v>7296</v>
          </cell>
          <cell r="J201">
            <v>14</v>
          </cell>
          <cell r="K201">
            <v>4085.76</v>
          </cell>
          <cell r="L201">
            <v>108</v>
          </cell>
          <cell r="M201">
            <v>0.44407894736842102</v>
          </cell>
          <cell r="N201" t="str">
            <v>ORDER NOW</v>
          </cell>
          <cell r="O201" t="str">
            <v>CRITICAL</v>
          </cell>
          <cell r="P201">
            <v>46128.69494212963</v>
          </cell>
        </row>
        <row r="202">
          <cell r="C202" t="str">
            <v>CO-00053</v>
          </cell>
          <cell r="D202" t="str">
            <v>Grinder Cleaner 430g منظف مطحنة بن القهوة 430 جرام</v>
          </cell>
          <cell r="E202" t="str">
            <v>1 Pcs</v>
          </cell>
          <cell r="F202" t="str">
            <v>Pcs</v>
          </cell>
          <cell r="G202">
            <v>2.2222222222222223</v>
          </cell>
          <cell r="H202">
            <v>155.5</v>
          </cell>
          <cell r="I202">
            <v>69.974999999999994</v>
          </cell>
          <cell r="J202">
            <v>14</v>
          </cell>
          <cell r="K202">
            <v>39.186</v>
          </cell>
          <cell r="L202">
            <v>1.125</v>
          </cell>
          <cell r="M202">
            <v>0.48231511254019299</v>
          </cell>
          <cell r="N202" t="str">
            <v>ORDER NOW</v>
          </cell>
          <cell r="O202" t="str">
            <v>CRITICAL</v>
          </cell>
          <cell r="P202">
            <v>46134.446250000001</v>
          </cell>
        </row>
        <row r="203">
          <cell r="C203" t="str">
            <v>SF-00199</v>
          </cell>
          <cell r="D203" t="str">
            <v>Zamzam Water ماء زمزم</v>
          </cell>
          <cell r="E203" t="str">
            <v>Pcs.</v>
          </cell>
          <cell r="F203" t="str">
            <v>Pcs</v>
          </cell>
          <cell r="G203">
            <v>1</v>
          </cell>
          <cell r="H203">
            <v>121</v>
          </cell>
          <cell r="I203">
            <v>121</v>
          </cell>
          <cell r="J203">
            <v>14</v>
          </cell>
          <cell r="K203">
            <v>67.760000000000005</v>
          </cell>
          <cell r="L203">
            <v>2</v>
          </cell>
          <cell r="M203">
            <v>0.49586776859504134</v>
          </cell>
          <cell r="N203" t="str">
            <v>ORDER NOW</v>
          </cell>
          <cell r="O203" t="str">
            <v>CRITICAL</v>
          </cell>
          <cell r="P203">
            <v>46138.481446759259</v>
          </cell>
        </row>
        <row r="204">
          <cell r="C204" t="str">
            <v>PM-00345</v>
          </cell>
          <cell r="D204" t="str">
            <v>Rap paper for paper cupsورق زبدة دائري 12 سم للاكواب الورقيه</v>
          </cell>
          <cell r="E204" t="str">
            <v xml:space="preserve">1 Bundle X 2750
</v>
          </cell>
          <cell r="F204" t="str">
            <v>Box</v>
          </cell>
          <cell r="G204">
            <v>3.6363636363636361E-4</v>
          </cell>
          <cell r="H204">
            <v>92.5</v>
          </cell>
          <cell r="I204">
            <v>254375.00000000003</v>
          </cell>
          <cell r="J204">
            <v>14</v>
          </cell>
          <cell r="K204">
            <v>142450.00000000003</v>
          </cell>
          <cell r="L204">
            <v>4649.9999999999918</v>
          </cell>
          <cell r="M204">
            <v>0.54840294840294734</v>
          </cell>
          <cell r="N204" t="str">
            <v>ORDER NOW</v>
          </cell>
          <cell r="O204" t="str">
            <v>CRITICAL</v>
          </cell>
          <cell r="P204">
            <v>46128.694988425923</v>
          </cell>
        </row>
        <row r="205">
          <cell r="C205" t="str">
            <v>CO-00046</v>
          </cell>
          <cell r="D205" t="str">
            <v xml:space="preserve">Ubermilk Cleaning Agent 1 (Red)محلول تنظيف اوبر ميلك احمر </v>
          </cell>
          <cell r="E205" t="str">
            <v>1 Pcs.X 1 L</v>
          </cell>
          <cell r="F205" t="str">
            <v>Pcs</v>
          </cell>
          <cell r="G205">
            <v>1</v>
          </cell>
          <cell r="H205">
            <v>175</v>
          </cell>
          <cell r="I205">
            <v>175</v>
          </cell>
          <cell r="J205">
            <v>14</v>
          </cell>
          <cell r="K205">
            <v>98.000000000000014</v>
          </cell>
          <cell r="L205">
            <v>4</v>
          </cell>
          <cell r="M205">
            <v>0.68571428571428572</v>
          </cell>
          <cell r="N205" t="str">
            <v>ORDER NOW</v>
          </cell>
          <cell r="O205" t="str">
            <v>CRITICAL</v>
          </cell>
          <cell r="P205">
            <v>46113.430949074071</v>
          </cell>
        </row>
        <row r="206">
          <cell r="C206" t="str">
            <v>PM-00042</v>
          </cell>
          <cell r="D206" t="str">
            <v>كيس بلاستيك ضبابي نمق مقاس 44سم *40سم مع لاصق اغلاق Namq Foggy Plastic Bag 44cm*40cm</v>
          </cell>
          <cell r="E206" t="str">
            <v>1 Box X 10 Kg (320 Pcs)</v>
          </cell>
          <cell r="F206" t="str">
            <v>Box</v>
          </cell>
          <cell r="G206">
            <v>3.1250000000000002E-3</v>
          </cell>
          <cell r="H206">
            <v>825</v>
          </cell>
          <cell r="I206">
            <v>264000</v>
          </cell>
          <cell r="J206">
            <v>14</v>
          </cell>
          <cell r="K206">
            <v>147840</v>
          </cell>
          <cell r="L206">
            <v>6080</v>
          </cell>
          <cell r="M206">
            <v>0.69090909090909092</v>
          </cell>
          <cell r="N206" t="str">
            <v>ORDER NOW</v>
          </cell>
          <cell r="O206" t="str">
            <v>CRITICAL</v>
          </cell>
          <cell r="P206">
            <v>46128.688379629632</v>
          </cell>
        </row>
        <row r="207">
          <cell r="C207" t="str">
            <v>CO-00489</v>
          </cell>
          <cell r="D207" t="str">
            <v>02 V60 Ceramic Dripper قمع هايرو سيراميك 02</v>
          </cell>
          <cell r="E207" t="str">
            <v>Pcs.</v>
          </cell>
          <cell r="F207" t="str">
            <v>Pcs</v>
          </cell>
          <cell r="G207">
            <v>1</v>
          </cell>
          <cell r="H207">
            <v>170</v>
          </cell>
          <cell r="I207">
            <v>170</v>
          </cell>
          <cell r="J207">
            <v>14</v>
          </cell>
          <cell r="K207">
            <v>95.2</v>
          </cell>
          <cell r="L207">
            <v>3.9211111111111112</v>
          </cell>
          <cell r="M207">
            <v>0.69196078431372554</v>
          </cell>
          <cell r="N207" t="str">
            <v>ORDER NOW</v>
          </cell>
          <cell r="O207" t="str">
            <v>CRITICAL</v>
          </cell>
          <cell r="P207">
            <v>46128.694930555554</v>
          </cell>
        </row>
        <row r="208">
          <cell r="C208" t="str">
            <v>PM-00691</v>
          </cell>
          <cell r="D208" t="str">
            <v>سليف مادلين ماتشا شوكولاته||Madeleine Matcha Chocolate Sleeve</v>
          </cell>
          <cell r="E208" t="str">
            <v>Pcs</v>
          </cell>
          <cell r="F208" t="str">
            <v>Pcs</v>
          </cell>
          <cell r="G208">
            <v>1</v>
          </cell>
          <cell r="H208">
            <v>0</v>
          </cell>
          <cell r="I208">
            <v>200</v>
          </cell>
          <cell r="J208">
            <v>14</v>
          </cell>
          <cell r="K208">
            <v>112.00000000000001</v>
          </cell>
          <cell r="L208">
            <v>5</v>
          </cell>
          <cell r="M208">
            <v>0.75</v>
          </cell>
          <cell r="N208" t="str">
            <v>ORDER NOW</v>
          </cell>
          <cell r="O208" t="str">
            <v>CRITICAL</v>
          </cell>
          <cell r="P208">
            <v>46113.430902777778</v>
          </cell>
        </row>
        <row r="209">
          <cell r="C209" t="str">
            <v>CO-00497</v>
          </cell>
          <cell r="D209" t="str">
            <v>Syrup Pumps مضخة سيروب</v>
          </cell>
          <cell r="E209" t="str">
            <v>1 Pcs</v>
          </cell>
          <cell r="F209" t="str">
            <v>Pcs</v>
          </cell>
          <cell r="G209">
            <v>1</v>
          </cell>
          <cell r="H209">
            <v>220</v>
          </cell>
          <cell r="I209">
            <v>220</v>
          </cell>
          <cell r="J209">
            <v>14</v>
          </cell>
          <cell r="K209">
            <v>123.20000000000002</v>
          </cell>
          <cell r="L209">
            <v>6</v>
          </cell>
          <cell r="M209">
            <v>0.81818181818181812</v>
          </cell>
          <cell r="N209" t="str">
            <v>ORDER NOW</v>
          </cell>
          <cell r="O209" t="str">
            <v>CRITICAL</v>
          </cell>
          <cell r="P209">
            <v>46138.481458333335</v>
          </cell>
        </row>
        <row r="210">
          <cell r="C210" t="str">
            <v>CO-00061</v>
          </cell>
          <cell r="D210" t="str">
            <v>Steam cleaner 1 liter منظف الاستيم 1 لتر</v>
          </cell>
          <cell r="E210" t="str">
            <v>1 Pcs. X 1 Ltr</v>
          </cell>
          <cell r="F210" t="str">
            <v>Pcs</v>
          </cell>
          <cell r="G210">
            <v>1</v>
          </cell>
          <cell r="H210">
            <v>233</v>
          </cell>
          <cell r="I210">
            <v>233</v>
          </cell>
          <cell r="J210">
            <v>14</v>
          </cell>
          <cell r="K210">
            <v>130.48000000000002</v>
          </cell>
          <cell r="L210">
            <v>6.5</v>
          </cell>
          <cell r="M210">
            <v>0.83690987124463523</v>
          </cell>
          <cell r="N210" t="str">
            <v>ORDER NOW</v>
          </cell>
          <cell r="O210" t="str">
            <v>CRITICAL</v>
          </cell>
          <cell r="P210">
            <v>46128.695543981485</v>
          </cell>
        </row>
        <row r="211">
          <cell r="C211" t="str">
            <v>RM-00505</v>
          </cell>
          <cell r="D211" t="str">
            <v>White sugar - kg50 سكر ابيض 50 كجم</v>
          </cell>
          <cell r="E211" t="str">
            <v>1 Bag X 50 Kg</v>
          </cell>
          <cell r="F211" t="str">
            <v>bag</v>
          </cell>
          <cell r="G211">
            <v>0.02</v>
          </cell>
          <cell r="H211">
            <v>450</v>
          </cell>
          <cell r="I211">
            <v>22500</v>
          </cell>
          <cell r="J211">
            <v>14</v>
          </cell>
          <cell r="K211">
            <v>12600.000000000002</v>
          </cell>
          <cell r="L211">
            <v>650</v>
          </cell>
          <cell r="M211">
            <v>0.86666666666666659</v>
          </cell>
          <cell r="N211" t="str">
            <v>ORDER NOW</v>
          </cell>
          <cell r="O211" t="str">
            <v>CRITICAL</v>
          </cell>
          <cell r="P211">
            <v>46141.525567129633</v>
          </cell>
        </row>
        <row r="212">
          <cell r="C212" t="str">
            <v>PM-00664</v>
          </cell>
          <cell r="D212" t="str">
            <v>ورق زبدة دائري 12 سم | round butter paper 12 sm</v>
          </cell>
          <cell r="E212" t="str">
            <v xml:space="preserve"> Bundle X 2750
</v>
          </cell>
          <cell r="F212" t="str">
            <v>Box</v>
          </cell>
          <cell r="G212">
            <v>3.6363636363636361E-4</v>
          </cell>
          <cell r="H212">
            <v>121</v>
          </cell>
          <cell r="I212">
            <v>332750</v>
          </cell>
          <cell r="J212">
            <v>14</v>
          </cell>
          <cell r="K212">
            <v>186340.00000000003</v>
          </cell>
          <cell r="L212">
            <v>9627.4999999999982</v>
          </cell>
          <cell r="M212">
            <v>0.86799398948159256</v>
          </cell>
          <cell r="N212" t="str">
            <v>ORDER NOW</v>
          </cell>
          <cell r="O212" t="str">
            <v>CRITICAL</v>
          </cell>
          <cell r="P212">
            <v>46141.525497685187</v>
          </cell>
        </row>
        <row r="213">
          <cell r="C213" t="str">
            <v>PM-00611</v>
          </cell>
          <cell r="D213" t="str">
            <v>Coffee Day Box 1 Lt with cup holder | بوكس  قهوة اليوم 1 لتر  مع قاعدة اكواب</v>
          </cell>
          <cell r="E213" t="str">
            <v xml:space="preserve"> Box X 100 Pcs</v>
          </cell>
          <cell r="F213" t="str">
            <v>Box</v>
          </cell>
          <cell r="G213">
            <v>0.01</v>
          </cell>
          <cell r="H213">
            <v>495</v>
          </cell>
          <cell r="I213">
            <v>49500</v>
          </cell>
          <cell r="J213">
            <v>14</v>
          </cell>
          <cell r="K213">
            <v>27720.000000000004</v>
          </cell>
          <cell r="L213">
            <v>1475</v>
          </cell>
          <cell r="M213">
            <v>0.89393939393939392</v>
          </cell>
          <cell r="N213" t="str">
            <v>ORDER NOW</v>
          </cell>
          <cell r="O213" t="str">
            <v>CRITICAL</v>
          </cell>
          <cell r="P213">
            <v>46140.605821759258</v>
          </cell>
        </row>
        <row r="214">
          <cell r="C214" t="str">
            <v>PM-00687</v>
          </cell>
          <cell r="D214" t="str">
            <v>سليف مارشميلو كرانشي||Marshmallow Crunchy Sleeve</v>
          </cell>
          <cell r="E214" t="str">
            <v>Pcs</v>
          </cell>
          <cell r="F214" t="str">
            <v>Pcs</v>
          </cell>
          <cell r="G214">
            <v>1</v>
          </cell>
          <cell r="H214">
            <v>0</v>
          </cell>
          <cell r="I214">
            <v>200</v>
          </cell>
          <cell r="J214">
            <v>14</v>
          </cell>
          <cell r="K214">
            <v>112.00000000000001</v>
          </cell>
          <cell r="L214">
            <v>6</v>
          </cell>
          <cell r="M214">
            <v>0.89999999999999991</v>
          </cell>
          <cell r="N214" t="str">
            <v>ORDER NOW</v>
          </cell>
          <cell r="O214" t="str">
            <v>CRITICAL</v>
          </cell>
          <cell r="P214">
            <v>46113.430891203701</v>
          </cell>
        </row>
        <row r="215">
          <cell r="C215" t="str">
            <v>RM-00243</v>
          </cell>
          <cell r="D215" t="str">
            <v>Biscuit Filling With Crunchy Pieces Ripieno  | حشوة البسكويت مع كسر</v>
          </cell>
          <cell r="E215" t="str">
            <v>1 box x 2 tin x 5 kg</v>
          </cell>
          <cell r="F215" t="str">
            <v>Box</v>
          </cell>
          <cell r="G215">
            <v>0.1</v>
          </cell>
          <cell r="H215">
            <v>80</v>
          </cell>
          <cell r="I215">
            <v>800</v>
          </cell>
          <cell r="J215">
            <v>14</v>
          </cell>
          <cell r="K215">
            <v>448.00000000000006</v>
          </cell>
          <cell r="L215">
            <v>50</v>
          </cell>
          <cell r="M215">
            <v>0.9375</v>
          </cell>
          <cell r="N215" t="str">
            <v>ORDER NOW</v>
          </cell>
          <cell r="O215" t="str">
            <v>CRITICAL</v>
          </cell>
          <cell r="P215">
            <v>46141.525370370371</v>
          </cell>
        </row>
        <row r="216">
          <cell r="C216" t="str">
            <v>RM-00267</v>
          </cell>
          <cell r="D216" t="str">
            <v>PANNA SOFT ICE CREME خليط ايس كريم فانيلا بانا</v>
          </cell>
          <cell r="E216" t="str">
            <v>1 Box X 5 Bag X 2 Kg</v>
          </cell>
          <cell r="F216" t="str">
            <v>Box</v>
          </cell>
          <cell r="G216">
            <v>0.1</v>
          </cell>
          <cell r="H216">
            <v>313.5</v>
          </cell>
          <cell r="I216">
            <v>3135</v>
          </cell>
          <cell r="J216">
            <v>14</v>
          </cell>
          <cell r="K216">
            <v>1755.6000000000001</v>
          </cell>
          <cell r="L216">
            <v>110</v>
          </cell>
          <cell r="M216">
            <v>1.0526315789473684</v>
          </cell>
          <cell r="N216" t="str">
            <v>ORDER NOW</v>
          </cell>
          <cell r="O216" t="str">
            <v>CRITICAL</v>
          </cell>
          <cell r="P216">
            <v>46140.605891203704</v>
          </cell>
        </row>
        <row r="217">
          <cell r="C217" t="str">
            <v>RM-00313</v>
          </cell>
          <cell r="D217" t="str">
            <v>Vanilla bourbon فانيلا بوربون</v>
          </cell>
          <cell r="E217" t="str">
            <v>1 Box X 12bottle X 1kg</v>
          </cell>
          <cell r="F217" t="str">
            <v>Box</v>
          </cell>
          <cell r="G217">
            <v>8.3333333333333329E-2</v>
          </cell>
          <cell r="H217">
            <v>220</v>
          </cell>
          <cell r="I217">
            <v>2640</v>
          </cell>
          <cell r="J217">
            <v>14</v>
          </cell>
          <cell r="K217">
            <v>1478.4</v>
          </cell>
          <cell r="L217">
            <v>105.60000000000001</v>
          </cell>
          <cell r="M217">
            <v>1.056</v>
          </cell>
          <cell r="N217" t="str">
            <v>ORDER NOW</v>
          </cell>
          <cell r="O217" t="str">
            <v>CRITICAL</v>
          </cell>
          <cell r="P217" t="str">
            <v/>
          </cell>
        </row>
        <row r="218">
          <cell r="C218" t="str">
            <v>PM-00267</v>
          </cell>
          <cell r="D218" t="str">
            <v>Fork Breehantشوكة بريهانت</v>
          </cell>
          <cell r="E218" t="str">
            <v>1 Box X 500 Pcs</v>
          </cell>
          <cell r="F218" t="str">
            <v>Box</v>
          </cell>
          <cell r="G218">
            <v>2E-3</v>
          </cell>
          <cell r="H218">
            <v>400</v>
          </cell>
          <cell r="I218">
            <v>200000</v>
          </cell>
          <cell r="J218">
            <v>14</v>
          </cell>
          <cell r="K218">
            <v>112000.00000000001</v>
          </cell>
          <cell r="L218">
            <v>8500</v>
          </cell>
          <cell r="M218">
            <v>1.2750000000000001</v>
          </cell>
          <cell r="N218" t="str">
            <v>ORDER NOW</v>
          </cell>
          <cell r="O218" t="str">
            <v>CRITICAL</v>
          </cell>
          <cell r="P218">
            <v>46141.525543981479</v>
          </cell>
        </row>
        <row r="219">
          <cell r="C219" t="str">
            <v>RM-00077</v>
          </cell>
          <cell r="D219" t="str">
            <v>Milk chocolate drops 37% ( CREA ) شوكولاتة بالحليب اقراص ( كريا )</v>
          </cell>
          <cell r="E219" t="str">
            <v>1 Box X 2 Bag X 6 KG</v>
          </cell>
          <cell r="F219" t="str">
            <v>Box</v>
          </cell>
          <cell r="G219">
            <v>8.3333333333333329E-2</v>
          </cell>
          <cell r="H219">
            <v>2700</v>
          </cell>
          <cell r="I219">
            <v>32400</v>
          </cell>
          <cell r="J219">
            <v>14</v>
          </cell>
          <cell r="K219">
            <v>18144</v>
          </cell>
          <cell r="L219">
            <v>1440</v>
          </cell>
          <cell r="M219">
            <v>1.3333333333333335</v>
          </cell>
          <cell r="N219" t="str">
            <v>ORDER NOW</v>
          </cell>
          <cell r="O219" t="str">
            <v>CRITICAL</v>
          </cell>
          <cell r="P219">
            <v>46140.60601851852</v>
          </cell>
        </row>
        <row r="220">
          <cell r="C220" t="str">
            <v>PM-00442</v>
          </cell>
          <cell r="D220" t="str">
            <v>Salted Caramel Brownie Stickers  (Namq) ستيكر براوني كراميل مملح  مقاس 5سم( نمق )</v>
          </cell>
          <cell r="E220" t="str">
            <v xml:space="preserve">1 Box X 500 Pcs </v>
          </cell>
          <cell r="F220" t="str">
            <v>Box</v>
          </cell>
          <cell r="G220">
            <v>2E-3</v>
          </cell>
          <cell r="H220">
            <v>20</v>
          </cell>
          <cell r="I220">
            <v>10000</v>
          </cell>
          <cell r="J220">
            <v>14</v>
          </cell>
          <cell r="K220">
            <v>5600.0000000000009</v>
          </cell>
          <cell r="L220">
            <v>500</v>
          </cell>
          <cell r="M220">
            <v>1.5</v>
          </cell>
          <cell r="N220" t="str">
            <v>ORDER NOW</v>
          </cell>
          <cell r="O220" t="str">
            <v>CRITICAL</v>
          </cell>
          <cell r="P220">
            <v>46141.525763888887</v>
          </cell>
        </row>
        <row r="221">
          <cell r="C221" t="str">
            <v>CO-00493</v>
          </cell>
          <cell r="D221" t="str">
            <v>Retina Diffuser Screw For La Marzocco IMS Shower Screen مسمار شاور سكرين لامارزوكو - 6 فتحات</v>
          </cell>
          <cell r="E221" t="str">
            <v>Pcs.</v>
          </cell>
          <cell r="F221" t="str">
            <v>Pcs</v>
          </cell>
          <cell r="G221">
            <v>1</v>
          </cell>
          <cell r="H221">
            <v>99</v>
          </cell>
          <cell r="I221">
            <v>99</v>
          </cell>
          <cell r="J221">
            <v>14</v>
          </cell>
          <cell r="K221">
            <v>55.440000000000005</v>
          </cell>
          <cell r="L221">
            <v>5</v>
          </cell>
          <cell r="M221">
            <v>1.5151515151515151</v>
          </cell>
          <cell r="N221" t="str">
            <v>ORDER NOW</v>
          </cell>
          <cell r="O221" t="str">
            <v>CRITICAL</v>
          </cell>
          <cell r="P221">
            <v>46128.695069444446</v>
          </cell>
        </row>
        <row r="222">
          <cell r="C222" t="str">
            <v>PM-00239</v>
          </cell>
          <cell r="D222" t="str">
            <v>FETCO Paper Filter فلتر ورقي لمكائن فتكو</v>
          </cell>
          <cell r="E222" t="str">
            <v>1 Box X 2 Case X 250 Pcs</v>
          </cell>
          <cell r="F222" t="str">
            <v>Box</v>
          </cell>
          <cell r="G222">
            <v>2E-3</v>
          </cell>
          <cell r="H222">
            <v>175</v>
          </cell>
          <cell r="I222">
            <v>87500</v>
          </cell>
          <cell r="J222">
            <v>14</v>
          </cell>
          <cell r="K222">
            <v>49000.000000000007</v>
          </cell>
          <cell r="L222">
            <v>5000</v>
          </cell>
          <cell r="M222">
            <v>1.7142857142857142</v>
          </cell>
          <cell r="N222" t="str">
            <v>ORDER NOW</v>
          </cell>
          <cell r="O222" t="str">
            <v>CRITICAL</v>
          </cell>
          <cell r="P222">
            <v>46141.52553240741</v>
          </cell>
        </row>
        <row r="223">
          <cell r="C223" t="str">
            <v>PM-00256</v>
          </cell>
          <cell r="D223" t="str">
            <v>Namq Fork شوكة نمق</v>
          </cell>
          <cell r="E223" t="str">
            <v>1 Box X 500 Pcs</v>
          </cell>
          <cell r="F223" t="str">
            <v>Box</v>
          </cell>
          <cell r="G223">
            <v>2E-3</v>
          </cell>
          <cell r="H223">
            <v>2338.5</v>
          </cell>
          <cell r="I223">
            <v>1169250</v>
          </cell>
          <cell r="J223">
            <v>14</v>
          </cell>
          <cell r="K223">
            <v>654780.00000000012</v>
          </cell>
          <cell r="L223">
            <v>69500</v>
          </cell>
          <cell r="M223">
            <v>1.7831943553559975</v>
          </cell>
          <cell r="N223" t="str">
            <v>ORDER NOW</v>
          </cell>
          <cell r="O223" t="str">
            <v>CRITICAL</v>
          </cell>
          <cell r="P223">
            <v>46140.606099537035</v>
          </cell>
        </row>
        <row r="224">
          <cell r="C224" t="str">
            <v>RM-00510</v>
          </cell>
          <cell r="D224" t="str">
            <v>Giffard Coconut Syrup  1L جيفارد شراب جوز الهند 1لتر</v>
          </cell>
          <cell r="E224" t="str">
            <v>1 Box * 6 Buttel *1L</v>
          </cell>
          <cell r="F224" t="str">
            <v>Box</v>
          </cell>
          <cell r="G224">
            <v>0.16666666666666666</v>
          </cell>
          <cell r="H224">
            <v>45</v>
          </cell>
          <cell r="I224">
            <v>270</v>
          </cell>
          <cell r="J224">
            <v>14</v>
          </cell>
          <cell r="K224">
            <v>151.20000000000002</v>
          </cell>
          <cell r="L224">
            <v>18</v>
          </cell>
          <cell r="M224">
            <v>2</v>
          </cell>
          <cell r="N224" t="str">
            <v>ORDER NOW</v>
          </cell>
          <cell r="O224" t="str">
            <v>CRITICAL</v>
          </cell>
          <cell r="P224">
            <v>46113.430914351855</v>
          </cell>
        </row>
        <row r="225">
          <cell r="C225" t="str">
            <v>PM-00443</v>
          </cell>
          <cell r="D225" t="str">
            <v>Caramel Bites Sticker  (Namq) ستيكر كارميل بايتس مقاس 5سم ( نمق )</v>
          </cell>
          <cell r="E225" t="str">
            <v>1 Roll X 1000 Pcs.</v>
          </cell>
          <cell r="F225" t="str">
            <v>Box</v>
          </cell>
          <cell r="G225">
            <v>1E-3</v>
          </cell>
          <cell r="H225">
            <v>8</v>
          </cell>
          <cell r="I225">
            <v>8000</v>
          </cell>
          <cell r="J225">
            <v>14</v>
          </cell>
          <cell r="K225">
            <v>4480</v>
          </cell>
          <cell r="L225">
            <v>1000</v>
          </cell>
          <cell r="M225">
            <v>2</v>
          </cell>
          <cell r="N225" t="str">
            <v>ORDER NOW</v>
          </cell>
          <cell r="O225" t="str">
            <v>CRITICAL</v>
          </cell>
          <cell r="P225">
            <v>46141.525833333333</v>
          </cell>
        </row>
        <row r="226">
          <cell r="C226" t="str">
            <v>RM-00536</v>
          </cell>
          <cell r="D226" t="str">
            <v>SYRUP RASPBERRY 1883 سيروب توت احمر</v>
          </cell>
          <cell r="E226" t="str">
            <v>1 Box X 6 Bottle X 1 Ltr</v>
          </cell>
          <cell r="F226" t="str">
            <v>Box</v>
          </cell>
          <cell r="G226">
            <v>0.16666666666666666</v>
          </cell>
          <cell r="H226">
            <v>5.5</v>
          </cell>
          <cell r="I226">
            <v>33</v>
          </cell>
          <cell r="J226">
            <v>14</v>
          </cell>
          <cell r="K226">
            <v>18.48</v>
          </cell>
          <cell r="L226">
            <v>24</v>
          </cell>
          <cell r="M226">
            <v>2.1818181818181817</v>
          </cell>
          <cell r="N226" t="str">
            <v>ORDER NOW</v>
          </cell>
          <cell r="O226" t="str">
            <v>CRITICAL</v>
          </cell>
          <cell r="P226">
            <v>46128.695138888892</v>
          </cell>
        </row>
        <row r="227">
          <cell r="C227" t="str">
            <v>PM-00238</v>
          </cell>
          <cell r="D227" t="str">
            <v>Toddy Cold Brew Filter تودي فلتر كولد برو</v>
          </cell>
          <cell r="E227" t="str">
            <v>1 Box X 50</v>
          </cell>
          <cell r="F227" t="str">
            <v>Box</v>
          </cell>
          <cell r="G227">
            <v>0.02</v>
          </cell>
          <cell r="H227">
            <v>79.5</v>
          </cell>
          <cell r="I227">
            <v>3975</v>
          </cell>
          <cell r="J227">
            <v>14</v>
          </cell>
          <cell r="K227">
            <v>2226</v>
          </cell>
          <cell r="L227">
            <v>350</v>
          </cell>
          <cell r="M227">
            <v>2.641509433962264</v>
          </cell>
          <cell r="N227" t="str">
            <v>ORDER NOW</v>
          </cell>
          <cell r="O227" t="str">
            <v>CRITICAL</v>
          </cell>
          <cell r="P227">
            <v>46128.687743055554</v>
          </cell>
        </row>
        <row r="228">
          <cell r="C228" t="str">
            <v>CO-00490</v>
          </cell>
          <cell r="D228" t="str">
            <v>Toddy Timerمؤقت تودي</v>
          </cell>
          <cell r="E228" t="str">
            <v>Pcs.</v>
          </cell>
          <cell r="F228" t="str">
            <v>Pcs</v>
          </cell>
          <cell r="G228">
            <v>1</v>
          </cell>
          <cell r="H228">
            <v>134</v>
          </cell>
          <cell r="I228">
            <v>134</v>
          </cell>
          <cell r="J228">
            <v>14</v>
          </cell>
          <cell r="K228">
            <v>75.040000000000006</v>
          </cell>
          <cell r="L228">
            <v>12</v>
          </cell>
          <cell r="M228">
            <v>2.6865671641791042</v>
          </cell>
          <cell r="N228" t="str">
            <v>ORDER NOW</v>
          </cell>
          <cell r="O228" t="str">
            <v>CRITICAL</v>
          </cell>
          <cell r="P228">
            <v>46113.430949074071</v>
          </cell>
        </row>
        <row r="229">
          <cell r="C229" t="str">
            <v>RM-00490</v>
          </cell>
          <cell r="D229" t="str">
            <v>Sasa Salt ملح ساسا</v>
          </cell>
          <cell r="E229" t="str">
            <v>1 Box X 24 Pcs X 700 Grm</v>
          </cell>
          <cell r="F229" t="str">
            <v>Box</v>
          </cell>
          <cell r="G229">
            <v>5.9523809523809534E-2</v>
          </cell>
          <cell r="H229">
            <v>16</v>
          </cell>
          <cell r="I229">
            <v>268.79999999999995</v>
          </cell>
          <cell r="J229">
            <v>14</v>
          </cell>
          <cell r="K229">
            <v>150.52799999999999</v>
          </cell>
          <cell r="L229">
            <v>25.199999999999996</v>
          </cell>
          <cell r="M229">
            <v>2.8125</v>
          </cell>
          <cell r="N229" t="str">
            <v>ORDER NOW</v>
          </cell>
          <cell r="O229" t="str">
            <v>CRITICAL</v>
          </cell>
          <cell r="P229">
            <v>46141.525590277779</v>
          </cell>
        </row>
        <row r="230">
          <cell r="C230" t="str">
            <v>PM-00660</v>
          </cell>
          <cell r="D230" t="str">
            <v>سليف صحن البروكيز | tray sleeve for brokes</v>
          </cell>
          <cell r="E230" t="str">
            <v>1 Bundle X 1000 Pcs</v>
          </cell>
          <cell r="F230" t="str">
            <v>Box</v>
          </cell>
          <cell r="G230">
            <v>1E-3</v>
          </cell>
          <cell r="H230">
            <v>10</v>
          </cell>
          <cell r="I230">
            <v>10000</v>
          </cell>
          <cell r="J230">
            <v>14</v>
          </cell>
          <cell r="K230">
            <v>5600.0000000000009</v>
          </cell>
          <cell r="L230">
            <v>1000</v>
          </cell>
          <cell r="M230">
            <v>3</v>
          </cell>
          <cell r="N230" t="str">
            <v>ORDER NOW</v>
          </cell>
          <cell r="O230" t="str">
            <v>CRITICAL</v>
          </cell>
          <cell r="P230">
            <v>46140.605983796297</v>
          </cell>
        </row>
        <row r="231">
          <cell r="C231" t="str">
            <v>PM-00251</v>
          </cell>
          <cell r="D231" t="str">
            <v xml:space="preserve">4 Oz Sauce Cup plasticعلبة صوص 4 اونصه بلاستيك </v>
          </cell>
          <cell r="E231" t="str">
            <v>1 Box X 20 Pack X 100 Pcs</v>
          </cell>
          <cell r="F231" t="str">
            <v>Box</v>
          </cell>
          <cell r="G231">
            <v>5.0000000000000001E-4</v>
          </cell>
          <cell r="H231">
            <v>145.5</v>
          </cell>
          <cell r="I231">
            <v>291000</v>
          </cell>
          <cell r="J231">
            <v>14</v>
          </cell>
          <cell r="K231">
            <v>162960.00000000003</v>
          </cell>
          <cell r="L231">
            <v>34000</v>
          </cell>
          <cell r="M231">
            <v>3.5051546391752577</v>
          </cell>
          <cell r="N231" t="str">
            <v>ORDER NOW</v>
          </cell>
          <cell r="O231" t="str">
            <v>CRITICAL</v>
          </cell>
          <cell r="P231">
            <v>46141.525659722225</v>
          </cell>
        </row>
        <row r="232">
          <cell r="C232" t="str">
            <v>PM-00642</v>
          </cell>
          <cell r="D232" t="str">
            <v>200ml glass cup -  كوب زجاجي 200 مل</v>
          </cell>
          <cell r="E232" t="str">
            <v>Pcs.</v>
          </cell>
          <cell r="F232" t="str">
            <v>Pcs</v>
          </cell>
          <cell r="G232">
            <v>1</v>
          </cell>
          <cell r="H232">
            <v>660</v>
          </cell>
          <cell r="I232">
            <v>660</v>
          </cell>
          <cell r="J232">
            <v>14</v>
          </cell>
          <cell r="K232">
            <v>369.6</v>
          </cell>
          <cell r="L232">
            <v>81</v>
          </cell>
          <cell r="M232">
            <v>3.6818181818181817</v>
          </cell>
          <cell r="N232" t="str">
            <v>ORDER NOW</v>
          </cell>
          <cell r="O232" t="str">
            <v>CRITICAL</v>
          </cell>
          <cell r="P232">
            <v>46128.695185185185</v>
          </cell>
        </row>
        <row r="233">
          <cell r="C233" t="str">
            <v>PM-00045</v>
          </cell>
          <cell r="D233" t="str">
            <v>Breehant Paper Bag Big -  كيس ورقي كبير  بريهانت</v>
          </cell>
          <cell r="E233" t="str">
            <v>1 Box X 100 Pcs</v>
          </cell>
          <cell r="F233" t="str">
            <v>Box</v>
          </cell>
          <cell r="G233">
            <v>0.01</v>
          </cell>
          <cell r="H233">
            <v>160</v>
          </cell>
          <cell r="I233">
            <v>16000</v>
          </cell>
          <cell r="J233">
            <v>14</v>
          </cell>
          <cell r="K233">
            <v>8960</v>
          </cell>
          <cell r="L233">
            <v>2050</v>
          </cell>
          <cell r="M233">
            <v>3.8437499999999996</v>
          </cell>
          <cell r="N233" t="str">
            <v>ORDER NOW</v>
          </cell>
          <cell r="O233" t="str">
            <v>CRITICAL</v>
          </cell>
          <cell r="P233">
            <v>46141.525671296295</v>
          </cell>
        </row>
        <row r="234">
          <cell r="C234" t="str">
            <v>RM-00085</v>
          </cell>
          <cell r="D234" t="str">
            <v>CARAMEL SPECIALTY | حشوة سولتيد كراميل</v>
          </cell>
          <cell r="E234" t="str">
            <v>1 Tin x 6 KG</v>
          </cell>
          <cell r="F234" t="str">
            <v>Pcs</v>
          </cell>
          <cell r="G234">
            <v>0.16666666666666666</v>
          </cell>
          <cell r="H234">
            <v>35.5</v>
          </cell>
          <cell r="I234">
            <v>213</v>
          </cell>
          <cell r="J234">
            <v>14</v>
          </cell>
          <cell r="K234">
            <v>119.28000000000002</v>
          </cell>
          <cell r="L234">
            <v>54</v>
          </cell>
          <cell r="M234">
            <v>3.8571428571428568</v>
          </cell>
          <cell r="N234" t="str">
            <v>ORDER NOW</v>
          </cell>
          <cell r="O234" t="str">
            <v>CRITICAL</v>
          </cell>
          <cell r="P234">
            <v>46128.695208333331</v>
          </cell>
        </row>
        <row r="235">
          <cell r="C235" t="str">
            <v>RM-00569</v>
          </cell>
          <cell r="D235" t="str">
            <v>Syrup Pomegranate Teisseire سيروب تيسير رمان</v>
          </cell>
          <cell r="E235" t="str">
            <v>1 Box X 6 Bottle X 1 Ltr</v>
          </cell>
          <cell r="F235" t="str">
            <v>Box</v>
          </cell>
          <cell r="G235">
            <v>0.16666666666666666</v>
          </cell>
          <cell r="H235">
            <v>30.5</v>
          </cell>
          <cell r="I235">
            <v>183</v>
          </cell>
          <cell r="J235">
            <v>14</v>
          </cell>
          <cell r="K235">
            <v>102.48</v>
          </cell>
          <cell r="L235">
            <v>24</v>
          </cell>
          <cell r="M235">
            <v>3.9344262295081971</v>
          </cell>
          <cell r="N235" t="str">
            <v>ORDER NOW</v>
          </cell>
          <cell r="O235" t="str">
            <v>CRITICAL</v>
          </cell>
          <cell r="P235">
            <v>46128.695219907408</v>
          </cell>
        </row>
        <row r="236">
          <cell r="C236" t="str">
            <v>RM-00022</v>
          </cell>
          <cell r="D236" t="str">
            <v>Henri Gouda Mild Chesse جبن قودا</v>
          </cell>
          <cell r="E236" t="str">
            <v>KG</v>
          </cell>
          <cell r="F236" t="str">
            <v>Pcs</v>
          </cell>
          <cell r="G236">
            <v>1</v>
          </cell>
          <cell r="H236">
            <v>15</v>
          </cell>
          <cell r="I236">
            <v>15</v>
          </cell>
          <cell r="J236">
            <v>14</v>
          </cell>
          <cell r="K236">
            <v>8.4</v>
          </cell>
          <cell r="L236">
            <v>2</v>
          </cell>
          <cell r="M236">
            <v>4</v>
          </cell>
          <cell r="N236" t="str">
            <v>ORDER NOW</v>
          </cell>
          <cell r="O236" t="str">
            <v>CRITICAL</v>
          </cell>
          <cell r="P236">
            <v>46131.432025462964</v>
          </cell>
        </row>
        <row r="237">
          <cell r="C237" t="str">
            <v>RM-00515</v>
          </cell>
          <cell r="D237" t="str">
            <v>Mango filling &amp; Topping FRUTTOSE 85% حشوة مانجو</v>
          </cell>
          <cell r="E237" t="str">
            <v>1 Pcs X 610 G</v>
          </cell>
          <cell r="F237" t="str">
            <v>Pcs</v>
          </cell>
          <cell r="G237">
            <v>1.639344262295082</v>
          </cell>
          <cell r="H237">
            <v>82.5</v>
          </cell>
          <cell r="I237">
            <v>50.324999999999996</v>
          </cell>
          <cell r="J237">
            <v>14</v>
          </cell>
          <cell r="K237">
            <v>28.181999999999999</v>
          </cell>
          <cell r="L237">
            <v>6.71</v>
          </cell>
          <cell r="M237">
            <v>4</v>
          </cell>
          <cell r="N237" t="str">
            <v>ORDER NOW</v>
          </cell>
          <cell r="O237" t="str">
            <v>CRITICAL</v>
          </cell>
          <cell r="P237">
            <v>46113.430960648147</v>
          </cell>
        </row>
        <row r="238">
          <cell r="C238" t="str">
            <v>CO-00003</v>
          </cell>
          <cell r="D238" t="str">
            <v>Acrylic Allergens with stand A4 ( NAMQ ) اكريلك مسببات الحساسية مع قاعدة  ( نمق)</v>
          </cell>
          <cell r="E238" t="str">
            <v>1 Pcs</v>
          </cell>
          <cell r="F238" t="str">
            <v>Pcs</v>
          </cell>
          <cell r="G238">
            <v>1</v>
          </cell>
          <cell r="H238">
            <v>93.5</v>
          </cell>
          <cell r="I238">
            <v>93.5</v>
          </cell>
          <cell r="J238">
            <v>14</v>
          </cell>
          <cell r="K238">
            <v>52.360000000000007</v>
          </cell>
          <cell r="L238">
            <v>13</v>
          </cell>
          <cell r="M238">
            <v>4.1711229946524062</v>
          </cell>
          <cell r="N238" t="str">
            <v>ORDER NOW</v>
          </cell>
          <cell r="O238" t="str">
            <v>CRITICAL</v>
          </cell>
          <cell r="P238">
            <v>46128.6952662037</v>
          </cell>
        </row>
        <row r="239">
          <cell r="C239" t="str">
            <v>PM-00332</v>
          </cell>
          <cell r="D239" t="str">
            <v>Printed cash roll Four colors size 80 x 70 , 37 meter (NAMQ ) ورق كاشير مطبوع ( نمق )</v>
          </cell>
          <cell r="E239" t="str">
            <v>1 Box X 50 Roll</v>
          </cell>
          <cell r="F239" t="str">
            <v>Box</v>
          </cell>
          <cell r="G239">
            <v>0.02</v>
          </cell>
          <cell r="H239">
            <v>71.5</v>
          </cell>
          <cell r="I239">
            <v>3575</v>
          </cell>
          <cell r="J239">
            <v>14</v>
          </cell>
          <cell r="K239">
            <v>2002.0000000000002</v>
          </cell>
          <cell r="L239">
            <v>500</v>
          </cell>
          <cell r="M239">
            <v>4.1958041958041958</v>
          </cell>
          <cell r="N239" t="str">
            <v>ORDER NOW</v>
          </cell>
          <cell r="O239" t="str">
            <v>CRITICAL</v>
          </cell>
          <cell r="P239">
            <v>46140.606423611112</v>
          </cell>
        </row>
        <row r="240">
          <cell r="C240" t="str">
            <v>CO-00316</v>
          </cell>
          <cell r="D240" t="str">
            <v>LABEL PRINTER TAPE 12MM ورق طابعة الوصفات</v>
          </cell>
          <cell r="E240" t="str">
            <v>Pcs.</v>
          </cell>
          <cell r="F240" t="str">
            <v>Pcs</v>
          </cell>
          <cell r="G240">
            <v>1</v>
          </cell>
          <cell r="H240">
            <v>279</v>
          </cell>
          <cell r="I240">
            <v>279</v>
          </cell>
          <cell r="J240">
            <v>14</v>
          </cell>
          <cell r="K240">
            <v>156.24</v>
          </cell>
          <cell r="L240">
            <v>40</v>
          </cell>
          <cell r="M240">
            <v>4.301075268817204</v>
          </cell>
          <cell r="N240" t="str">
            <v>ORDER NOW</v>
          </cell>
          <cell r="O240" t="str">
            <v>CRITICAL</v>
          </cell>
          <cell r="P240">
            <v>46134.446377314816</v>
          </cell>
        </row>
        <row r="241">
          <cell r="C241" t="str">
            <v>RM-00607</v>
          </cell>
          <cell r="D241" t="str">
            <v>alsuman tea شاي الصمان</v>
          </cell>
          <cell r="E241" t="str">
            <v>1 Box X 20 Pcs X 400 grm</v>
          </cell>
          <cell r="F241" t="str">
            <v>Box</v>
          </cell>
          <cell r="G241">
            <v>1.25E-4</v>
          </cell>
          <cell r="H241">
            <v>27.5</v>
          </cell>
          <cell r="I241">
            <v>220000</v>
          </cell>
          <cell r="J241">
            <v>14</v>
          </cell>
          <cell r="K241">
            <v>123200.00000000001</v>
          </cell>
          <cell r="L241">
            <v>32000</v>
          </cell>
          <cell r="M241">
            <v>4.3636363636363633</v>
          </cell>
          <cell r="N241" t="str">
            <v>ORDER NOW</v>
          </cell>
          <cell r="O241" t="str">
            <v>CRITICAL</v>
          </cell>
          <cell r="P241">
            <v>46141.525578703702</v>
          </cell>
        </row>
        <row r="242">
          <cell r="C242" t="str">
            <v>RM-00644</v>
          </cell>
          <cell r="D242" t="str">
            <v>Condensed milk 0.397 KG | حليب مكثف</v>
          </cell>
          <cell r="E242" t="str">
            <v>19.056 KG/24 kg</v>
          </cell>
          <cell r="F242" t="str">
            <v>Box</v>
          </cell>
          <cell r="G242">
            <v>5.2476910159529801E-2</v>
          </cell>
          <cell r="H242">
            <v>300</v>
          </cell>
          <cell r="I242">
            <v>5716.8000000000011</v>
          </cell>
          <cell r="J242">
            <v>14</v>
          </cell>
          <cell r="K242">
            <v>3201.4080000000008</v>
          </cell>
          <cell r="L242">
            <v>857.5200000000001</v>
          </cell>
          <cell r="M242">
            <v>4.5</v>
          </cell>
          <cell r="N242" t="str">
            <v>ORDER NOW</v>
          </cell>
          <cell r="O242" t="str">
            <v>CRITICAL</v>
          </cell>
          <cell r="P242">
            <v>46141.525983796295</v>
          </cell>
        </row>
        <row r="243">
          <cell r="C243" t="str">
            <v>CO-00135</v>
          </cell>
          <cell r="D243" t="str">
            <v>Puly Caff - Group Cleaning Powder 900g بودرة تنظيف مكائن الإسبريسو بولي كاف 900 جرام</v>
          </cell>
          <cell r="E243" t="str">
            <v>1 Pcs.</v>
          </cell>
          <cell r="F243" t="str">
            <v>Pcs</v>
          </cell>
          <cell r="G243">
            <v>1</v>
          </cell>
          <cell r="H243">
            <v>437.5</v>
          </cell>
          <cell r="I243">
            <v>437.5</v>
          </cell>
          <cell r="J243">
            <v>14</v>
          </cell>
          <cell r="K243">
            <v>245.00000000000003</v>
          </cell>
          <cell r="L243">
            <v>66.416666666666657</v>
          </cell>
          <cell r="M243">
            <v>4.5542857142857134</v>
          </cell>
          <cell r="N243" t="str">
            <v>ORDER NOW</v>
          </cell>
          <cell r="O243" t="str">
            <v>CRITICAL</v>
          </cell>
          <cell r="P243">
            <v>46128.687615740739</v>
          </cell>
        </row>
        <row r="244">
          <cell r="C244" t="str">
            <v>PM-00311</v>
          </cell>
          <cell r="D244" t="str">
            <v>ورق قصدير مقاس 35*25 (التاندو)   Aluminum foil 35*25 (tando)</v>
          </cell>
          <cell r="E244" t="str">
            <v>Box</v>
          </cell>
          <cell r="F244" t="str">
            <v>Box</v>
          </cell>
          <cell r="G244">
            <v>1E-3</v>
          </cell>
          <cell r="H244">
            <v>6</v>
          </cell>
          <cell r="I244">
            <v>6000</v>
          </cell>
          <cell r="J244">
            <v>14</v>
          </cell>
          <cell r="K244">
            <v>3360.0000000000005</v>
          </cell>
          <cell r="L244">
            <v>1000</v>
          </cell>
          <cell r="M244">
            <v>5</v>
          </cell>
          <cell r="N244" t="str">
            <v>ORDER NOW</v>
          </cell>
          <cell r="O244" t="str">
            <v>CRITICAL</v>
          </cell>
          <cell r="P244">
            <v>46141.525613425925</v>
          </cell>
        </row>
        <row r="245">
          <cell r="C245" t="str">
            <v>PM-00260</v>
          </cell>
          <cell r="D245" t="str">
            <v>two cup holder حامل اكواب ثنائي</v>
          </cell>
          <cell r="E245" t="str">
            <v>1 Box X 600 Pcs / 1 Box X 500 Pcs.</v>
          </cell>
          <cell r="F245" t="str">
            <v>Box</v>
          </cell>
          <cell r="G245">
            <v>1.6666666666666668E-3</v>
          </cell>
          <cell r="H245">
            <v>565.5</v>
          </cell>
          <cell r="I245">
            <v>339300</v>
          </cell>
          <cell r="J245">
            <v>14</v>
          </cell>
          <cell r="K245">
            <v>190008.00000000003</v>
          </cell>
          <cell r="L245">
            <v>57599.999999999993</v>
          </cell>
          <cell r="M245">
            <v>5.0928381962864719</v>
          </cell>
          <cell r="N245" t="str">
            <v>ORDER NOW</v>
          </cell>
          <cell r="O245" t="str">
            <v>CRITICAL</v>
          </cell>
          <cell r="P245">
            <v>46140.606192129628</v>
          </cell>
        </row>
        <row r="246">
          <cell r="C246" t="str">
            <v>CO-00377</v>
          </cell>
          <cell r="D246" t="str">
            <v>فرشاة تنظيف ايسبزولا مقاس 58</v>
          </cell>
          <cell r="E246" t="str">
            <v>1 Pcs</v>
          </cell>
          <cell r="F246" t="str">
            <v>Pcs</v>
          </cell>
          <cell r="G246">
            <v>1</v>
          </cell>
          <cell r="H246">
            <v>5.5</v>
          </cell>
          <cell r="I246">
            <v>5.5</v>
          </cell>
          <cell r="J246">
            <v>14</v>
          </cell>
          <cell r="K246">
            <v>3.08</v>
          </cell>
          <cell r="L246">
            <v>1</v>
          </cell>
          <cell r="M246">
            <v>5.454545454545455</v>
          </cell>
          <cell r="N246" t="str">
            <v>ORDER NOW</v>
          </cell>
          <cell r="O246" t="str">
            <v>CRITICAL</v>
          </cell>
          <cell r="P246">
            <v>46141.525636574072</v>
          </cell>
        </row>
        <row r="247">
          <cell r="C247" t="str">
            <v>PM-00509</v>
          </cell>
          <cell r="D247" t="str">
            <v>قاعدة كيك بريهانت المطبوعة 28سم Breehant Cake Base 28cm</v>
          </cell>
          <cell r="E247" t="str">
            <v>1 Box x 100</v>
          </cell>
          <cell r="F247" t="str">
            <v>Box</v>
          </cell>
          <cell r="G247">
            <v>0.01</v>
          </cell>
          <cell r="H247">
            <v>13</v>
          </cell>
          <cell r="I247">
            <v>1300</v>
          </cell>
          <cell r="J247">
            <v>14</v>
          </cell>
          <cell r="K247">
            <v>728.00000000000011</v>
          </cell>
          <cell r="L247">
            <v>2100</v>
          </cell>
          <cell r="M247">
            <v>6.3</v>
          </cell>
          <cell r="N247" t="str">
            <v>ORDER NOW</v>
          </cell>
          <cell r="O247" t="str">
            <v>CRITICAL</v>
          </cell>
          <cell r="P247">
            <v>46128.695173611108</v>
          </cell>
        </row>
        <row r="248">
          <cell r="C248" t="str">
            <v>RM-00068</v>
          </cell>
          <cell r="D248" t="str">
            <v>Kunafa Chocolate Bar | تشوكلت بار كنافة</v>
          </cell>
          <cell r="E248" t="str">
            <v>1 Pcs.</v>
          </cell>
          <cell r="F248" t="str">
            <v>Pcs</v>
          </cell>
          <cell r="G248">
            <v>2.0833333333333332E-2</v>
          </cell>
          <cell r="H248">
            <v>150</v>
          </cell>
          <cell r="I248">
            <v>7200</v>
          </cell>
          <cell r="J248">
            <v>14</v>
          </cell>
          <cell r="K248">
            <v>4032.0000000000005</v>
          </cell>
          <cell r="L248">
            <v>1822.4000000000015</v>
          </cell>
          <cell r="M248">
            <v>6.3277777777777828</v>
          </cell>
          <cell r="N248" t="str">
            <v>ORDER NOW</v>
          </cell>
          <cell r="O248" t="str">
            <v>CRITICAL</v>
          </cell>
          <cell r="P248">
            <v>46140.606828703705</v>
          </cell>
        </row>
        <row r="249">
          <cell r="C249" t="str">
            <v>CO-00057</v>
          </cell>
          <cell r="D249" t="str">
            <v>UberMilk Filters فلاتر اوبر ميلك</v>
          </cell>
          <cell r="E249" t="str">
            <v>1 Case X 140 Pcs</v>
          </cell>
          <cell r="F249" t="str">
            <v>case</v>
          </cell>
          <cell r="G249">
            <v>7.1428571428571426E-3</v>
          </cell>
          <cell r="H249">
            <v>46.5</v>
          </cell>
          <cell r="I249">
            <v>6510</v>
          </cell>
          <cell r="J249">
            <v>14</v>
          </cell>
          <cell r="K249">
            <v>3645.6000000000004</v>
          </cell>
          <cell r="L249">
            <v>1400</v>
          </cell>
          <cell r="M249">
            <v>6.4516129032258069</v>
          </cell>
          <cell r="N249" t="str">
            <v>ORDER NOW</v>
          </cell>
          <cell r="O249" t="str">
            <v>CRITICAL</v>
          </cell>
          <cell r="P249">
            <v>46140.606377314813</v>
          </cell>
        </row>
        <row r="250">
          <cell r="C250" t="str">
            <v>CO-00069</v>
          </cell>
          <cell r="D250" t="str">
            <v>Cotton Mop ممسحة ارضية قطن</v>
          </cell>
          <cell r="E250" t="str">
            <v>1 Pcs.</v>
          </cell>
          <cell r="F250" t="str">
            <v>Pcs</v>
          </cell>
          <cell r="G250">
            <v>1</v>
          </cell>
          <cell r="H250">
            <v>220</v>
          </cell>
          <cell r="I250">
            <v>220</v>
          </cell>
          <cell r="J250">
            <v>14</v>
          </cell>
          <cell r="K250">
            <v>123.20000000000002</v>
          </cell>
          <cell r="L250">
            <v>48</v>
          </cell>
          <cell r="M250">
            <v>6.545454545454545</v>
          </cell>
          <cell r="N250" t="str">
            <v>ORDER NOW</v>
          </cell>
          <cell r="O250" t="str">
            <v>CRITICAL</v>
          </cell>
          <cell r="P250">
            <v>46134.446388888886</v>
          </cell>
        </row>
        <row r="251">
          <cell r="C251" t="str">
            <v>RM-00583</v>
          </cell>
          <cell r="D251" t="str">
            <v>Almond Milk حليب لوز</v>
          </cell>
          <cell r="E251" t="str">
            <v>1 Box X 8 Bottle X 1 Ltr</v>
          </cell>
          <cell r="F251" t="str">
            <v>Box</v>
          </cell>
          <cell r="G251">
            <v>0.125</v>
          </cell>
          <cell r="H251">
            <v>70.5</v>
          </cell>
          <cell r="I251">
            <v>564</v>
          </cell>
          <cell r="J251">
            <v>14</v>
          </cell>
          <cell r="K251">
            <v>315.84000000000003</v>
          </cell>
          <cell r="L251">
            <v>128</v>
          </cell>
          <cell r="M251">
            <v>6.8085106382978724</v>
          </cell>
          <cell r="N251" t="str">
            <v>ORDER NOW</v>
          </cell>
          <cell r="O251" t="str">
            <v>CRITICAL</v>
          </cell>
          <cell r="P251">
            <v>46140.606458333335</v>
          </cell>
        </row>
        <row r="252">
          <cell r="C252" t="str">
            <v>CO-00474</v>
          </cell>
          <cell r="D252" t="str">
            <v>Brush - Preparation surface cleaning brush [20565856] فرشاة تنظيف اسطح التحضير</v>
          </cell>
          <cell r="E252" t="str">
            <v>1 Pcs</v>
          </cell>
          <cell r="F252" t="str">
            <v>Pcs</v>
          </cell>
          <cell r="G252">
            <v>1</v>
          </cell>
          <cell r="H252">
            <v>164</v>
          </cell>
          <cell r="I252">
            <v>164</v>
          </cell>
          <cell r="J252">
            <v>14</v>
          </cell>
          <cell r="K252">
            <v>91.84</v>
          </cell>
          <cell r="L252">
            <v>40</v>
          </cell>
          <cell r="M252">
            <v>7.3170731707317067</v>
          </cell>
          <cell r="N252" t="str">
            <v>ORDER NOW</v>
          </cell>
          <cell r="O252" t="str">
            <v>CRITICAL</v>
          </cell>
          <cell r="P252">
            <v>46118.497893518521</v>
          </cell>
        </row>
        <row r="253">
          <cell r="C253" t="str">
            <v>PM-00503</v>
          </cell>
          <cell r="D253" t="str">
            <v>Sunset Passion Drink Sticker - استيكر مشروب سنسيت باشن محتاج</v>
          </cell>
          <cell r="E253" t="str">
            <v>1 Box X 500</v>
          </cell>
          <cell r="F253" t="str">
            <v>Box</v>
          </cell>
          <cell r="G253">
            <v>2E-3</v>
          </cell>
          <cell r="H253">
            <v>24</v>
          </cell>
          <cell r="I253">
            <v>12000</v>
          </cell>
          <cell r="J253">
            <v>14</v>
          </cell>
          <cell r="K253">
            <v>6720.0000000000009</v>
          </cell>
          <cell r="L253">
            <v>3000</v>
          </cell>
          <cell r="M253">
            <v>7.5</v>
          </cell>
          <cell r="N253" t="str">
            <v>ORDER NOW</v>
          </cell>
          <cell r="O253" t="str">
            <v>CRITICAL</v>
          </cell>
          <cell r="P253">
            <v>46128.695636574077</v>
          </cell>
        </row>
        <row r="254">
          <cell r="C254" t="str">
            <v>PM-00263</v>
          </cell>
          <cell r="D254" t="str">
            <v>Cling Film رول تغليف نايلون</v>
          </cell>
          <cell r="E254" t="str">
            <v>Pcs.</v>
          </cell>
          <cell r="F254" t="str">
            <v>Pcs</v>
          </cell>
          <cell r="G254">
            <v>1</v>
          </cell>
          <cell r="H254">
            <v>400</v>
          </cell>
          <cell r="I254">
            <v>400</v>
          </cell>
          <cell r="J254">
            <v>14</v>
          </cell>
          <cell r="K254">
            <v>224.00000000000003</v>
          </cell>
          <cell r="L254">
            <v>105</v>
          </cell>
          <cell r="M254">
            <v>7.875</v>
          </cell>
          <cell r="N254" t="str">
            <v>ORDER NOW</v>
          </cell>
          <cell r="O254" t="str">
            <v>CRITICAL</v>
          </cell>
          <cell r="P254">
            <v>46141.525717592594</v>
          </cell>
        </row>
        <row r="255">
          <cell r="C255" t="str">
            <v>PM-00368</v>
          </cell>
          <cell r="D255" t="str">
            <v>Spanish sticker roll رول استيكر سبانش</v>
          </cell>
          <cell r="E255" t="str">
            <v>1 Box X 1000 Pcs</v>
          </cell>
          <cell r="F255" t="str">
            <v>Box</v>
          </cell>
          <cell r="G255">
            <v>1E-3</v>
          </cell>
          <cell r="H255">
            <v>4</v>
          </cell>
          <cell r="I255">
            <v>4000</v>
          </cell>
          <cell r="J255">
            <v>14</v>
          </cell>
          <cell r="K255">
            <v>2240</v>
          </cell>
          <cell r="L255">
            <v>4000</v>
          </cell>
          <cell r="M255">
            <v>8</v>
          </cell>
          <cell r="N255" t="str">
            <v>ORDER NOW</v>
          </cell>
          <cell r="O255" t="str">
            <v>CRITICAL</v>
          </cell>
          <cell r="P255">
            <v>46128.688148148147</v>
          </cell>
        </row>
        <row r="256">
          <cell r="C256" t="str">
            <v>PM-00057</v>
          </cell>
          <cell r="D256" t="str">
            <v>كيس بلاستيك ضبابي نمق  لحامل الاكواب الثنائي  مقاس 30سم *33سم مع لاصق اغلاق Namq Small Foggy Plastic Bag 33cm*30cm</v>
          </cell>
          <cell r="E256" t="str">
            <v>1 Box X 11 Kg (615 Pcs)</v>
          </cell>
          <cell r="F256" t="str">
            <v>Box</v>
          </cell>
          <cell r="G256">
            <v>1.6260162601626016E-3</v>
          </cell>
          <cell r="H256">
            <v>544.5</v>
          </cell>
          <cell r="I256">
            <v>334867.5</v>
          </cell>
          <cell r="J256">
            <v>14</v>
          </cell>
          <cell r="K256">
            <v>187525.80000000002</v>
          </cell>
          <cell r="L256">
            <v>90405</v>
          </cell>
          <cell r="M256">
            <v>8.0991735537190088</v>
          </cell>
          <cell r="N256" t="str">
            <v>ORDER NOW</v>
          </cell>
          <cell r="O256" t="str">
            <v>CRITICAL</v>
          </cell>
          <cell r="P256">
            <v>46140.606435185182</v>
          </cell>
        </row>
        <row r="257">
          <cell r="C257" t="str">
            <v>CO-00099</v>
          </cell>
          <cell r="D257" t="str">
            <v>hand sleevs غطا معصم</v>
          </cell>
          <cell r="E257" t="str">
            <v xml:space="preserve">1 Box X 2000 pcs </v>
          </cell>
          <cell r="F257" t="str">
            <v>Box</v>
          </cell>
          <cell r="G257">
            <v>5.0000000000000001E-4</v>
          </cell>
          <cell r="H257">
            <v>125</v>
          </cell>
          <cell r="I257">
            <v>250000</v>
          </cell>
          <cell r="J257">
            <v>14</v>
          </cell>
          <cell r="K257">
            <v>140000</v>
          </cell>
          <cell r="L257">
            <v>68000</v>
          </cell>
          <cell r="M257">
            <v>8.16</v>
          </cell>
          <cell r="N257" t="str">
            <v>ORDER NOW</v>
          </cell>
          <cell r="O257" t="str">
            <v>CRITICAL</v>
          </cell>
          <cell r="P257">
            <v>46140.606712962966</v>
          </cell>
        </row>
        <row r="258">
          <cell r="C258" t="str">
            <v>CO-00467</v>
          </cell>
          <cell r="D258" t="str">
            <v>Glass cup 65ml كوب زجاج 65 ملي  لتقديم المياه الغازية</v>
          </cell>
          <cell r="E258" t="str">
            <v>1 Box X 6 Pcs</v>
          </cell>
          <cell r="F258" t="str">
            <v>Box</v>
          </cell>
          <cell r="G258">
            <v>0.16666666666666666</v>
          </cell>
          <cell r="H258">
            <v>22</v>
          </cell>
          <cell r="I258">
            <v>132</v>
          </cell>
          <cell r="J258">
            <v>14</v>
          </cell>
          <cell r="K258">
            <v>73.92</v>
          </cell>
          <cell r="L258">
            <v>36</v>
          </cell>
          <cell r="M258">
            <v>8.1818181818181817</v>
          </cell>
          <cell r="N258" t="str">
            <v>ORDER NOW</v>
          </cell>
          <cell r="O258" t="str">
            <v>CRITICAL</v>
          </cell>
          <cell r="P258">
            <v>46141.525729166664</v>
          </cell>
        </row>
        <row r="259">
          <cell r="C259" t="str">
            <v>CO-00326</v>
          </cell>
          <cell r="D259" t="str">
            <v>Essprsso Machine Cleaning Brush - Pallo فرشاة تنظيف ماكينة اسبريسو</v>
          </cell>
          <cell r="E259" t="str">
            <v>Pcs.</v>
          </cell>
          <cell r="F259" t="str">
            <v>Pcs</v>
          </cell>
          <cell r="G259">
            <v>1</v>
          </cell>
          <cell r="H259">
            <v>66</v>
          </cell>
          <cell r="I259">
            <v>66</v>
          </cell>
          <cell r="J259">
            <v>14</v>
          </cell>
          <cell r="K259">
            <v>36.96</v>
          </cell>
          <cell r="L259">
            <v>18</v>
          </cell>
          <cell r="M259">
            <v>8.1818181818181817</v>
          </cell>
          <cell r="N259" t="str">
            <v>ORDER NOW</v>
          </cell>
          <cell r="O259" t="str">
            <v>CRITICAL</v>
          </cell>
          <cell r="P259">
            <v>46113.430960648147</v>
          </cell>
        </row>
        <row r="260">
          <cell r="C260" t="str">
            <v>PM-00242</v>
          </cell>
          <cell r="D260" t="str">
            <v>Cafec V60 Filter 02 Coffee Filter كافيك فلاتر ترشيح ورقية - مقاس 02</v>
          </cell>
          <cell r="E260" t="str">
            <v>1 Box X 80 Case X 100 PCS</v>
          </cell>
          <cell r="F260" t="str">
            <v>Box</v>
          </cell>
          <cell r="G260">
            <v>1.25E-4</v>
          </cell>
          <cell r="H260">
            <v>25</v>
          </cell>
          <cell r="I260">
            <v>200000</v>
          </cell>
          <cell r="J260">
            <v>14</v>
          </cell>
          <cell r="K260">
            <v>112000.00000000001</v>
          </cell>
          <cell r="L260">
            <v>55339.99999999992</v>
          </cell>
          <cell r="M260">
            <v>8.3009999999999877</v>
          </cell>
          <cell r="N260" t="str">
            <v>ORDER NOW</v>
          </cell>
          <cell r="O260" t="str">
            <v>CRITICAL</v>
          </cell>
          <cell r="P260">
            <v>46141.525821759256</v>
          </cell>
        </row>
        <row r="261">
          <cell r="C261" t="str">
            <v>PM-00609</v>
          </cell>
          <cell r="D261" t="str">
            <v>ChocolateMadrid Cheesecake Box بوكس تشيز كيك مدريد بالشوكولاته</v>
          </cell>
          <cell r="E261" t="str">
            <v>1 Box X  100</v>
          </cell>
          <cell r="F261" t="str">
            <v>Box</v>
          </cell>
          <cell r="G261">
            <v>0.01</v>
          </cell>
          <cell r="H261">
            <v>250</v>
          </cell>
          <cell r="I261">
            <v>25000</v>
          </cell>
          <cell r="J261">
            <v>14</v>
          </cell>
          <cell r="K261">
            <v>14000.000000000002</v>
          </cell>
          <cell r="L261">
            <v>7240</v>
          </cell>
          <cell r="M261">
            <v>8.6880000000000006</v>
          </cell>
          <cell r="N261" t="str">
            <v>ORDER NOW</v>
          </cell>
          <cell r="O261" t="str">
            <v>CRITICAL</v>
          </cell>
          <cell r="P261">
            <v>46128.695451388892</v>
          </cell>
        </row>
        <row r="262">
          <cell r="C262" t="str">
            <v>PM-00432</v>
          </cell>
          <cell r="D262" t="str">
            <v xml:space="preserve">Iced tea sticker for glass container (BREEHANT)استيكر الشاي المثلج </v>
          </cell>
          <cell r="E262" t="str">
            <v>1 Box X 500 Pcs</v>
          </cell>
          <cell r="F262" t="str">
            <v>Box</v>
          </cell>
          <cell r="G262">
            <v>1</v>
          </cell>
          <cell r="H262">
            <v>10</v>
          </cell>
          <cell r="I262">
            <v>10</v>
          </cell>
          <cell r="J262">
            <v>14</v>
          </cell>
          <cell r="K262">
            <v>5.6000000000000005</v>
          </cell>
          <cell r="L262">
            <v>3</v>
          </cell>
          <cell r="M262">
            <v>9</v>
          </cell>
          <cell r="N262" t="str">
            <v>ORDER NOW</v>
          </cell>
          <cell r="O262" t="str">
            <v>CRITICAL</v>
          </cell>
          <cell r="P262">
            <v>46141.525775462964</v>
          </cell>
        </row>
        <row r="263">
          <cell r="C263" t="str">
            <v>CO-00204</v>
          </cell>
          <cell r="D263" t="str">
            <v>Insect Killer Stick لاصق ناموس</v>
          </cell>
          <cell r="E263" t="str">
            <v>1 Bundle X6 PCS</v>
          </cell>
          <cell r="F263" t="str">
            <v>bundel</v>
          </cell>
          <cell r="G263">
            <v>0.16666666666666666</v>
          </cell>
          <cell r="H263">
            <v>570</v>
          </cell>
          <cell r="I263">
            <v>3420</v>
          </cell>
          <cell r="J263">
            <v>14</v>
          </cell>
          <cell r="K263">
            <v>1915.2000000000003</v>
          </cell>
          <cell r="L263">
            <v>1056</v>
          </cell>
          <cell r="M263">
            <v>9.2631578947368425</v>
          </cell>
          <cell r="N263" t="str">
            <v>ORDER NOW</v>
          </cell>
          <cell r="O263" t="str">
            <v>CRITICAL</v>
          </cell>
          <cell r="P263">
            <v>46140.606400462966</v>
          </cell>
        </row>
        <row r="264">
          <cell r="C264" t="str">
            <v>PM-00666</v>
          </cell>
          <cell r="D264" t="str">
            <v>سليف بار كراميل بايتس |  Caramel Bites Bar sleeve</v>
          </cell>
          <cell r="E264" t="str">
            <v>1 Box X 1600 Pcs</v>
          </cell>
          <cell r="F264" t="str">
            <v>Box</v>
          </cell>
          <cell r="G264">
            <v>6.2500000000000001E-4</v>
          </cell>
          <cell r="H264">
            <v>16</v>
          </cell>
          <cell r="I264">
            <v>25600</v>
          </cell>
          <cell r="J264">
            <v>14</v>
          </cell>
          <cell r="K264">
            <v>14336.000000000002</v>
          </cell>
          <cell r="L264">
            <v>8160.0000000000018</v>
          </cell>
          <cell r="M264">
            <v>9.5625000000000036</v>
          </cell>
          <cell r="N264" t="str">
            <v>ORDER NOW</v>
          </cell>
          <cell r="O264" t="str">
            <v>CRITICAL</v>
          </cell>
          <cell r="P264">
            <v>46141.525995370372</v>
          </cell>
        </row>
        <row r="265">
          <cell r="C265" t="str">
            <v>PM-00091</v>
          </cell>
          <cell r="D265" t="str">
            <v>BREEHANT Coffee Paper Box 1 Ltr بريهانت كرتون القهوة سعة 1 لتر</v>
          </cell>
          <cell r="E265" t="str">
            <v>1 Box X 50 Pcs</v>
          </cell>
          <cell r="F265" t="str">
            <v>Box</v>
          </cell>
          <cell r="G265">
            <v>0.01</v>
          </cell>
          <cell r="H265">
            <v>75</v>
          </cell>
          <cell r="I265">
            <v>7500</v>
          </cell>
          <cell r="J265">
            <v>14</v>
          </cell>
          <cell r="K265">
            <v>4200</v>
          </cell>
          <cell r="L265">
            <v>2600</v>
          </cell>
          <cell r="M265">
            <v>10.4</v>
          </cell>
          <cell r="N265" t="str">
            <v>ORDER NOW</v>
          </cell>
          <cell r="O265" t="str">
            <v>CRITICAL</v>
          </cell>
          <cell r="P265">
            <v>46141.52584490741</v>
          </cell>
        </row>
        <row r="266">
          <cell r="C266" t="str">
            <v>CO-00098</v>
          </cell>
          <cell r="D266" t="str">
            <v xml:space="preserve">Hairnet Black Colorغطاء شعر لون اسود </v>
          </cell>
          <cell r="E266" t="str">
            <v>1 Box X 10 Pack X 100 Pcs</v>
          </cell>
          <cell r="F266" t="str">
            <v>Box</v>
          </cell>
          <cell r="G266">
            <v>1E-3</v>
          </cell>
          <cell r="H266">
            <v>86</v>
          </cell>
          <cell r="I266">
            <v>86000</v>
          </cell>
          <cell r="J266">
            <v>14</v>
          </cell>
          <cell r="K266">
            <v>48160.000000000007</v>
          </cell>
          <cell r="L266">
            <v>31000</v>
          </cell>
          <cell r="M266">
            <v>10.813953488372093</v>
          </cell>
          <cell r="N266" t="str">
            <v>ORDER NOW</v>
          </cell>
          <cell r="O266" t="str">
            <v>CRITICAL</v>
          </cell>
          <cell r="P266">
            <v>46141.525868055556</v>
          </cell>
        </row>
        <row r="267">
          <cell r="C267" t="str">
            <v>FA-00430</v>
          </cell>
          <cell r="D267" t="str">
            <v>Coffee Distributor 58.5mm - Tache | موزع مقاس 58.5</v>
          </cell>
          <cell r="E267" t="str">
            <v>Pcs</v>
          </cell>
          <cell r="F267" t="str">
            <v>Pcs</v>
          </cell>
          <cell r="G267">
            <v>1</v>
          </cell>
          <cell r="H267">
            <v>5.5</v>
          </cell>
          <cell r="I267">
            <v>5.5</v>
          </cell>
          <cell r="J267">
            <v>14</v>
          </cell>
          <cell r="K267">
            <v>3.08</v>
          </cell>
          <cell r="L267">
            <v>2</v>
          </cell>
          <cell r="M267">
            <v>10.90909090909091</v>
          </cell>
          <cell r="N267" t="str">
            <v>ORDER NOW</v>
          </cell>
          <cell r="O267" t="str">
            <v>CRITICAL</v>
          </cell>
          <cell r="P267">
            <v>46113.430960648147</v>
          </cell>
        </row>
        <row r="268">
          <cell r="C268" t="str">
            <v>CO-00466</v>
          </cell>
          <cell r="D268" t="str">
            <v>30 liter stainless steel trash can سله مهملات استانلس ٣٠لتر</v>
          </cell>
          <cell r="E268" t="str">
            <v>1 Pcs</v>
          </cell>
          <cell r="F268" t="str">
            <v>Pcs</v>
          </cell>
          <cell r="G268">
            <v>1</v>
          </cell>
          <cell r="H268">
            <v>8</v>
          </cell>
          <cell r="I268">
            <v>8</v>
          </cell>
          <cell r="J268">
            <v>14</v>
          </cell>
          <cell r="K268">
            <v>4.4800000000000004</v>
          </cell>
          <cell r="L268">
            <v>3</v>
          </cell>
          <cell r="M268">
            <v>11.25</v>
          </cell>
          <cell r="N268" t="str">
            <v>ORDER NOW</v>
          </cell>
          <cell r="O268" t="str">
            <v>CRITICAL</v>
          </cell>
          <cell r="P268">
            <v>46128.695613425924</v>
          </cell>
        </row>
        <row r="269">
          <cell r="C269" t="str">
            <v>RM-00065</v>
          </cell>
          <cell r="D269" t="str">
            <v>BELGIAN CHOCOLATE MILK 35% -بلشوكو شوكلاته بالحليب</v>
          </cell>
          <cell r="E269" t="str">
            <v>1 box x 12 kg</v>
          </cell>
          <cell r="F269" t="str">
            <v>Box</v>
          </cell>
          <cell r="G269">
            <v>0.1</v>
          </cell>
          <cell r="H269">
            <v>80</v>
          </cell>
          <cell r="I269">
            <v>800</v>
          </cell>
          <cell r="J269">
            <v>14</v>
          </cell>
          <cell r="K269">
            <v>448.00000000000006</v>
          </cell>
          <cell r="L269">
            <v>300</v>
          </cell>
          <cell r="M269">
            <v>11.25</v>
          </cell>
          <cell r="N269" t="str">
            <v>ORDER NOW</v>
          </cell>
          <cell r="O269" t="str">
            <v>CRITICAL</v>
          </cell>
          <cell r="P269">
            <v>46141.525891203702</v>
          </cell>
        </row>
        <row r="270">
          <cell r="C270" t="str">
            <v>PM-00225</v>
          </cell>
          <cell r="D270" t="str">
            <v>Breehant Roastery paper cup 12 Oz كوب ورقي 12 اونص محمصة بريهانت</v>
          </cell>
          <cell r="E270" t="str">
            <v>1Box X 20 Pack X 25 Pcs</v>
          </cell>
          <cell r="F270" t="str">
            <v>Box</v>
          </cell>
          <cell r="G270">
            <v>2E-3</v>
          </cell>
          <cell r="H270">
            <v>600</v>
          </cell>
          <cell r="I270">
            <v>300000</v>
          </cell>
          <cell r="J270">
            <v>14</v>
          </cell>
          <cell r="K270">
            <v>168000.00000000003</v>
          </cell>
          <cell r="L270">
            <v>113000</v>
          </cell>
          <cell r="M270">
            <v>11.299999999999999</v>
          </cell>
          <cell r="N270" t="str">
            <v>ORDER NOW</v>
          </cell>
          <cell r="O270" t="str">
            <v>CRITICAL</v>
          </cell>
          <cell r="P270">
            <v>46141.525856481479</v>
          </cell>
        </row>
        <row r="271">
          <cell r="C271" t="str">
            <v>RM-00165</v>
          </cell>
          <cell r="D271" t="str">
            <v>Cornذرة</v>
          </cell>
          <cell r="E271" t="str">
            <v>1 Ctn X 6 PcsX 1.5 Kg</v>
          </cell>
          <cell r="F271" t="str">
            <v>Ctn</v>
          </cell>
          <cell r="G271">
            <v>0.1111111111111111</v>
          </cell>
          <cell r="H271">
            <v>5.5</v>
          </cell>
          <cell r="I271">
            <v>49.5</v>
          </cell>
          <cell r="J271">
            <v>14</v>
          </cell>
          <cell r="K271">
            <v>27.720000000000002</v>
          </cell>
          <cell r="L271">
            <v>18.900000000000006</v>
          </cell>
          <cell r="M271">
            <v>11.454545454545459</v>
          </cell>
          <cell r="N271" t="str">
            <v>ORDER NOW</v>
          </cell>
          <cell r="O271" t="str">
            <v>CRITICAL</v>
          </cell>
          <cell r="P271">
            <v>46141.525810185187</v>
          </cell>
        </row>
        <row r="272">
          <cell r="C272" t="str">
            <v>PM-00327</v>
          </cell>
          <cell r="D272" t="str">
            <v>Price lable stickerورق رول تواريخ واسعار</v>
          </cell>
          <cell r="E272" t="str">
            <v>1  box X 36 Pcs</v>
          </cell>
          <cell r="F272" t="str">
            <v>Box</v>
          </cell>
          <cell r="G272">
            <v>2.7777777777777776E-2</v>
          </cell>
          <cell r="H272">
            <v>48.5</v>
          </cell>
          <cell r="I272">
            <v>1746</v>
          </cell>
          <cell r="J272">
            <v>14</v>
          </cell>
          <cell r="K272">
            <v>977.7600000000001</v>
          </cell>
          <cell r="L272">
            <v>3852</v>
          </cell>
          <cell r="M272">
            <v>11.464285714285714</v>
          </cell>
          <cell r="N272" t="str">
            <v>ORDER NOW</v>
          </cell>
          <cell r="O272" t="str">
            <v>CRITICAL</v>
          </cell>
          <cell r="P272">
            <v>46141.525937500002</v>
          </cell>
        </row>
        <row r="273">
          <cell r="C273" t="str">
            <v>CO-00077</v>
          </cell>
          <cell r="D273" t="str">
            <v>dust pan with bruch جاروف مع المكنسة عصاء طويل</v>
          </cell>
          <cell r="E273" t="str">
            <v>1 Pcs.</v>
          </cell>
          <cell r="F273" t="str">
            <v>Pcs</v>
          </cell>
          <cell r="G273">
            <v>1</v>
          </cell>
          <cell r="H273">
            <v>132</v>
          </cell>
          <cell r="I273">
            <v>132</v>
          </cell>
          <cell r="J273">
            <v>14</v>
          </cell>
          <cell r="K273">
            <v>73.92</v>
          </cell>
          <cell r="L273">
            <v>51</v>
          </cell>
          <cell r="M273">
            <v>11.59090909090909</v>
          </cell>
          <cell r="N273" t="str">
            <v>ORDER NOW</v>
          </cell>
          <cell r="O273" t="str">
            <v>CRITICAL</v>
          </cell>
          <cell r="P273">
            <v>46128.695671296293</v>
          </cell>
        </row>
        <row r="274">
          <cell r="C274" t="str">
            <v>RM-00529</v>
          </cell>
          <cell r="D274" t="str">
            <v>Nestle Caramel Milk - حليب نستله كراميل</v>
          </cell>
          <cell r="E274" t="str">
            <v>1 Box X 12 Pcs 397 Grm</v>
          </cell>
          <cell r="F274" t="str">
            <v>Box</v>
          </cell>
          <cell r="G274">
            <v>0.20990764063811923</v>
          </cell>
          <cell r="H274">
            <v>1500</v>
          </cell>
          <cell r="I274">
            <v>7146</v>
          </cell>
          <cell r="J274">
            <v>14</v>
          </cell>
          <cell r="K274">
            <v>4001.76</v>
          </cell>
          <cell r="L274">
            <v>2858.4</v>
          </cell>
          <cell r="M274">
            <v>12</v>
          </cell>
          <cell r="N274" t="str">
            <v>ORDER NOW</v>
          </cell>
          <cell r="O274" t="str">
            <v>CRITICAL</v>
          </cell>
          <cell r="P274">
            <v>46141.525960648149</v>
          </cell>
        </row>
        <row r="275">
          <cell r="C275" t="str">
            <v>RM-00497</v>
          </cell>
          <cell r="D275" t="str">
            <v>Brown Suger  SIS سكر بني سيس</v>
          </cell>
          <cell r="E275" t="str">
            <v>1 Box X 24 Bag x1Kg</v>
          </cell>
          <cell r="F275" t="str">
            <v>Box</v>
          </cell>
          <cell r="G275">
            <v>4.1666666666666664E-2</v>
          </cell>
          <cell r="H275">
            <v>100</v>
          </cell>
          <cell r="I275">
            <v>2400</v>
          </cell>
          <cell r="J275">
            <v>14</v>
          </cell>
          <cell r="K275">
            <v>1344.0000000000002</v>
          </cell>
          <cell r="L275">
            <v>960</v>
          </cell>
          <cell r="M275">
            <v>12</v>
          </cell>
          <cell r="N275" t="str">
            <v>ORDER NOW</v>
          </cell>
          <cell r="O275" t="str">
            <v>CRITICAL</v>
          </cell>
          <cell r="P275">
            <v>46141.526006944441</v>
          </cell>
        </row>
        <row r="276">
          <cell r="C276" t="str">
            <v>CO-00342</v>
          </cell>
          <cell r="D276" t="str">
            <v>Brush - Dishwashing brush [60534226] فرشاة غسل الصحون</v>
          </cell>
          <cell r="E276" t="str">
            <v>1 Pcs</v>
          </cell>
          <cell r="F276" t="str">
            <v>Pcs</v>
          </cell>
          <cell r="G276">
            <v>1</v>
          </cell>
          <cell r="H276">
            <v>21.5</v>
          </cell>
          <cell r="I276">
            <v>21.5</v>
          </cell>
          <cell r="J276">
            <v>14</v>
          </cell>
          <cell r="K276">
            <v>12.040000000000001</v>
          </cell>
          <cell r="L276">
            <v>9</v>
          </cell>
          <cell r="M276">
            <v>12.558139534883722</v>
          </cell>
          <cell r="N276" t="str">
            <v>ORDER NOW</v>
          </cell>
          <cell r="O276" t="str">
            <v>CRITICAL</v>
          </cell>
          <cell r="P276">
            <v>46119.481805555559</v>
          </cell>
        </row>
        <row r="277">
          <cell r="C277" t="str">
            <v>PM-00662</v>
          </cell>
          <cell r="D277" t="str">
            <v>قاعدة صحن ألمنيوم ورقية 235 مل | Aluminum paper plat base 235ml</v>
          </cell>
          <cell r="E277" t="str">
            <v>1 Box X 1000 Pcs</v>
          </cell>
          <cell r="F277" t="str">
            <v>Box</v>
          </cell>
          <cell r="G277">
            <v>1E-3</v>
          </cell>
          <cell r="H277">
            <v>70</v>
          </cell>
          <cell r="I277">
            <v>70000</v>
          </cell>
          <cell r="J277">
            <v>14</v>
          </cell>
          <cell r="K277">
            <v>39200.000000000007</v>
          </cell>
          <cell r="L277">
            <v>29500</v>
          </cell>
          <cell r="M277">
            <v>12.642857142857142</v>
          </cell>
          <cell r="N277" t="str">
            <v>ORDER NOW</v>
          </cell>
          <cell r="O277" t="str">
            <v>CRITICAL</v>
          </cell>
          <cell r="P277">
            <v>46128.688391203701</v>
          </cell>
        </row>
        <row r="278">
          <cell r="C278" t="str">
            <v>RM-00560</v>
          </cell>
          <cell r="D278" t="str">
            <v>SYRUP BLACKBERRY 1883 سيروب توت اسود</v>
          </cell>
          <cell r="E278" t="str">
            <v xml:space="preserve">1 Box X 6 Bottle X 1 Ltr
</v>
          </cell>
          <cell r="F278" t="str">
            <v>Box</v>
          </cell>
          <cell r="G278">
            <v>0.16666666666666666</v>
          </cell>
          <cell r="H278">
            <v>16.5</v>
          </cell>
          <cell r="I278">
            <v>99</v>
          </cell>
          <cell r="J278">
            <v>14</v>
          </cell>
          <cell r="K278">
            <v>55.440000000000005</v>
          </cell>
          <cell r="L278">
            <v>42</v>
          </cell>
          <cell r="M278">
            <v>12.727272727272728</v>
          </cell>
          <cell r="N278" t="str">
            <v>ORDER NOW</v>
          </cell>
          <cell r="O278" t="str">
            <v>CRITICAL</v>
          </cell>
          <cell r="P278">
            <v>46141.524953703702</v>
          </cell>
        </row>
        <row r="279">
          <cell r="C279" t="str">
            <v>PM-00190</v>
          </cell>
          <cell r="D279" t="str">
            <v>Breehant Paper cup 4 OZ كوب ورقي 4 اونص بريهانت</v>
          </cell>
          <cell r="E279" t="str">
            <v>1 Box X 20 Pack X 50 Pcs</v>
          </cell>
          <cell r="F279" t="str">
            <v>Box</v>
          </cell>
          <cell r="G279">
            <v>1E-3</v>
          </cell>
          <cell r="H279">
            <v>22</v>
          </cell>
          <cell r="I279">
            <v>22000</v>
          </cell>
          <cell r="J279">
            <v>14</v>
          </cell>
          <cell r="K279">
            <v>12320.000000000002</v>
          </cell>
          <cell r="L279">
            <v>10000</v>
          </cell>
          <cell r="M279">
            <v>13.636363636363637</v>
          </cell>
          <cell r="N279" t="str">
            <v>ORDER NOW</v>
          </cell>
          <cell r="O279" t="str">
            <v>CRITICAL</v>
          </cell>
          <cell r="P279">
            <v>46141.525879629633</v>
          </cell>
        </row>
        <row r="280">
          <cell r="C280" t="str">
            <v>PM-00525</v>
          </cell>
          <cell r="D280" t="str">
            <v>بوكس فلين 1 كيلو مع طباعة خارجية</v>
          </cell>
          <cell r="E280" t="str">
            <v>1X20 Pcs</v>
          </cell>
          <cell r="F280"/>
          <cell r="G280">
            <v>0.05</v>
          </cell>
          <cell r="H280">
            <v>24</v>
          </cell>
          <cell r="I280">
            <v>480</v>
          </cell>
          <cell r="J280">
            <v>14</v>
          </cell>
          <cell r="K280">
            <v>268.8</v>
          </cell>
          <cell r="L280">
            <v>220</v>
          </cell>
          <cell r="M280">
            <v>13.75</v>
          </cell>
          <cell r="N280" t="str">
            <v>ORDER NOW</v>
          </cell>
          <cell r="O280" t="str">
            <v>CRITICAL</v>
          </cell>
          <cell r="P280">
            <v>46141.525972222225</v>
          </cell>
        </row>
        <row r="281">
          <cell r="C281" t="str">
            <v>RM-00224</v>
          </cell>
          <cell r="D281" t="str">
            <v>Creme Caramel كريم كراميل</v>
          </cell>
          <cell r="E281" t="str">
            <v>1 Box X 12 Pcs. X 49 g</v>
          </cell>
          <cell r="F281" t="str">
            <v>Box</v>
          </cell>
          <cell r="G281">
            <v>0.14172335600907029</v>
          </cell>
          <cell r="H281">
            <v>4</v>
          </cell>
          <cell r="I281">
            <v>28.224</v>
          </cell>
          <cell r="J281">
            <v>14</v>
          </cell>
          <cell r="K281">
            <v>15.805440000000001</v>
          </cell>
          <cell r="L281">
            <v>49.392000000000003</v>
          </cell>
          <cell r="M281">
            <v>14</v>
          </cell>
          <cell r="N281" t="str">
            <v>IN STOCK</v>
          </cell>
          <cell r="O281" t="str">
            <v>FOLLOW UP DELIVERY</v>
          </cell>
          <cell r="P281">
            <v>46131.517858796295</v>
          </cell>
        </row>
        <row r="282">
          <cell r="C282" t="str">
            <v>PM-00271</v>
          </cell>
          <cell r="D282" t="str">
            <v>Breehant Napkinمناديل بريهانت</v>
          </cell>
          <cell r="E282" t="str">
            <v>1 Box X 24 Pack X 100 Pcs</v>
          </cell>
          <cell r="F282" t="str">
            <v>Box</v>
          </cell>
          <cell r="G282">
            <v>4.1666666666666669E-4</v>
          </cell>
          <cell r="H282">
            <v>200</v>
          </cell>
          <cell r="I282">
            <v>479999.99999999994</v>
          </cell>
          <cell r="J282">
            <v>14</v>
          </cell>
          <cell r="K282">
            <v>268800</v>
          </cell>
          <cell r="L282">
            <v>232799.99999999997</v>
          </cell>
          <cell r="M282">
            <v>14.549999999999999</v>
          </cell>
          <cell r="N282" t="str">
            <v>IN STOCK</v>
          </cell>
          <cell r="O282" t="str">
            <v>FOLLOW UP DELIVERY</v>
          </cell>
          <cell r="P282">
            <v>46138.48159722222</v>
          </cell>
        </row>
        <row r="283">
          <cell r="C283" t="str">
            <v>CO-00019</v>
          </cell>
          <cell r="D283" t="str">
            <v>Acrylic products prices	اكريلك اسعار المنتجات</v>
          </cell>
          <cell r="E283" t="str">
            <v>Pcs.</v>
          </cell>
          <cell r="F283" t="str">
            <v>Pcs</v>
          </cell>
          <cell r="G283">
            <v>1</v>
          </cell>
          <cell r="H283">
            <v>220</v>
          </cell>
          <cell r="I283">
            <v>220</v>
          </cell>
          <cell r="J283">
            <v>14</v>
          </cell>
          <cell r="K283">
            <v>123.20000000000002</v>
          </cell>
          <cell r="L283">
            <v>107</v>
          </cell>
          <cell r="M283">
            <v>14.590909090909092</v>
          </cell>
          <cell r="N283" t="str">
            <v>IN STOCK</v>
          </cell>
          <cell r="O283" t="str">
            <v>FOLLOW UP DELIVERY</v>
          </cell>
          <cell r="P283">
            <v>46138.481504629628</v>
          </cell>
        </row>
        <row r="284">
          <cell r="C284" t="str">
            <v>CO-00104</v>
          </cell>
          <cell r="D284" t="str">
            <v>Blue Steaming Roll Towelsمناشف رول للتبخير الزرقاء</v>
          </cell>
          <cell r="E284" t="str">
            <v>1 Pcs.</v>
          </cell>
          <cell r="F284" t="str">
            <v>Pcs</v>
          </cell>
          <cell r="G284">
            <v>1</v>
          </cell>
          <cell r="H284">
            <v>189</v>
          </cell>
          <cell r="I284">
            <v>189</v>
          </cell>
          <cell r="J284">
            <v>14</v>
          </cell>
          <cell r="K284">
            <v>105.84</v>
          </cell>
          <cell r="L284">
            <v>92</v>
          </cell>
          <cell r="M284">
            <v>14.603174603174603</v>
          </cell>
          <cell r="N284" t="str">
            <v>IN STOCK</v>
          </cell>
          <cell r="O284" t="str">
            <v>FOLLOW UP DELIVERY</v>
          </cell>
          <cell r="P284">
            <v>46138.4378125</v>
          </cell>
        </row>
        <row r="285">
          <cell r="C285" t="str">
            <v>RM-00055</v>
          </cell>
          <cell r="D285" t="str">
            <v>White chocolate drops 30% ( CREA ) شوكولاتة بيضاء اقراص 30% ( كريا )</v>
          </cell>
          <cell r="E285" t="str">
            <v>1 Box X 2 Bag X 6 KG</v>
          </cell>
          <cell r="F285" t="str">
            <v>Box</v>
          </cell>
          <cell r="G285">
            <v>8.3333333333333329E-2</v>
          </cell>
          <cell r="H285">
            <v>1040</v>
          </cell>
          <cell r="I285">
            <v>12480</v>
          </cell>
          <cell r="J285">
            <v>14</v>
          </cell>
          <cell r="K285">
            <v>6988.8000000000011</v>
          </cell>
          <cell r="L285">
            <v>7188</v>
          </cell>
          <cell r="M285">
            <v>14.975</v>
          </cell>
          <cell r="N285" t="str">
            <v>IN STOCK</v>
          </cell>
          <cell r="O285" t="str">
            <v>FOLLOW UP DELIVERY</v>
          </cell>
          <cell r="P285" t="str">
            <v/>
          </cell>
        </row>
        <row r="286">
          <cell r="C286" t="str">
            <v>RM-00225</v>
          </cell>
          <cell r="D286" t="str">
            <v>Lotus Biscoff بسكويت لوتس</v>
          </cell>
          <cell r="E286" t="str">
            <v xml:space="preserve">1 Box X 1875 Grm </v>
          </cell>
          <cell r="F286" t="str">
            <v>Box</v>
          </cell>
          <cell r="G286">
            <v>0.53333333333333333</v>
          </cell>
          <cell r="H286">
            <v>300</v>
          </cell>
          <cell r="I286">
            <v>562.5</v>
          </cell>
          <cell r="J286">
            <v>14</v>
          </cell>
          <cell r="K286">
            <v>315.00000000000006</v>
          </cell>
          <cell r="L286">
            <v>281.25</v>
          </cell>
          <cell r="M286">
            <v>15</v>
          </cell>
          <cell r="N286" t="str">
            <v>IN STOCK</v>
          </cell>
          <cell r="O286" t="str">
            <v>FOLLOW UP DELIVERY</v>
          </cell>
          <cell r="P286">
            <v>46138.481516203705</v>
          </cell>
        </row>
        <row r="287">
          <cell r="C287" t="str">
            <v>RM-00158</v>
          </cell>
          <cell r="D287" t="str">
            <v>English breakfast tea شاي الفطور الانجليزي</v>
          </cell>
          <cell r="E287" t="str">
            <v>1 Box X 24 Pckt X 100 Pcs</v>
          </cell>
          <cell r="F287" t="str">
            <v>Box</v>
          </cell>
          <cell r="G287">
            <v>4.1666666666666669E-4</v>
          </cell>
          <cell r="H287">
            <v>60.5</v>
          </cell>
          <cell r="I287">
            <v>1452</v>
          </cell>
          <cell r="J287">
            <v>14</v>
          </cell>
          <cell r="K287">
            <v>813.12000000000012</v>
          </cell>
          <cell r="L287">
            <v>76800</v>
          </cell>
          <cell r="M287">
            <v>15.867768595041323</v>
          </cell>
          <cell r="N287" t="str">
            <v>IN STOCK</v>
          </cell>
          <cell r="O287" t="str">
            <v>FOLLOW UP DELIVERY</v>
          </cell>
          <cell r="P287">
            <v>46131.51766203704</v>
          </cell>
        </row>
        <row r="288">
          <cell r="C288" t="str">
            <v>RM-00071</v>
          </cell>
          <cell r="D288" t="str">
            <v xml:space="preserve">Chocolate sticks BELCOSTICKS 44% 8CM | اصابع الشوكولاتة </v>
          </cell>
          <cell r="E288" t="str">
            <v>box X15 pcs x 1.6 kg</v>
          </cell>
          <cell r="F288" t="str">
            <v>Box</v>
          </cell>
          <cell r="G288">
            <v>4.1666666666666664E-2</v>
          </cell>
          <cell r="H288">
            <v>12</v>
          </cell>
          <cell r="I288">
            <v>288</v>
          </cell>
          <cell r="J288">
            <v>14</v>
          </cell>
          <cell r="K288">
            <v>161.28000000000003</v>
          </cell>
          <cell r="L288">
            <v>156</v>
          </cell>
          <cell r="M288">
            <v>16.25</v>
          </cell>
          <cell r="N288" t="str">
            <v>IN STOCK</v>
          </cell>
          <cell r="O288" t="str">
            <v>FOLLOW UP DELIVERY</v>
          </cell>
          <cell r="P288">
            <v>46138.62327546296</v>
          </cell>
        </row>
        <row r="289">
          <cell r="C289" t="str">
            <v>PM-00259</v>
          </cell>
          <cell r="D289" t="str">
            <v>Four cup holder حامل اكواب رباعي</v>
          </cell>
          <cell r="E289" t="str">
            <v>1 Box X 300 Pcs /1 Box X 250 Pcs.</v>
          </cell>
          <cell r="F289" t="str">
            <v>Box</v>
          </cell>
          <cell r="G289">
            <v>3.3333333333333335E-3</v>
          </cell>
          <cell r="H289">
            <v>240</v>
          </cell>
          <cell r="I289">
            <v>72000</v>
          </cell>
          <cell r="J289">
            <v>14</v>
          </cell>
          <cell r="K289">
            <v>40320.000000000007</v>
          </cell>
          <cell r="L289">
            <v>39300</v>
          </cell>
          <cell r="M289">
            <v>16.375</v>
          </cell>
          <cell r="N289" t="str">
            <v>IN STOCK</v>
          </cell>
          <cell r="O289" t="str">
            <v>FOLLOW UP DELIVERY</v>
          </cell>
          <cell r="P289">
            <v>46138.437847222223</v>
          </cell>
        </row>
        <row r="290">
          <cell r="C290" t="str">
            <v>CO-00508</v>
          </cell>
          <cell r="D290" t="str">
            <v>Step Bin Steel 12L - سلة مهملات دعاس 12</v>
          </cell>
          <cell r="E290" t="str">
            <v>Pcs.</v>
          </cell>
          <cell r="F290" t="str">
            <v>Pcs</v>
          </cell>
          <cell r="G290">
            <v>1</v>
          </cell>
          <cell r="H290">
            <v>71</v>
          </cell>
          <cell r="I290">
            <v>71</v>
          </cell>
          <cell r="J290">
            <v>14</v>
          </cell>
          <cell r="K290">
            <v>39.760000000000005</v>
          </cell>
          <cell r="L290">
            <v>39</v>
          </cell>
          <cell r="M290">
            <v>16.47887323943662</v>
          </cell>
          <cell r="N290" t="str">
            <v>IN STOCK</v>
          </cell>
          <cell r="O290" t="str">
            <v>FOLLOW UP DELIVERY</v>
          </cell>
          <cell r="P290">
            <v>46131.517696759256</v>
          </cell>
        </row>
        <row r="291">
          <cell r="C291" t="str">
            <v>CO-00223</v>
          </cell>
          <cell r="D291" t="str">
            <v>Pricing and dating machine ماكينه تسعير و تواريخ</v>
          </cell>
          <cell r="E291" t="str">
            <v>Pcs.</v>
          </cell>
          <cell r="F291" t="str">
            <v>Pcs</v>
          </cell>
          <cell r="G291">
            <v>1</v>
          </cell>
          <cell r="H291">
            <v>62.5</v>
          </cell>
          <cell r="I291">
            <v>62.5</v>
          </cell>
          <cell r="J291">
            <v>14</v>
          </cell>
          <cell r="K291">
            <v>35</v>
          </cell>
          <cell r="L291">
            <v>35</v>
          </cell>
          <cell r="M291">
            <v>16.8</v>
          </cell>
          <cell r="N291" t="str">
            <v>IN STOCK</v>
          </cell>
          <cell r="O291" t="str">
            <v>FOLLOW UP DELIVERY</v>
          </cell>
          <cell r="P291">
            <v>46131.517800925925</v>
          </cell>
        </row>
        <row r="292">
          <cell r="C292" t="str">
            <v>RM-00501</v>
          </cell>
          <cell r="D292" t="str">
            <v>Powder Sugarسكر بودرة</v>
          </cell>
          <cell r="E292" t="str">
            <v>1 Bag X 10 Kg</v>
          </cell>
          <cell r="F292" t="str">
            <v>bag</v>
          </cell>
          <cell r="G292">
            <v>0.1</v>
          </cell>
          <cell r="H292">
            <v>105.5</v>
          </cell>
          <cell r="I292">
            <v>1055</v>
          </cell>
          <cell r="J292">
            <v>14</v>
          </cell>
          <cell r="K292">
            <v>590.80000000000007</v>
          </cell>
          <cell r="L292">
            <v>620</v>
          </cell>
          <cell r="M292">
            <v>17.630331753554501</v>
          </cell>
          <cell r="N292" t="str">
            <v>IN STOCK</v>
          </cell>
          <cell r="O292" t="str">
            <v>FOLLOW UP DELIVERY</v>
          </cell>
          <cell r="P292">
            <v>46138.481608796297</v>
          </cell>
        </row>
        <row r="293">
          <cell r="C293" t="str">
            <v>RM-00499</v>
          </cell>
          <cell r="D293" t="str">
            <v>Diet Sugar Sachetاظرف سكر دايت</v>
          </cell>
          <cell r="E293" t="str">
            <v>1 Box X 24 Pckt X 50 Pcs</v>
          </cell>
          <cell r="F293" t="str">
            <v>Box</v>
          </cell>
          <cell r="G293">
            <v>8.3333333333333339E-4</v>
          </cell>
          <cell r="H293">
            <v>22</v>
          </cell>
          <cell r="I293">
            <v>528</v>
          </cell>
          <cell r="J293">
            <v>14</v>
          </cell>
          <cell r="K293">
            <v>295.68</v>
          </cell>
          <cell r="L293">
            <v>15599.999999999998</v>
          </cell>
          <cell r="M293">
            <v>17.727272727272727</v>
          </cell>
          <cell r="N293" t="str">
            <v>IN STOCK</v>
          </cell>
          <cell r="O293" t="str">
            <v>FOLLOW UP DELIVERY</v>
          </cell>
          <cell r="P293">
            <v>46131.517777777779</v>
          </cell>
        </row>
        <row r="294">
          <cell r="C294" t="str">
            <v>PM-00266</v>
          </cell>
          <cell r="D294" t="str">
            <v>Straw Breehant شفاط بريهانت</v>
          </cell>
          <cell r="E294" t="str">
            <v>1 Box X 30 Pack X 100 Pcs</v>
          </cell>
          <cell r="F294" t="str">
            <v>Box</v>
          </cell>
          <cell r="G294">
            <v>3.3333333333333332E-4</v>
          </cell>
          <cell r="H294">
            <v>32</v>
          </cell>
          <cell r="I294">
            <v>96000</v>
          </cell>
          <cell r="J294">
            <v>14</v>
          </cell>
          <cell r="K294">
            <v>53760.000000000007</v>
          </cell>
          <cell r="L294">
            <v>57000</v>
          </cell>
          <cell r="M294">
            <v>17.8125</v>
          </cell>
          <cell r="N294" t="str">
            <v>IN STOCK</v>
          </cell>
          <cell r="O294" t="str">
            <v>FOLLOW UP DELIVERY</v>
          </cell>
          <cell r="P294">
            <v>46131.517905092594</v>
          </cell>
        </row>
        <row r="295">
          <cell r="C295" t="str">
            <v>PM-00406</v>
          </cell>
          <cell r="D295" t="str">
            <v>Saudi coffee sticker ( NAMQ ) ستيكر القهوة السعودية ( نمق )</v>
          </cell>
          <cell r="E295" t="str">
            <v>1 Box X 1000 Pcs</v>
          </cell>
          <cell r="F295" t="str">
            <v>Box</v>
          </cell>
          <cell r="G295">
            <v>1E-3</v>
          </cell>
          <cell r="H295">
            <v>10</v>
          </cell>
          <cell r="I295">
            <v>10000</v>
          </cell>
          <cell r="J295">
            <v>14</v>
          </cell>
          <cell r="K295">
            <v>5600.0000000000009</v>
          </cell>
          <cell r="L295">
            <v>6000</v>
          </cell>
          <cell r="M295">
            <v>18</v>
          </cell>
          <cell r="N295" t="str">
            <v>IN STOCK</v>
          </cell>
          <cell r="O295" t="str">
            <v>FOLLOW UP DELIVERY</v>
          </cell>
          <cell r="P295">
            <v>46134.446504629632</v>
          </cell>
        </row>
        <row r="296">
          <cell r="C296" t="str">
            <v>PM-00430</v>
          </cell>
          <cell r="D296" t="str">
            <v>استيكر اغلاق بكج الجرانولا (بريهانت) Granola package closing sticker  BREEHANT</v>
          </cell>
          <cell r="E296" t="str">
            <v>1 Box X 500 Pcs</v>
          </cell>
          <cell r="F296" t="str">
            <v>box</v>
          </cell>
          <cell r="G296">
            <v>2E-3</v>
          </cell>
          <cell r="H296">
            <v>5</v>
          </cell>
          <cell r="I296">
            <v>2500</v>
          </cell>
          <cell r="J296">
            <v>14</v>
          </cell>
          <cell r="K296">
            <v>1400.0000000000002</v>
          </cell>
          <cell r="L296">
            <v>1500</v>
          </cell>
          <cell r="M296">
            <v>18</v>
          </cell>
          <cell r="N296" t="str">
            <v>IN STOCK</v>
          </cell>
          <cell r="O296" t="str">
            <v>FOLLOW UP DELIVERY</v>
          </cell>
          <cell r="P296">
            <v>46138.481620370374</v>
          </cell>
        </row>
        <row r="297">
          <cell r="C297" t="str">
            <v>RM-00688</v>
          </cell>
          <cell r="D297" t="str">
            <v>زيتون كالاماتا / kalamon olives</v>
          </cell>
          <cell r="E297" t="str">
            <v>1 Pcs X 800 Grm</v>
          </cell>
          <cell r="F297" t="str">
            <v>Pcs</v>
          </cell>
          <cell r="G297">
            <v>1.25E-3</v>
          </cell>
          <cell r="H297">
            <v>40</v>
          </cell>
          <cell r="I297">
            <v>32</v>
          </cell>
          <cell r="J297">
            <v>14</v>
          </cell>
          <cell r="K297">
            <v>17.920000000000002</v>
          </cell>
          <cell r="L297">
            <v>19200</v>
          </cell>
          <cell r="M297">
            <v>18</v>
          </cell>
          <cell r="N297" t="str">
            <v>IN STOCK</v>
          </cell>
          <cell r="O297" t="str">
            <v>FOLLOW UP DELIVERY</v>
          </cell>
          <cell r="P297">
            <v>46131.517708333333</v>
          </cell>
        </row>
        <row r="298">
          <cell r="C298" t="str">
            <v>PM-00566-01</v>
          </cell>
          <cell r="D298" t="str">
            <v>Cookies Box - Sleeve بوكس الكوكيز السفري نمق</v>
          </cell>
          <cell r="E298" t="str">
            <v>1 Box X 600 Pcs</v>
          </cell>
          <cell r="F298" t="str">
            <v>Box</v>
          </cell>
          <cell r="G298">
            <v>1.6666666666666668E-3</v>
          </cell>
          <cell r="H298">
            <v>100</v>
          </cell>
          <cell r="I298">
            <v>59999.999999999993</v>
          </cell>
          <cell r="J298">
            <v>60</v>
          </cell>
          <cell r="K298">
            <v>143999.99999999997</v>
          </cell>
          <cell r="L298">
            <v>36000</v>
          </cell>
          <cell r="M298">
            <v>18.000000000000004</v>
          </cell>
          <cell r="N298" t="str">
            <v>ORDER NOW</v>
          </cell>
          <cell r="O298" t="str">
            <v>CRITICAL</v>
          </cell>
          <cell r="P298">
            <v>46138.481631944444</v>
          </cell>
        </row>
        <row r="299">
          <cell r="C299" t="str">
            <v>CO-00220</v>
          </cell>
          <cell r="D299" t="str">
            <v>ATLAS PRICE MATCHINE ITALY PL700 ماكينة تواريخ واسعار</v>
          </cell>
          <cell r="E299" t="str">
            <v>1 Pcs</v>
          </cell>
          <cell r="F299" t="str">
            <v>Pcs</v>
          </cell>
          <cell r="G299">
            <v>1</v>
          </cell>
          <cell r="H299">
            <v>16.5</v>
          </cell>
          <cell r="I299">
            <v>16.5</v>
          </cell>
          <cell r="J299">
            <v>14</v>
          </cell>
          <cell r="K299">
            <v>9.24</v>
          </cell>
          <cell r="L299">
            <v>10</v>
          </cell>
          <cell r="M299">
            <v>18.181818181818183</v>
          </cell>
          <cell r="N299" t="str">
            <v>IN STOCK</v>
          </cell>
          <cell r="O299" t="str">
            <v>FOLLOW UP DELIVERY</v>
          </cell>
          <cell r="P299">
            <v>46131.517743055556</v>
          </cell>
        </row>
        <row r="300">
          <cell r="C300" t="str">
            <v>CO-00047</v>
          </cell>
          <cell r="D300" t="str">
            <v>Ubermilk Cleaning Agent 2 (Blue)محلول تنظيف اوبر ميلك ازرق</v>
          </cell>
          <cell r="E300" t="str">
            <v>1 Pcs.X 1 L</v>
          </cell>
          <cell r="F300" t="str">
            <v>Pcs</v>
          </cell>
          <cell r="G300">
            <v>1</v>
          </cell>
          <cell r="H300">
            <v>120</v>
          </cell>
          <cell r="I300">
            <v>120</v>
          </cell>
          <cell r="J300">
            <v>14</v>
          </cell>
          <cell r="K300">
            <v>67.2</v>
          </cell>
          <cell r="L300">
            <v>74</v>
          </cell>
          <cell r="M300">
            <v>18.5</v>
          </cell>
          <cell r="N300" t="str">
            <v>IN STOCK</v>
          </cell>
          <cell r="O300" t="str">
            <v>FOLLOW UP DELIVERY</v>
          </cell>
          <cell r="P300">
            <v>46131.517962962964</v>
          </cell>
        </row>
        <row r="301">
          <cell r="C301" t="str">
            <v>PM-00033</v>
          </cell>
          <cell r="D301" t="str">
            <v>Babka cake cover  ( Namq) غلاف كيكة البابكا ( نمق )</v>
          </cell>
          <cell r="E301" t="str">
            <v>bundl x 500pcs</v>
          </cell>
          <cell r="F301" t="str">
            <v>bundel</v>
          </cell>
          <cell r="G301">
            <v>2E-3</v>
          </cell>
          <cell r="H301">
            <v>10</v>
          </cell>
          <cell r="I301">
            <v>5000</v>
          </cell>
          <cell r="J301">
            <v>14</v>
          </cell>
          <cell r="K301">
            <v>2800.0000000000005</v>
          </cell>
          <cell r="L301">
            <v>12400</v>
          </cell>
          <cell r="M301">
            <v>18.600000000000001</v>
          </cell>
          <cell r="N301" t="str">
            <v>IN STOCK</v>
          </cell>
          <cell r="O301" t="str">
            <v>FOLLOW UP DELIVERY</v>
          </cell>
          <cell r="P301">
            <v>46138.437719907408</v>
          </cell>
        </row>
        <row r="302">
          <cell r="C302" t="str">
            <v>RM-00518</v>
          </cell>
          <cell r="D302" t="str">
            <v>بايسون مشروب طاقة  Bison energy drink 250 ml</v>
          </cell>
          <cell r="E302" t="str">
            <v>1 Box X 24 cans X 250 ml</v>
          </cell>
          <cell r="F302" t="str">
            <v>Box</v>
          </cell>
          <cell r="G302">
            <v>4.1666666666666664E-2</v>
          </cell>
          <cell r="H302">
            <v>132</v>
          </cell>
          <cell r="I302">
            <v>3168</v>
          </cell>
          <cell r="J302">
            <v>14</v>
          </cell>
          <cell r="K302">
            <v>1774.0800000000002</v>
          </cell>
          <cell r="L302">
            <v>1968</v>
          </cell>
          <cell r="M302">
            <v>18.636363636363637</v>
          </cell>
          <cell r="N302" t="str">
            <v>IN STOCK</v>
          </cell>
          <cell r="O302" t="str">
            <v>FOLLOW UP DELIVERY</v>
          </cell>
          <cell r="P302">
            <v>46131.518263888887</v>
          </cell>
        </row>
        <row r="303">
          <cell r="C303" t="str">
            <v>CO-00096</v>
          </cell>
          <cell r="D303" t="str">
            <v>ملمع اخشاب سانتيا | 34 SH</v>
          </cell>
          <cell r="E303" t="str">
            <v>1 Gallon X 5 Ltr</v>
          </cell>
          <cell r="F303" t="str">
            <v>gallon</v>
          </cell>
          <cell r="G303">
            <v>0.2</v>
          </cell>
          <cell r="H303">
            <v>8</v>
          </cell>
          <cell r="I303">
            <v>40</v>
          </cell>
          <cell r="J303">
            <v>14</v>
          </cell>
          <cell r="K303">
            <v>22.400000000000002</v>
          </cell>
          <cell r="L303">
            <v>25</v>
          </cell>
          <cell r="M303">
            <v>18.75</v>
          </cell>
          <cell r="N303" t="str">
            <v>IN STOCK</v>
          </cell>
          <cell r="O303" t="str">
            <v>FOLLOW UP DELIVERY</v>
          </cell>
          <cell r="P303">
            <v>46131.519143518519</v>
          </cell>
        </row>
        <row r="304">
          <cell r="C304" t="str">
            <v>RM-00111</v>
          </cell>
          <cell r="D304" t="str">
            <v>FINAH Premium white flour 45 kg دقيق ابيض فاخر - طحين للمعمل</v>
          </cell>
          <cell r="E304" t="str">
            <v>1 Bag X 45 Kg</v>
          </cell>
          <cell r="F304" t="str">
            <v>bag</v>
          </cell>
          <cell r="G304">
            <v>2.2222222222222223E-2</v>
          </cell>
          <cell r="H304">
            <v>160</v>
          </cell>
          <cell r="I304">
            <v>7200</v>
          </cell>
          <cell r="J304">
            <v>14</v>
          </cell>
          <cell r="K304">
            <v>4032.0000000000005</v>
          </cell>
          <cell r="L304">
            <v>4545</v>
          </cell>
          <cell r="M304">
            <v>18.9375</v>
          </cell>
          <cell r="N304" t="str">
            <v>IN STOCK</v>
          </cell>
          <cell r="O304" t="str">
            <v>FOLLOW UP DELIVERY</v>
          </cell>
          <cell r="P304">
            <v>46138.481712962966</v>
          </cell>
        </row>
        <row r="305">
          <cell r="C305" t="str">
            <v>PM-00258</v>
          </cell>
          <cell r="D305" t="str">
            <v>Wooden Stirrer اعواد التحريك الخشب</v>
          </cell>
          <cell r="E305" t="str">
            <v>1 Box X 10 Pack X 500 Pcs</v>
          </cell>
          <cell r="F305" t="str">
            <v>Box</v>
          </cell>
          <cell r="G305">
            <v>2.0000000000000001E-4</v>
          </cell>
          <cell r="H305">
            <v>22</v>
          </cell>
          <cell r="I305">
            <v>110000</v>
          </cell>
          <cell r="J305">
            <v>14</v>
          </cell>
          <cell r="K305">
            <v>61600.000000000007</v>
          </cell>
          <cell r="L305">
            <v>70000</v>
          </cell>
          <cell r="M305">
            <v>19.09090909090909</v>
          </cell>
          <cell r="N305" t="str">
            <v>IN STOCK</v>
          </cell>
          <cell r="O305" t="str">
            <v>FOLLOW UP DELIVERY</v>
          </cell>
          <cell r="P305">
            <v>46131.517916666664</v>
          </cell>
        </row>
        <row r="306">
          <cell r="C306" t="str">
            <v>PM-00661</v>
          </cell>
          <cell r="D306" t="str">
            <v>سليف كوب الزجاج 200 مل | glass cup sleeve 200 ml</v>
          </cell>
          <cell r="E306" t="str">
            <v xml:space="preserve"> Box X 1200 Pcs</v>
          </cell>
          <cell r="F306" t="str">
            <v>Box</v>
          </cell>
          <cell r="G306">
            <v>8.3333333333333339E-4</v>
          </cell>
          <cell r="H306">
            <v>38.5</v>
          </cell>
          <cell r="I306">
            <v>46200</v>
          </cell>
          <cell r="J306">
            <v>14</v>
          </cell>
          <cell r="K306">
            <v>25872.000000000004</v>
          </cell>
          <cell r="L306">
            <v>29999.999999999996</v>
          </cell>
          <cell r="M306">
            <v>19.480519480519476</v>
          </cell>
          <cell r="N306" t="str">
            <v>IN STOCK</v>
          </cell>
          <cell r="O306" t="str">
            <v>FOLLOW UP DELIVERY</v>
          </cell>
          <cell r="P306">
            <v>46134.446527777778</v>
          </cell>
        </row>
        <row r="307">
          <cell r="C307" t="str">
            <v>RM-00563</v>
          </cell>
          <cell r="D307" t="str">
            <v>Syrup Pomegranate 1883 سيروب 1883 رمان</v>
          </cell>
          <cell r="E307" t="str">
            <v>1 Box X 6 Bottle X 1 Ltr</v>
          </cell>
          <cell r="F307" t="str">
            <v>Box</v>
          </cell>
          <cell r="G307">
            <v>0.16666666666666666</v>
          </cell>
          <cell r="H307">
            <v>50</v>
          </cell>
          <cell r="I307">
            <v>300</v>
          </cell>
          <cell r="J307">
            <v>14</v>
          </cell>
          <cell r="K307">
            <v>168.00000000000003</v>
          </cell>
          <cell r="L307">
            <v>198</v>
          </cell>
          <cell r="M307">
            <v>19.8</v>
          </cell>
          <cell r="N307" t="str">
            <v>IN STOCK</v>
          </cell>
          <cell r="O307" t="str">
            <v>FOLLOW UP DELIVERY</v>
          </cell>
          <cell r="P307">
            <v>46131.518206018518</v>
          </cell>
        </row>
        <row r="308">
          <cell r="C308" t="str">
            <v>PM-00029</v>
          </cell>
          <cell r="D308" t="str">
            <v>foggy Bag size:13*17cm+3cm Thickness:0.05mm كيس ضبابي للكيك</v>
          </cell>
          <cell r="E308" t="str">
            <v>1 Box X 8000 Pcs</v>
          </cell>
          <cell r="F308" t="str">
            <v>Box</v>
          </cell>
          <cell r="G308">
            <v>1</v>
          </cell>
          <cell r="H308">
            <v>10</v>
          </cell>
          <cell r="I308">
            <v>80000</v>
          </cell>
          <cell r="J308">
            <v>14</v>
          </cell>
          <cell r="K308">
            <v>44800.000000000007</v>
          </cell>
          <cell r="L308">
            <v>7</v>
          </cell>
          <cell r="M308">
            <v>21</v>
          </cell>
          <cell r="N308" t="str">
            <v>IN STOCK</v>
          </cell>
          <cell r="O308" t="str">
            <v>FOLLOW UP DELIVERY</v>
          </cell>
          <cell r="P308">
            <v>46131.517997685187</v>
          </cell>
        </row>
        <row r="309">
          <cell r="C309" t="str">
            <v>RM-00576</v>
          </cell>
          <cell r="D309" t="str">
            <v>Syrup blackberry Teisseire سيروب تيسير توت أسود</v>
          </cell>
          <cell r="E309" t="str">
            <v>1 Box X 6 Bottle X 1 Ltr</v>
          </cell>
          <cell r="F309" t="str">
            <v>Box</v>
          </cell>
          <cell r="G309">
            <v>0.16666666666666666</v>
          </cell>
          <cell r="H309">
            <v>17</v>
          </cell>
          <cell r="I309">
            <v>102</v>
          </cell>
          <cell r="J309">
            <v>14</v>
          </cell>
          <cell r="K309">
            <v>57.120000000000005</v>
          </cell>
          <cell r="L309">
            <v>72</v>
          </cell>
          <cell r="M309">
            <v>21.176470588235297</v>
          </cell>
          <cell r="N309" t="str">
            <v>IN STOCK</v>
          </cell>
          <cell r="O309" t="str">
            <v>FOLLOW UP DELIVERY</v>
          </cell>
          <cell r="P309">
            <v>46113.430914351855</v>
          </cell>
        </row>
        <row r="310">
          <cell r="C310" t="str">
            <v>CO-00516</v>
          </cell>
          <cell r="D310" t="str">
            <v>ribl ربل</v>
          </cell>
          <cell r="E310" t="str">
            <v>1 Pcs</v>
          </cell>
          <cell r="F310" t="str">
            <v>Pcs</v>
          </cell>
          <cell r="G310">
            <v>1</v>
          </cell>
          <cell r="H310">
            <v>167</v>
          </cell>
          <cell r="I310">
            <v>167</v>
          </cell>
          <cell r="J310">
            <v>14</v>
          </cell>
          <cell r="K310">
            <v>93.52000000000001</v>
          </cell>
          <cell r="L310">
            <v>119</v>
          </cell>
          <cell r="M310">
            <v>21.377245508982035</v>
          </cell>
          <cell r="N310" t="str">
            <v>IN STOCK</v>
          </cell>
          <cell r="O310" t="str">
            <v>FOLLOW UP DELIVERY</v>
          </cell>
          <cell r="P310">
            <v>46131.518043981479</v>
          </cell>
        </row>
        <row r="311">
          <cell r="C311" t="str">
            <v>PM-00339</v>
          </cell>
          <cell r="D311" t="str">
            <v>ورق ترانسفير الكوكيز مقاس 10سم (نمق)Transfer cookies Paper(NAMQ )</v>
          </cell>
          <cell r="E311" t="str">
            <v>1 Box X 750 Sheet</v>
          </cell>
          <cell r="F311" t="str">
            <v>Box</v>
          </cell>
          <cell r="G311">
            <v>1.3333333333333333E-3</v>
          </cell>
          <cell r="H311">
            <v>28</v>
          </cell>
          <cell r="I311">
            <v>21000</v>
          </cell>
          <cell r="J311">
            <v>14</v>
          </cell>
          <cell r="K311">
            <v>11760.000000000002</v>
          </cell>
          <cell r="L311">
            <v>15000</v>
          </cell>
          <cell r="M311">
            <v>21.428571428571431</v>
          </cell>
          <cell r="N311" t="str">
            <v>IN STOCK</v>
          </cell>
          <cell r="O311" t="str">
            <v>FOLLOW UP DELIVERY</v>
          </cell>
          <cell r="P311">
            <v>46134.765474537038</v>
          </cell>
        </row>
        <row r="312">
          <cell r="C312" t="str">
            <v>RM-00448</v>
          </cell>
          <cell r="D312" t="str">
            <v>Olive Oil زيت زيتون</v>
          </cell>
          <cell r="E312" t="str">
            <v>1 Tin X 10 Kg</v>
          </cell>
          <cell r="F312" t="str">
            <v>Pcs</v>
          </cell>
          <cell r="G312">
            <v>0.1</v>
          </cell>
          <cell r="H312">
            <v>13.5</v>
          </cell>
          <cell r="I312">
            <v>135</v>
          </cell>
          <cell r="J312">
            <v>14</v>
          </cell>
          <cell r="K312">
            <v>75.600000000000009</v>
          </cell>
          <cell r="L312">
            <v>100</v>
          </cell>
          <cell r="M312">
            <v>22.222222222222221</v>
          </cell>
          <cell r="N312" t="str">
            <v>IN STOCK</v>
          </cell>
          <cell r="O312" t="str">
            <v>FOLLOW UP DELIVERY</v>
          </cell>
          <cell r="P312">
            <v>46131.518078703702</v>
          </cell>
        </row>
        <row r="313">
          <cell r="C313" t="str">
            <v>PM-00179</v>
          </cell>
          <cell r="D313" t="str">
            <v>Main Paper cup 12 Oz كوب ورقي 12 اونصه تصميم اساسي</v>
          </cell>
          <cell r="E313" t="str">
            <v>1 Box X 500 Pcs.</v>
          </cell>
          <cell r="F313" t="str">
            <v>Box</v>
          </cell>
          <cell r="G313">
            <v>2E-3</v>
          </cell>
          <cell r="H313">
            <v>995.5</v>
          </cell>
          <cell r="I313">
            <v>497750</v>
          </cell>
          <cell r="J313">
            <v>60</v>
          </cell>
          <cell r="K313">
            <v>1194600</v>
          </cell>
          <cell r="L313">
            <v>369000</v>
          </cell>
          <cell r="M313">
            <v>22.240080361627324</v>
          </cell>
          <cell r="N313" t="str">
            <v>ORDER NOW</v>
          </cell>
          <cell r="O313" t="str">
            <v>CRITICAL</v>
          </cell>
          <cell r="P313">
            <v>46138.481678240743</v>
          </cell>
        </row>
        <row r="314">
          <cell r="C314" t="str">
            <v>PM-00595</v>
          </cell>
          <cell r="D314" t="str">
            <v>Breehant Paper Bag Small  - كيس ورقي صغير  بريهانت</v>
          </cell>
          <cell r="E314" t="str">
            <v>1 bundle X 100 PCS</v>
          </cell>
          <cell r="F314" t="str">
            <v>bundel</v>
          </cell>
          <cell r="G314">
            <v>0.01</v>
          </cell>
          <cell r="H314">
            <v>96</v>
          </cell>
          <cell r="I314">
            <v>9600</v>
          </cell>
          <cell r="J314">
            <v>14</v>
          </cell>
          <cell r="K314">
            <v>5376.0000000000009</v>
          </cell>
          <cell r="L314">
            <v>7140</v>
          </cell>
          <cell r="M314">
            <v>22.3125</v>
          </cell>
          <cell r="N314" t="str">
            <v>IN STOCK</v>
          </cell>
          <cell r="O314" t="str">
            <v>FOLLOW UP DELIVERY</v>
          </cell>
          <cell r="P314">
            <v>46131.518194444441</v>
          </cell>
        </row>
        <row r="315">
          <cell r="C315" t="str">
            <v>CO-00203</v>
          </cell>
          <cell r="D315" t="str">
            <v>GARBAGE BIN WITH WHEELS 120Ltr حاوية مهملات  120 لتر</v>
          </cell>
          <cell r="E315" t="str">
            <v>Pcs.</v>
          </cell>
          <cell r="F315" t="str">
            <v>Pcs</v>
          </cell>
          <cell r="G315">
            <v>1</v>
          </cell>
          <cell r="H315">
            <v>63</v>
          </cell>
          <cell r="I315">
            <v>63</v>
          </cell>
          <cell r="J315">
            <v>14</v>
          </cell>
          <cell r="K315">
            <v>35.28</v>
          </cell>
          <cell r="L315">
            <v>47</v>
          </cell>
          <cell r="M315">
            <v>22.38095238095238</v>
          </cell>
          <cell r="N315" t="str">
            <v>IN STOCK</v>
          </cell>
          <cell r="O315" t="str">
            <v>FOLLOW UP DELIVERY</v>
          </cell>
          <cell r="P315">
            <v>46131.517905092594</v>
          </cell>
        </row>
        <row r="316">
          <cell r="C316" t="str">
            <v>RM-00114</v>
          </cell>
          <cell r="D316" t="str">
            <v>Brown Flour طحين فوم بر</v>
          </cell>
          <cell r="E316" t="str">
            <v>1 bag x 25 kg</v>
          </cell>
          <cell r="F316" t="str">
            <v>bag</v>
          </cell>
          <cell r="G316">
            <v>0.04</v>
          </cell>
          <cell r="H316">
            <v>4</v>
          </cell>
          <cell r="I316">
            <v>100</v>
          </cell>
          <cell r="J316">
            <v>14</v>
          </cell>
          <cell r="K316">
            <v>56.000000000000007</v>
          </cell>
          <cell r="L316">
            <v>75</v>
          </cell>
          <cell r="M316">
            <v>22.5</v>
          </cell>
          <cell r="N316" t="str">
            <v>IN STOCK</v>
          </cell>
          <cell r="O316" t="str">
            <v>FOLLOW UP DELIVERY</v>
          </cell>
          <cell r="P316">
            <v>46131.517870370371</v>
          </cell>
        </row>
        <row r="317">
          <cell r="C317" t="str">
            <v>FA-00006</v>
          </cell>
          <cell r="D317" t="str">
            <v>BECIC3 Krampouz BECIC3 Triple Topping Warmer" سخان كرامبوز الكهربائي ثلاث فتحات</v>
          </cell>
          <cell r="E317" t="str">
            <v>Pcs</v>
          </cell>
          <cell r="F317" t="str">
            <v>Pcs</v>
          </cell>
          <cell r="G317">
            <v>1</v>
          </cell>
          <cell r="H317">
            <v>8</v>
          </cell>
          <cell r="I317">
            <v>8</v>
          </cell>
          <cell r="J317">
            <v>14</v>
          </cell>
          <cell r="K317">
            <v>4.4800000000000004</v>
          </cell>
          <cell r="L317">
            <v>6</v>
          </cell>
          <cell r="M317">
            <v>22.5</v>
          </cell>
          <cell r="N317" t="str">
            <v>IN STOCK</v>
          </cell>
          <cell r="O317" t="str">
            <v>FOLLOW UP DELIVERY</v>
          </cell>
          <cell r="P317">
            <v>46131.517881944441</v>
          </cell>
        </row>
        <row r="318">
          <cell r="C318" t="str">
            <v>RM-00016</v>
          </cell>
          <cell r="D318" t="str">
            <v>Parmesan Italian Cheese جبن بارميزان</v>
          </cell>
          <cell r="E318" t="str">
            <v>KG</v>
          </cell>
          <cell r="F318" t="str">
            <v>Pcs</v>
          </cell>
          <cell r="G318">
            <v>1</v>
          </cell>
          <cell r="H318">
            <v>27.5</v>
          </cell>
          <cell r="I318">
            <v>27.5</v>
          </cell>
          <cell r="J318">
            <v>14</v>
          </cell>
          <cell r="K318">
            <v>15.400000000000002</v>
          </cell>
          <cell r="L318">
            <v>21.43</v>
          </cell>
          <cell r="M318">
            <v>23.378181818181815</v>
          </cell>
          <cell r="N318" t="str">
            <v>IN STOCK</v>
          </cell>
          <cell r="O318" t="str">
            <v>FOLLOW UP DELIVERY</v>
          </cell>
          <cell r="P318">
            <v>46138.481724537036</v>
          </cell>
        </row>
        <row r="319">
          <cell r="C319" t="str">
            <v>RM-00252</v>
          </cell>
          <cell r="D319" t="str">
            <v>Dry yeast- خميرة فورية</v>
          </cell>
          <cell r="E319" t="str">
            <v>box X 20 X 500Grm</v>
          </cell>
          <cell r="F319" t="str">
            <v>Box</v>
          </cell>
          <cell r="G319">
            <v>1E-3</v>
          </cell>
          <cell r="H319">
            <v>5</v>
          </cell>
          <cell r="I319">
            <v>50</v>
          </cell>
          <cell r="J319">
            <v>14</v>
          </cell>
          <cell r="K319">
            <v>28.000000000000004</v>
          </cell>
          <cell r="L319">
            <v>4000</v>
          </cell>
          <cell r="M319">
            <v>24</v>
          </cell>
          <cell r="N319" t="str">
            <v>IN STOCK</v>
          </cell>
          <cell r="O319" t="str">
            <v>FOLLOW UP DELIVERY</v>
          </cell>
          <cell r="P319">
            <v>46134.446527777778</v>
          </cell>
        </row>
        <row r="320">
          <cell r="C320" t="str">
            <v>RM-00072</v>
          </cell>
          <cell r="D320" t="str">
            <v>Dark Chocolate Chips 55% | شوكولاتة غامقة</v>
          </cell>
          <cell r="E320" t="str">
            <v>1 Box X 2 Bag X 5 KG</v>
          </cell>
          <cell r="F320" t="str">
            <v>Box</v>
          </cell>
          <cell r="G320">
            <v>0.1</v>
          </cell>
          <cell r="H320">
            <v>210</v>
          </cell>
          <cell r="I320">
            <v>2100</v>
          </cell>
          <cell r="J320">
            <v>14</v>
          </cell>
          <cell r="K320">
            <v>1176</v>
          </cell>
          <cell r="L320">
            <v>1700</v>
          </cell>
          <cell r="M320">
            <v>24.285714285714285</v>
          </cell>
          <cell r="N320" t="str">
            <v>IN STOCK</v>
          </cell>
          <cell r="O320" t="str">
            <v>FOLLOW UP DELIVERY</v>
          </cell>
          <cell r="P320">
            <v>46131.518020833333</v>
          </cell>
        </row>
        <row r="321">
          <cell r="C321" t="str">
            <v>PM-00177</v>
          </cell>
          <cell r="D321" t="str">
            <v>Main Paper cup 7 Oz كوب ورقي 7 اونصه تصميم اساسي</v>
          </cell>
          <cell r="E321" t="str">
            <v xml:space="preserve">1Box X 10 Pack X 100 Pcs </v>
          </cell>
          <cell r="F321" t="str">
            <v>Box</v>
          </cell>
          <cell r="G321">
            <v>1E-3</v>
          </cell>
          <cell r="H321">
            <v>137</v>
          </cell>
          <cell r="I321">
            <v>137000</v>
          </cell>
          <cell r="J321">
            <v>60</v>
          </cell>
          <cell r="K321">
            <v>328800</v>
          </cell>
          <cell r="L321">
            <v>111000</v>
          </cell>
          <cell r="M321">
            <v>24.306569343065693</v>
          </cell>
          <cell r="N321" t="str">
            <v>ORDER NOW</v>
          </cell>
          <cell r="O321" t="str">
            <v>CRITICAL</v>
          </cell>
          <cell r="P321">
            <v>46138.48170138889</v>
          </cell>
        </row>
        <row r="322">
          <cell r="C322" t="str">
            <v>FA-00328</v>
          </cell>
          <cell r="D322" t="str">
            <v>Server 600ml BLACK سيرفر V60 اسود شفاف 600 مل</v>
          </cell>
          <cell r="E322" t="str">
            <v>1 Pcs</v>
          </cell>
          <cell r="F322" t="str">
            <v>Pcs</v>
          </cell>
          <cell r="G322">
            <v>1</v>
          </cell>
          <cell r="H322">
            <v>235.5</v>
          </cell>
          <cell r="I322">
            <v>235.5</v>
          </cell>
          <cell r="J322">
            <v>14</v>
          </cell>
          <cell r="K322">
            <v>131.88000000000002</v>
          </cell>
          <cell r="L322">
            <v>200</v>
          </cell>
          <cell r="M322">
            <v>25.477707006369428</v>
          </cell>
          <cell r="N322" t="str">
            <v>IN STOCK</v>
          </cell>
          <cell r="O322" t="str">
            <v>FOLLOW UP DELIVERY</v>
          </cell>
          <cell r="P322">
            <v>46131.518217592595</v>
          </cell>
        </row>
        <row r="323">
          <cell r="C323" t="str">
            <v>CO-00320</v>
          </cell>
          <cell r="D323" t="str">
            <v>Espresso measuring cup 70 ml كوب قياس اسبريسو 70 مل</v>
          </cell>
          <cell r="E323" t="str">
            <v>Pcs.</v>
          </cell>
          <cell r="F323" t="str">
            <v>Pcs</v>
          </cell>
          <cell r="G323">
            <v>1</v>
          </cell>
          <cell r="H323">
            <v>143</v>
          </cell>
          <cell r="I323">
            <v>143</v>
          </cell>
          <cell r="J323">
            <v>14</v>
          </cell>
          <cell r="K323">
            <v>80.080000000000013</v>
          </cell>
          <cell r="L323">
            <v>122</v>
          </cell>
          <cell r="M323">
            <v>25.594405594405593</v>
          </cell>
          <cell r="N323" t="str">
            <v>IN STOCK</v>
          </cell>
          <cell r="O323" t="str">
            <v>FOLLOW UP DELIVERY</v>
          </cell>
          <cell r="P323">
            <v>46131.518229166664</v>
          </cell>
        </row>
        <row r="324">
          <cell r="C324" t="str">
            <v>PM-00457</v>
          </cell>
          <cell r="D324" t="str">
            <v>BREEHANT Small Foggy Plastic Bag 33cm*30cmكيس بلاستيك ضبابي بريهانت لحامل الاكواب الثنائي مقاس 30سم *33سم مع لاصق اغلاق</v>
          </cell>
          <cell r="E324" t="str">
            <v>1 Box X 11 Kg (615 Pcs)</v>
          </cell>
          <cell r="F324" t="str">
            <v>Box</v>
          </cell>
          <cell r="G324">
            <v>1.6260162601626016E-3</v>
          </cell>
          <cell r="H324">
            <v>96</v>
          </cell>
          <cell r="I324">
            <v>59040</v>
          </cell>
          <cell r="J324">
            <v>14</v>
          </cell>
          <cell r="K324">
            <v>33062.400000000001</v>
          </cell>
          <cell r="L324">
            <v>51045</v>
          </cell>
          <cell r="M324">
            <v>25.9375</v>
          </cell>
          <cell r="N324" t="str">
            <v>IN STOCK</v>
          </cell>
          <cell r="O324" t="str">
            <v>FOLLOW UP DELIVERY</v>
          </cell>
          <cell r="P324">
            <v>46131.518090277779</v>
          </cell>
        </row>
        <row r="325">
          <cell r="C325" t="str">
            <v>RM-00308</v>
          </cell>
          <cell r="D325" t="str">
            <v>Tuna تونا</v>
          </cell>
          <cell r="E325" t="str">
            <v>1 Box 48 Cans  X 185 Grm</v>
          </cell>
          <cell r="F325" t="str">
            <v>Box</v>
          </cell>
          <cell r="G325">
            <v>0.11261261261261263</v>
          </cell>
          <cell r="H325">
            <v>10</v>
          </cell>
          <cell r="I325">
            <v>88.799999999999983</v>
          </cell>
          <cell r="J325">
            <v>14</v>
          </cell>
          <cell r="K325">
            <v>49.727999999999994</v>
          </cell>
          <cell r="L325">
            <v>221.99999999999997</v>
          </cell>
          <cell r="M325">
            <v>26.785714285714288</v>
          </cell>
          <cell r="N325" t="str">
            <v>IN STOCK</v>
          </cell>
          <cell r="O325" t="str">
            <v>FOLLOW UP DELIVERY</v>
          </cell>
          <cell r="P325">
            <v>46131.518750000003</v>
          </cell>
        </row>
        <row r="326">
          <cell r="C326" t="str">
            <v>PM-00252</v>
          </cell>
          <cell r="D326" t="str">
            <v xml:space="preserve">4 Oz Sauce Lid plasticاغطية علبة صوص 4 اونصه بلاستيك </v>
          </cell>
          <cell r="E326" t="str">
            <v>1 Box X 20 Pack X 100 Pcs</v>
          </cell>
          <cell r="F326" t="str">
            <v>Box</v>
          </cell>
          <cell r="G326">
            <v>5.0000000000000001E-4</v>
          </cell>
          <cell r="H326">
            <v>145.5</v>
          </cell>
          <cell r="I326">
            <v>291000</v>
          </cell>
          <cell r="J326">
            <v>14</v>
          </cell>
          <cell r="K326">
            <v>162960.00000000003</v>
          </cell>
          <cell r="L326">
            <v>262000</v>
          </cell>
          <cell r="M326">
            <v>27.010309278350515</v>
          </cell>
          <cell r="N326" t="str">
            <v>IN STOCK</v>
          </cell>
          <cell r="O326" t="str">
            <v>FOLLOW UP DELIVERY</v>
          </cell>
          <cell r="P326">
            <v>46138.481689814813</v>
          </cell>
        </row>
        <row r="327">
          <cell r="C327" t="str">
            <v>RM-00249</v>
          </cell>
          <cell r="D327" t="str">
            <v>Nescafe GOLD نسكافية</v>
          </cell>
          <cell r="E327" t="str">
            <v>1 box X 6 Bottle X 190 G</v>
          </cell>
          <cell r="F327" t="str">
            <v>Box</v>
          </cell>
          <cell r="G327">
            <v>0.8771929824561403</v>
          </cell>
          <cell r="H327">
            <v>45</v>
          </cell>
          <cell r="I327">
            <v>51.300000000000004</v>
          </cell>
          <cell r="J327">
            <v>14</v>
          </cell>
          <cell r="K327">
            <v>28.728000000000005</v>
          </cell>
          <cell r="L327">
            <v>96.9</v>
          </cell>
          <cell r="M327">
            <v>28.333333333333332</v>
          </cell>
          <cell r="N327" t="str">
            <v>IN STOCK</v>
          </cell>
          <cell r="O327" t="str">
            <v>FOLLOW UP DELIVERY</v>
          </cell>
          <cell r="P327">
            <v>46131.51829861111</v>
          </cell>
        </row>
        <row r="328">
          <cell r="C328" t="str">
            <v>RM-00039</v>
          </cell>
          <cell r="D328" t="str">
            <v>Nutella Hazelnut نوتيلا</v>
          </cell>
          <cell r="E328" t="str">
            <v>1 Box X 2 Pail X 3 Kg</v>
          </cell>
          <cell r="F328" t="str">
            <v>Box</v>
          </cell>
          <cell r="G328">
            <v>0.16666666666666666</v>
          </cell>
          <cell r="H328">
            <v>75.5</v>
          </cell>
          <cell r="I328">
            <v>453</v>
          </cell>
          <cell r="J328">
            <v>14</v>
          </cell>
          <cell r="K328">
            <v>253.68000000000004</v>
          </cell>
          <cell r="L328">
            <v>438</v>
          </cell>
          <cell r="M328">
            <v>29.006622516556291</v>
          </cell>
          <cell r="N328" t="str">
            <v>IN STOCK</v>
          </cell>
          <cell r="O328" t="str">
            <v>FOLLOW UP DELIVERY</v>
          </cell>
          <cell r="P328">
            <v>46131.518275462964</v>
          </cell>
        </row>
        <row r="329">
          <cell r="C329" t="str">
            <v>PM-00088</v>
          </cell>
          <cell r="D329" t="str">
            <v>Sweet Plate Breehant صحن حلى بريهانت</v>
          </cell>
          <cell r="E329" t="str">
            <v>1 Case X 600 Pcs</v>
          </cell>
          <cell r="F329" t="str">
            <v>Case</v>
          </cell>
          <cell r="G329">
            <v>1.6666666666666668E-3</v>
          </cell>
          <cell r="H329">
            <v>123</v>
          </cell>
          <cell r="I329">
            <v>73800</v>
          </cell>
          <cell r="J329">
            <v>14</v>
          </cell>
          <cell r="K329">
            <v>41328.000000000007</v>
          </cell>
          <cell r="L329">
            <v>72000</v>
          </cell>
          <cell r="M329">
            <v>29.268292682926827</v>
          </cell>
          <cell r="N329" t="str">
            <v>IN STOCK</v>
          </cell>
          <cell r="O329" t="str">
            <v>FOLLOW UP DELIVERY</v>
          </cell>
          <cell r="P329">
            <v>46138.483726851853</v>
          </cell>
        </row>
        <row r="330">
          <cell r="C330" t="str">
            <v>PM-00655</v>
          </cell>
          <cell r="D330" t="str">
            <v>سليف زجاجة ايس تي | Glass sleeve for iced</v>
          </cell>
          <cell r="E330" t="str">
            <v>1 Box X 600 Pcs</v>
          </cell>
          <cell r="F330" t="str">
            <v>Box</v>
          </cell>
          <cell r="G330">
            <v>1.6666666666666668E-3</v>
          </cell>
          <cell r="H330">
            <v>20</v>
          </cell>
          <cell r="I330">
            <v>12000</v>
          </cell>
          <cell r="J330">
            <v>14</v>
          </cell>
          <cell r="K330">
            <v>6720.0000000000009</v>
          </cell>
          <cell r="L330">
            <v>11820.000000000002</v>
          </cell>
          <cell r="M330">
            <v>29.550000000000004</v>
          </cell>
          <cell r="N330" t="str">
            <v>IN STOCK</v>
          </cell>
          <cell r="O330" t="str">
            <v>FOLLOW UP DELIVERY</v>
          </cell>
          <cell r="P330">
            <v>46128.687893518516</v>
          </cell>
        </row>
        <row r="331">
          <cell r="C331" t="str">
            <v>RM-00289</v>
          </cell>
          <cell r="D331" t="str">
            <v>Sesame سمسم</v>
          </cell>
          <cell r="E331" t="str">
            <v>Bag *15Kg</v>
          </cell>
          <cell r="F331" t="str">
            <v>bag</v>
          </cell>
          <cell r="G331">
            <v>6.6666666666666666E-2</v>
          </cell>
          <cell r="H331">
            <v>1</v>
          </cell>
          <cell r="I331">
            <v>15</v>
          </cell>
          <cell r="J331">
            <v>14</v>
          </cell>
          <cell r="K331">
            <v>8.4</v>
          </cell>
          <cell r="L331">
            <v>15</v>
          </cell>
          <cell r="M331">
            <v>30</v>
          </cell>
          <cell r="N331" t="str">
            <v>IN STOCK</v>
          </cell>
          <cell r="O331" t="str">
            <v>FOLLOW UP DELIVERY</v>
          </cell>
          <cell r="P331">
            <v>46134.4921875</v>
          </cell>
        </row>
        <row r="332">
          <cell r="C332" t="str">
            <v>CO-00360</v>
          </cell>
          <cell r="D332" t="str">
            <v>First aid Box	صندوق اسعافات اولية</v>
          </cell>
          <cell r="E332" t="str">
            <v>Pcs.</v>
          </cell>
          <cell r="F332" t="str">
            <v>Pcs</v>
          </cell>
          <cell r="G332">
            <v>1</v>
          </cell>
          <cell r="H332">
            <v>19</v>
          </cell>
          <cell r="I332">
            <v>19</v>
          </cell>
          <cell r="J332">
            <v>14</v>
          </cell>
          <cell r="K332">
            <v>10.64</v>
          </cell>
          <cell r="L332">
            <v>19</v>
          </cell>
          <cell r="M332">
            <v>30</v>
          </cell>
          <cell r="N332" t="str">
            <v>IN STOCK</v>
          </cell>
          <cell r="O332" t="str">
            <v>FOLLOW UP DELIVERY</v>
          </cell>
          <cell r="P332">
            <v>46131.518148148149</v>
          </cell>
        </row>
        <row r="333">
          <cell r="C333" t="str">
            <v>RM-00168</v>
          </cell>
          <cell r="D333" t="str">
            <v>Sundried Tomato طماطم مجففة</v>
          </cell>
          <cell r="E333" t="str">
            <v>1 bag x 5 kg</v>
          </cell>
          <cell r="F333" t="str">
            <v>bag</v>
          </cell>
          <cell r="G333">
            <v>0.2</v>
          </cell>
          <cell r="H333">
            <v>10</v>
          </cell>
          <cell r="I333">
            <v>50</v>
          </cell>
          <cell r="J333">
            <v>14</v>
          </cell>
          <cell r="K333">
            <v>28.000000000000004</v>
          </cell>
          <cell r="L333">
            <v>50</v>
          </cell>
          <cell r="M333">
            <v>30</v>
          </cell>
          <cell r="N333" t="str">
            <v>IN STOCK</v>
          </cell>
          <cell r="O333" t="str">
            <v>FOLLOW UP DELIVERY</v>
          </cell>
          <cell r="P333">
            <v>46134.446562500001</v>
          </cell>
        </row>
        <row r="334">
          <cell r="C334" t="str">
            <v>RM-00190</v>
          </cell>
          <cell r="D334" t="str">
            <v>Dried mint نعناع مجفف</v>
          </cell>
          <cell r="E334" t="str">
            <v>1 KG</v>
          </cell>
          <cell r="F334" t="str">
            <v>Pcs</v>
          </cell>
          <cell r="G334">
            <v>1</v>
          </cell>
          <cell r="H334">
            <v>1</v>
          </cell>
          <cell r="I334">
            <v>1</v>
          </cell>
          <cell r="J334">
            <v>14</v>
          </cell>
          <cell r="K334">
            <v>0.56000000000000005</v>
          </cell>
          <cell r="L334">
            <v>1</v>
          </cell>
          <cell r="M334">
            <v>30</v>
          </cell>
          <cell r="N334" t="str">
            <v>IN STOCK</v>
          </cell>
          <cell r="O334" t="str">
            <v>FOLLOW UP DELIVERY</v>
          </cell>
          <cell r="P334">
            <v>46131.518101851849</v>
          </cell>
        </row>
        <row r="335">
          <cell r="C335" t="str">
            <v>RM-00154</v>
          </cell>
          <cell r="D335" t="str">
            <v>Chia seeds بذور الشيا</v>
          </cell>
          <cell r="E335" t="str">
            <v>1 PcsX 1 Kg</v>
          </cell>
          <cell r="F335" t="str">
            <v>Pcs</v>
          </cell>
          <cell r="G335">
            <v>1</v>
          </cell>
          <cell r="H335">
            <v>10</v>
          </cell>
          <cell r="I335">
            <v>10</v>
          </cell>
          <cell r="J335">
            <v>14</v>
          </cell>
          <cell r="K335">
            <v>5.6000000000000005</v>
          </cell>
          <cell r="L335">
            <v>10</v>
          </cell>
          <cell r="M335">
            <v>30</v>
          </cell>
          <cell r="N335" t="str">
            <v>IN STOCK</v>
          </cell>
          <cell r="O335" t="str">
            <v>FOLLOW UP DELIVERY</v>
          </cell>
          <cell r="P335">
            <v>46131.518125000002</v>
          </cell>
        </row>
        <row r="336">
          <cell r="C336" t="str">
            <v>RM-00219</v>
          </cell>
          <cell r="D336" t="str">
            <v>Ajwain Seed  نخوة هندي</v>
          </cell>
          <cell r="E336" t="str">
            <v>KG</v>
          </cell>
          <cell r="F336" t="str">
            <v>Box</v>
          </cell>
          <cell r="G336">
            <v>1</v>
          </cell>
          <cell r="H336">
            <v>5</v>
          </cell>
          <cell r="I336">
            <v>5</v>
          </cell>
          <cell r="J336">
            <v>14</v>
          </cell>
          <cell r="K336">
            <v>2.8000000000000003</v>
          </cell>
          <cell r="L336">
            <v>5</v>
          </cell>
          <cell r="M336">
            <v>30</v>
          </cell>
          <cell r="N336" t="str">
            <v>IN STOCK</v>
          </cell>
          <cell r="O336" t="str">
            <v>FOLLOW UP DELIVERY</v>
          </cell>
          <cell r="P336">
            <v>46131.518113425926</v>
          </cell>
        </row>
        <row r="337">
          <cell r="C337" t="str">
            <v>RM-00272</v>
          </cell>
          <cell r="D337" t="str">
            <v>Pickels Cucumber مخلل الخيار</v>
          </cell>
          <cell r="E337" t="str">
            <v>1 Ctn X 12 Pcs X 980 Grm</v>
          </cell>
          <cell r="F337" t="str">
            <v>Ctn</v>
          </cell>
          <cell r="G337">
            <v>6.9444444444444441E-3</v>
          </cell>
          <cell r="H337">
            <v>1</v>
          </cell>
          <cell r="I337">
            <v>144</v>
          </cell>
          <cell r="J337">
            <v>14</v>
          </cell>
          <cell r="K337">
            <v>80.640000000000015</v>
          </cell>
          <cell r="L337">
            <v>144</v>
          </cell>
          <cell r="M337">
            <v>30</v>
          </cell>
          <cell r="N337" t="str">
            <v>IN STOCK</v>
          </cell>
          <cell r="O337" t="str">
            <v>FOLLOW UP DELIVERY</v>
          </cell>
          <cell r="P337">
            <v>46131.519016203703</v>
          </cell>
        </row>
        <row r="338">
          <cell r="C338" t="str">
            <v>CO-00067</v>
          </cell>
          <cell r="D338" t="str">
            <v>Face Mask كمامة</v>
          </cell>
          <cell r="E338" t="str">
            <v>1 Box X 40 Pack X 50 Pcs</v>
          </cell>
          <cell r="F338" t="str">
            <v>Box</v>
          </cell>
          <cell r="G338">
            <v>5.0000000000000001E-4</v>
          </cell>
          <cell r="H338">
            <v>66</v>
          </cell>
          <cell r="I338">
            <v>132000</v>
          </cell>
          <cell r="J338">
            <v>14</v>
          </cell>
          <cell r="K338">
            <v>73920</v>
          </cell>
          <cell r="L338">
            <v>132000</v>
          </cell>
          <cell r="M338">
            <v>30</v>
          </cell>
          <cell r="N338" t="str">
            <v>IN STOCK</v>
          </cell>
          <cell r="O338" t="str">
            <v>FOLLOW UP DELIVERY</v>
          </cell>
          <cell r="P338">
            <v>46131.518437500003</v>
          </cell>
        </row>
        <row r="339">
          <cell r="C339" t="str">
            <v>RM-00001</v>
          </cell>
          <cell r="D339" t="str">
            <v>Animal Ghee سمن حيواني</v>
          </cell>
          <cell r="E339" t="str">
            <v>Box</v>
          </cell>
          <cell r="F339" t="str">
            <v>Box</v>
          </cell>
          <cell r="G339">
            <v>1</v>
          </cell>
          <cell r="H339">
            <v>1</v>
          </cell>
          <cell r="I339">
            <v>1</v>
          </cell>
          <cell r="J339">
            <v>14</v>
          </cell>
          <cell r="K339">
            <v>0.56000000000000005</v>
          </cell>
          <cell r="L339">
            <v>1</v>
          </cell>
          <cell r="M339">
            <v>30</v>
          </cell>
          <cell r="N339" t="str">
            <v>IN STOCK</v>
          </cell>
          <cell r="O339" t="str">
            <v>FOLLOW UP DELIVERY</v>
          </cell>
          <cell r="P339">
            <v>46131.518958333334</v>
          </cell>
        </row>
        <row r="340">
          <cell r="C340" t="str">
            <v>PM-00041</v>
          </cell>
          <cell r="D340" t="str">
            <v>كيس بلاستيك ضبابي نمق الكبير مقاس 60سم *35سم مع لاصق اغلاق Namq Large Foggy Plastic Bag 60cm*35cm</v>
          </cell>
          <cell r="E340" t="str">
            <v>1 Box X 250 Pcs</v>
          </cell>
          <cell r="F340" t="str">
            <v>Box</v>
          </cell>
          <cell r="G340">
            <v>4.0000000000000001E-3</v>
          </cell>
          <cell r="H340">
            <v>110</v>
          </cell>
          <cell r="I340">
            <v>27500</v>
          </cell>
          <cell r="J340">
            <v>14</v>
          </cell>
          <cell r="K340">
            <v>15400.000000000002</v>
          </cell>
          <cell r="L340">
            <v>27600</v>
          </cell>
          <cell r="M340">
            <v>30.109090909090909</v>
          </cell>
          <cell r="N340" t="str">
            <v>IN STOCK</v>
          </cell>
          <cell r="O340" t="str">
            <v>FOLLOW UP DELIVERY</v>
          </cell>
          <cell r="P340">
            <v>46131.518368055556</v>
          </cell>
        </row>
        <row r="341">
          <cell r="C341" t="str">
            <v>PM-00261</v>
          </cell>
          <cell r="D341" t="str">
            <v>Baking Paper 60*40 ورق خبازة 60*40</v>
          </cell>
          <cell r="E341" t="str">
            <v>1 Box X 500 Pcs. / 1 Box X 1000 Pcs.</v>
          </cell>
          <cell r="F341" t="str">
            <v>Box</v>
          </cell>
          <cell r="G341">
            <v>2E-3</v>
          </cell>
          <cell r="H341">
            <v>100</v>
          </cell>
          <cell r="I341">
            <v>50000</v>
          </cell>
          <cell r="J341">
            <v>14</v>
          </cell>
          <cell r="K341">
            <v>28000.000000000004</v>
          </cell>
          <cell r="L341">
            <v>51000</v>
          </cell>
          <cell r="M341">
            <v>30.6</v>
          </cell>
          <cell r="N341" t="str">
            <v>IN STOCK</v>
          </cell>
          <cell r="O341" t="str">
            <v>FOLLOW UP DELIVERY</v>
          </cell>
          <cell r="P341">
            <v>46131.518379629626</v>
          </cell>
        </row>
        <row r="342">
          <cell r="C342" t="str">
            <v>PM-00253</v>
          </cell>
          <cell r="D342" t="str">
            <v xml:space="preserve">2 Oz Sauce Cup plasticعلبة صوص 2 اونصه بلاستيك </v>
          </cell>
          <cell r="E342" t="str">
            <v>1 Box X 20 Pack X 100 Pcs</v>
          </cell>
          <cell r="F342" t="str">
            <v>Box</v>
          </cell>
          <cell r="G342">
            <v>5.0000000000000001E-4</v>
          </cell>
          <cell r="H342">
            <v>100.5</v>
          </cell>
          <cell r="I342">
            <v>201000</v>
          </cell>
          <cell r="J342">
            <v>14</v>
          </cell>
          <cell r="K342">
            <v>112560.00000000001</v>
          </cell>
          <cell r="L342">
            <v>208000</v>
          </cell>
          <cell r="M342">
            <v>31.044776119402982</v>
          </cell>
          <cell r="N342" t="str">
            <v>IN STOCK</v>
          </cell>
          <cell r="O342" t="str">
            <v>FOLLOW UP DELIVERY</v>
          </cell>
          <cell r="P342">
            <v>46131.518483796295</v>
          </cell>
        </row>
        <row r="343">
          <cell r="C343" t="str">
            <v>RM-00565</v>
          </cell>
          <cell r="D343" t="str">
            <v>Syrup Peach Teisseire سيروب تيسير خوخ</v>
          </cell>
          <cell r="E343" t="str">
            <v>1 Box X 6 Bottle X 1 Ltr</v>
          </cell>
          <cell r="F343" t="str">
            <v>Box</v>
          </cell>
          <cell r="G343">
            <v>0.16666666666666666</v>
          </cell>
          <cell r="H343">
            <v>99.25</v>
          </cell>
          <cell r="I343">
            <v>595.5</v>
          </cell>
          <cell r="J343">
            <v>14</v>
          </cell>
          <cell r="K343">
            <v>333.48</v>
          </cell>
          <cell r="L343">
            <v>618</v>
          </cell>
          <cell r="M343">
            <v>31.133501259445847</v>
          </cell>
          <cell r="N343" t="str">
            <v>IN STOCK</v>
          </cell>
          <cell r="O343" t="str">
            <v>FOLLOW UP DELIVERY</v>
          </cell>
          <cell r="P343">
            <v>46131.518518518518</v>
          </cell>
        </row>
        <row r="344">
          <cell r="C344" t="str">
            <v>RM-00146</v>
          </cell>
          <cell r="D344" t="str">
            <v>Baking powder باكنج باودر</v>
          </cell>
          <cell r="E344" t="str">
            <v>1 Bag X 10 Kg</v>
          </cell>
          <cell r="F344" t="str">
            <v>bag</v>
          </cell>
          <cell r="G344">
            <v>0.1388888888888889</v>
          </cell>
          <cell r="H344">
            <v>28</v>
          </cell>
          <cell r="I344">
            <v>201.6</v>
          </cell>
          <cell r="J344">
            <v>14</v>
          </cell>
          <cell r="K344">
            <v>112.896</v>
          </cell>
          <cell r="L344">
            <v>525.6</v>
          </cell>
          <cell r="M344">
            <v>31.285714285714288</v>
          </cell>
          <cell r="N344" t="str">
            <v>IN STOCK</v>
          </cell>
          <cell r="O344" t="str">
            <v>FOLLOW UP DELIVERY</v>
          </cell>
          <cell r="P344">
            <v>46131.518310185187</v>
          </cell>
        </row>
        <row r="345">
          <cell r="C345" t="str">
            <v>PM-00506</v>
          </cell>
          <cell r="D345" t="str">
            <v>Iced tea sticker Hibiscus (NAMQ) ستيكر شاي مثلج كركديه  ( نمق )</v>
          </cell>
          <cell r="E345" t="str">
            <v>1 Bundel X 500 Pcs.</v>
          </cell>
          <cell r="F345" t="str">
            <v>Box</v>
          </cell>
          <cell r="G345">
            <v>2E-3</v>
          </cell>
          <cell r="H345">
            <v>10.5</v>
          </cell>
          <cell r="I345">
            <v>5250</v>
          </cell>
          <cell r="J345">
            <v>14</v>
          </cell>
          <cell r="K345">
            <v>2940.0000000000005</v>
          </cell>
          <cell r="L345">
            <v>5500</v>
          </cell>
          <cell r="M345">
            <v>31.428571428571431</v>
          </cell>
          <cell r="N345" t="str">
            <v>IN STOCK</v>
          </cell>
          <cell r="O345" t="str">
            <v>FOLLOW UP DELIVERY</v>
          </cell>
          <cell r="P345">
            <v>46131.518587962964</v>
          </cell>
        </row>
        <row r="346">
          <cell r="C346" t="str">
            <v>PM-00016</v>
          </cell>
          <cell r="D346" t="str">
            <v>Lemon Cake Cover ( NAMQ ) غلاف كيكة الليمون ( نمق )</v>
          </cell>
          <cell r="E346" t="str">
            <v>1 bundle X 500 PCS</v>
          </cell>
          <cell r="F346" t="str">
            <v>bundel</v>
          </cell>
          <cell r="G346">
            <v>2E-3</v>
          </cell>
          <cell r="H346">
            <v>5</v>
          </cell>
          <cell r="I346">
            <v>2500</v>
          </cell>
          <cell r="J346">
            <v>14</v>
          </cell>
          <cell r="K346">
            <v>1400.0000000000002</v>
          </cell>
          <cell r="L346">
            <v>13250</v>
          </cell>
          <cell r="M346">
            <v>31.8</v>
          </cell>
          <cell r="N346" t="str">
            <v>IN STOCK</v>
          </cell>
          <cell r="O346" t="str">
            <v>FOLLOW UP DELIVERY</v>
          </cell>
          <cell r="P346">
            <v>46138.437835648147</v>
          </cell>
        </row>
        <row r="347">
          <cell r="C347" t="str">
            <v>PM-00070</v>
          </cell>
          <cell r="D347" t="str">
            <v>Takeawy Breehant Meduim Boxكرتون الحلى سفري وسط - بريهانت</v>
          </cell>
          <cell r="E347" t="str">
            <v>1 Box X 500 Pcs</v>
          </cell>
          <cell r="F347" t="str">
            <v>Box</v>
          </cell>
          <cell r="G347">
            <v>2E-3</v>
          </cell>
          <cell r="H347">
            <v>80</v>
          </cell>
          <cell r="I347">
            <v>40000</v>
          </cell>
          <cell r="J347">
            <v>14</v>
          </cell>
          <cell r="K347">
            <v>22400.000000000004</v>
          </cell>
          <cell r="L347">
            <v>42500</v>
          </cell>
          <cell r="M347">
            <v>31.875</v>
          </cell>
          <cell r="N347" t="str">
            <v>IN STOCK</v>
          </cell>
          <cell r="O347" t="str">
            <v>FOLLOW UP DELIVERY</v>
          </cell>
          <cell r="P347">
            <v>46131.51834490741</v>
          </cell>
        </row>
        <row r="348">
          <cell r="C348" t="str">
            <v>RM-00325</v>
          </cell>
          <cell r="D348" t="str">
            <v>Bisquisit Vanilla Sponge Mix BRAUN خليط كيك فانيليا</v>
          </cell>
          <cell r="E348" t="str">
            <v>15kg</v>
          </cell>
          <cell r="F348" t="str">
            <v>Pcs</v>
          </cell>
          <cell r="G348">
            <v>6.6666666666666666E-2</v>
          </cell>
          <cell r="H348">
            <v>50</v>
          </cell>
          <cell r="I348">
            <v>750</v>
          </cell>
          <cell r="J348">
            <v>14</v>
          </cell>
          <cell r="K348">
            <v>420.00000000000006</v>
          </cell>
          <cell r="L348">
            <v>1770</v>
          </cell>
          <cell r="M348">
            <v>32.18181818181818</v>
          </cell>
          <cell r="N348" t="str">
            <v>IN STOCK</v>
          </cell>
          <cell r="O348" t="str">
            <v>FOLLOW UP DELIVERY</v>
          </cell>
          <cell r="P348">
            <v>46131.518425925926</v>
          </cell>
        </row>
        <row r="349">
          <cell r="C349" t="str">
            <v>RM-00588</v>
          </cell>
          <cell r="D349" t="str">
            <v>Soya Milkحليب الصويا</v>
          </cell>
          <cell r="E349" t="str">
            <v>1 Box 12 Bottle X 1 Ltr</v>
          </cell>
          <cell r="F349" t="str">
            <v>Box</v>
          </cell>
          <cell r="G349">
            <v>8.3333333333333329E-2</v>
          </cell>
          <cell r="H349">
            <v>30</v>
          </cell>
          <cell r="I349">
            <v>360</v>
          </cell>
          <cell r="J349">
            <v>14</v>
          </cell>
          <cell r="K349">
            <v>201.60000000000002</v>
          </cell>
          <cell r="L349">
            <v>396</v>
          </cell>
          <cell r="M349">
            <v>33</v>
          </cell>
          <cell r="N349" t="str">
            <v>IN STOCK</v>
          </cell>
          <cell r="O349" t="str">
            <v>FOLLOW UP DELIVERY</v>
          </cell>
          <cell r="P349">
            <v>46131.51840277778</v>
          </cell>
        </row>
        <row r="350">
          <cell r="C350" t="str">
            <v>CO-00325</v>
          </cell>
          <cell r="D350" t="str">
            <v>CLEAR FOOD STORAGE CONTAINER W/LID 18 LTR وعاء شفاف سعة 18 لتر للمشروبات الباردة</v>
          </cell>
          <cell r="E350" t="str">
            <v>Pcs.</v>
          </cell>
          <cell r="F350" t="str">
            <v>Pcs</v>
          </cell>
          <cell r="G350">
            <v>1</v>
          </cell>
          <cell r="H350">
            <v>264</v>
          </cell>
          <cell r="I350">
            <v>264</v>
          </cell>
          <cell r="J350">
            <v>14</v>
          </cell>
          <cell r="K350">
            <v>147.84</v>
          </cell>
          <cell r="L350">
            <v>294</v>
          </cell>
          <cell r="M350">
            <v>33.409090909090907</v>
          </cell>
          <cell r="N350" t="str">
            <v>IN STOCK</v>
          </cell>
          <cell r="O350" t="str">
            <v>FOLLOW UP DELIVERY</v>
          </cell>
          <cell r="P350">
            <v>46131.517280092594</v>
          </cell>
        </row>
        <row r="351">
          <cell r="C351" t="str">
            <v>RM-00508</v>
          </cell>
          <cell r="D351" t="str">
            <v>Condensed milkحليب مكثف</v>
          </cell>
          <cell r="E351" t="str">
            <v>1 Box X 24 Pcs. X 1 Kilo</v>
          </cell>
          <cell r="F351" t="str">
            <v>Box</v>
          </cell>
          <cell r="G351">
            <v>4.1666666666666664E-2</v>
          </cell>
          <cell r="H351">
            <v>56</v>
          </cell>
          <cell r="I351">
            <v>1344</v>
          </cell>
          <cell r="J351">
            <v>14</v>
          </cell>
          <cell r="K351">
            <v>752.6400000000001</v>
          </cell>
          <cell r="L351">
            <v>1512</v>
          </cell>
          <cell r="M351">
            <v>33.75</v>
          </cell>
          <cell r="N351" t="str">
            <v>IN STOCK</v>
          </cell>
          <cell r="O351" t="str">
            <v>FOLLOW UP DELIVERY</v>
          </cell>
          <cell r="P351">
            <v>46138.437743055554</v>
          </cell>
        </row>
        <row r="352">
          <cell r="C352" t="str">
            <v>PM-00333</v>
          </cell>
          <cell r="D352" t="str">
            <v>Printed cash roll Four colors size 80 x 70 , 37 meter ( BREEHANT ) ورق كاشير ماشير مطبوع ( بريهانت )</v>
          </cell>
          <cell r="E352" t="str">
            <v>1 Box X 50 Roll</v>
          </cell>
          <cell r="F352"/>
          <cell r="G352">
            <v>0.02</v>
          </cell>
          <cell r="H352">
            <v>24</v>
          </cell>
          <cell r="I352">
            <v>1200</v>
          </cell>
          <cell r="J352">
            <v>14</v>
          </cell>
          <cell r="K352">
            <v>672.00000000000011</v>
          </cell>
          <cell r="L352">
            <v>1350</v>
          </cell>
          <cell r="M352">
            <v>33.75</v>
          </cell>
          <cell r="N352" t="str">
            <v>IN STOCK</v>
          </cell>
          <cell r="O352" t="str">
            <v>FOLLOW UP DELIVERY</v>
          </cell>
          <cell r="P352">
            <v>46131.518530092595</v>
          </cell>
        </row>
        <row r="353">
          <cell r="C353" t="str">
            <v>SF-00014</v>
          </cell>
          <cell r="D353" t="str">
            <v>Matcha Powder GRADE C مسحوق الماتشا  C</v>
          </cell>
          <cell r="E353" t="str">
            <v>1 Sack X 1 KG</v>
          </cell>
          <cell r="F353" t="str">
            <v>Pcs</v>
          </cell>
          <cell r="G353">
            <v>1</v>
          </cell>
          <cell r="H353">
            <v>800</v>
          </cell>
          <cell r="I353">
            <v>800</v>
          </cell>
          <cell r="J353">
            <v>14</v>
          </cell>
          <cell r="K353">
            <v>448.00000000000006</v>
          </cell>
          <cell r="L353">
            <v>901</v>
          </cell>
          <cell r="M353">
            <v>33.787500000000001</v>
          </cell>
          <cell r="N353" t="str">
            <v>IN STOCK</v>
          </cell>
          <cell r="O353" t="str">
            <v>FOLLOW UP DELIVERY</v>
          </cell>
          <cell r="P353">
            <v>46131.517291666663</v>
          </cell>
        </row>
        <row r="354">
          <cell r="C354" t="str">
            <v>CO-00064</v>
          </cell>
          <cell r="D354" t="str">
            <v>maog sponge اسفنج</v>
          </cell>
          <cell r="E354" t="str">
            <v>1 Box X 20 Pcs</v>
          </cell>
          <cell r="F354" t="str">
            <v>Box</v>
          </cell>
          <cell r="G354">
            <v>0.05</v>
          </cell>
          <cell r="H354">
            <v>6</v>
          </cell>
          <cell r="I354">
            <v>120</v>
          </cell>
          <cell r="J354">
            <v>14</v>
          </cell>
          <cell r="K354">
            <v>67.2</v>
          </cell>
          <cell r="L354">
            <v>140</v>
          </cell>
          <cell r="M354">
            <v>35</v>
          </cell>
          <cell r="N354" t="str">
            <v>IN STOCK</v>
          </cell>
          <cell r="O354" t="str">
            <v>FOLLOW UP DELIVERY</v>
          </cell>
          <cell r="P354">
            <v>46134.446712962963</v>
          </cell>
        </row>
        <row r="355">
          <cell r="C355" t="str">
            <v>CO-00512</v>
          </cell>
          <cell r="D355" t="str">
            <v>Cartridge Atlas 20" BIG CPP 1 mcr RE5706906 قلب فلتر اطلس 20 " جامبو بولي بروبيبلين 1 ميكرون</v>
          </cell>
          <cell r="E355" t="str">
            <v>Pcs.</v>
          </cell>
          <cell r="F355" t="str">
            <v>Pcs</v>
          </cell>
          <cell r="G355">
            <v>1</v>
          </cell>
          <cell r="H355">
            <v>33</v>
          </cell>
          <cell r="I355">
            <v>33</v>
          </cell>
          <cell r="J355">
            <v>14</v>
          </cell>
          <cell r="K355">
            <v>18.48</v>
          </cell>
          <cell r="L355">
            <v>39</v>
          </cell>
          <cell r="M355">
            <v>35.454545454545453</v>
          </cell>
          <cell r="N355" t="str">
            <v>IN STOCK</v>
          </cell>
          <cell r="O355" t="str">
            <v>FOLLOW UP DELIVERY</v>
          </cell>
          <cell r="P355">
            <v>46131.51835648148</v>
          </cell>
        </row>
        <row r="356">
          <cell r="C356" t="str">
            <v>PM-00043</v>
          </cell>
          <cell r="D356" t="str">
            <v>كيس بلاستيك ضبابي مطبوع مع استيكر اغلاق 10 كيلو (التاندو)Printed foggy plastic bag with sticker closure (Tando)</v>
          </cell>
          <cell r="E356" t="str">
            <v>Box</v>
          </cell>
          <cell r="F356" t="str">
            <v>Box</v>
          </cell>
          <cell r="G356">
            <v>1</v>
          </cell>
          <cell r="H356">
            <v>8</v>
          </cell>
          <cell r="I356">
            <v>8</v>
          </cell>
          <cell r="J356">
            <v>14</v>
          </cell>
          <cell r="K356">
            <v>4.4800000000000004</v>
          </cell>
          <cell r="L356">
            <v>9.5</v>
          </cell>
          <cell r="M356">
            <v>35.625</v>
          </cell>
          <cell r="N356" t="str">
            <v>IN STOCK</v>
          </cell>
          <cell r="O356" t="str">
            <v>FOLLOW UP DELIVERY</v>
          </cell>
          <cell r="P356">
            <v>46134.446620370371</v>
          </cell>
        </row>
        <row r="357">
          <cell r="C357" t="str">
            <v>RM-00234</v>
          </cell>
          <cell r="D357" t="str">
            <v>Ginger Powder  زنجبيل مطحون</v>
          </cell>
          <cell r="E357" t="str">
            <v>Box</v>
          </cell>
          <cell r="F357" t="str">
            <v>Box</v>
          </cell>
          <cell r="G357">
            <v>1</v>
          </cell>
          <cell r="H357">
            <v>5</v>
          </cell>
          <cell r="I357">
            <v>5</v>
          </cell>
          <cell r="J357">
            <v>14</v>
          </cell>
          <cell r="K357">
            <v>2.8000000000000003</v>
          </cell>
          <cell r="L357">
            <v>6</v>
          </cell>
          <cell r="M357">
            <v>36</v>
          </cell>
          <cell r="N357" t="str">
            <v>IN STOCK</v>
          </cell>
          <cell r="O357" t="str">
            <v>FOLLOW UP DELIVERY</v>
          </cell>
          <cell r="P357">
            <v>46131.518321759257</v>
          </cell>
        </row>
        <row r="358">
          <cell r="C358" t="str">
            <v>RM-00152</v>
          </cell>
          <cell r="D358" t="str">
            <v>Ground Coriander كزبرة مطحون</v>
          </cell>
          <cell r="E358" t="str">
            <v>Box</v>
          </cell>
          <cell r="F358" t="str">
            <v>Box</v>
          </cell>
          <cell r="G358">
            <v>1</v>
          </cell>
          <cell r="H358">
            <v>5</v>
          </cell>
          <cell r="I358">
            <v>5</v>
          </cell>
          <cell r="J358">
            <v>14</v>
          </cell>
          <cell r="K358">
            <v>2.8000000000000003</v>
          </cell>
          <cell r="L358">
            <v>6</v>
          </cell>
          <cell r="M358">
            <v>36</v>
          </cell>
          <cell r="N358" t="str">
            <v>IN STOCK</v>
          </cell>
          <cell r="O358" t="str">
            <v>FOLLOW UP DELIVERY</v>
          </cell>
          <cell r="P358">
            <v>46131.518333333333</v>
          </cell>
        </row>
        <row r="359">
          <cell r="C359" t="str">
            <v>RM-00116</v>
          </cell>
          <cell r="D359" t="str">
            <v>Flour Premium T45 طحين T45</v>
          </cell>
          <cell r="E359" t="str">
            <v>1 BAG x 25 Kg</v>
          </cell>
          <cell r="F359" t="str">
            <v>bag</v>
          </cell>
          <cell r="G359">
            <v>0.04</v>
          </cell>
          <cell r="H359">
            <v>25</v>
          </cell>
          <cell r="I359">
            <v>625</v>
          </cell>
          <cell r="J359">
            <v>14</v>
          </cell>
          <cell r="K359">
            <v>350.00000000000006</v>
          </cell>
          <cell r="L359">
            <v>750</v>
          </cell>
          <cell r="M359">
            <v>36</v>
          </cell>
          <cell r="N359" t="str">
            <v>IN STOCK</v>
          </cell>
          <cell r="O359" t="str">
            <v>FOLLOW UP DELIVERY</v>
          </cell>
          <cell r="P359">
            <v>46131.518854166665</v>
          </cell>
        </row>
        <row r="360">
          <cell r="C360" t="str">
            <v>PM-00608</v>
          </cell>
          <cell r="D360" t="str">
            <v>Vanilla Madrid Cheesecake Box بوكس تشيز كيك مدريد بالفانيليا</v>
          </cell>
          <cell r="E360" t="str">
            <v>1 Box X 100 Pcs</v>
          </cell>
          <cell r="F360" t="str">
            <v>Box</v>
          </cell>
          <cell r="G360">
            <v>0.01</v>
          </cell>
          <cell r="H360">
            <v>140</v>
          </cell>
          <cell r="I360">
            <v>14000</v>
          </cell>
          <cell r="J360">
            <v>14</v>
          </cell>
          <cell r="K360">
            <v>7840.0000000000009</v>
          </cell>
          <cell r="L360">
            <v>17657.142857142855</v>
          </cell>
          <cell r="M360">
            <v>37.836734693877546</v>
          </cell>
          <cell r="N360" t="str">
            <v>IN STOCK</v>
          </cell>
          <cell r="O360" t="str">
            <v>FOLLOW UP DELIVERY</v>
          </cell>
          <cell r="P360">
            <v>46131.518449074072</v>
          </cell>
        </row>
        <row r="361">
          <cell r="C361" t="str">
            <v>CO-00414</v>
          </cell>
          <cell r="D361" t="str">
            <v>Trash bags 10 gallon | اكياس نفايات 10 جالون</v>
          </cell>
          <cell r="E361" t="str">
            <v>1 Case X 4 Kg</v>
          </cell>
          <cell r="F361" t="str">
            <v>case</v>
          </cell>
          <cell r="G361">
            <v>1</v>
          </cell>
          <cell r="H361">
            <v>105.5</v>
          </cell>
          <cell r="I361">
            <v>105.5</v>
          </cell>
          <cell r="J361">
            <v>14</v>
          </cell>
          <cell r="K361">
            <v>59.080000000000005</v>
          </cell>
          <cell r="L361">
            <v>134</v>
          </cell>
          <cell r="M361">
            <v>38.104265402843602</v>
          </cell>
          <cell r="N361" t="str">
            <v>IN STOCK</v>
          </cell>
          <cell r="O361" t="str">
            <v>FOLLOW UP DELIVERY</v>
          </cell>
          <cell r="P361">
            <v>46131.518472222226</v>
          </cell>
        </row>
        <row r="362">
          <cell r="C362" t="str">
            <v>PM-00667</v>
          </cell>
          <cell r="D362" t="str">
            <v>سليف بار بيكان مكرمل |  Caramelized Pecan bar sleeve</v>
          </cell>
          <cell r="E362" t="str">
            <v>1 Box X 1800 Pcs</v>
          </cell>
          <cell r="F362" t="str">
            <v>Box</v>
          </cell>
          <cell r="G362">
            <v>5.5555555555555556E-4</v>
          </cell>
          <cell r="H362">
            <v>14</v>
          </cell>
          <cell r="I362">
            <v>25200</v>
          </cell>
          <cell r="J362">
            <v>14</v>
          </cell>
          <cell r="K362">
            <v>14112.000000000002</v>
          </cell>
          <cell r="L362">
            <v>32400</v>
          </cell>
          <cell r="M362">
            <v>38.571428571428577</v>
          </cell>
          <cell r="N362" t="str">
            <v>IN STOCK</v>
          </cell>
          <cell r="O362" t="str">
            <v>FOLLOW UP DELIVERY</v>
          </cell>
          <cell r="P362">
            <v>46134.446608796294</v>
          </cell>
        </row>
        <row r="363">
          <cell r="C363" t="str">
            <v>RM-00203</v>
          </cell>
          <cell r="D363" t="str">
            <v>Bicarbonate Gethai بيكربونات الصوديوم</v>
          </cell>
          <cell r="E363" t="str">
            <v>1 Box X 72 Pcs X 100 Grm</v>
          </cell>
          <cell r="F363" t="str">
            <v>Box</v>
          </cell>
          <cell r="G363">
            <v>0.1388888888888889</v>
          </cell>
          <cell r="H363">
            <v>38</v>
          </cell>
          <cell r="I363">
            <v>273.59999999999997</v>
          </cell>
          <cell r="J363">
            <v>14</v>
          </cell>
          <cell r="K363">
            <v>153.21600000000001</v>
          </cell>
          <cell r="L363">
            <v>669.6</v>
          </cell>
          <cell r="M363">
            <v>39.857142857142854</v>
          </cell>
          <cell r="N363" t="str">
            <v>IN STOCK</v>
          </cell>
          <cell r="O363" t="str">
            <v>FOLLOW UP DELIVERY</v>
          </cell>
          <cell r="P363">
            <v>46138.481770833336</v>
          </cell>
        </row>
        <row r="364">
          <cell r="C364" t="str">
            <v>RM-00539</v>
          </cell>
          <cell r="D364" t="str">
            <v>SYRUP BLUEBERRY 1883 سيروب توت ازرق</v>
          </cell>
          <cell r="E364" t="str">
            <v>1 Box X 6 Bottle X 1 Ltr</v>
          </cell>
          <cell r="F364" t="str">
            <v>Box</v>
          </cell>
          <cell r="G364">
            <v>0.16666666666666666</v>
          </cell>
          <cell r="H364">
            <v>16.5</v>
          </cell>
          <cell r="I364">
            <v>99</v>
          </cell>
          <cell r="J364">
            <v>14</v>
          </cell>
          <cell r="K364">
            <v>55.440000000000005</v>
          </cell>
          <cell r="L364">
            <v>132</v>
          </cell>
          <cell r="M364">
            <v>40</v>
          </cell>
          <cell r="N364" t="str">
            <v>IN STOCK</v>
          </cell>
          <cell r="O364" t="str">
            <v>FOLLOW UP DELIVERY</v>
          </cell>
          <cell r="P364">
            <v>46131.518807870372</v>
          </cell>
        </row>
        <row r="365">
          <cell r="C365" t="str">
            <v>PM-00065</v>
          </cell>
          <cell r="D365" t="str">
            <v>Takeawy Sweet Box Namq - OUTER BOX علبة الحلى سفري نمق</v>
          </cell>
          <cell r="E365" t="str">
            <v>1 Box X 500 Pcs</v>
          </cell>
          <cell r="F365" t="str">
            <v>Box</v>
          </cell>
          <cell r="G365">
            <v>2E-3</v>
          </cell>
          <cell r="H365">
            <v>627</v>
          </cell>
          <cell r="I365">
            <v>313500</v>
          </cell>
          <cell r="J365">
            <v>60</v>
          </cell>
          <cell r="K365">
            <v>752400</v>
          </cell>
          <cell r="L365">
            <v>419000</v>
          </cell>
          <cell r="M365">
            <v>40.095693779904309</v>
          </cell>
          <cell r="N365" t="str">
            <v>ORDER NOW</v>
          </cell>
          <cell r="O365" t="str">
            <v>CRITICAL</v>
          </cell>
          <cell r="P365">
            <v>46138.481747685182</v>
          </cell>
        </row>
        <row r="366">
          <cell r="C366" t="str">
            <v>PM-00065-01</v>
          </cell>
          <cell r="D366" t="str">
            <v>Takeawy Sweet Box Namq - DRAWER BOX علبة الحلى سفري نمق</v>
          </cell>
          <cell r="E366" t="str">
            <v>1 Box X 500 Pcs</v>
          </cell>
          <cell r="F366" t="str">
            <v>Box</v>
          </cell>
          <cell r="G366">
            <v>2E-3</v>
          </cell>
          <cell r="H366">
            <v>627</v>
          </cell>
          <cell r="I366">
            <v>313500</v>
          </cell>
          <cell r="J366">
            <v>60</v>
          </cell>
          <cell r="K366">
            <v>752400</v>
          </cell>
          <cell r="L366">
            <v>421500</v>
          </cell>
          <cell r="M366">
            <v>40.334928229665074</v>
          </cell>
          <cell r="N366" t="str">
            <v>ORDER NOW</v>
          </cell>
          <cell r="O366" t="str">
            <v>CRITICAL</v>
          </cell>
          <cell r="P366">
            <v>46138.481736111113</v>
          </cell>
        </row>
        <row r="367">
          <cell r="C367" t="str">
            <v>RM-00161</v>
          </cell>
          <cell r="D367" t="str">
            <v>Pesto Sauce 	صوص بيستو</v>
          </cell>
          <cell r="E367" t="str">
            <v>Box X 12 pcs x 195 grm</v>
          </cell>
          <cell r="F367" t="str">
            <v>Box</v>
          </cell>
          <cell r="G367">
            <v>0.42735042735042739</v>
          </cell>
          <cell r="H367">
            <v>36</v>
          </cell>
          <cell r="I367">
            <v>84.24</v>
          </cell>
          <cell r="J367">
            <v>14</v>
          </cell>
          <cell r="K367">
            <v>47.174399999999999</v>
          </cell>
          <cell r="L367">
            <v>116.99999999999999</v>
          </cell>
          <cell r="M367">
            <v>41.666666666666664</v>
          </cell>
          <cell r="N367" t="str">
            <v>IN STOCK</v>
          </cell>
          <cell r="O367" t="str">
            <v>FOLLOW UP DELIVERY</v>
          </cell>
          <cell r="P367">
            <v>46131.518912037034</v>
          </cell>
        </row>
        <row r="368">
          <cell r="C368" t="str">
            <v>RM-00296</v>
          </cell>
          <cell r="D368" t="str">
            <v>Sukkari coated dates تمر سكري مغلف</v>
          </cell>
          <cell r="E368" t="str">
            <v>1 Box X 5 Kg</v>
          </cell>
          <cell r="F368" t="str">
            <v>Box</v>
          </cell>
          <cell r="G368">
            <v>0.2</v>
          </cell>
          <cell r="H368">
            <v>33</v>
          </cell>
          <cell r="I368">
            <v>165</v>
          </cell>
          <cell r="J368">
            <v>14</v>
          </cell>
          <cell r="K368">
            <v>92.4</v>
          </cell>
          <cell r="L368">
            <v>235</v>
          </cell>
          <cell r="M368">
            <v>42.727272727272727</v>
          </cell>
          <cell r="N368" t="str">
            <v>IN STOCK</v>
          </cell>
          <cell r="O368" t="str">
            <v>FOLLOW UP DELIVERY</v>
          </cell>
          <cell r="P368">
            <v>46131.51871527778</v>
          </cell>
        </row>
        <row r="369">
          <cell r="C369" t="str">
            <v>CO-00138</v>
          </cell>
          <cell r="D369" t="str">
            <v>Sanita Hand Foam 5L سانيتا صابون سائل لغسيل اليدين 5 لتر</v>
          </cell>
          <cell r="E369" t="str">
            <v>1 Pcs. X 5 Ltr</v>
          </cell>
          <cell r="F369" t="str">
            <v>Pcs</v>
          </cell>
          <cell r="G369">
            <v>1</v>
          </cell>
          <cell r="H369">
            <v>35</v>
          </cell>
          <cell r="I369">
            <v>35</v>
          </cell>
          <cell r="J369">
            <v>14</v>
          </cell>
          <cell r="K369">
            <v>19.600000000000001</v>
          </cell>
          <cell r="L369">
            <v>50</v>
          </cell>
          <cell r="M369">
            <v>42.857142857142861</v>
          </cell>
          <cell r="N369" t="str">
            <v>IN STOCK</v>
          </cell>
          <cell r="O369" t="str">
            <v>FOLLOW UP DELIVERY</v>
          </cell>
          <cell r="P369">
            <v>46131.518900462965</v>
          </cell>
        </row>
        <row r="370">
          <cell r="C370" t="str">
            <v>RM-00523</v>
          </cell>
          <cell r="D370" t="str">
            <v>Berain 40*330 ML | مياه بيرين 330م*40</v>
          </cell>
          <cell r="E370" t="str">
            <v>1 BOX 40*330 ML PET</v>
          </cell>
          <cell r="F370" t="str">
            <v>bag</v>
          </cell>
          <cell r="G370">
            <v>2.5000000000000001E-2</v>
          </cell>
          <cell r="H370">
            <v>149</v>
          </cell>
          <cell r="I370">
            <v>5960</v>
          </cell>
          <cell r="J370">
            <v>14</v>
          </cell>
          <cell r="K370">
            <v>3337.6000000000004</v>
          </cell>
          <cell r="L370">
            <v>8600</v>
          </cell>
          <cell r="M370">
            <v>43.288590604026844</v>
          </cell>
          <cell r="N370" t="str">
            <v>IN STOCK</v>
          </cell>
          <cell r="O370" t="str">
            <v>FOLLOW UP DELIVERY</v>
          </cell>
          <cell r="P370">
            <v>46134.44672453704</v>
          </cell>
        </row>
        <row r="371">
          <cell r="C371" t="str">
            <v>PM-00669</v>
          </cell>
          <cell r="D371" t="str">
            <v>سليف ايس تي خوخ</v>
          </cell>
          <cell r="E371" t="str">
            <v>1 Box X 1200 Pcs</v>
          </cell>
          <cell r="F371" t="str">
            <v>Box</v>
          </cell>
          <cell r="G371">
            <v>8.3333333333333339E-4</v>
          </cell>
          <cell r="H371">
            <v>10</v>
          </cell>
          <cell r="I371">
            <v>12000</v>
          </cell>
          <cell r="J371">
            <v>14</v>
          </cell>
          <cell r="K371">
            <v>6720.0000000000009</v>
          </cell>
          <cell r="L371">
            <v>17400</v>
          </cell>
          <cell r="M371">
            <v>43.5</v>
          </cell>
          <cell r="N371" t="str">
            <v>IN STOCK</v>
          </cell>
          <cell r="O371" t="str">
            <v>FOLLOW UP DELIVERY</v>
          </cell>
          <cell r="P371">
            <v>46113.430949074071</v>
          </cell>
        </row>
        <row r="372">
          <cell r="C372" t="str">
            <v>PM-00012</v>
          </cell>
          <cell r="D372" t="str">
            <v>Aluminium coffee thermal bag 1 Ltr كيس حراري ألومنيوم للقهوة سعة 1 لتر</v>
          </cell>
          <cell r="E372" t="str">
            <v xml:space="preserve">Box X 200 PCS </v>
          </cell>
          <cell r="F372" t="str">
            <v>Box</v>
          </cell>
          <cell r="G372">
            <v>5.0000000000000001E-3</v>
          </cell>
          <cell r="H372">
            <v>248</v>
          </cell>
          <cell r="I372">
            <v>49600</v>
          </cell>
          <cell r="J372">
            <v>14</v>
          </cell>
          <cell r="K372">
            <v>27776.000000000004</v>
          </cell>
          <cell r="L372">
            <v>73530</v>
          </cell>
          <cell r="M372">
            <v>44.473790322580641</v>
          </cell>
          <cell r="N372" t="str">
            <v>IN STOCK</v>
          </cell>
          <cell r="O372" t="str">
            <v>FOLLOW UP DELIVERY</v>
          </cell>
          <cell r="P372">
            <v>46131.517314814817</v>
          </cell>
        </row>
        <row r="373">
          <cell r="C373" t="str">
            <v>RM-00564</v>
          </cell>
          <cell r="D373" t="str">
            <v>Syrup passion fruit Polot  باشن فروت سيروب - بولوت</v>
          </cell>
          <cell r="E373" t="str">
            <v>1 Box X 6 Bottle X 700 ml</v>
          </cell>
          <cell r="F373" t="str">
            <v>Box</v>
          </cell>
          <cell r="G373">
            <v>0.23809523809523814</v>
          </cell>
          <cell r="H373">
            <v>23.5</v>
          </cell>
          <cell r="I373">
            <v>98.699999999999989</v>
          </cell>
          <cell r="J373">
            <v>14</v>
          </cell>
          <cell r="K373">
            <v>55.271999999999998</v>
          </cell>
          <cell r="L373">
            <v>146.99999999999997</v>
          </cell>
          <cell r="M373">
            <v>44.680851063829785</v>
          </cell>
          <cell r="N373" t="str">
            <v>IN STOCK</v>
          </cell>
          <cell r="O373" t="str">
            <v>FOLLOW UP DELIVERY</v>
          </cell>
          <cell r="P373">
            <v>46138.481805555559</v>
          </cell>
        </row>
        <row r="374">
          <cell r="C374" t="str">
            <v>CO-00187</v>
          </cell>
          <cell r="D374" t="str">
            <v>MISWAK مسواك</v>
          </cell>
          <cell r="E374" t="str">
            <v>1 Box X 225 Pcs</v>
          </cell>
          <cell r="F374" t="str">
            <v>Box</v>
          </cell>
          <cell r="G374">
            <v>4.4444444444444444E-3</v>
          </cell>
          <cell r="H374">
            <v>27.5</v>
          </cell>
          <cell r="I374">
            <v>6187.5</v>
          </cell>
          <cell r="J374">
            <v>14</v>
          </cell>
          <cell r="K374">
            <v>3465.0000000000005</v>
          </cell>
          <cell r="L374">
            <v>9225</v>
          </cell>
          <cell r="M374">
            <v>44.727272727272727</v>
          </cell>
          <cell r="N374" t="str">
            <v>IN STOCK</v>
          </cell>
          <cell r="O374" t="str">
            <v>FOLLOW UP DELIVERY</v>
          </cell>
          <cell r="P374">
            <v>46131.518877314818</v>
          </cell>
        </row>
        <row r="375">
          <cell r="C375" t="str">
            <v>RM-00284</v>
          </cell>
          <cell r="D375" t="str">
            <v>S500 bakery improver محسن مخبوزات اس 500</v>
          </cell>
          <cell r="E375" t="str">
            <v>Bag *15Kg</v>
          </cell>
          <cell r="F375" t="str">
            <v>bag</v>
          </cell>
          <cell r="G375">
            <v>6.6666666666666666E-2</v>
          </cell>
          <cell r="H375">
            <v>2</v>
          </cell>
          <cell r="I375">
            <v>30</v>
          </cell>
          <cell r="J375">
            <v>14</v>
          </cell>
          <cell r="K375">
            <v>16.8</v>
          </cell>
          <cell r="L375">
            <v>45</v>
          </cell>
          <cell r="M375">
            <v>45</v>
          </cell>
          <cell r="N375" t="str">
            <v>IN STOCK</v>
          </cell>
          <cell r="O375" t="str">
            <v>FOLLOW UP DELIVERY</v>
          </cell>
          <cell r="P375">
            <v>46134.446574074071</v>
          </cell>
        </row>
        <row r="376">
          <cell r="C376" t="str">
            <v>RM-00149</v>
          </cell>
          <cell r="D376" t="str">
            <v>Alqassim Coffee Mixقهوة خلطة القصيم</v>
          </cell>
          <cell r="E376" t="str">
            <v>1 Box X 12 Bottle X 500 Grm</v>
          </cell>
          <cell r="F376" t="str">
            <v>Box</v>
          </cell>
          <cell r="G376">
            <v>0.16666666666666666</v>
          </cell>
          <cell r="H376">
            <v>8</v>
          </cell>
          <cell r="I376">
            <v>48</v>
          </cell>
          <cell r="J376">
            <v>14</v>
          </cell>
          <cell r="K376">
            <v>26.880000000000003</v>
          </cell>
          <cell r="L376">
            <v>90</v>
          </cell>
          <cell r="M376">
            <v>45</v>
          </cell>
          <cell r="N376" t="str">
            <v>IN STOCK</v>
          </cell>
          <cell r="O376" t="str">
            <v>FOLLOW UP DELIVERY</v>
          </cell>
          <cell r="P376">
            <v>46134.446736111109</v>
          </cell>
        </row>
        <row r="377">
          <cell r="C377" t="str">
            <v>CO-00499</v>
          </cell>
          <cell r="D377" t="str">
            <v>Vietnamese filter 10 inch -فلتر شوائب فيتنامي 10 إنش</v>
          </cell>
          <cell r="E377" t="str">
            <v>1 Pcs</v>
          </cell>
          <cell r="F377" t="str">
            <v>Pcs</v>
          </cell>
          <cell r="G377">
            <v>1</v>
          </cell>
          <cell r="H377">
            <v>44</v>
          </cell>
          <cell r="I377">
            <v>44</v>
          </cell>
          <cell r="J377">
            <v>14</v>
          </cell>
          <cell r="K377">
            <v>24.64</v>
          </cell>
          <cell r="L377">
            <v>67</v>
          </cell>
          <cell r="M377">
            <v>45.68181818181818</v>
          </cell>
          <cell r="N377" t="str">
            <v>IN STOCK</v>
          </cell>
          <cell r="O377" t="str">
            <v>FOLLOW UP DELIVERY</v>
          </cell>
          <cell r="P377">
            <v>46131.518634259257</v>
          </cell>
        </row>
        <row r="378">
          <cell r="C378" t="str">
            <v>PM-00254</v>
          </cell>
          <cell r="D378" t="str">
            <v xml:space="preserve">2 Oz Sauce Lid plasticاغطية علبة صوص 2 اونصه بلاستيك </v>
          </cell>
          <cell r="E378" t="str">
            <v>1 Box X 20 Pack X 100 Pcs</v>
          </cell>
          <cell r="F378" t="str">
            <v>Box</v>
          </cell>
          <cell r="G378">
            <v>5.0000000000000001E-4</v>
          </cell>
          <cell r="H378">
            <v>84.5</v>
          </cell>
          <cell r="I378">
            <v>169000</v>
          </cell>
          <cell r="J378">
            <v>14</v>
          </cell>
          <cell r="K378">
            <v>94640.000000000015</v>
          </cell>
          <cell r="L378">
            <v>258000</v>
          </cell>
          <cell r="M378">
            <v>45.798816568047336</v>
          </cell>
          <cell r="N378" t="str">
            <v>IN STOCK</v>
          </cell>
          <cell r="O378" t="str">
            <v>FOLLOW UP DELIVERY</v>
          </cell>
          <cell r="P378">
            <v>46131.518611111111</v>
          </cell>
        </row>
        <row r="379">
          <cell r="C379" t="str">
            <v>CO-00472</v>
          </cell>
          <cell r="D379" t="str">
            <v>Cartridge Atlas 20" carbon block 5 mcr RE5397108 قلب فلتر اطلس 20 " كربون بلوك شبك اخضر 5 ميكرون</v>
          </cell>
          <cell r="E379" t="str">
            <v>Pcs.</v>
          </cell>
          <cell r="F379" t="str">
            <v>Pcs</v>
          </cell>
          <cell r="G379">
            <v>1</v>
          </cell>
          <cell r="H379">
            <v>33</v>
          </cell>
          <cell r="I379">
            <v>33</v>
          </cell>
          <cell r="J379">
            <v>14</v>
          </cell>
          <cell r="K379">
            <v>18.48</v>
          </cell>
          <cell r="L379">
            <v>52</v>
          </cell>
          <cell r="M379">
            <v>47.272727272727273</v>
          </cell>
          <cell r="N379" t="str">
            <v>IN STOCK</v>
          </cell>
          <cell r="O379" t="str">
            <v>FOLLOW UP DELIVERY</v>
          </cell>
          <cell r="P379">
            <v>46131.518692129626</v>
          </cell>
        </row>
        <row r="380">
          <cell r="C380" t="str">
            <v>CO-00050</v>
          </cell>
          <cell r="D380" t="str">
            <v>Sanita Floor Mopping Sanitizer 5L سانيتا معقم لمسح الارضيات 5 لتر</v>
          </cell>
          <cell r="E380" t="str">
            <v>1 Pcs. X 5 Ltr</v>
          </cell>
          <cell r="F380" t="str">
            <v>Pcs</v>
          </cell>
          <cell r="G380">
            <v>0.2</v>
          </cell>
          <cell r="H380">
            <v>250.5</v>
          </cell>
          <cell r="I380">
            <v>1252.5</v>
          </cell>
          <cell r="J380">
            <v>14</v>
          </cell>
          <cell r="K380">
            <v>701.40000000000009</v>
          </cell>
          <cell r="L380">
            <v>1980</v>
          </cell>
          <cell r="M380">
            <v>47.425149700598801</v>
          </cell>
          <cell r="N380" t="str">
            <v>IN STOCK</v>
          </cell>
          <cell r="O380" t="str">
            <v>FOLLOW UP DELIVERY</v>
          </cell>
          <cell r="P380">
            <v>46134.446689814817</v>
          </cell>
        </row>
        <row r="381">
          <cell r="C381" t="str">
            <v>RM-00445</v>
          </cell>
          <cell r="D381" t="str">
            <v>Kompletin Spray Oil بخاخ زيت كومبليت ان</v>
          </cell>
          <cell r="E381" t="str">
            <v>1 Box X 6 Pcs X 500ml</v>
          </cell>
          <cell r="F381" t="str">
            <v>Box</v>
          </cell>
          <cell r="G381">
            <v>0.33333333333333331</v>
          </cell>
          <cell r="H381">
            <v>135</v>
          </cell>
          <cell r="I381">
            <v>405</v>
          </cell>
          <cell r="J381">
            <v>14</v>
          </cell>
          <cell r="K381">
            <v>226.8</v>
          </cell>
          <cell r="L381">
            <v>648</v>
          </cell>
          <cell r="M381">
            <v>48</v>
          </cell>
          <cell r="N381" t="str">
            <v>IN STOCK</v>
          </cell>
          <cell r="O381" t="str">
            <v>FOLLOW UP DELIVERY</v>
          </cell>
          <cell r="P381">
            <v>46138.437754629631</v>
          </cell>
        </row>
        <row r="382">
          <cell r="C382" t="str">
            <v>PM-00686</v>
          </cell>
          <cell r="D382" t="str">
            <v>بوكس البار مارشميلو|| Marshmallow Bar Box</v>
          </cell>
          <cell r="E382" t="str">
            <v>Pcs</v>
          </cell>
          <cell r="F382" t="str">
            <v>Pcs</v>
          </cell>
          <cell r="G382">
            <v>1</v>
          </cell>
          <cell r="H382">
            <v>10</v>
          </cell>
          <cell r="I382">
            <v>5000</v>
          </cell>
          <cell r="J382">
            <v>14</v>
          </cell>
          <cell r="K382">
            <v>2800.0000000000005</v>
          </cell>
          <cell r="L382">
            <v>16</v>
          </cell>
          <cell r="M382">
            <v>48</v>
          </cell>
          <cell r="N382" t="str">
            <v>IN STOCK</v>
          </cell>
          <cell r="O382" t="str">
            <v>FOLLOW UP DELIVERY</v>
          </cell>
          <cell r="P382">
            <v>46113.430891203701</v>
          </cell>
        </row>
        <row r="383">
          <cell r="C383" t="str">
            <v>RM-00309</v>
          </cell>
          <cell r="D383" t="str">
            <v>Turmeric curcuma poweder كركم مطحون</v>
          </cell>
          <cell r="E383" t="str">
            <v>Box</v>
          </cell>
          <cell r="F383" t="str">
            <v>Box</v>
          </cell>
          <cell r="G383">
            <v>1</v>
          </cell>
          <cell r="H383">
            <v>5</v>
          </cell>
          <cell r="I383">
            <v>5</v>
          </cell>
          <cell r="J383">
            <v>14</v>
          </cell>
          <cell r="K383">
            <v>2.8000000000000003</v>
          </cell>
          <cell r="L383">
            <v>8</v>
          </cell>
          <cell r="M383">
            <v>48</v>
          </cell>
          <cell r="N383" t="str">
            <v>IN STOCK</v>
          </cell>
          <cell r="O383" t="str">
            <v>FOLLOW UP DELIVERY</v>
          </cell>
          <cell r="P383">
            <v>46131.51866898148</v>
          </cell>
        </row>
        <row r="384">
          <cell r="C384" t="str">
            <v>CO-00123</v>
          </cell>
          <cell r="D384" t="str">
            <v>Heavy Duty Cutter مزيل الشحوم مركز</v>
          </cell>
          <cell r="E384" t="str">
            <v>1 Pcs. X 5 Ltr</v>
          </cell>
          <cell r="F384" t="str">
            <v>Pcs</v>
          </cell>
          <cell r="G384">
            <v>0.2</v>
          </cell>
          <cell r="H384">
            <v>20</v>
          </cell>
          <cell r="I384">
            <v>100</v>
          </cell>
          <cell r="J384">
            <v>14</v>
          </cell>
          <cell r="K384">
            <v>56.000000000000007</v>
          </cell>
          <cell r="L384">
            <v>160</v>
          </cell>
          <cell r="M384">
            <v>48</v>
          </cell>
          <cell r="N384" t="str">
            <v>IN STOCK</v>
          </cell>
          <cell r="O384" t="str">
            <v>FOLLOW UP DELIVERY</v>
          </cell>
          <cell r="P384">
            <v>46138.481817129628</v>
          </cell>
        </row>
        <row r="385">
          <cell r="C385" t="str">
            <v>CO-00091</v>
          </cell>
          <cell r="D385" t="str">
            <v>Sanita SH31 Toilet Sanitizer &amp; Deodorizer سانيتا مطهر ومعقم منظف الحمامات</v>
          </cell>
          <cell r="E385" t="str">
            <v>1 Pcs. X 5 Ltr</v>
          </cell>
          <cell r="F385" t="str">
            <v>Pcs</v>
          </cell>
          <cell r="G385">
            <v>0.2</v>
          </cell>
          <cell r="H385">
            <v>68</v>
          </cell>
          <cell r="I385">
            <v>340</v>
          </cell>
          <cell r="J385">
            <v>14</v>
          </cell>
          <cell r="K385">
            <v>190.4</v>
          </cell>
          <cell r="L385">
            <v>545</v>
          </cell>
          <cell r="M385">
            <v>48.088235294117652</v>
          </cell>
          <cell r="N385" t="str">
            <v>IN STOCK</v>
          </cell>
          <cell r="O385" t="str">
            <v>FOLLOW UP DELIVERY</v>
          </cell>
          <cell r="P385">
            <v>46134.446666666663</v>
          </cell>
        </row>
        <row r="386">
          <cell r="C386" t="str">
            <v>RM-00679</v>
          </cell>
          <cell r="D386" t="str">
            <v>صلصلة رانش فرشلي / FRESHLY RANCH SALAD DRESSING</v>
          </cell>
          <cell r="E386" t="str">
            <v>1 Box X 6 X 16 oz</v>
          </cell>
          <cell r="F386" t="str">
            <v>Box</v>
          </cell>
          <cell r="G386">
            <v>1.0416666666666666E-2</v>
          </cell>
          <cell r="H386">
            <v>10</v>
          </cell>
          <cell r="I386">
            <v>60</v>
          </cell>
          <cell r="J386">
            <v>14</v>
          </cell>
          <cell r="K386">
            <v>33.6</v>
          </cell>
          <cell r="L386">
            <v>97.128000000000014</v>
          </cell>
          <cell r="M386">
            <v>48.564000000000007</v>
          </cell>
          <cell r="N386" t="str">
            <v>IN STOCK</v>
          </cell>
          <cell r="O386" t="str">
            <v>FOLLOW UP DELIVERY</v>
          </cell>
          <cell r="P386">
            <v>46131.519502314812</v>
          </cell>
        </row>
        <row r="387">
          <cell r="C387" t="str">
            <v>CO-00048</v>
          </cell>
          <cell r="D387" t="str">
            <v>Sanita Glass Cleaner 2L سانيتا منظف الزجاج 2 لتر</v>
          </cell>
          <cell r="E387" t="str">
            <v>1 Pcs. X 2 L</v>
          </cell>
          <cell r="F387" t="str">
            <v>Pcs</v>
          </cell>
          <cell r="G387">
            <v>1</v>
          </cell>
          <cell r="H387">
            <v>55.5</v>
          </cell>
          <cell r="I387">
            <v>55.5</v>
          </cell>
          <cell r="J387">
            <v>14</v>
          </cell>
          <cell r="K387">
            <v>31.080000000000002</v>
          </cell>
          <cell r="L387">
            <v>90</v>
          </cell>
          <cell r="M387">
            <v>48.648648648648653</v>
          </cell>
          <cell r="N387" t="str">
            <v>IN STOCK</v>
          </cell>
          <cell r="O387" t="str">
            <v>FOLLOW UP DELIVERY</v>
          </cell>
          <cell r="P387">
            <v>46131.518923611111</v>
          </cell>
        </row>
        <row r="388">
          <cell r="C388" t="str">
            <v>PM-00137</v>
          </cell>
          <cell r="D388" t="str">
            <v>بوكس التراميسو والدولتشي للجمعات (نمق) Tiramisu and Dolce box for gatherings (Namaq)</v>
          </cell>
          <cell r="E388" t="str">
            <v xml:space="preserve"> Bundle X 100 pcs</v>
          </cell>
          <cell r="F388" t="str">
            <v>Box</v>
          </cell>
          <cell r="G388">
            <v>0.01</v>
          </cell>
          <cell r="H388">
            <v>30</v>
          </cell>
          <cell r="I388">
            <v>3000</v>
          </cell>
          <cell r="J388">
            <v>14</v>
          </cell>
          <cell r="K388">
            <v>1680.0000000000002</v>
          </cell>
          <cell r="L388">
            <v>4900</v>
          </cell>
          <cell r="M388">
            <v>49</v>
          </cell>
          <cell r="N388" t="str">
            <v>IN STOCK</v>
          </cell>
          <cell r="O388" t="str">
            <v>FOLLOW UP DELIVERY</v>
          </cell>
          <cell r="P388">
            <v>46131.518391203703</v>
          </cell>
        </row>
        <row r="389">
          <cell r="C389" t="str">
            <v>RM-00205</v>
          </cell>
          <cell r="D389" t="str">
            <v>Mehran Curry مهران كاري</v>
          </cell>
          <cell r="E389" t="str">
            <v>Box</v>
          </cell>
          <cell r="F389" t="str">
            <v>Box</v>
          </cell>
          <cell r="G389">
            <v>1</v>
          </cell>
          <cell r="H389">
            <v>1</v>
          </cell>
          <cell r="I389">
            <v>1</v>
          </cell>
          <cell r="J389">
            <v>14</v>
          </cell>
          <cell r="K389">
            <v>0.56000000000000005</v>
          </cell>
          <cell r="L389">
            <v>1.67</v>
          </cell>
          <cell r="M389">
            <v>50.099999999999994</v>
          </cell>
          <cell r="N389" t="str">
            <v>IN STOCK</v>
          </cell>
          <cell r="O389" t="str">
            <v>FOLLOW UP DELIVERY</v>
          </cell>
          <cell r="P389">
            <v>46131.518773148149</v>
          </cell>
        </row>
        <row r="390">
          <cell r="C390" t="str">
            <v>PM-00570</v>
          </cell>
          <cell r="D390" t="str">
            <v>صحن دائري تقديم الحلا  المحلي17سم (نمق)Sugarcane plate</v>
          </cell>
          <cell r="E390" t="str">
            <v>1Box X 1000</v>
          </cell>
          <cell r="F390" t="str">
            <v>Box</v>
          </cell>
          <cell r="G390">
            <v>1E-3</v>
          </cell>
          <cell r="H390">
            <v>330</v>
          </cell>
          <cell r="I390">
            <v>330000</v>
          </cell>
          <cell r="J390">
            <v>60</v>
          </cell>
          <cell r="K390">
            <v>792000</v>
          </cell>
          <cell r="L390">
            <v>555000</v>
          </cell>
          <cell r="M390">
            <v>50.454545454545453</v>
          </cell>
          <cell r="N390" t="str">
            <v>ORDER NOW</v>
          </cell>
          <cell r="O390" t="str">
            <v>CRITICAL</v>
          </cell>
          <cell r="P390">
            <v>46140.60696759259</v>
          </cell>
        </row>
        <row r="391">
          <cell r="C391" t="str">
            <v>PM-00257</v>
          </cell>
          <cell r="D391" t="str">
            <v>Namq white Napkin منديل ابيض نمق</v>
          </cell>
          <cell r="E391" t="str">
            <v>Box</v>
          </cell>
          <cell r="F391" t="str">
            <v>Pcs</v>
          </cell>
          <cell r="G391">
            <v>2.0000000000000001E-4</v>
          </cell>
          <cell r="H391">
            <v>402</v>
          </cell>
          <cell r="I391">
            <v>2010000</v>
          </cell>
          <cell r="J391">
            <v>15</v>
          </cell>
          <cell r="K391">
            <v>1206000</v>
          </cell>
          <cell r="L391">
            <v>3410000</v>
          </cell>
          <cell r="M391">
            <v>50.895522388059703</v>
          </cell>
          <cell r="N391" t="str">
            <v>IN STOCK</v>
          </cell>
          <cell r="O391" t="str">
            <v>FOLLOW UP DELIVERY</v>
          </cell>
          <cell r="P391">
            <v>46128.696631944447</v>
          </cell>
        </row>
        <row r="392">
          <cell r="C392" t="str">
            <v>PM-00198</v>
          </cell>
          <cell r="D392" t="str">
            <v>Lid 14 oz cold غطاء كاسة نمق14اونصه البارده</v>
          </cell>
          <cell r="E392" t="str">
            <v xml:space="preserve">1 Box X 1000 Pcs </v>
          </cell>
          <cell r="F392" t="str">
            <v>Box</v>
          </cell>
          <cell r="G392">
            <v>1E-3</v>
          </cell>
          <cell r="H392">
            <v>96</v>
          </cell>
          <cell r="I392">
            <v>96000</v>
          </cell>
          <cell r="J392">
            <v>60</v>
          </cell>
          <cell r="K392">
            <v>230400</v>
          </cell>
          <cell r="L392">
            <v>163000</v>
          </cell>
          <cell r="M392">
            <v>50.9375</v>
          </cell>
          <cell r="N392" t="str">
            <v>ORDER NOW</v>
          </cell>
          <cell r="O392" t="str">
            <v>CRITICAL</v>
          </cell>
          <cell r="P392">
            <v>46141.526064814818</v>
          </cell>
        </row>
        <row r="393">
          <cell r="C393" t="str">
            <v>PM-00134</v>
          </cell>
          <cell r="D393" t="str">
            <v>Plastic box - size 21cm * 21cm علبة بلاستيك مقاس</v>
          </cell>
          <cell r="E393" t="str">
            <v>1 Box X 150 pcs</v>
          </cell>
          <cell r="F393" t="str">
            <v>Box</v>
          </cell>
          <cell r="G393">
            <v>6.6666666666666671E-3</v>
          </cell>
          <cell r="H393">
            <v>8</v>
          </cell>
          <cell r="I393">
            <v>1200</v>
          </cell>
          <cell r="J393">
            <v>14</v>
          </cell>
          <cell r="K393">
            <v>672.00000000000011</v>
          </cell>
          <cell r="L393">
            <v>2100</v>
          </cell>
          <cell r="M393">
            <v>52.5</v>
          </cell>
          <cell r="N393" t="str">
            <v>IN STOCK</v>
          </cell>
          <cell r="O393" t="str">
            <v>FOLLOW UP DELIVERY</v>
          </cell>
          <cell r="P393">
            <v>46131.518819444442</v>
          </cell>
        </row>
        <row r="394">
          <cell r="C394" t="str">
            <v>RM-00228</v>
          </cell>
          <cell r="D394" t="str">
            <v>Ketchup Heinz Portion 1*1000*9gm كاتشب شفرات هاينز</v>
          </cell>
          <cell r="E394" t="str">
            <v>box</v>
          </cell>
          <cell r="F394" t="str">
            <v>Box</v>
          </cell>
          <cell r="G394">
            <v>1.1100000000000001</v>
          </cell>
          <cell r="H394">
            <v>10</v>
          </cell>
          <cell r="I394">
            <v>9.0090090090090076</v>
          </cell>
          <cell r="J394">
            <v>14</v>
          </cell>
          <cell r="K394">
            <v>5.045045045045045</v>
          </cell>
          <cell r="L394">
            <v>16.216216216216214</v>
          </cell>
          <cell r="M394">
            <v>54</v>
          </cell>
          <cell r="N394" t="str">
            <v>IN STOCK</v>
          </cell>
          <cell r="O394" t="str">
            <v>FOLLOW UP DELIVERY</v>
          </cell>
          <cell r="P394">
            <v>46131.518842592595</v>
          </cell>
        </row>
        <row r="395">
          <cell r="C395" t="str">
            <v>PM-00176</v>
          </cell>
          <cell r="D395" t="str">
            <v>Main Paper cup 4 Oz كوب ورقي 4 اونصه تصميم اساسي</v>
          </cell>
          <cell r="E395" t="str">
            <v>1 Box X 1000 Pcs</v>
          </cell>
          <cell r="F395" t="str">
            <v>Box</v>
          </cell>
          <cell r="G395">
            <v>1E-3</v>
          </cell>
          <cell r="H395">
            <v>23</v>
          </cell>
          <cell r="I395">
            <v>23000</v>
          </cell>
          <cell r="J395">
            <v>60</v>
          </cell>
          <cell r="K395">
            <v>55200</v>
          </cell>
          <cell r="L395">
            <v>42000</v>
          </cell>
          <cell r="M395">
            <v>54.782608695652172</v>
          </cell>
          <cell r="N395" t="str">
            <v>ORDER NOW</v>
          </cell>
          <cell r="O395" t="str">
            <v>CRITICAL</v>
          </cell>
          <cell r="P395">
            <v>46138.481817129628</v>
          </cell>
        </row>
        <row r="396">
          <cell r="C396" t="str">
            <v>PM-00574-01</v>
          </cell>
          <cell r="D396" t="str">
            <v xml:space="preserve"> بوكس بار كنافه (نمق) Kunafa Bar Box -PET Cover</v>
          </cell>
          <cell r="E396" t="str">
            <v>BOX</v>
          </cell>
          <cell r="F396" t="str">
            <v>Pcs</v>
          </cell>
          <cell r="G396">
            <v>6.6666666666666664E-4</v>
          </cell>
          <cell r="H396">
            <v>6</v>
          </cell>
          <cell r="I396">
            <v>9000</v>
          </cell>
          <cell r="J396">
            <v>60</v>
          </cell>
          <cell r="K396">
            <v>21600</v>
          </cell>
          <cell r="L396">
            <v>16500</v>
          </cell>
          <cell r="M396">
            <v>55</v>
          </cell>
          <cell r="N396" t="str">
            <v>ORDER NOW</v>
          </cell>
          <cell r="O396" t="str">
            <v>CRITICAL</v>
          </cell>
          <cell r="P396">
            <v>46134.446701388886</v>
          </cell>
        </row>
        <row r="397">
          <cell r="C397" t="str">
            <v>CO-00088</v>
          </cell>
          <cell r="D397" t="str">
            <v>Sanita SD11 Anti-Bacterial Pot Wash Non Perfumed غسيل الصحون اليدوى الغير معطر ضد البكتيريا</v>
          </cell>
          <cell r="E397" t="str">
            <v>1 Gallon X 25 Ltr</v>
          </cell>
          <cell r="F397" t="str">
            <v>gallon</v>
          </cell>
          <cell r="G397">
            <v>0.04</v>
          </cell>
          <cell r="H397">
            <v>69</v>
          </cell>
          <cell r="I397">
            <v>1725</v>
          </cell>
          <cell r="J397">
            <v>14</v>
          </cell>
          <cell r="K397">
            <v>966.00000000000011</v>
          </cell>
          <cell r="L397">
            <v>3200</v>
          </cell>
          <cell r="M397">
            <v>55.652173913043477</v>
          </cell>
          <cell r="N397" t="str">
            <v>IN STOCK</v>
          </cell>
          <cell r="O397" t="str">
            <v>FOLLOW UP DELIVERY</v>
          </cell>
          <cell r="P397">
            <v>46131.519131944442</v>
          </cell>
        </row>
        <row r="398">
          <cell r="C398" t="str">
            <v>RM-00606</v>
          </cell>
          <cell r="D398" t="str">
            <v>ورد مجفف  |  flowers dried</v>
          </cell>
          <cell r="E398" t="str">
            <v>1 Box X 500 PCS</v>
          </cell>
          <cell r="F398" t="str">
            <v>Box</v>
          </cell>
          <cell r="G398">
            <v>2E-3</v>
          </cell>
          <cell r="H398">
            <v>40</v>
          </cell>
          <cell r="I398">
            <v>20000</v>
          </cell>
          <cell r="J398">
            <v>14</v>
          </cell>
          <cell r="K398">
            <v>11200.000000000002</v>
          </cell>
          <cell r="L398">
            <v>37500</v>
          </cell>
          <cell r="M398">
            <v>56.25</v>
          </cell>
          <cell r="N398" t="str">
            <v>IN STOCK</v>
          </cell>
          <cell r="O398" t="str">
            <v>FOLLOW UP DELIVERY</v>
          </cell>
          <cell r="P398">
            <v>46131.519363425927</v>
          </cell>
        </row>
        <row r="399">
          <cell r="C399" t="str">
            <v>PM-00587</v>
          </cell>
          <cell r="D399" t="str">
            <v>Hard cover box – Salted Caramel  -   بوكس هارد كفر الكراميل المملح (نمق)</v>
          </cell>
          <cell r="E399" t="str">
            <v xml:space="preserve">1 Box X 50 Pcs </v>
          </cell>
          <cell r="F399" t="str">
            <v>box</v>
          </cell>
          <cell r="G399">
            <v>0.02</v>
          </cell>
          <cell r="H399">
            <v>1000</v>
          </cell>
          <cell r="I399">
            <v>50000</v>
          </cell>
          <cell r="J399">
            <v>14</v>
          </cell>
          <cell r="K399">
            <v>28000.000000000004</v>
          </cell>
          <cell r="L399">
            <v>93900</v>
          </cell>
          <cell r="M399">
            <v>56.339999999999996</v>
          </cell>
          <cell r="N399" t="str">
            <v>IN STOCK</v>
          </cell>
          <cell r="O399" t="str">
            <v>FOLLOW UP DELIVERY</v>
          </cell>
          <cell r="P399">
            <v>46128.696643518517</v>
          </cell>
        </row>
        <row r="400">
          <cell r="C400" t="str">
            <v>CO-00137</v>
          </cell>
          <cell r="D400" t="str">
            <v>rough broom مكنسة خشنة</v>
          </cell>
          <cell r="E400" t="str">
            <v>Pcs.</v>
          </cell>
          <cell r="F400" t="str">
            <v>Pcs</v>
          </cell>
          <cell r="G400">
            <v>1</v>
          </cell>
          <cell r="H400">
            <v>79</v>
          </cell>
          <cell r="I400">
            <v>79</v>
          </cell>
          <cell r="J400">
            <v>14</v>
          </cell>
          <cell r="K400">
            <v>44.24</v>
          </cell>
          <cell r="L400">
            <v>149</v>
          </cell>
          <cell r="M400">
            <v>56.582278481012658</v>
          </cell>
          <cell r="N400" t="str">
            <v>IN STOCK</v>
          </cell>
          <cell r="O400" t="str">
            <v>FOLLOW UP DELIVERY</v>
          </cell>
          <cell r="P400">
            <v>46131.518912037034</v>
          </cell>
        </row>
        <row r="401">
          <cell r="C401" t="str">
            <v>RM-00086</v>
          </cell>
          <cell r="D401" t="str">
            <v>Cocoa powder medium L68 Macao | كاكاو بودرة متوسط</v>
          </cell>
          <cell r="E401" t="str">
            <v>25 KG</v>
          </cell>
          <cell r="F401" t="str">
            <v>Pcs</v>
          </cell>
          <cell r="G401">
            <v>0.04</v>
          </cell>
          <cell r="H401">
            <v>50</v>
          </cell>
          <cell r="I401">
            <v>1250</v>
          </cell>
          <cell r="J401">
            <v>14</v>
          </cell>
          <cell r="K401">
            <v>700.00000000000011</v>
          </cell>
          <cell r="L401">
            <v>4250</v>
          </cell>
          <cell r="M401">
            <v>56.666666666666664</v>
          </cell>
          <cell r="N401" t="str">
            <v>IN STOCK</v>
          </cell>
          <cell r="O401" t="str">
            <v>FOLLOW UP DELIVERY</v>
          </cell>
          <cell r="P401">
            <v>46131.519259259258</v>
          </cell>
        </row>
        <row r="402">
          <cell r="C402" t="str">
            <v>PM-00573</v>
          </cell>
          <cell r="D402" t="str">
            <v>Paper Cup 8 oz, Doubleكوب ورقي 8 اونص دبل (نمق)</v>
          </cell>
          <cell r="E402" t="str">
            <v>1 Box X 500</v>
          </cell>
          <cell r="F402" t="str">
            <v>Box</v>
          </cell>
          <cell r="G402">
            <v>2E-3</v>
          </cell>
          <cell r="H402">
            <v>1028.5</v>
          </cell>
          <cell r="I402">
            <v>514250</v>
          </cell>
          <cell r="J402">
            <v>60</v>
          </cell>
          <cell r="K402">
            <v>1234200</v>
          </cell>
          <cell r="L402">
            <v>975000</v>
          </cell>
          <cell r="M402">
            <v>56.878949927078267</v>
          </cell>
          <cell r="N402" t="str">
            <v>ORDER NOW</v>
          </cell>
          <cell r="O402" t="str">
            <v>CRITICAL</v>
          </cell>
          <cell r="P402">
            <v>46140.606990740744</v>
          </cell>
        </row>
        <row r="403">
          <cell r="C403" t="str">
            <v>PM-00163</v>
          </cell>
          <cell r="D403" t="str">
            <v>Breehant Paper cup double 9 ozكوب بريهانت ورقي دبل 9 اونص</v>
          </cell>
          <cell r="E403" t="str">
            <v>1 Box 20 Pack X 50 Pcs</v>
          </cell>
          <cell r="F403" t="str">
            <v>Box</v>
          </cell>
          <cell r="G403">
            <v>1E-3</v>
          </cell>
          <cell r="H403">
            <v>150</v>
          </cell>
          <cell r="I403">
            <v>150000</v>
          </cell>
          <cell r="J403">
            <v>14</v>
          </cell>
          <cell r="K403">
            <v>84000.000000000015</v>
          </cell>
          <cell r="L403">
            <v>285000</v>
          </cell>
          <cell r="M403">
            <v>57</v>
          </cell>
          <cell r="N403" t="str">
            <v>IN STOCK</v>
          </cell>
          <cell r="O403" t="str">
            <v>FOLLOW UP DELIVERY</v>
          </cell>
          <cell r="P403">
            <v>46131.517337962963</v>
          </cell>
        </row>
        <row r="404">
          <cell r="C404" t="str">
            <v>CO-00087</v>
          </cell>
          <cell r="D404" t="str">
            <v>Sanita SK4 Stainless Steel Polish سانيتا ملمع الستانلس</v>
          </cell>
          <cell r="E404" t="str">
            <v>1 Pcs. X 5 Ltr</v>
          </cell>
          <cell r="F404" t="str">
            <v>Pcs</v>
          </cell>
          <cell r="G404">
            <v>0.2</v>
          </cell>
          <cell r="H404">
            <v>24</v>
          </cell>
          <cell r="I404">
            <v>120</v>
          </cell>
          <cell r="J404">
            <v>14</v>
          </cell>
          <cell r="K404">
            <v>67.2</v>
          </cell>
          <cell r="L404">
            <v>230</v>
          </cell>
          <cell r="M404">
            <v>57.5</v>
          </cell>
          <cell r="N404" t="str">
            <v>IN STOCK</v>
          </cell>
          <cell r="O404" t="str">
            <v>FOLLOW UP DELIVERY</v>
          </cell>
          <cell r="P404">
            <v>46131.519166666665</v>
          </cell>
        </row>
        <row r="405">
          <cell r="C405" t="str">
            <v>RM-00098</v>
          </cell>
          <cell r="D405" t="str">
            <v>hobla cream كريمة هوبلا</v>
          </cell>
          <cell r="E405" t="str">
            <v>1 Box X 12 Bottle X 1 KG</v>
          </cell>
          <cell r="F405" t="str">
            <v>Box</v>
          </cell>
          <cell r="G405">
            <v>8.3333333333333329E-2</v>
          </cell>
          <cell r="H405">
            <v>16</v>
          </cell>
          <cell r="I405">
            <v>192</v>
          </cell>
          <cell r="J405">
            <v>14</v>
          </cell>
          <cell r="K405">
            <v>107.52000000000001</v>
          </cell>
          <cell r="L405">
            <v>372</v>
          </cell>
          <cell r="M405">
            <v>58.125</v>
          </cell>
          <cell r="N405" t="str">
            <v>IN STOCK</v>
          </cell>
          <cell r="O405" t="str">
            <v>FOLLOW UP DELIVERY</v>
          </cell>
          <cell r="P405">
            <v>46134.446747685186</v>
          </cell>
        </row>
        <row r="406">
          <cell r="C406" t="str">
            <v>RM-00221</v>
          </cell>
          <cell r="D406" t="str">
            <v>Mustard Seeds حبوب خردل</v>
          </cell>
          <cell r="E406" t="str">
            <v>KG</v>
          </cell>
          <cell r="F406" t="str">
            <v>Pcs</v>
          </cell>
          <cell r="G406">
            <v>1</v>
          </cell>
          <cell r="H406">
            <v>1</v>
          </cell>
          <cell r="I406">
            <v>1</v>
          </cell>
          <cell r="J406">
            <v>14</v>
          </cell>
          <cell r="K406">
            <v>0.56000000000000005</v>
          </cell>
          <cell r="L406">
            <v>2</v>
          </cell>
          <cell r="M406">
            <v>60</v>
          </cell>
          <cell r="N406" t="str">
            <v>IN STOCK</v>
          </cell>
          <cell r="O406" t="str">
            <v>FOLLOW UP DELIVERY</v>
          </cell>
          <cell r="P406">
            <v>46131.518969907411</v>
          </cell>
        </row>
        <row r="407">
          <cell r="C407" t="str">
            <v>RM-00516</v>
          </cell>
          <cell r="D407" t="str">
            <v>7 Up cansسفن اب علب</v>
          </cell>
          <cell r="E407" t="str">
            <v>Box</v>
          </cell>
          <cell r="F407" t="str">
            <v>Box</v>
          </cell>
          <cell r="G407">
            <v>3.3333333333333333E-2</v>
          </cell>
          <cell r="H407">
            <v>20</v>
          </cell>
          <cell r="I407">
            <v>600</v>
          </cell>
          <cell r="J407">
            <v>14</v>
          </cell>
          <cell r="K407">
            <v>336.00000000000006</v>
          </cell>
          <cell r="L407">
            <v>1200</v>
          </cell>
          <cell r="M407">
            <v>60</v>
          </cell>
          <cell r="N407" t="str">
            <v>IN STOCK</v>
          </cell>
          <cell r="O407" t="str">
            <v>FOLLOW UP DELIVERY</v>
          </cell>
          <cell r="P407">
            <v>46131.51935185185</v>
          </cell>
        </row>
        <row r="408">
          <cell r="C408" t="str">
            <v>PM-00027</v>
          </cell>
          <cell r="D408" t="str">
            <v>Marble cake cover (BREEHANT) غلاف كيكة الماربل ( بريهانت )</v>
          </cell>
          <cell r="E408" t="str">
            <v>1 bundle X 500 PCS</v>
          </cell>
          <cell r="F408" t="str">
            <v>bundel</v>
          </cell>
          <cell r="G408">
            <v>2E-3</v>
          </cell>
          <cell r="H408">
            <v>5</v>
          </cell>
          <cell r="I408">
            <v>2500</v>
          </cell>
          <cell r="J408">
            <v>14</v>
          </cell>
          <cell r="K408">
            <v>1400.0000000000002</v>
          </cell>
          <cell r="L408">
            <v>5000</v>
          </cell>
          <cell r="M408">
            <v>60</v>
          </cell>
          <cell r="N408" t="str">
            <v>IN STOCK</v>
          </cell>
          <cell r="O408" t="str">
            <v>FOLLOW UP DELIVERY</v>
          </cell>
          <cell r="P408">
            <v>46138.481840277775</v>
          </cell>
        </row>
        <row r="409">
          <cell r="C409" t="str">
            <v>RM-00320</v>
          </cell>
          <cell r="D409" t="str">
            <v>صوص جوز البيكان VARIEGATO NOCE PECAN</v>
          </cell>
          <cell r="E409" t="str">
            <v>1 Ctn. X 2 Tin X 5kg</v>
          </cell>
          <cell r="F409" t="str">
            <v>Ctn</v>
          </cell>
          <cell r="G409">
            <v>0.1</v>
          </cell>
          <cell r="H409">
            <v>143</v>
          </cell>
          <cell r="I409">
            <v>1430</v>
          </cell>
          <cell r="J409">
            <v>14</v>
          </cell>
          <cell r="K409">
            <v>800.80000000000007</v>
          </cell>
          <cell r="L409">
            <v>2890</v>
          </cell>
          <cell r="M409">
            <v>60.629370629370626</v>
          </cell>
          <cell r="N409" t="str">
            <v>IN STOCK</v>
          </cell>
          <cell r="O409" t="str">
            <v>FOLLOW UP DELIVERY</v>
          </cell>
          <cell r="P409">
            <v>46131.519328703704</v>
          </cell>
        </row>
        <row r="410">
          <cell r="C410" t="str">
            <v>CO-00070</v>
          </cell>
          <cell r="D410" t="str">
            <v>wiper ممسحة</v>
          </cell>
          <cell r="E410" t="str">
            <v>1 Pcs.</v>
          </cell>
          <cell r="F410" t="str">
            <v>Pcs</v>
          </cell>
          <cell r="G410">
            <v>1</v>
          </cell>
          <cell r="H410">
            <v>67</v>
          </cell>
          <cell r="I410">
            <v>67</v>
          </cell>
          <cell r="J410">
            <v>14</v>
          </cell>
          <cell r="K410">
            <v>37.520000000000003</v>
          </cell>
          <cell r="L410">
            <v>136</v>
          </cell>
          <cell r="M410">
            <v>60.895522388059703</v>
          </cell>
          <cell r="N410" t="str">
            <v>IN STOCK</v>
          </cell>
          <cell r="O410" t="str">
            <v>FOLLOW UP DELIVERY</v>
          </cell>
          <cell r="P410">
            <v>46131.519120370373</v>
          </cell>
        </row>
        <row r="411">
          <cell r="C411" t="str">
            <v>RM-00682</v>
          </cell>
          <cell r="D411" t="str">
            <v>معبوج بيستو الريحان / Basil pesto</v>
          </cell>
          <cell r="E411" t="str">
            <v>1 Pcs X 500 G</v>
          </cell>
          <cell r="F411" t="str">
            <v>Pcs</v>
          </cell>
          <cell r="G411">
            <v>2</v>
          </cell>
          <cell r="H411">
            <v>44</v>
          </cell>
          <cell r="I411">
            <v>22</v>
          </cell>
          <cell r="J411">
            <v>14</v>
          </cell>
          <cell r="K411">
            <v>12.32</v>
          </cell>
          <cell r="L411">
            <v>44.7</v>
          </cell>
          <cell r="M411">
            <v>60.954545454545453</v>
          </cell>
          <cell r="N411" t="str">
            <v>IN STOCK</v>
          </cell>
          <cell r="O411" t="str">
            <v>FOLLOW UP DELIVERY</v>
          </cell>
          <cell r="P411">
            <v>46131.519178240742</v>
          </cell>
        </row>
        <row r="412">
          <cell r="C412" t="str">
            <v>FA-00324</v>
          </cell>
          <cell r="D412" t="str">
            <v>Acaia lunar espresso ميزان اسبريسو</v>
          </cell>
          <cell r="E412" t="str">
            <v>Pcs</v>
          </cell>
          <cell r="F412" t="str">
            <v>Pcs</v>
          </cell>
          <cell r="G412">
            <v>1</v>
          </cell>
          <cell r="H412">
            <v>11</v>
          </cell>
          <cell r="I412">
            <v>11</v>
          </cell>
          <cell r="J412">
            <v>14</v>
          </cell>
          <cell r="K412">
            <v>6.16</v>
          </cell>
          <cell r="L412">
            <v>23</v>
          </cell>
          <cell r="M412">
            <v>62.727272727272727</v>
          </cell>
          <cell r="N412" t="str">
            <v>IN STOCK</v>
          </cell>
          <cell r="O412" t="str">
            <v>FOLLOW UP DELIVERY</v>
          </cell>
          <cell r="P412">
            <v>46131.519108796296</v>
          </cell>
        </row>
        <row r="413">
          <cell r="C413" t="str">
            <v>CO-00051</v>
          </cell>
          <cell r="D413" t="str">
            <v>Sanita Hand Gel Sanitizer 5L سانيتا جل معقم اليدين 5 لتر</v>
          </cell>
          <cell r="E413" t="str">
            <v>1 Pcs. X 5 Ltr</v>
          </cell>
          <cell r="F413" t="str">
            <v>Pcs</v>
          </cell>
          <cell r="G413">
            <v>1</v>
          </cell>
          <cell r="H413">
            <v>11</v>
          </cell>
          <cell r="I413">
            <v>11</v>
          </cell>
          <cell r="J413">
            <v>14</v>
          </cell>
          <cell r="K413">
            <v>6.16</v>
          </cell>
          <cell r="L413">
            <v>23</v>
          </cell>
          <cell r="M413">
            <v>62.727272727272727</v>
          </cell>
          <cell r="N413" t="str">
            <v>IN STOCK</v>
          </cell>
          <cell r="O413" t="str">
            <v>FOLLOW UP DELIVERY</v>
          </cell>
          <cell r="P413">
            <v>46131.519189814811</v>
          </cell>
        </row>
        <row r="414">
          <cell r="C414" t="str">
            <v>CO-00527</v>
          </cell>
          <cell r="D414" t="str">
            <v>Sprig Tongs S/S 12 ملقط 12 بوصة</v>
          </cell>
          <cell r="E414" t="str">
            <v>1 Pcs</v>
          </cell>
          <cell r="F414" t="str">
            <v>Pcs</v>
          </cell>
          <cell r="G414">
            <v>1</v>
          </cell>
          <cell r="H414">
            <v>22</v>
          </cell>
          <cell r="I414">
            <v>22</v>
          </cell>
          <cell r="J414">
            <v>14</v>
          </cell>
          <cell r="K414">
            <v>12.32</v>
          </cell>
          <cell r="L414">
            <v>47</v>
          </cell>
          <cell r="M414">
            <v>64.090909090909093</v>
          </cell>
          <cell r="N414" t="str">
            <v>IN STOCK</v>
          </cell>
          <cell r="O414" t="str">
            <v>FOLLOW UP DELIVERY</v>
          </cell>
          <cell r="P414">
            <v>46131.519166666665</v>
          </cell>
        </row>
        <row r="415">
          <cell r="C415" t="str">
            <v>RM-00503</v>
          </cell>
          <cell r="D415" t="str">
            <v>Suger Sachet Breehantاظرف سكر بريهانت</v>
          </cell>
          <cell r="E415" t="str">
            <v>1 Box X 1000 Sachet</v>
          </cell>
          <cell r="F415" t="str">
            <v>Box</v>
          </cell>
          <cell r="G415">
            <v>1E-3</v>
          </cell>
          <cell r="H415">
            <v>24</v>
          </cell>
          <cell r="I415">
            <v>24000</v>
          </cell>
          <cell r="J415">
            <v>14</v>
          </cell>
          <cell r="K415">
            <v>13440.000000000002</v>
          </cell>
          <cell r="L415">
            <v>52000</v>
          </cell>
          <cell r="M415">
            <v>65</v>
          </cell>
          <cell r="N415" t="str">
            <v>IN STOCK</v>
          </cell>
          <cell r="O415" t="str">
            <v>FOLLOW UP DELIVERY</v>
          </cell>
          <cell r="P415">
            <v>46131.517812500002</v>
          </cell>
        </row>
        <row r="416">
          <cell r="C416" t="str">
            <v>CO-00494</v>
          </cell>
          <cell r="D416" t="str">
            <v>Water Tester جهاز قياس الأملاح</v>
          </cell>
          <cell r="E416" t="str">
            <v>1 Pcs</v>
          </cell>
          <cell r="F416" t="str">
            <v>Pcs</v>
          </cell>
          <cell r="G416">
            <v>1</v>
          </cell>
          <cell r="H416">
            <v>35.5</v>
          </cell>
          <cell r="I416">
            <v>35.5</v>
          </cell>
          <cell r="J416">
            <v>14</v>
          </cell>
          <cell r="K416">
            <v>19.880000000000003</v>
          </cell>
          <cell r="L416">
            <v>78</v>
          </cell>
          <cell r="M416">
            <v>65.91549295774648</v>
          </cell>
          <cell r="N416" t="str">
            <v>IN STOCK</v>
          </cell>
          <cell r="O416" t="str">
            <v>FOLLOW UP DELIVERY</v>
          </cell>
          <cell r="P416">
            <v>46131.519282407404</v>
          </cell>
        </row>
        <row r="417">
          <cell r="C417" t="str">
            <v>RM-00220</v>
          </cell>
          <cell r="D417" t="str">
            <v>Garam Masala Powder بهارات مشكل مطحون</v>
          </cell>
          <cell r="E417" t="str">
            <v>Box</v>
          </cell>
          <cell r="F417" t="str">
            <v>Box</v>
          </cell>
          <cell r="G417">
            <v>1</v>
          </cell>
          <cell r="H417">
            <v>5</v>
          </cell>
          <cell r="I417">
            <v>5</v>
          </cell>
          <cell r="J417">
            <v>14</v>
          </cell>
          <cell r="K417">
            <v>2.8000000000000003</v>
          </cell>
          <cell r="L417">
            <v>11</v>
          </cell>
          <cell r="M417">
            <v>66</v>
          </cell>
          <cell r="N417" t="str">
            <v>IN STOCK</v>
          </cell>
          <cell r="O417" t="str">
            <v>FOLLOW UP DELIVERY</v>
          </cell>
          <cell r="P417">
            <v>46131.519201388888</v>
          </cell>
        </row>
        <row r="418">
          <cell r="C418" t="str">
            <v>CO-00062</v>
          </cell>
          <cell r="D418" t="str">
            <v>SK3 surface sanitizer 2l سانيتا معقم الاسطح 2 ليتر</v>
          </cell>
          <cell r="E418" t="str">
            <v xml:space="preserve">1 Pcs. X 2 Ltr </v>
          </cell>
          <cell r="F418" t="str">
            <v>Pcs</v>
          </cell>
          <cell r="G418">
            <v>0.5</v>
          </cell>
          <cell r="H418">
            <v>69.5</v>
          </cell>
          <cell r="I418">
            <v>139</v>
          </cell>
          <cell r="J418">
            <v>14</v>
          </cell>
          <cell r="K418">
            <v>77.84</v>
          </cell>
          <cell r="L418">
            <v>308</v>
          </cell>
          <cell r="M418">
            <v>66.474820143884898</v>
          </cell>
          <cell r="N418" t="str">
            <v>IN STOCK</v>
          </cell>
          <cell r="O418" t="str">
            <v>FOLLOW UP DELIVERY</v>
          </cell>
          <cell r="P418">
            <v>46131.519386574073</v>
          </cell>
        </row>
        <row r="419">
          <cell r="C419" t="str">
            <v>PM-00334</v>
          </cell>
          <cell r="D419" t="str">
            <v>Butter Paper BREEHANT ورق زبدة بريهانت</v>
          </cell>
          <cell r="E419" t="str">
            <v>1 Pack X 2000 Pcs</v>
          </cell>
          <cell r="F419" t="str">
            <v>Pack</v>
          </cell>
          <cell r="G419">
            <v>5.0000000000000001E-4</v>
          </cell>
          <cell r="H419">
            <v>24</v>
          </cell>
          <cell r="I419">
            <v>48000</v>
          </cell>
          <cell r="J419">
            <v>14</v>
          </cell>
          <cell r="K419">
            <v>26880.000000000004</v>
          </cell>
          <cell r="L419">
            <v>107199.99999999999</v>
          </cell>
          <cell r="M419">
            <v>66.999999999999986</v>
          </cell>
          <cell r="N419" t="str">
            <v>IN STOCK</v>
          </cell>
          <cell r="O419" t="str">
            <v>FOLLOW UP DELIVERY</v>
          </cell>
          <cell r="P419">
            <v>46131.51939814815</v>
          </cell>
        </row>
        <row r="420">
          <cell r="C420" t="str">
            <v>RM-00330</v>
          </cell>
          <cell r="D420" t="str">
            <v>FRENCH CRISPY CREPE FLAKES رقائق كريب الفرنسية المقرمشة</v>
          </cell>
          <cell r="E420" t="str">
            <v>1 Box X contain 2 KG</v>
          </cell>
          <cell r="F420" t="str">
            <v>Box</v>
          </cell>
          <cell r="G420">
            <v>0.5</v>
          </cell>
          <cell r="H420">
            <v>65</v>
          </cell>
          <cell r="I420">
            <v>130</v>
          </cell>
          <cell r="J420">
            <v>14</v>
          </cell>
          <cell r="K420">
            <v>72.800000000000011</v>
          </cell>
          <cell r="L420">
            <v>450</v>
          </cell>
          <cell r="M420">
            <v>67.5</v>
          </cell>
          <cell r="N420" t="str">
            <v>IN STOCK</v>
          </cell>
          <cell r="O420" t="str">
            <v>FOLLOW UP DELIVERY</v>
          </cell>
          <cell r="P420">
            <v>46131.519224537034</v>
          </cell>
        </row>
        <row r="421">
          <cell r="C421" t="str">
            <v>RM-00141</v>
          </cell>
          <cell r="D421" t="str">
            <v>Honey Ashifa عسل الشفاء</v>
          </cell>
          <cell r="E421" t="str">
            <v>1 Box X 4 bottle X 3 Kg</v>
          </cell>
          <cell r="F421" t="str">
            <v>Box</v>
          </cell>
          <cell r="G421">
            <v>8.3333333333333329E-2</v>
          </cell>
          <cell r="H421">
            <v>70</v>
          </cell>
          <cell r="I421">
            <v>840</v>
          </cell>
          <cell r="J421">
            <v>14</v>
          </cell>
          <cell r="K421">
            <v>470.40000000000003</v>
          </cell>
          <cell r="L421">
            <v>924</v>
          </cell>
          <cell r="M421">
            <v>67.941176470588232</v>
          </cell>
          <cell r="N421" t="str">
            <v>IN STOCK</v>
          </cell>
          <cell r="O421" t="str">
            <v>FOLLOW UP DELIVERY</v>
          </cell>
          <cell r="P421">
            <v>46131.519305555557</v>
          </cell>
        </row>
        <row r="422">
          <cell r="C422" t="str">
            <v>RM-00112</v>
          </cell>
          <cell r="D422" t="str">
            <v>Corn flour نشاء الذرة</v>
          </cell>
          <cell r="E422" t="str">
            <v>KG</v>
          </cell>
          <cell r="F422" t="str">
            <v>Pcs</v>
          </cell>
          <cell r="G422">
            <v>0.04</v>
          </cell>
          <cell r="H422">
            <v>13</v>
          </cell>
          <cell r="I422">
            <v>325</v>
          </cell>
          <cell r="J422">
            <v>14</v>
          </cell>
          <cell r="K422">
            <v>182.00000000000003</v>
          </cell>
          <cell r="L422">
            <v>1700</v>
          </cell>
          <cell r="M422">
            <v>68</v>
          </cell>
          <cell r="N422" t="str">
            <v>IN STOCK</v>
          </cell>
          <cell r="O422" t="str">
            <v>FOLLOW UP DELIVERY</v>
          </cell>
          <cell r="P422">
            <v>46131.519317129627</v>
          </cell>
        </row>
        <row r="423">
          <cell r="C423" t="str">
            <v>CO-00514</v>
          </cell>
          <cell r="D423" t="str">
            <v>Cartridge 20" BIG carbon block 5 mcr RE5397508 قلب فلتر 20 " جامبو كربون بلوك 5 ميكرون</v>
          </cell>
          <cell r="E423" t="str">
            <v>Pcs.</v>
          </cell>
          <cell r="F423" t="str">
            <v>Pcs</v>
          </cell>
          <cell r="G423">
            <v>1</v>
          </cell>
          <cell r="H423">
            <v>33</v>
          </cell>
          <cell r="I423">
            <v>33</v>
          </cell>
          <cell r="J423">
            <v>14</v>
          </cell>
          <cell r="K423">
            <v>18.48</v>
          </cell>
          <cell r="L423">
            <v>75</v>
          </cell>
          <cell r="M423">
            <v>68.181818181818187</v>
          </cell>
          <cell r="N423" t="str">
            <v>IN STOCK</v>
          </cell>
          <cell r="O423" t="str">
            <v>FOLLOW UP DELIVERY</v>
          </cell>
          <cell r="P423">
            <v>46131.519236111111</v>
          </cell>
        </row>
        <row r="424">
          <cell r="C424" t="str">
            <v>RM-00561</v>
          </cell>
          <cell r="D424" t="str">
            <v>Syrup LEMON liqued Moj Polot  فاكهة الليمون سيروب - بولوت</v>
          </cell>
          <cell r="E424" t="str">
            <v>1 Box X 6 Bottle X 700 ml</v>
          </cell>
          <cell r="F424" t="str">
            <v>Box</v>
          </cell>
          <cell r="G424">
            <v>0.23809523809523814</v>
          </cell>
          <cell r="H424">
            <v>30</v>
          </cell>
          <cell r="I424">
            <v>125.99999999999997</v>
          </cell>
          <cell r="J424">
            <v>14</v>
          </cell>
          <cell r="K424">
            <v>70.559999999999988</v>
          </cell>
          <cell r="L424">
            <v>289.79999999999995</v>
          </cell>
          <cell r="M424">
            <v>69.000000000000014</v>
          </cell>
          <cell r="N424" t="str">
            <v>IN STOCK</v>
          </cell>
          <cell r="O424" t="str">
            <v>FOLLOW UP DELIVERY</v>
          </cell>
          <cell r="P424">
            <v>46128.694745370369</v>
          </cell>
        </row>
        <row r="425">
          <cell r="C425" t="str">
            <v>RM-00264</v>
          </cell>
          <cell r="D425" t="str">
            <v>Oregano Freshly اوريجانو فرشلي</v>
          </cell>
          <cell r="E425" t="str">
            <v>KG</v>
          </cell>
          <cell r="F425" t="str">
            <v>Pcs</v>
          </cell>
          <cell r="G425">
            <v>1</v>
          </cell>
          <cell r="H425">
            <v>3</v>
          </cell>
          <cell r="I425">
            <v>3</v>
          </cell>
          <cell r="J425">
            <v>14</v>
          </cell>
          <cell r="K425">
            <v>1.6800000000000002</v>
          </cell>
          <cell r="L425">
            <v>7</v>
          </cell>
          <cell r="M425">
            <v>70</v>
          </cell>
          <cell r="N425" t="str">
            <v>IN STOCK</v>
          </cell>
          <cell r="O425" t="str">
            <v>FOLLOW UP DELIVERY</v>
          </cell>
          <cell r="P425">
            <v>46131.519247685188</v>
          </cell>
        </row>
        <row r="426">
          <cell r="C426" t="str">
            <v>CO-00090</v>
          </cell>
          <cell r="D426" t="str">
            <v>Sanita SP21 Hand soap Anti - Bacterial 	سانيتا صابون اليد المضاد للبكتيريا</v>
          </cell>
          <cell r="E426" t="str">
            <v>1 Pcs. X 5 Ltr</v>
          </cell>
          <cell r="F426" t="str">
            <v>Pcs</v>
          </cell>
          <cell r="G426">
            <v>0.2</v>
          </cell>
          <cell r="H426">
            <v>63</v>
          </cell>
          <cell r="I426">
            <v>315</v>
          </cell>
          <cell r="J426">
            <v>14</v>
          </cell>
          <cell r="K426">
            <v>176.4</v>
          </cell>
          <cell r="L426">
            <v>735</v>
          </cell>
          <cell r="M426">
            <v>70</v>
          </cell>
          <cell r="N426" t="str">
            <v>IN STOCK</v>
          </cell>
          <cell r="O426" t="str">
            <v>FOLLOW UP DELIVERY</v>
          </cell>
          <cell r="P426">
            <v>46131.519421296296</v>
          </cell>
        </row>
        <row r="427">
          <cell r="C427" t="str">
            <v>PM-00026</v>
          </cell>
          <cell r="D427" t="str">
            <v>Lemon Cake cover (BREEHANT) غلاف  كيكة الليمون ( بريهانت )</v>
          </cell>
          <cell r="E427" t="str">
            <v>1 Box X 500</v>
          </cell>
          <cell r="F427" t="str">
            <v>Box</v>
          </cell>
          <cell r="G427">
            <v>2E-3</v>
          </cell>
          <cell r="H427">
            <v>6</v>
          </cell>
          <cell r="I427">
            <v>3000</v>
          </cell>
          <cell r="J427">
            <v>14</v>
          </cell>
          <cell r="K427">
            <v>1680.0000000000002</v>
          </cell>
          <cell r="L427">
            <v>7000</v>
          </cell>
          <cell r="M427">
            <v>70</v>
          </cell>
          <cell r="N427" t="str">
            <v>IN STOCK</v>
          </cell>
          <cell r="O427" t="str">
            <v>FOLLOW UP DELIVERY</v>
          </cell>
          <cell r="P427">
            <v>46131.519432870373</v>
          </cell>
        </row>
        <row r="428">
          <cell r="C428" t="str">
            <v>PM-00028</v>
          </cell>
          <cell r="D428" t="str">
            <v>Babka cake cover  (BREEHANT) غلاف بابكا تشوكلت ( بريهانت )</v>
          </cell>
          <cell r="E428" t="str">
            <v>1 Box X 500</v>
          </cell>
          <cell r="F428" t="str">
            <v>Box</v>
          </cell>
          <cell r="G428">
            <v>2E-3</v>
          </cell>
          <cell r="H428">
            <v>7</v>
          </cell>
          <cell r="I428">
            <v>3500</v>
          </cell>
          <cell r="J428">
            <v>14</v>
          </cell>
          <cell r="K428">
            <v>1960.0000000000002</v>
          </cell>
          <cell r="L428">
            <v>8500</v>
          </cell>
          <cell r="M428">
            <v>72.857142857142847</v>
          </cell>
          <cell r="N428" t="str">
            <v>IN STOCK</v>
          </cell>
          <cell r="O428" t="str">
            <v>FOLLOW UP DELIVERY</v>
          </cell>
          <cell r="P428">
            <v>46131.519444444442</v>
          </cell>
        </row>
        <row r="429">
          <cell r="C429" t="str">
            <v>RM-00233</v>
          </cell>
          <cell r="D429" t="str">
            <v>Cocoa Butter زبدة كاكاو</v>
          </cell>
          <cell r="E429" t="str">
            <v>1 Pail X 4kg</v>
          </cell>
          <cell r="F429" t="str">
            <v>Pcs</v>
          </cell>
          <cell r="G429">
            <v>0.25</v>
          </cell>
          <cell r="H429">
            <v>5</v>
          </cell>
          <cell r="I429">
            <v>20</v>
          </cell>
          <cell r="J429">
            <v>14</v>
          </cell>
          <cell r="K429">
            <v>11.200000000000001</v>
          </cell>
          <cell r="L429">
            <v>488</v>
          </cell>
          <cell r="M429">
            <v>73.2</v>
          </cell>
          <cell r="N429" t="str">
            <v>IN STOCK</v>
          </cell>
          <cell r="O429" t="str">
            <v>FOLLOW UP DELIVERY</v>
          </cell>
          <cell r="P429">
            <v>46131.519375000003</v>
          </cell>
        </row>
        <row r="430">
          <cell r="C430" t="str">
            <v>RM-00440</v>
          </cell>
          <cell r="D430" t="str">
            <v>Anti-stick oil yellow زيت مانع الألتصاق اصفر كارلوكس</v>
          </cell>
          <cell r="E430" t="str">
            <v>1 Tin X 15 Kg</v>
          </cell>
          <cell r="F430" t="str">
            <v>Pcs</v>
          </cell>
          <cell r="G430">
            <v>6.6666666666666666E-2</v>
          </cell>
          <cell r="H430">
            <v>125</v>
          </cell>
          <cell r="I430">
            <v>1875</v>
          </cell>
          <cell r="J430">
            <v>14</v>
          </cell>
          <cell r="K430">
            <v>1050</v>
          </cell>
          <cell r="L430">
            <v>4575</v>
          </cell>
          <cell r="M430">
            <v>73.2</v>
          </cell>
          <cell r="N430" t="str">
            <v>IN STOCK</v>
          </cell>
          <cell r="O430" t="str">
            <v>FOLLOW UP DELIVERY</v>
          </cell>
          <cell r="P430">
            <v>46131.517361111109</v>
          </cell>
        </row>
        <row r="431">
          <cell r="C431" t="str">
            <v>RM-00513</v>
          </cell>
          <cell r="D431" t="str">
            <v>Enzo Syrup Watermelon اينزو سيروب البطيخ</v>
          </cell>
          <cell r="E431" t="str">
            <v>1 Box X 6 Bottle X 750 ml</v>
          </cell>
          <cell r="F431" t="str">
            <v>Box</v>
          </cell>
          <cell r="G431">
            <v>0.22222222222222221</v>
          </cell>
          <cell r="H431">
            <v>27.5</v>
          </cell>
          <cell r="I431">
            <v>123.75</v>
          </cell>
          <cell r="J431">
            <v>14</v>
          </cell>
          <cell r="K431">
            <v>69.300000000000011</v>
          </cell>
          <cell r="L431">
            <v>306</v>
          </cell>
          <cell r="M431">
            <v>74.181818181818187</v>
          </cell>
          <cell r="N431" t="str">
            <v>IN STOCK</v>
          </cell>
          <cell r="O431" t="str">
            <v>FOLLOW UP DELIVERY</v>
          </cell>
          <cell r="P431">
            <v>46131.519456018519</v>
          </cell>
        </row>
        <row r="432">
          <cell r="C432" t="str">
            <v>PM-00017</v>
          </cell>
          <cell r="D432" t="str">
            <v>Marble cake cover  ( NAMQ ) غلاف كيكة الماربل ( نمق )</v>
          </cell>
          <cell r="E432" t="str">
            <v>1 Box X 2400 Pcs</v>
          </cell>
          <cell r="F432" t="str">
            <v>Box</v>
          </cell>
          <cell r="G432">
            <v>4.1666666666666669E-4</v>
          </cell>
          <cell r="H432">
            <v>10</v>
          </cell>
          <cell r="I432">
            <v>24000</v>
          </cell>
          <cell r="J432">
            <v>14</v>
          </cell>
          <cell r="K432">
            <v>13440.000000000002</v>
          </cell>
          <cell r="L432">
            <v>59520</v>
          </cell>
          <cell r="M432">
            <v>74.400000000000006</v>
          </cell>
          <cell r="N432" t="str">
            <v>IN STOCK</v>
          </cell>
          <cell r="O432" t="str">
            <v>FOLLOW UP DELIVERY</v>
          </cell>
          <cell r="P432">
            <v>46138.437696759262</v>
          </cell>
        </row>
        <row r="433">
          <cell r="C433" t="str">
            <v>RM-00209</v>
          </cell>
          <cell r="D433" t="str">
            <v>Cinnamon Chopsticks قرفة عيدان</v>
          </cell>
          <cell r="E433" t="str">
            <v>KG</v>
          </cell>
          <cell r="F433" t="str">
            <v>Pcs</v>
          </cell>
          <cell r="G433">
            <v>1</v>
          </cell>
          <cell r="H433">
            <v>1</v>
          </cell>
          <cell r="I433">
            <v>1</v>
          </cell>
          <cell r="J433">
            <v>14</v>
          </cell>
          <cell r="K433">
            <v>0.56000000000000005</v>
          </cell>
          <cell r="L433">
            <v>2.5</v>
          </cell>
          <cell r="M433">
            <v>75</v>
          </cell>
          <cell r="N433" t="str">
            <v>IN STOCK</v>
          </cell>
          <cell r="O433" t="str">
            <v>FOLLOW UP DELIVERY</v>
          </cell>
          <cell r="P433">
            <v>46131.51934027778</v>
          </cell>
        </row>
        <row r="434">
          <cell r="C434" t="str">
            <v>RM-00577</v>
          </cell>
          <cell r="D434" t="str">
            <v>Syrup  Hazelnut Teisseire سيروب تيسير البندق</v>
          </cell>
          <cell r="E434" t="str">
            <v>1 Box X 6 Bottle X 1 Ltr</v>
          </cell>
          <cell r="F434" t="str">
            <v>Box</v>
          </cell>
          <cell r="G434">
            <v>0.16666666666666666</v>
          </cell>
          <cell r="H434">
            <v>8</v>
          </cell>
          <cell r="I434">
            <v>48</v>
          </cell>
          <cell r="J434">
            <v>14</v>
          </cell>
          <cell r="K434">
            <v>26.880000000000003</v>
          </cell>
          <cell r="L434">
            <v>126</v>
          </cell>
          <cell r="M434">
            <v>78.75</v>
          </cell>
          <cell r="N434" t="str">
            <v>IN STOCK</v>
          </cell>
          <cell r="O434" t="str">
            <v>FOLLOW UP DELIVERY</v>
          </cell>
          <cell r="P434">
            <v>46131.519571759258</v>
          </cell>
        </row>
        <row r="435">
          <cell r="C435" t="str">
            <v>RM-00202</v>
          </cell>
          <cell r="D435" t="str">
            <v>Bakemate Liquid Glucose Syrup جلوكوز سائل</v>
          </cell>
          <cell r="E435" t="str">
            <v xml:space="preserve">1 Tin X 20 KG </v>
          </cell>
          <cell r="F435" t="str">
            <v>Pcs</v>
          </cell>
          <cell r="G435">
            <v>0.05</v>
          </cell>
          <cell r="H435">
            <v>12</v>
          </cell>
          <cell r="I435">
            <v>240</v>
          </cell>
          <cell r="J435">
            <v>14</v>
          </cell>
          <cell r="K435">
            <v>134.4</v>
          </cell>
          <cell r="L435">
            <v>2640</v>
          </cell>
          <cell r="M435">
            <v>79.2</v>
          </cell>
          <cell r="N435" t="str">
            <v>IN STOCK</v>
          </cell>
          <cell r="O435" t="str">
            <v>FOLLOW UP DELIVERY</v>
          </cell>
          <cell r="P435">
            <v>46131.519467592596</v>
          </cell>
        </row>
        <row r="436">
          <cell r="C436" t="str">
            <v>PM-00574</v>
          </cell>
          <cell r="D436" t="str">
            <v>بوكس بار كنافه (نمق) Kunafa Bar Box</v>
          </cell>
          <cell r="E436" t="str">
            <v>BOX</v>
          </cell>
          <cell r="F436" t="str">
            <v>Pcs</v>
          </cell>
          <cell r="G436">
            <v>3.3333333333333332E-4</v>
          </cell>
          <cell r="H436">
            <v>3</v>
          </cell>
          <cell r="I436">
            <v>9000</v>
          </cell>
          <cell r="J436">
            <v>60</v>
          </cell>
          <cell r="K436">
            <v>21600</v>
          </cell>
          <cell r="L436">
            <v>24000</v>
          </cell>
          <cell r="M436">
            <v>80</v>
          </cell>
          <cell r="N436" t="str">
            <v>IN STOCK</v>
          </cell>
          <cell r="O436" t="str">
            <v>FOLLOW UP DELIVERY</v>
          </cell>
          <cell r="P436">
            <v>46131.519756944443</v>
          </cell>
        </row>
        <row r="437">
          <cell r="C437" t="str">
            <v>CO-00044</v>
          </cell>
          <cell r="D437" t="str">
            <v>Flash Toilet Bowl Cleaner منظف المراحيض فلاش</v>
          </cell>
          <cell r="E437" t="str">
            <v>1 Box X 4 Pcs X 5 Ltr</v>
          </cell>
          <cell r="F437" t="str">
            <v>Box</v>
          </cell>
          <cell r="G437">
            <v>0.05</v>
          </cell>
          <cell r="H437">
            <v>22</v>
          </cell>
          <cell r="I437">
            <v>440</v>
          </cell>
          <cell r="J437">
            <v>14</v>
          </cell>
          <cell r="K437">
            <v>246.40000000000003</v>
          </cell>
          <cell r="L437">
            <v>1180</v>
          </cell>
          <cell r="M437">
            <v>80.454545454545453</v>
          </cell>
          <cell r="N437" t="str">
            <v>IN STOCK</v>
          </cell>
          <cell r="O437" t="str">
            <v>FOLLOW UP DELIVERY</v>
          </cell>
          <cell r="P437">
            <v>46131.519525462965</v>
          </cell>
        </row>
        <row r="438">
          <cell r="C438" t="str">
            <v>PM-00320</v>
          </cell>
          <cell r="D438" t="str">
            <v>ids Cups Wide NAMQ with stick اغطية اكواب القهوة فتحة واسعة - نمق</v>
          </cell>
          <cell r="E438" t="str">
            <v>1 Box X 500</v>
          </cell>
          <cell r="F438" t="str">
            <v>Box</v>
          </cell>
          <cell r="G438">
            <v>2E-3</v>
          </cell>
          <cell r="H438">
            <v>935</v>
          </cell>
          <cell r="I438">
            <v>467500</v>
          </cell>
          <cell r="J438">
            <v>60</v>
          </cell>
          <cell r="K438">
            <v>1122000</v>
          </cell>
          <cell r="L438">
            <v>1261750</v>
          </cell>
          <cell r="M438">
            <v>80.967914438502675</v>
          </cell>
          <cell r="N438" t="str">
            <v>IN STOCK</v>
          </cell>
          <cell r="O438" t="str">
            <v>FOLLOW UP DELIVERY</v>
          </cell>
          <cell r="P438">
            <v>46131.432442129626</v>
          </cell>
        </row>
        <row r="439">
          <cell r="C439" t="str">
            <v>PM-00059</v>
          </cell>
          <cell r="D439" t="str">
            <v>Circled  Golden Cake Plate 28 cm قاعدة كيك ذهبية دائرية 28سم</v>
          </cell>
          <cell r="E439" t="str">
            <v>1 bundle X 70 PCS</v>
          </cell>
          <cell r="F439" t="str">
            <v>bundel</v>
          </cell>
          <cell r="G439">
            <v>1.4285714285714285E-2</v>
          </cell>
          <cell r="H439">
            <v>80</v>
          </cell>
          <cell r="I439">
            <v>5600</v>
          </cell>
          <cell r="J439">
            <v>14</v>
          </cell>
          <cell r="K439">
            <v>3136.0000000000005</v>
          </cell>
          <cell r="L439">
            <v>15160</v>
          </cell>
          <cell r="M439">
            <v>81.214285714285722</v>
          </cell>
          <cell r="N439" t="str">
            <v>IN STOCK</v>
          </cell>
          <cell r="O439" t="str">
            <v>FOLLOW UP DELIVERY</v>
          </cell>
          <cell r="P439">
            <v>46131.519629629627</v>
          </cell>
        </row>
        <row r="440">
          <cell r="C440" t="str">
            <v>RM-00037</v>
          </cell>
          <cell r="D440" t="str">
            <v>Flake Chocolate شوكولاتة فليك</v>
          </cell>
          <cell r="E440" t="str">
            <v>1 Box X 4 Pckt X 36 Pcs X 15 g</v>
          </cell>
          <cell r="F440" t="str">
            <v>Box</v>
          </cell>
          <cell r="G440">
            <v>6.9444444444444441E-3</v>
          </cell>
          <cell r="H440">
            <v>60.5</v>
          </cell>
          <cell r="I440">
            <v>8712.0000000000055</v>
          </cell>
          <cell r="J440">
            <v>14</v>
          </cell>
          <cell r="K440">
            <v>4878.7200000000039</v>
          </cell>
          <cell r="L440">
            <v>23616</v>
          </cell>
          <cell r="M440">
            <v>81.322314049586765</v>
          </cell>
          <cell r="N440" t="str">
            <v>IN STOCK</v>
          </cell>
          <cell r="O440" t="str">
            <v>FOLLOW UP DELIVERY</v>
          </cell>
          <cell r="P440">
            <v>46131.519062500003</v>
          </cell>
        </row>
        <row r="441">
          <cell r="C441" t="str">
            <v>RM-00143</v>
          </cell>
          <cell r="D441" t="str">
            <v>Lite corn syrup شراب الذرة الفاتح</v>
          </cell>
          <cell r="E441" t="str">
            <v>1 Box X 12 Pcs X 710 ml</v>
          </cell>
          <cell r="F441" t="str">
            <v>Box</v>
          </cell>
          <cell r="G441">
            <v>0.11737089201877934</v>
          </cell>
          <cell r="H441">
            <v>15</v>
          </cell>
          <cell r="I441">
            <v>127.8</v>
          </cell>
          <cell r="J441">
            <v>14</v>
          </cell>
          <cell r="K441">
            <v>71.568000000000012</v>
          </cell>
          <cell r="L441">
            <v>349.32</v>
          </cell>
          <cell r="M441">
            <v>82</v>
          </cell>
          <cell r="N441" t="str">
            <v>IN STOCK</v>
          </cell>
          <cell r="O441" t="str">
            <v>FOLLOW UP DELIVERY</v>
          </cell>
          <cell r="P441">
            <v>46131.519768518519</v>
          </cell>
        </row>
        <row r="442">
          <cell r="C442" t="str">
            <v>CO-00338</v>
          </cell>
          <cell r="D442" t="str">
            <v>Cartridge Atlas 10" CPP 1 mcr RA5706506 قلب فلتر اطلس 10 " بولي بروبيبلين 1 ميكرون</v>
          </cell>
          <cell r="E442" t="str">
            <v>1 Pcs</v>
          </cell>
          <cell r="F442" t="str">
            <v>Pcs</v>
          </cell>
          <cell r="G442">
            <v>1</v>
          </cell>
          <cell r="H442">
            <v>33</v>
          </cell>
          <cell r="I442">
            <v>33</v>
          </cell>
          <cell r="J442">
            <v>14</v>
          </cell>
          <cell r="K442">
            <v>18.48</v>
          </cell>
          <cell r="L442">
            <v>91</v>
          </cell>
          <cell r="M442">
            <v>82.727272727272734</v>
          </cell>
          <cell r="N442" t="str">
            <v>IN STOCK</v>
          </cell>
          <cell r="O442" t="str">
            <v>FOLLOW UP DELIVERY</v>
          </cell>
          <cell r="P442">
            <v>46131.519479166665</v>
          </cell>
        </row>
        <row r="443">
          <cell r="C443" t="str">
            <v>CO-00500</v>
          </cell>
          <cell r="D443" t="str">
            <v>Squeeze bottle with 3 nozzle علبة التشوكليت بثلاث فتحات</v>
          </cell>
          <cell r="E443" t="str">
            <v>Pcs.</v>
          </cell>
          <cell r="F443" t="str">
            <v>Pcs</v>
          </cell>
          <cell r="G443">
            <v>1</v>
          </cell>
          <cell r="H443">
            <v>66</v>
          </cell>
          <cell r="I443">
            <v>66</v>
          </cell>
          <cell r="J443">
            <v>14</v>
          </cell>
          <cell r="K443">
            <v>36.96</v>
          </cell>
          <cell r="L443">
            <v>182</v>
          </cell>
          <cell r="M443">
            <v>82.727272727272734</v>
          </cell>
          <cell r="N443" t="str">
            <v>IN STOCK</v>
          </cell>
          <cell r="O443" t="str">
            <v>FOLLOW UP DELIVERY</v>
          </cell>
          <cell r="P443">
            <v>46131.519513888888</v>
          </cell>
        </row>
        <row r="444">
          <cell r="C444" t="str">
            <v>PM-00298</v>
          </cell>
          <cell r="D444" t="str">
            <v>Plastic Black Cutlery  أدوات مائدة</v>
          </cell>
          <cell r="E444" t="str">
            <v>Box</v>
          </cell>
          <cell r="F444" t="str">
            <v>Box</v>
          </cell>
          <cell r="G444">
            <v>1</v>
          </cell>
          <cell r="H444">
            <v>15</v>
          </cell>
          <cell r="I444">
            <v>15</v>
          </cell>
          <cell r="J444">
            <v>14</v>
          </cell>
          <cell r="K444">
            <v>8.4</v>
          </cell>
          <cell r="L444">
            <v>43</v>
          </cell>
          <cell r="M444">
            <v>86</v>
          </cell>
          <cell r="N444" t="str">
            <v>IN STOCK</v>
          </cell>
          <cell r="O444" t="str">
            <v>FOLLOW UP DELIVERY</v>
          </cell>
          <cell r="P444">
            <v>46131.519583333335</v>
          </cell>
        </row>
        <row r="445">
          <cell r="C445" t="str">
            <v>PM-00656</v>
          </cell>
          <cell r="D445" t="str">
            <v>سليف زجاجة كولدر برو | Glass sleeve for cold bro</v>
          </cell>
          <cell r="E445" t="str">
            <v>1 Box X1200 Pcs</v>
          </cell>
          <cell r="F445" t="str">
            <v>Box</v>
          </cell>
          <cell r="G445">
            <v>8.3333333333333339E-4</v>
          </cell>
          <cell r="H445">
            <v>10</v>
          </cell>
          <cell r="I445">
            <v>12000</v>
          </cell>
          <cell r="J445">
            <v>14</v>
          </cell>
          <cell r="K445">
            <v>6720.0000000000009</v>
          </cell>
          <cell r="L445">
            <v>34800</v>
          </cell>
          <cell r="M445">
            <v>87</v>
          </cell>
          <cell r="N445" t="str">
            <v>IN STOCK</v>
          </cell>
          <cell r="O445" t="str">
            <v>FOLLOW UP DELIVERY</v>
          </cell>
          <cell r="P445">
            <v>46131.519212962965</v>
          </cell>
        </row>
        <row r="446">
          <cell r="C446" t="str">
            <v>PM-00550</v>
          </cell>
          <cell r="D446" t="str">
            <v>Cake base measuring 8.5 cm * 8.5 cm</v>
          </cell>
          <cell r="E446" t="str">
            <v>box x 1000 pcs</v>
          </cell>
          <cell r="F446" t="str">
            <v>Pcs</v>
          </cell>
          <cell r="G446">
            <v>1E-3</v>
          </cell>
          <cell r="H446">
            <v>12</v>
          </cell>
          <cell r="I446">
            <v>12000</v>
          </cell>
          <cell r="J446">
            <v>14</v>
          </cell>
          <cell r="K446">
            <v>6720.0000000000009</v>
          </cell>
          <cell r="L446">
            <v>35500</v>
          </cell>
          <cell r="M446">
            <v>88.75</v>
          </cell>
          <cell r="N446" t="str">
            <v>IN STOCK</v>
          </cell>
          <cell r="O446" t="str">
            <v>FOLLOW UP DELIVERY</v>
          </cell>
          <cell r="P446">
            <v>46131.519606481481</v>
          </cell>
        </row>
        <row r="447">
          <cell r="C447" t="str">
            <v>RM-00223</v>
          </cell>
          <cell r="D447" t="str">
            <v>Mehran Chat Massala  بهارات تشات مسالا</v>
          </cell>
          <cell r="E447" t="str">
            <v>Box</v>
          </cell>
          <cell r="F447" t="str">
            <v>Box</v>
          </cell>
          <cell r="G447">
            <v>1</v>
          </cell>
          <cell r="H447">
            <v>2</v>
          </cell>
          <cell r="I447">
            <v>2</v>
          </cell>
          <cell r="J447">
            <v>14</v>
          </cell>
          <cell r="K447">
            <v>1.1200000000000001</v>
          </cell>
          <cell r="L447">
            <v>6</v>
          </cell>
          <cell r="M447">
            <v>90</v>
          </cell>
          <cell r="N447" t="str">
            <v>IN STOCK</v>
          </cell>
          <cell r="O447" t="str">
            <v>FOLLOW UP DELIVERY</v>
          </cell>
          <cell r="P447">
            <v>46131.519548611112</v>
          </cell>
        </row>
        <row r="448">
          <cell r="C448" t="str">
            <v>RM-00229</v>
          </cell>
          <cell r="D448" t="str">
            <v xml:space="preserve">بهارات الكاجونCAJUN SPIECE </v>
          </cell>
          <cell r="E448" t="str">
            <v>Box</v>
          </cell>
          <cell r="F448" t="str">
            <v>Box</v>
          </cell>
          <cell r="G448">
            <v>0.25</v>
          </cell>
          <cell r="H448">
            <v>1</v>
          </cell>
          <cell r="I448">
            <v>4</v>
          </cell>
          <cell r="J448">
            <v>14</v>
          </cell>
          <cell r="K448">
            <v>2.2400000000000002</v>
          </cell>
          <cell r="L448">
            <v>12</v>
          </cell>
          <cell r="M448">
            <v>90</v>
          </cell>
          <cell r="N448" t="str">
            <v>IN STOCK</v>
          </cell>
          <cell r="O448" t="str">
            <v>FOLLOW UP DELIVERY</v>
          </cell>
          <cell r="P448">
            <v>46131.519560185188</v>
          </cell>
        </row>
        <row r="449">
          <cell r="C449" t="str">
            <v>RM-00285</v>
          </cell>
          <cell r="D449" t="str">
            <v>Saffron Yellow Colour لون صفار الزعفران</v>
          </cell>
          <cell r="E449" t="str">
            <v>Box</v>
          </cell>
          <cell r="F449" t="str">
            <v>Box</v>
          </cell>
          <cell r="G449">
            <v>1</v>
          </cell>
          <cell r="H449">
            <v>1</v>
          </cell>
          <cell r="I449">
            <v>1</v>
          </cell>
          <cell r="J449">
            <v>14</v>
          </cell>
          <cell r="K449">
            <v>0.56000000000000005</v>
          </cell>
          <cell r="L449">
            <v>3</v>
          </cell>
          <cell r="M449">
            <v>90</v>
          </cell>
          <cell r="N449" t="str">
            <v>IN STOCK</v>
          </cell>
          <cell r="O449" t="str">
            <v>FOLLOW UP DELIVERY</v>
          </cell>
          <cell r="P449">
            <v>46131.519537037035</v>
          </cell>
        </row>
        <row r="450">
          <cell r="C450" t="str">
            <v>RM-00139</v>
          </cell>
          <cell r="D450" t="str">
            <v>Biscuit Bonomi savoiardi بسكويت بونومي سافوياردي</v>
          </cell>
          <cell r="E450" t="str">
            <v>1 Box 15 Pckt X 200 Grm</v>
          </cell>
          <cell r="F450" t="str">
            <v>Box</v>
          </cell>
          <cell r="G450">
            <v>0.33333333333333331</v>
          </cell>
          <cell r="H450">
            <v>120</v>
          </cell>
          <cell r="I450">
            <v>360</v>
          </cell>
          <cell r="J450">
            <v>14</v>
          </cell>
          <cell r="K450">
            <v>201.60000000000002</v>
          </cell>
          <cell r="L450">
            <v>1080</v>
          </cell>
          <cell r="M450">
            <v>90</v>
          </cell>
          <cell r="N450" t="str">
            <v>IN STOCK</v>
          </cell>
          <cell r="O450" t="str">
            <v>FOLLOW UP DELIVERY</v>
          </cell>
          <cell r="P450">
            <v>46131.517430555556</v>
          </cell>
        </row>
        <row r="451">
          <cell r="C451" t="str">
            <v>RM-00568</v>
          </cell>
          <cell r="D451" t="str">
            <v>Syrup lemon Teisseire سيروب تيسير ليمون</v>
          </cell>
          <cell r="E451" t="str">
            <v>1 Box X 6 Bottle X 1 Ltr</v>
          </cell>
          <cell r="F451" t="str">
            <v>Box</v>
          </cell>
          <cell r="G451">
            <v>0.16666666666666666</v>
          </cell>
          <cell r="H451">
            <v>21</v>
          </cell>
          <cell r="I451">
            <v>126</v>
          </cell>
          <cell r="J451">
            <v>14</v>
          </cell>
          <cell r="K451">
            <v>70.56</v>
          </cell>
          <cell r="L451">
            <v>378</v>
          </cell>
          <cell r="M451">
            <v>90</v>
          </cell>
          <cell r="N451" t="str">
            <v>IN STOCK</v>
          </cell>
          <cell r="O451" t="str">
            <v>FOLLOW UP DELIVERY</v>
          </cell>
          <cell r="P451">
            <v>46131.519791666666</v>
          </cell>
        </row>
        <row r="452">
          <cell r="C452" t="str">
            <v>RM-00506</v>
          </cell>
          <cell r="D452" t="str">
            <v>White Sugar Sachetاظرف سكر ابيض</v>
          </cell>
          <cell r="E452" t="str">
            <v>1 Box X 5 Kg</v>
          </cell>
          <cell r="F452" t="str">
            <v>Box</v>
          </cell>
          <cell r="G452">
            <v>0.2</v>
          </cell>
          <cell r="H452">
            <v>88</v>
          </cell>
          <cell r="I452">
            <v>440</v>
          </cell>
          <cell r="J452">
            <v>14</v>
          </cell>
          <cell r="K452">
            <v>246.40000000000003</v>
          </cell>
          <cell r="L452">
            <v>1330</v>
          </cell>
          <cell r="M452">
            <v>90.681818181818187</v>
          </cell>
          <cell r="N452" t="str">
            <v>IN STOCK</v>
          </cell>
          <cell r="O452" t="str">
            <v>FOLLOW UP DELIVERY</v>
          </cell>
          <cell r="P452">
            <v>46131.517407407409</v>
          </cell>
        </row>
        <row r="453">
          <cell r="C453" t="str">
            <v>CO-00142</v>
          </cell>
          <cell r="D453" t="str">
            <v>فرشة بشعر ناعمة قصيرة SOFTBROOM PLASTIC 27*3</v>
          </cell>
          <cell r="E453" t="str">
            <v>1 Pcs</v>
          </cell>
          <cell r="F453" t="str">
            <v>Pcs</v>
          </cell>
          <cell r="G453">
            <v>1</v>
          </cell>
          <cell r="H453">
            <v>27.5</v>
          </cell>
          <cell r="I453">
            <v>27.5</v>
          </cell>
          <cell r="J453">
            <v>14</v>
          </cell>
          <cell r="K453">
            <v>15.400000000000002</v>
          </cell>
          <cell r="L453">
            <v>85</v>
          </cell>
          <cell r="M453">
            <v>92.72727272727272</v>
          </cell>
          <cell r="N453" t="str">
            <v>IN STOCK</v>
          </cell>
          <cell r="O453" t="str">
            <v>FOLLOW UP DELIVERY</v>
          </cell>
          <cell r="P453">
            <v>46131.519675925927</v>
          </cell>
        </row>
        <row r="454">
          <cell r="C454" t="str">
            <v>RM-00520</v>
          </cell>
          <cell r="D454" t="str">
            <v>Monin Vanilla Syrup 1L مونین شراب الفانیلا 1لتر</v>
          </cell>
          <cell r="E454" t="str">
            <v>1 Box X 6 Bottle X 1 Ltr</v>
          </cell>
          <cell r="F454" t="str">
            <v>Box</v>
          </cell>
          <cell r="G454">
            <v>0.16666666666666666</v>
          </cell>
          <cell r="H454">
            <v>64.5</v>
          </cell>
          <cell r="I454">
            <v>387</v>
          </cell>
          <cell r="J454">
            <v>14</v>
          </cell>
          <cell r="K454">
            <v>216.72000000000003</v>
          </cell>
          <cell r="L454">
            <v>1206</v>
          </cell>
          <cell r="M454">
            <v>93.488372093023258</v>
          </cell>
          <cell r="N454" t="str">
            <v>IN STOCK</v>
          </cell>
          <cell r="O454" t="str">
            <v>FOLLOW UP DELIVERY</v>
          </cell>
          <cell r="P454">
            <v>46131.519618055558</v>
          </cell>
        </row>
        <row r="455">
          <cell r="C455" t="str">
            <v>PM-00278</v>
          </cell>
          <cell r="D455" t="str">
            <v>knife ( BREEHANT ) سكين ( بريهانت )</v>
          </cell>
          <cell r="E455" t="str">
            <v>1 Box X 500 Pcs.</v>
          </cell>
          <cell r="F455" t="str">
            <v>Box</v>
          </cell>
          <cell r="G455">
            <v>2E-3</v>
          </cell>
          <cell r="H455">
            <v>16</v>
          </cell>
          <cell r="I455">
            <v>8000</v>
          </cell>
          <cell r="J455">
            <v>14</v>
          </cell>
          <cell r="K455">
            <v>4480</v>
          </cell>
          <cell r="L455">
            <v>25000</v>
          </cell>
          <cell r="M455">
            <v>93.75</v>
          </cell>
          <cell r="N455" t="str">
            <v>IN STOCK</v>
          </cell>
          <cell r="O455" t="str">
            <v>FOLLOW UP DELIVERY</v>
          </cell>
          <cell r="P455">
            <v>46131.51966435185</v>
          </cell>
        </row>
        <row r="456">
          <cell r="C456" t="str">
            <v>CO-00049</v>
          </cell>
          <cell r="D456" t="str">
            <v>Sterilizer 500ml معقم 500 مل</v>
          </cell>
          <cell r="E456" t="str">
            <v xml:space="preserve">1 Pcs X 500 ml </v>
          </cell>
          <cell r="F456" t="str">
            <v>Pcs</v>
          </cell>
          <cell r="G456">
            <v>1</v>
          </cell>
          <cell r="H456">
            <v>24</v>
          </cell>
          <cell r="I456">
            <v>24</v>
          </cell>
          <cell r="J456">
            <v>14</v>
          </cell>
          <cell r="K456">
            <v>13.440000000000001</v>
          </cell>
          <cell r="L456">
            <v>77</v>
          </cell>
          <cell r="M456">
            <v>96.25</v>
          </cell>
          <cell r="N456" t="str">
            <v>IN STOCK</v>
          </cell>
          <cell r="O456" t="str">
            <v>FOLLOW UP DELIVERY</v>
          </cell>
          <cell r="P456">
            <v>46131.519687499997</v>
          </cell>
        </row>
        <row r="457">
          <cell r="C457" t="str">
            <v>CO-00332</v>
          </cell>
          <cell r="D457" t="str">
            <v>charcoal	فحم  بخور</v>
          </cell>
          <cell r="E457" t="str">
            <v>1 Box X 1.3 K / 1 Box X 650 G</v>
          </cell>
          <cell r="F457" t="str">
            <v>Box</v>
          </cell>
          <cell r="G457">
            <v>0.76923076923076916</v>
          </cell>
          <cell r="H457">
            <v>22</v>
          </cell>
          <cell r="I457">
            <v>28.6</v>
          </cell>
          <cell r="J457">
            <v>14</v>
          </cell>
          <cell r="K457">
            <v>16.016000000000002</v>
          </cell>
          <cell r="L457">
            <v>93.600000000000009</v>
          </cell>
          <cell r="M457">
            <v>98.181818181818187</v>
          </cell>
          <cell r="N457" t="str">
            <v>IN STOCK</v>
          </cell>
          <cell r="O457" t="str">
            <v>FOLLOW UP DELIVERY</v>
          </cell>
          <cell r="P457">
            <v>46131.51972222222</v>
          </cell>
        </row>
        <row r="458">
          <cell r="C458" t="str">
            <v>FA-00284</v>
          </cell>
          <cell r="D458" t="str">
            <v>Knife Brazil White سكين برازيل ابيض</v>
          </cell>
          <cell r="E458" t="str">
            <v>Pcs</v>
          </cell>
          <cell r="F458" t="str">
            <v>Pcs</v>
          </cell>
          <cell r="G458">
            <v>1</v>
          </cell>
          <cell r="H458">
            <v>6</v>
          </cell>
          <cell r="I458">
            <v>6</v>
          </cell>
          <cell r="J458">
            <v>14</v>
          </cell>
          <cell r="K458">
            <v>3.3600000000000003</v>
          </cell>
          <cell r="L458">
            <v>20</v>
          </cell>
          <cell r="M458">
            <v>100</v>
          </cell>
          <cell r="N458" t="str">
            <v>IN STOCK</v>
          </cell>
          <cell r="O458" t="str">
            <v>FOLLOW UP DELIVERY</v>
          </cell>
          <cell r="P458">
            <v>46131.519652777781</v>
          </cell>
        </row>
        <row r="459">
          <cell r="C459" t="str">
            <v>RM-00246</v>
          </cell>
          <cell r="D459" t="str">
            <v xml:space="preserve">AFIA CINNAMON POWDER | بودرة القرفة العافية </v>
          </cell>
          <cell r="E459" t="str">
            <v>1 KG</v>
          </cell>
          <cell r="F459" t="str">
            <v>Pcs</v>
          </cell>
          <cell r="G459">
            <v>1</v>
          </cell>
          <cell r="H459">
            <v>8</v>
          </cell>
          <cell r="I459">
            <v>8</v>
          </cell>
          <cell r="J459">
            <v>14</v>
          </cell>
          <cell r="K459">
            <v>4.4800000000000004</v>
          </cell>
          <cell r="L459">
            <v>28</v>
          </cell>
          <cell r="M459">
            <v>105</v>
          </cell>
          <cell r="N459" t="str">
            <v>IN STOCK</v>
          </cell>
          <cell r="O459" t="str">
            <v>FOLLOW UP DELIVERY</v>
          </cell>
          <cell r="P459">
            <v>46131.519699074073</v>
          </cell>
        </row>
        <row r="460">
          <cell r="C460" t="str">
            <v>RM-00486</v>
          </cell>
          <cell r="D460" t="str">
            <v>قهوة كيف المسافر هيل | Caif Almosafer Hill Coffee</v>
          </cell>
          <cell r="E460"/>
          <cell r="F460"/>
          <cell r="G460">
            <v>1</v>
          </cell>
          <cell r="H460">
            <v>27.5</v>
          </cell>
          <cell r="I460">
            <v>27.5</v>
          </cell>
          <cell r="J460">
            <v>14</v>
          </cell>
          <cell r="K460">
            <v>15.400000000000002</v>
          </cell>
          <cell r="L460">
            <v>97</v>
          </cell>
          <cell r="M460">
            <v>105.81818181818181</v>
          </cell>
          <cell r="N460" t="str">
            <v>IN STOCK</v>
          </cell>
          <cell r="O460" t="str">
            <v>FOLLOW UP DELIVERY</v>
          </cell>
          <cell r="P460">
            <v>46131.51971064815</v>
          </cell>
        </row>
        <row r="461">
          <cell r="C461" t="str">
            <v>CO-00502</v>
          </cell>
          <cell r="D461" t="str">
            <v>Wooden Distributor 58.5 mm - Tache موزع خشبي 58.5 ملم - تاش</v>
          </cell>
          <cell r="E461" t="str">
            <v>Pcs.</v>
          </cell>
          <cell r="F461" t="str">
            <v>Pcs</v>
          </cell>
          <cell r="G461">
            <v>1</v>
          </cell>
          <cell r="H461">
            <v>5.5</v>
          </cell>
          <cell r="I461">
            <v>5.5</v>
          </cell>
          <cell r="J461">
            <v>14</v>
          </cell>
          <cell r="K461">
            <v>3.08</v>
          </cell>
          <cell r="L461">
            <v>20</v>
          </cell>
          <cell r="M461">
            <v>109.09090909090909</v>
          </cell>
          <cell r="N461" t="str">
            <v>IN STOCK</v>
          </cell>
          <cell r="O461" t="str">
            <v>FOLLOW UP DELIVERY</v>
          </cell>
          <cell r="P461">
            <v>46131.519733796296</v>
          </cell>
        </row>
        <row r="462">
          <cell r="C462" t="str">
            <v>PM-00565</v>
          </cell>
          <cell r="D462" t="str">
            <v>كيس ورقي مطبوع مقاس صغير نمق Small Printed Paper Bag</v>
          </cell>
          <cell r="E462" t="str">
            <v xml:space="preserve"> Box X 200 Pcs</v>
          </cell>
          <cell r="F462" t="str">
            <v>Box</v>
          </cell>
          <cell r="G462">
            <v>5.0000000000000001E-3</v>
          </cell>
          <cell r="H462">
            <v>170.5</v>
          </cell>
          <cell r="I462">
            <v>34100</v>
          </cell>
          <cell r="J462">
            <v>14</v>
          </cell>
          <cell r="K462">
            <v>19096</v>
          </cell>
          <cell r="L462">
            <v>126000</v>
          </cell>
          <cell r="M462">
            <v>110.85043988269794</v>
          </cell>
          <cell r="N462" t="str">
            <v>IN STOCK</v>
          </cell>
          <cell r="O462" t="str">
            <v>FOLLOW UP DELIVERY</v>
          </cell>
          <cell r="P462" t="str">
            <v/>
          </cell>
        </row>
        <row r="463">
          <cell r="C463" t="str">
            <v>PM-00566</v>
          </cell>
          <cell r="D463" t="str">
            <v>Cookies Box  بوكس الكوكيز السفري نمق</v>
          </cell>
          <cell r="E463" t="str">
            <v>1 Box X 1200 Pcs</v>
          </cell>
          <cell r="F463" t="str">
            <v>Box</v>
          </cell>
          <cell r="G463">
            <v>8.3333333333333339E-4</v>
          </cell>
          <cell r="H463">
            <v>50</v>
          </cell>
          <cell r="I463">
            <v>59999.999999999993</v>
          </cell>
          <cell r="J463">
            <v>60</v>
          </cell>
          <cell r="K463">
            <v>143999.99999999997</v>
          </cell>
          <cell r="L463">
            <v>223200</v>
          </cell>
          <cell r="M463">
            <v>111.60000000000002</v>
          </cell>
          <cell r="N463" t="str">
            <v>IN STOCK</v>
          </cell>
          <cell r="O463" t="str">
            <v>FOLLOW UP DELIVERY</v>
          </cell>
          <cell r="P463">
            <v>46128.697002314817</v>
          </cell>
        </row>
        <row r="464">
          <cell r="C464" t="str">
            <v>RM-00417</v>
          </cell>
          <cell r="D464" t="str">
            <v>Almond grain جوز حب امريكي</v>
          </cell>
          <cell r="E464" t="str">
            <v>KG</v>
          </cell>
          <cell r="F464" t="str">
            <v>Pcs</v>
          </cell>
          <cell r="G464">
            <v>1</v>
          </cell>
          <cell r="H464">
            <v>5</v>
          </cell>
          <cell r="I464">
            <v>5</v>
          </cell>
          <cell r="J464">
            <v>14</v>
          </cell>
          <cell r="K464">
            <v>2.8000000000000003</v>
          </cell>
          <cell r="L464">
            <v>19</v>
          </cell>
          <cell r="M464">
            <v>114</v>
          </cell>
          <cell r="N464" t="str">
            <v>IN STOCK</v>
          </cell>
          <cell r="O464" t="str">
            <v>FOLLOW UP DELIVERY</v>
          </cell>
          <cell r="P464">
            <v>46131.519780092596</v>
          </cell>
        </row>
        <row r="465">
          <cell r="C465" t="str">
            <v>RM-00204</v>
          </cell>
          <cell r="D465" t="str">
            <v>Mahran Biryani برياني مهران</v>
          </cell>
          <cell r="E465" t="str">
            <v>Box</v>
          </cell>
          <cell r="F465" t="str">
            <v>Box</v>
          </cell>
          <cell r="G465">
            <v>1</v>
          </cell>
          <cell r="H465">
            <v>1</v>
          </cell>
          <cell r="I465">
            <v>1</v>
          </cell>
          <cell r="J465">
            <v>14</v>
          </cell>
          <cell r="K465">
            <v>0.56000000000000005</v>
          </cell>
          <cell r="L465">
            <v>4</v>
          </cell>
          <cell r="M465">
            <v>120</v>
          </cell>
          <cell r="N465" t="str">
            <v>IN STOCK</v>
          </cell>
          <cell r="O465" t="str">
            <v>FOLLOW UP DELIVERY</v>
          </cell>
          <cell r="P465">
            <v>46131.519814814812</v>
          </cell>
        </row>
        <row r="466">
          <cell r="C466" t="str">
            <v>RM-00315</v>
          </cell>
          <cell r="D466" t="str">
            <v>White Vinegar خل ابيض</v>
          </cell>
          <cell r="E466" t="str">
            <v>1 Bottle X 3.78 Ltr</v>
          </cell>
          <cell r="F466" t="str">
            <v>Pcs</v>
          </cell>
          <cell r="G466">
            <v>0.26455026455026459</v>
          </cell>
          <cell r="H466">
            <v>1</v>
          </cell>
          <cell r="I466">
            <v>3.7799999999999994</v>
          </cell>
          <cell r="J466">
            <v>14</v>
          </cell>
          <cell r="K466">
            <v>2.1168</v>
          </cell>
          <cell r="L466">
            <v>15.119999999999997</v>
          </cell>
          <cell r="M466">
            <v>120</v>
          </cell>
          <cell r="N466" t="str">
            <v>IN STOCK</v>
          </cell>
          <cell r="O466" t="str">
            <v>FOLLOW UP DELIVERY</v>
          </cell>
          <cell r="P466">
            <v>46131.519942129627</v>
          </cell>
        </row>
        <row r="467">
          <cell r="C467" t="str">
            <v>RM-00200</v>
          </cell>
          <cell r="D467" t="str">
            <v>Bakemate Vasilco Cake Gel Paste جل محسن و مرطب للكيك</v>
          </cell>
          <cell r="E467" t="str">
            <v>1 tin x 15 kg</v>
          </cell>
          <cell r="F467" t="str">
            <v>Pcs</v>
          </cell>
          <cell r="G467">
            <v>6.6666666666666666E-2</v>
          </cell>
          <cell r="H467">
            <v>1</v>
          </cell>
          <cell r="I467">
            <v>15</v>
          </cell>
          <cell r="J467">
            <v>14</v>
          </cell>
          <cell r="K467">
            <v>8.4</v>
          </cell>
          <cell r="L467">
            <v>60</v>
          </cell>
          <cell r="M467">
            <v>120</v>
          </cell>
          <cell r="N467" t="str">
            <v>IN STOCK</v>
          </cell>
          <cell r="O467" t="str">
            <v>FOLLOW UP DELIVERY</v>
          </cell>
          <cell r="P467">
            <v>46131.520162037035</v>
          </cell>
        </row>
        <row r="468">
          <cell r="C468" t="str">
            <v>RM-00368</v>
          </cell>
          <cell r="D468" t="str">
            <v>Frisina Raspberry Filling 50% حشوة توت الاحمر فريزينا 50%</v>
          </cell>
          <cell r="E468" t="str">
            <v>1 PCS X 2.7 KG</v>
          </cell>
          <cell r="F468" t="str">
            <v>Pcs</v>
          </cell>
          <cell r="G468">
            <v>0.37037037037037035</v>
          </cell>
          <cell r="H468">
            <v>11</v>
          </cell>
          <cell r="I468">
            <v>29.700000000000003</v>
          </cell>
          <cell r="J468">
            <v>14</v>
          </cell>
          <cell r="K468">
            <v>16.632000000000001</v>
          </cell>
          <cell r="L468">
            <v>121.5</v>
          </cell>
          <cell r="M468">
            <v>122.72727272727272</v>
          </cell>
          <cell r="N468" t="str">
            <v>IN STOCK</v>
          </cell>
          <cell r="O468" t="str">
            <v>FOLLOW UP DELIVERY</v>
          </cell>
          <cell r="P468">
            <v>46131.519837962966</v>
          </cell>
        </row>
        <row r="469">
          <cell r="C469" t="str">
            <v>PM-00579</v>
          </cell>
          <cell r="D469" t="str">
            <v>Lid Paper Cup  80ml - اغطية الاكواب الورقية مقاس 80 ملي</v>
          </cell>
          <cell r="E469" t="str">
            <v>1 Box X 500 Pcs</v>
          </cell>
          <cell r="F469" t="str">
            <v>Box</v>
          </cell>
          <cell r="G469">
            <v>2E-3</v>
          </cell>
          <cell r="H469">
            <v>715</v>
          </cell>
          <cell r="I469">
            <v>357500</v>
          </cell>
          <cell r="J469">
            <v>60</v>
          </cell>
          <cell r="K469">
            <v>858000</v>
          </cell>
          <cell r="L469">
            <v>1529000</v>
          </cell>
          <cell r="M469">
            <v>128.30769230769229</v>
          </cell>
          <cell r="N469" t="str">
            <v>IN STOCK</v>
          </cell>
          <cell r="O469" t="str">
            <v>FOLLOW UP DELIVERY</v>
          </cell>
          <cell r="P469">
            <v>46128.697060185186</v>
          </cell>
        </row>
        <row r="470">
          <cell r="C470" t="str">
            <v>RM-00230</v>
          </cell>
          <cell r="D470" t="str">
            <v>Cardmom Powder هيل مطحون</v>
          </cell>
          <cell r="E470" t="str">
            <v>Box</v>
          </cell>
          <cell r="F470" t="str">
            <v>Box</v>
          </cell>
          <cell r="G470">
            <v>1</v>
          </cell>
          <cell r="H470">
            <v>2</v>
          </cell>
          <cell r="I470">
            <v>2</v>
          </cell>
          <cell r="J470">
            <v>14</v>
          </cell>
          <cell r="K470">
            <v>1.1200000000000001</v>
          </cell>
          <cell r="L470">
            <v>9</v>
          </cell>
          <cell r="M470">
            <v>135</v>
          </cell>
          <cell r="N470" t="str">
            <v>IN STOCK</v>
          </cell>
          <cell r="O470" t="str">
            <v>FOLLOW UP DELIVERY</v>
          </cell>
          <cell r="P470">
            <v>46131.520057870373</v>
          </cell>
        </row>
        <row r="471">
          <cell r="C471" t="str">
            <v>CO-00321</v>
          </cell>
          <cell r="D471" t="str">
            <v>Grindminder Cleaning Brush- Pallo فرشاة تنظيف المطاحن</v>
          </cell>
          <cell r="E471" t="str">
            <v>Pcs.</v>
          </cell>
          <cell r="F471" t="str">
            <v>Pcs</v>
          </cell>
          <cell r="G471">
            <v>1</v>
          </cell>
          <cell r="H471">
            <v>24</v>
          </cell>
          <cell r="I471">
            <v>24</v>
          </cell>
          <cell r="J471">
            <v>14</v>
          </cell>
          <cell r="K471">
            <v>13.440000000000001</v>
          </cell>
          <cell r="L471">
            <v>111</v>
          </cell>
          <cell r="M471">
            <v>138.75</v>
          </cell>
          <cell r="N471" t="str">
            <v>IN STOCK</v>
          </cell>
          <cell r="O471" t="str">
            <v>FOLLOW UP DELIVERY</v>
          </cell>
          <cell r="P471">
            <v>46131.519953703704</v>
          </cell>
        </row>
        <row r="472">
          <cell r="C472" t="str">
            <v>RM-00571</v>
          </cell>
          <cell r="D472" t="str">
            <v>Syrup teisseire raspberry  teisseire سيروب توت احمر - تيسير</v>
          </cell>
          <cell r="E472" t="str">
            <v>1 Box X 6 Bottle X 1 Ltr</v>
          </cell>
          <cell r="F472" t="str">
            <v>Box</v>
          </cell>
          <cell r="G472">
            <v>0.16666666666666666</v>
          </cell>
          <cell r="H472">
            <v>30.5</v>
          </cell>
          <cell r="I472">
            <v>183</v>
          </cell>
          <cell r="J472">
            <v>14</v>
          </cell>
          <cell r="K472">
            <v>102.48</v>
          </cell>
          <cell r="L472">
            <v>876</v>
          </cell>
          <cell r="M472">
            <v>143.60655737704917</v>
          </cell>
          <cell r="N472" t="str">
            <v>IN STOCK</v>
          </cell>
          <cell r="O472" t="str">
            <v>FOLLOW UP DELIVERY</v>
          </cell>
          <cell r="P472">
            <v>46131.519872685189</v>
          </cell>
        </row>
        <row r="473">
          <cell r="C473" t="str">
            <v>PM-00658</v>
          </cell>
          <cell r="D473" t="str">
            <v>بوكس جمعات الساندويتش | Sandwitch sharing box</v>
          </cell>
          <cell r="E473" t="str">
            <v>1 Bundle X 100 Pcs</v>
          </cell>
          <cell r="F473" t="str">
            <v>Box</v>
          </cell>
          <cell r="G473">
            <v>0.01</v>
          </cell>
          <cell r="H473">
            <v>5.5</v>
          </cell>
          <cell r="I473">
            <v>550</v>
          </cell>
          <cell r="J473">
            <v>14</v>
          </cell>
          <cell r="K473">
            <v>308.00000000000006</v>
          </cell>
          <cell r="L473">
            <v>2700</v>
          </cell>
          <cell r="M473">
            <v>147.27272727272728</v>
          </cell>
          <cell r="N473" t="str">
            <v>IN STOCK</v>
          </cell>
          <cell r="O473" t="str">
            <v>FOLLOW UP DELIVERY</v>
          </cell>
          <cell r="P473">
            <v>46131.519884259258</v>
          </cell>
        </row>
        <row r="474">
          <cell r="C474" t="str">
            <v>RM-00294</v>
          </cell>
          <cell r="D474" t="str">
            <v>SRIRACHA FLAVORED WITH OAK BARREL AGED PEPPERS صلصة سريراتشا تباسكو</v>
          </cell>
          <cell r="E474" t="str">
            <v>1 Box X 6 Pcs X  566 gm</v>
          </cell>
          <cell r="F474" t="str">
            <v>Box</v>
          </cell>
          <cell r="G474">
            <v>0.29411764705882354</v>
          </cell>
          <cell r="H474">
            <v>5</v>
          </cell>
          <cell r="I474">
            <v>17</v>
          </cell>
          <cell r="J474">
            <v>14</v>
          </cell>
          <cell r="K474">
            <v>9.5200000000000014</v>
          </cell>
          <cell r="L474">
            <v>85</v>
          </cell>
          <cell r="M474">
            <v>150</v>
          </cell>
          <cell r="N474" t="str">
            <v>IN STOCK</v>
          </cell>
          <cell r="O474" t="str">
            <v>FOLLOW UP DELIVERY</v>
          </cell>
          <cell r="P474">
            <v>46131.519907407404</v>
          </cell>
        </row>
        <row r="475">
          <cell r="C475" t="str">
            <v>RM-00683</v>
          </cell>
          <cell r="D475" t="str">
            <v>ماء ورد / rose water</v>
          </cell>
          <cell r="E475" t="str">
            <v xml:space="preserve"> Box X 24 Pcs X 270ml</v>
          </cell>
          <cell r="F475" t="str">
            <v>Box</v>
          </cell>
          <cell r="G475">
            <v>1.5432098765432098E-4</v>
          </cell>
          <cell r="H475">
            <v>55</v>
          </cell>
          <cell r="I475">
            <v>356400</v>
          </cell>
          <cell r="J475">
            <v>14</v>
          </cell>
          <cell r="K475">
            <v>199584.00000000003</v>
          </cell>
          <cell r="L475">
            <v>1863000</v>
          </cell>
          <cell r="M475">
            <v>156.81818181818181</v>
          </cell>
          <cell r="N475" t="str">
            <v>IN STOCK</v>
          </cell>
          <cell r="O475" t="str">
            <v>FOLLOW UP DELIVERY</v>
          </cell>
          <cell r="P475">
            <v>46131.517453703702</v>
          </cell>
        </row>
        <row r="476">
          <cell r="C476" t="str">
            <v>PM-00262</v>
          </cell>
          <cell r="D476" t="str">
            <v>Glass Bottle (Ice Tea &amp; Cold brew ) 200 mlعلبة زجاجية 200 مل ايس تي ، كولد برو</v>
          </cell>
          <cell r="E476" t="str">
            <v>1 Box X 60 Pcs</v>
          </cell>
          <cell r="F476" t="str">
            <v>Box</v>
          </cell>
          <cell r="G476">
            <v>1.6666666666666666E-2</v>
          </cell>
          <cell r="H476">
            <v>346.5</v>
          </cell>
          <cell r="I476">
            <v>20790</v>
          </cell>
          <cell r="J476">
            <v>14</v>
          </cell>
          <cell r="K476">
            <v>11642.400000000001</v>
          </cell>
          <cell r="L476">
            <v>109800</v>
          </cell>
          <cell r="M476">
            <v>158.44155844155844</v>
          </cell>
          <cell r="N476" t="str">
            <v>IN STOCK</v>
          </cell>
          <cell r="O476" t="str">
            <v>FOLLOW UP DELIVERY</v>
          </cell>
          <cell r="P476">
            <v>46128.697129629632</v>
          </cell>
        </row>
        <row r="477">
          <cell r="C477" t="str">
            <v>PM-00587-04</v>
          </cell>
          <cell r="D477" t="str">
            <v>Hard cover box – Salted Caramel  -   بوكس هارد كفر الكراميل المملح (نمق) -BROWNIES BITES INSERTS</v>
          </cell>
          <cell r="E477" t="str">
            <v>1 Box X 310</v>
          </cell>
          <cell r="F477" t="str">
            <v>Pcs</v>
          </cell>
          <cell r="G477">
            <v>3.2258064516129032E-3</v>
          </cell>
          <cell r="H477">
            <v>50</v>
          </cell>
          <cell r="I477">
            <v>15500</v>
          </cell>
          <cell r="J477">
            <v>14</v>
          </cell>
          <cell r="K477">
            <v>8680</v>
          </cell>
          <cell r="L477">
            <v>82150</v>
          </cell>
          <cell r="M477">
            <v>159</v>
          </cell>
          <cell r="N477" t="str">
            <v>IN STOCK</v>
          </cell>
          <cell r="O477" t="str">
            <v>FOLLOW UP DELIVERY</v>
          </cell>
          <cell r="P477" t="str">
            <v/>
          </cell>
        </row>
        <row r="478">
          <cell r="C478" t="str">
            <v>PM-00051</v>
          </cell>
          <cell r="D478" t="str">
            <v>Cover a bag of granola with dates and peanuts   (غطاء كيس جرانولا بالتمر والفول السوداني (بريهانت</v>
          </cell>
          <cell r="E478" t="str">
            <v>Pcs</v>
          </cell>
          <cell r="F478" t="str">
            <v>Pcs</v>
          </cell>
          <cell r="G478">
            <v>1</v>
          </cell>
          <cell r="H478">
            <v>3</v>
          </cell>
          <cell r="I478">
            <v>3</v>
          </cell>
          <cell r="J478">
            <v>14</v>
          </cell>
          <cell r="K478">
            <v>1.6800000000000002</v>
          </cell>
          <cell r="L478">
            <v>27</v>
          </cell>
          <cell r="M478">
            <v>162</v>
          </cell>
          <cell r="N478" t="str">
            <v>IN STOCK</v>
          </cell>
          <cell r="O478" t="str">
            <v>FOLLOW UP DELIVERY</v>
          </cell>
          <cell r="P478">
            <v>46131.519988425927</v>
          </cell>
        </row>
        <row r="479">
          <cell r="C479" t="str">
            <v>RM-00283</v>
          </cell>
          <cell r="D479" t="str">
            <v>Roselle | كركديه</v>
          </cell>
          <cell r="E479" t="str">
            <v>1 Box X 5 Kg</v>
          </cell>
          <cell r="F479" t="str">
            <v>Box</v>
          </cell>
          <cell r="G479">
            <v>0.2</v>
          </cell>
          <cell r="H479">
            <v>27.5</v>
          </cell>
          <cell r="I479">
            <v>137.5</v>
          </cell>
          <cell r="J479">
            <v>14</v>
          </cell>
          <cell r="K479">
            <v>77.000000000000014</v>
          </cell>
          <cell r="L479">
            <v>745</v>
          </cell>
          <cell r="M479">
            <v>162.54545454545453</v>
          </cell>
          <cell r="N479" t="str">
            <v>IN STOCK</v>
          </cell>
          <cell r="O479" t="str">
            <v>FOLLOW UP DELIVERY</v>
          </cell>
          <cell r="P479">
            <v>46131.520092592589</v>
          </cell>
        </row>
        <row r="480">
          <cell r="C480" t="str">
            <v>CO-00343</v>
          </cell>
          <cell r="D480" t="str">
            <v>Brush - Wash basin cleaning brush [30407814] فرشاة تنظيف حوض الغسيل</v>
          </cell>
          <cell r="E480" t="str">
            <v>1 Pcs</v>
          </cell>
          <cell r="F480" t="str">
            <v>Pcs</v>
          </cell>
          <cell r="G480">
            <v>1</v>
          </cell>
          <cell r="H480">
            <v>5.5</v>
          </cell>
          <cell r="I480">
            <v>5.5</v>
          </cell>
          <cell r="J480">
            <v>14</v>
          </cell>
          <cell r="K480">
            <v>3.08</v>
          </cell>
          <cell r="L480">
            <v>30</v>
          </cell>
          <cell r="M480">
            <v>163.63636363636363</v>
          </cell>
          <cell r="N480" t="str">
            <v>IN STOCK</v>
          </cell>
          <cell r="O480" t="str">
            <v>FOLLOW UP DELIVERY</v>
          </cell>
          <cell r="P480">
            <v>46131.520011574074</v>
          </cell>
        </row>
        <row r="481">
          <cell r="C481" t="str">
            <v>RM-00217</v>
          </cell>
          <cell r="D481" t="str">
            <v>Masturd dijon مسترد ديجون</v>
          </cell>
          <cell r="E481" t="str">
            <v>Box</v>
          </cell>
          <cell r="F481" t="str">
            <v>Box</v>
          </cell>
          <cell r="G481">
            <v>1</v>
          </cell>
          <cell r="H481">
            <v>2</v>
          </cell>
          <cell r="I481">
            <v>2</v>
          </cell>
          <cell r="J481">
            <v>14</v>
          </cell>
          <cell r="K481">
            <v>1.1200000000000001</v>
          </cell>
          <cell r="L481">
            <v>11</v>
          </cell>
          <cell r="M481">
            <v>165</v>
          </cell>
          <cell r="N481" t="str">
            <v>IN STOCK</v>
          </cell>
          <cell r="O481" t="str">
            <v>FOLLOW UP DELIVERY</v>
          </cell>
          <cell r="P481">
            <v>46131.52003472222</v>
          </cell>
        </row>
        <row r="482">
          <cell r="C482" t="str">
            <v>RM-00650</v>
          </cell>
          <cell r="D482" t="str">
            <v>Saad Eddine microchip ميكروشية سعد الدين</v>
          </cell>
          <cell r="E482" t="str">
            <v>1 Box X 5KG</v>
          </cell>
          <cell r="F482" t="str">
            <v>Box</v>
          </cell>
          <cell r="G482">
            <v>0.2</v>
          </cell>
          <cell r="H482">
            <v>3</v>
          </cell>
          <cell r="I482">
            <v>15</v>
          </cell>
          <cell r="J482">
            <v>14</v>
          </cell>
          <cell r="K482">
            <v>8.4</v>
          </cell>
          <cell r="L482">
            <v>85</v>
          </cell>
          <cell r="M482">
            <v>170</v>
          </cell>
          <cell r="N482" t="str">
            <v>IN STOCK</v>
          </cell>
          <cell r="O482" t="str">
            <v>FOLLOW UP DELIVERY</v>
          </cell>
          <cell r="P482">
            <v>46131.520219907405</v>
          </cell>
        </row>
        <row r="483">
          <cell r="C483" t="str">
            <v>CO-00052</v>
          </cell>
          <cell r="D483" t="str">
            <v>Sanita Kitchen Cleaner &amp; Degreaser 5L سانيتا منظف المطابخ ومزيل الدهون 5 لتر</v>
          </cell>
          <cell r="E483" t="str">
            <v>1 Pcs. X 5 Ltr</v>
          </cell>
          <cell r="F483" t="str">
            <v>Pcs</v>
          </cell>
          <cell r="G483">
            <v>1</v>
          </cell>
          <cell r="H483">
            <v>27.5</v>
          </cell>
          <cell r="I483">
            <v>27.5</v>
          </cell>
          <cell r="J483">
            <v>14</v>
          </cell>
          <cell r="K483">
            <v>15.400000000000002</v>
          </cell>
          <cell r="L483">
            <v>159</v>
          </cell>
          <cell r="M483">
            <v>173.45454545454547</v>
          </cell>
          <cell r="N483" t="str">
            <v>IN STOCK</v>
          </cell>
          <cell r="O483" t="str">
            <v>FOLLOW UP DELIVERY</v>
          </cell>
          <cell r="P483">
            <v>46131.520243055558</v>
          </cell>
        </row>
        <row r="484">
          <cell r="C484" t="str">
            <v>PM-00189</v>
          </cell>
          <cell r="D484" t="str">
            <v>Friday Paper cup  4 Oz كوب ورقي 4 اونص تصميم يوم الجمعه</v>
          </cell>
          <cell r="E484" t="str">
            <v>1 Box X 20 Pack X 50 Pcs</v>
          </cell>
          <cell r="F484" t="str">
            <v>Box</v>
          </cell>
          <cell r="G484">
            <v>1E-3</v>
          </cell>
          <cell r="H484">
            <v>22</v>
          </cell>
          <cell r="I484">
            <v>22000</v>
          </cell>
          <cell r="J484">
            <v>14</v>
          </cell>
          <cell r="K484">
            <v>12320.000000000002</v>
          </cell>
          <cell r="L484">
            <v>130000</v>
          </cell>
          <cell r="M484">
            <v>177.27272727272728</v>
          </cell>
          <cell r="N484" t="str">
            <v>IN STOCK</v>
          </cell>
          <cell r="O484" t="str">
            <v>FOLLOW UP DELIVERY</v>
          </cell>
          <cell r="P484">
            <v>46131.520115740743</v>
          </cell>
        </row>
        <row r="485">
          <cell r="C485" t="str">
            <v>RM-00619</v>
          </cell>
          <cell r="D485" t="str">
            <v>Sundried tomato pesto</v>
          </cell>
          <cell r="E485" t="str">
            <v>1 Box X 4 Gallon X 2.85 KG</v>
          </cell>
          <cell r="F485" t="str">
            <v>Box</v>
          </cell>
          <cell r="G485">
            <v>8.7527352297592995E-3</v>
          </cell>
          <cell r="H485">
            <v>5</v>
          </cell>
          <cell r="I485">
            <v>571.25</v>
          </cell>
          <cell r="J485">
            <v>14</v>
          </cell>
          <cell r="K485">
            <v>319.90000000000003</v>
          </cell>
          <cell r="L485">
            <v>3427.5</v>
          </cell>
          <cell r="M485">
            <v>180</v>
          </cell>
          <cell r="N485" t="str">
            <v>IN STOCK</v>
          </cell>
          <cell r="O485" t="str">
            <v>FOLLOW UP DELIVERY</v>
          </cell>
          <cell r="P485">
            <v>46131.520185185182</v>
          </cell>
        </row>
        <row r="486">
          <cell r="C486" t="str">
            <v>RM-00268</v>
          </cell>
          <cell r="D486" t="str">
            <v>Paprika Smoked Small بابريكا مدخن</v>
          </cell>
          <cell r="E486" t="str">
            <v>Box</v>
          </cell>
          <cell r="F486" t="str">
            <v>Box</v>
          </cell>
          <cell r="G486">
            <v>1</v>
          </cell>
          <cell r="H486">
            <v>1</v>
          </cell>
          <cell r="I486">
            <v>1</v>
          </cell>
          <cell r="J486">
            <v>14</v>
          </cell>
          <cell r="K486">
            <v>0.56000000000000005</v>
          </cell>
          <cell r="L486">
            <v>6</v>
          </cell>
          <cell r="M486">
            <v>180</v>
          </cell>
          <cell r="N486" t="str">
            <v>IN STOCK</v>
          </cell>
          <cell r="O486" t="str">
            <v>FOLLOW UP DELIVERY</v>
          </cell>
          <cell r="P486">
            <v>46131.520138888889</v>
          </cell>
        </row>
        <row r="487">
          <cell r="C487" t="str">
            <v>RM-00117</v>
          </cell>
          <cell r="D487" t="str">
            <v>Flour Premium T65 طحين T65</v>
          </cell>
          <cell r="E487" t="str">
            <v>1 BAG x 25 Kg</v>
          </cell>
          <cell r="F487" t="str">
            <v>bag</v>
          </cell>
          <cell r="G487">
            <v>0.04</v>
          </cell>
          <cell r="H487">
            <v>1</v>
          </cell>
          <cell r="I487">
            <v>25</v>
          </cell>
          <cell r="J487">
            <v>14</v>
          </cell>
          <cell r="K487">
            <v>14.000000000000002</v>
          </cell>
          <cell r="L487">
            <v>1250</v>
          </cell>
          <cell r="M487">
            <v>187.5</v>
          </cell>
          <cell r="N487" t="str">
            <v>IN STOCK</v>
          </cell>
          <cell r="O487" t="str">
            <v>FOLLOW UP DELIVERY</v>
          </cell>
          <cell r="P487">
            <v>46131.520208333335</v>
          </cell>
        </row>
        <row r="488">
          <cell r="C488" t="str">
            <v>RM-00580</v>
          </cell>
          <cell r="D488" t="str">
            <v>Syrup passion fruit Teisseireباشن فروت سيروب - تيسير</v>
          </cell>
          <cell r="E488" t="str">
            <v>1 Box X 6 Bottle X 1 Ltr</v>
          </cell>
          <cell r="F488" t="str">
            <v>Box</v>
          </cell>
          <cell r="G488">
            <v>0.16666666666666666</v>
          </cell>
          <cell r="H488">
            <v>21.75</v>
          </cell>
          <cell r="I488">
            <v>130.5</v>
          </cell>
          <cell r="J488">
            <v>14</v>
          </cell>
          <cell r="K488">
            <v>73.080000000000013</v>
          </cell>
          <cell r="L488">
            <v>822</v>
          </cell>
          <cell r="M488">
            <v>188.9655172413793</v>
          </cell>
          <cell r="N488" t="str">
            <v>IN STOCK</v>
          </cell>
          <cell r="O488" t="str">
            <v>FOLLOW UP DELIVERY</v>
          </cell>
          <cell r="P488">
            <v>46131.520266203705</v>
          </cell>
        </row>
        <row r="489">
          <cell r="C489" t="str">
            <v>FA-00095</v>
          </cell>
          <cell r="D489" t="str">
            <v>Pitcher JIBBI 420ml بتشر تبخير جيبي الحاد - 420 مل</v>
          </cell>
          <cell r="E489" t="str">
            <v>Pcs</v>
          </cell>
          <cell r="F489" t="str">
            <v>Pcs</v>
          </cell>
          <cell r="G489">
            <v>1</v>
          </cell>
          <cell r="H489">
            <v>5.5</v>
          </cell>
          <cell r="I489">
            <v>5.5</v>
          </cell>
          <cell r="J489">
            <v>14</v>
          </cell>
          <cell r="K489">
            <v>3.08</v>
          </cell>
          <cell r="L489">
            <v>36</v>
          </cell>
          <cell r="M489">
            <v>196.36363636363637</v>
          </cell>
          <cell r="N489" t="str">
            <v>IN STOCK</v>
          </cell>
          <cell r="O489" t="str">
            <v>FOLLOW UP DELIVERY</v>
          </cell>
          <cell r="P489">
            <v>46131.520254629628</v>
          </cell>
        </row>
        <row r="490">
          <cell r="C490" t="str">
            <v>PM-00564</v>
          </cell>
          <cell r="D490" t="str">
            <v>Large Printed Paper Bag  كيس ورقي مطبوع مقاس كبير نمق</v>
          </cell>
          <cell r="E490" t="str">
            <v>1 Box X 130 Pcs</v>
          </cell>
          <cell r="F490" t="str">
            <v>Box</v>
          </cell>
          <cell r="G490">
            <v>7.6923076923076927E-3</v>
          </cell>
          <cell r="H490">
            <v>170.5</v>
          </cell>
          <cell r="I490">
            <v>22165</v>
          </cell>
          <cell r="J490">
            <v>14</v>
          </cell>
          <cell r="K490">
            <v>12412.400000000001</v>
          </cell>
          <cell r="L490">
            <v>146380</v>
          </cell>
          <cell r="M490">
            <v>198.12316715542522</v>
          </cell>
          <cell r="N490" t="str">
            <v>IN STOCK</v>
          </cell>
          <cell r="O490" t="str">
            <v>FOLLOW UP DELIVERY</v>
          </cell>
          <cell r="P490">
            <v>46128.697187500002</v>
          </cell>
        </row>
        <row r="491">
          <cell r="C491" t="str">
            <v>RM-00311</v>
          </cell>
          <cell r="D491" t="str">
            <v>ULKER TEA BISCUITبسكويت شاهي الوكر</v>
          </cell>
          <cell r="E491" t="str">
            <v>Box X 6 X 12 X 165G</v>
          </cell>
          <cell r="F491" t="str">
            <v>Box</v>
          </cell>
          <cell r="G491">
            <v>6.9444444444444441E-3</v>
          </cell>
          <cell r="H491">
            <v>1</v>
          </cell>
          <cell r="I491">
            <v>144</v>
          </cell>
          <cell r="J491">
            <v>14</v>
          </cell>
          <cell r="K491">
            <v>80.640000000000015</v>
          </cell>
          <cell r="L491">
            <v>1008</v>
          </cell>
          <cell r="M491">
            <v>210</v>
          </cell>
          <cell r="N491" t="str">
            <v>IN STOCK</v>
          </cell>
          <cell r="O491" t="str">
            <v>FOLLOW UP DELIVERY</v>
          </cell>
          <cell r="P491">
            <v>46131.520277777781</v>
          </cell>
        </row>
        <row r="492">
          <cell r="C492" t="str">
            <v>PM-00587-03</v>
          </cell>
          <cell r="D492" t="str">
            <v>Hard cover box – Salted Caramel  -   بوكس هارد كفر الكراميل المملح (نمق) - CARAMEL BITES INSERTS</v>
          </cell>
          <cell r="E492" t="str">
            <v>1 Box X 331</v>
          </cell>
          <cell r="F492" t="str">
            <v>Pcs</v>
          </cell>
          <cell r="G492">
            <v>3.0211480362537764E-3</v>
          </cell>
          <cell r="H492">
            <v>30</v>
          </cell>
          <cell r="I492">
            <v>9930</v>
          </cell>
          <cell r="J492">
            <v>14</v>
          </cell>
          <cell r="K492">
            <v>5560.8</v>
          </cell>
          <cell r="L492">
            <v>73482</v>
          </cell>
          <cell r="M492">
            <v>222</v>
          </cell>
          <cell r="N492" t="str">
            <v>IN STOCK</v>
          </cell>
          <cell r="O492" t="str">
            <v>FOLLOW UP DELIVERY</v>
          </cell>
          <cell r="P492" t="str">
            <v/>
          </cell>
        </row>
        <row r="493">
          <cell r="C493" t="str">
            <v>RM-00266</v>
          </cell>
          <cell r="D493" t="str">
            <v>Pancake syrup سيروب بانكيك</v>
          </cell>
          <cell r="E493" t="str">
            <v>1 Box X 12 Pcs X 710 ml</v>
          </cell>
          <cell r="F493" t="str">
            <v>Box</v>
          </cell>
          <cell r="G493">
            <v>0.11737089201877934</v>
          </cell>
          <cell r="H493">
            <v>12</v>
          </cell>
          <cell r="I493">
            <v>102.24</v>
          </cell>
          <cell r="J493">
            <v>14</v>
          </cell>
          <cell r="K493">
            <v>57.254400000000004</v>
          </cell>
          <cell r="L493">
            <v>758.28</v>
          </cell>
          <cell r="M493">
            <v>222.5</v>
          </cell>
          <cell r="N493" t="str">
            <v>IN STOCK</v>
          </cell>
          <cell r="O493" t="str">
            <v>FOLLOW UP DELIVERY</v>
          </cell>
          <cell r="P493">
            <v>46131.520300925928</v>
          </cell>
        </row>
        <row r="494">
          <cell r="C494" t="str">
            <v>RM-00237</v>
          </cell>
          <cell r="D494" t="str">
            <v>Coopoliva Olives زيتون اسود كوبوليفا</v>
          </cell>
          <cell r="E494" t="str">
            <v>1 kg</v>
          </cell>
          <cell r="F494" t="str">
            <v>Pcs</v>
          </cell>
          <cell r="G494">
            <v>1</v>
          </cell>
          <cell r="H494">
            <v>2</v>
          </cell>
          <cell r="I494">
            <v>2</v>
          </cell>
          <cell r="J494">
            <v>14</v>
          </cell>
          <cell r="K494">
            <v>1.1200000000000001</v>
          </cell>
          <cell r="L494">
            <v>15</v>
          </cell>
          <cell r="M494">
            <v>225</v>
          </cell>
          <cell r="N494" t="str">
            <v>IN STOCK</v>
          </cell>
          <cell r="O494" t="str">
            <v>FOLLOW UP DELIVERY</v>
          </cell>
          <cell r="P494">
            <v>46131.520312499997</v>
          </cell>
        </row>
        <row r="495">
          <cell r="C495" t="str">
            <v>RM-00211</v>
          </cell>
          <cell r="D495" t="str">
            <v>Black Pepper Powder فلفل اسود مطحون</v>
          </cell>
          <cell r="E495" t="str">
            <v>Box</v>
          </cell>
          <cell r="F495" t="str">
            <v>Box</v>
          </cell>
          <cell r="G495">
            <v>1</v>
          </cell>
          <cell r="H495">
            <v>5</v>
          </cell>
          <cell r="I495">
            <v>5</v>
          </cell>
          <cell r="J495">
            <v>14</v>
          </cell>
          <cell r="K495">
            <v>2.8000000000000003</v>
          </cell>
          <cell r="L495">
            <v>38</v>
          </cell>
          <cell r="M495">
            <v>228</v>
          </cell>
          <cell r="N495" t="str">
            <v>IN STOCK</v>
          </cell>
          <cell r="O495" t="str">
            <v>FOLLOW UP DELIVERY</v>
          </cell>
          <cell r="P495">
            <v>46131.520324074074</v>
          </cell>
        </row>
        <row r="496">
          <cell r="C496" t="str">
            <v>PM-00637</v>
          </cell>
          <cell r="D496" t="str">
            <v>Caramel Bites Paper Box 1 PCS (New ID) | علبة كراميل بايتس ورقية</v>
          </cell>
          <cell r="E496" t="str">
            <v>1 Box X 600</v>
          </cell>
          <cell r="F496" t="str">
            <v>Box</v>
          </cell>
          <cell r="G496">
            <v>1.6666666666666668E-3</v>
          </cell>
          <cell r="H496">
            <v>20</v>
          </cell>
          <cell r="I496">
            <v>12000</v>
          </cell>
          <cell r="J496">
            <v>14</v>
          </cell>
          <cell r="K496">
            <v>6720.0000000000009</v>
          </cell>
          <cell r="L496">
            <v>94200</v>
          </cell>
          <cell r="M496">
            <v>235.5</v>
          </cell>
          <cell r="N496" t="str">
            <v>IN STOCK</v>
          </cell>
          <cell r="O496" t="str">
            <v>FOLLOW UP DELIVERY</v>
          </cell>
          <cell r="P496">
            <v>46131.52034722222</v>
          </cell>
        </row>
        <row r="497">
          <cell r="C497" t="str">
            <v>PM-00224</v>
          </cell>
          <cell r="D497" t="str">
            <v>Lid 7oz غطاء كاسة قهوة نمق 7 اونصه</v>
          </cell>
          <cell r="E497" t="str">
            <v>1 Box X 1000 Pcs</v>
          </cell>
          <cell r="F497" t="str">
            <v>Box</v>
          </cell>
          <cell r="G497">
            <v>1E-3</v>
          </cell>
          <cell r="H497">
            <v>22</v>
          </cell>
          <cell r="I497">
            <v>22000</v>
          </cell>
          <cell r="J497">
            <v>60</v>
          </cell>
          <cell r="K497">
            <v>52800</v>
          </cell>
          <cell r="L497">
            <v>190000</v>
          </cell>
          <cell r="M497">
            <v>259.09090909090912</v>
          </cell>
          <cell r="N497" t="str">
            <v>IN STOCK</v>
          </cell>
          <cell r="O497" t="str">
            <v>FOLLOW UP DELIVERY</v>
          </cell>
          <cell r="P497">
            <v>46128.697233796294</v>
          </cell>
        </row>
        <row r="498">
          <cell r="C498" t="str">
            <v>RM-00443</v>
          </cell>
          <cell r="D498" t="str">
            <v>Coconut Oil زيت جوز الهند</v>
          </cell>
          <cell r="E498" t="str">
            <v>Box X 15 Pcs X 0.900 Liter</v>
          </cell>
          <cell r="F498" t="str">
            <v>Box</v>
          </cell>
          <cell r="G498">
            <v>7.407407407407407E-2</v>
          </cell>
          <cell r="H498">
            <v>1</v>
          </cell>
          <cell r="I498">
            <v>13.5</v>
          </cell>
          <cell r="J498">
            <v>14</v>
          </cell>
          <cell r="K498">
            <v>7.5600000000000005</v>
          </cell>
          <cell r="L498">
            <v>121.5</v>
          </cell>
          <cell r="M498">
            <v>270</v>
          </cell>
          <cell r="N498" t="str">
            <v>IN STOCK</v>
          </cell>
          <cell r="O498" t="str">
            <v>FOLLOW UP DELIVERY</v>
          </cell>
          <cell r="P498">
            <v>46131.520358796297</v>
          </cell>
        </row>
        <row r="499">
          <cell r="C499" t="str">
            <v>CO-00317</v>
          </cell>
          <cell r="D499" t="str">
            <v>Coal فحم</v>
          </cell>
          <cell r="E499" t="str">
            <v>KG</v>
          </cell>
          <cell r="F499" t="str">
            <v>Pcs</v>
          </cell>
          <cell r="G499">
            <v>1</v>
          </cell>
          <cell r="H499">
            <v>1</v>
          </cell>
          <cell r="I499">
            <v>1</v>
          </cell>
          <cell r="J499">
            <v>14</v>
          </cell>
          <cell r="K499">
            <v>0.56000000000000005</v>
          </cell>
          <cell r="L499">
            <v>9</v>
          </cell>
          <cell r="M499">
            <v>270</v>
          </cell>
          <cell r="N499" t="str">
            <v>IN STOCK</v>
          </cell>
          <cell r="O499" t="str">
            <v>FOLLOW UP DELIVERY</v>
          </cell>
          <cell r="P499">
            <v>46131.520381944443</v>
          </cell>
        </row>
        <row r="500">
          <cell r="C500" t="str">
            <v>SF-00180</v>
          </cell>
          <cell r="D500" t="str">
            <v>Orient Garden Lemon مركز ليمون</v>
          </cell>
          <cell r="E500" t="str">
            <v>Box</v>
          </cell>
          <cell r="F500" t="str">
            <v>Box</v>
          </cell>
          <cell r="G500">
            <v>1</v>
          </cell>
          <cell r="H500">
            <v>1</v>
          </cell>
          <cell r="I500">
            <v>1</v>
          </cell>
          <cell r="J500">
            <v>14</v>
          </cell>
          <cell r="K500">
            <v>0.56000000000000005</v>
          </cell>
          <cell r="L500">
            <v>9</v>
          </cell>
          <cell r="M500">
            <v>270</v>
          </cell>
          <cell r="N500" t="str">
            <v>IN STOCK</v>
          </cell>
          <cell r="O500" t="str">
            <v>FOLLOW UP DELIVERY</v>
          </cell>
          <cell r="P500">
            <v>46131.520405092589</v>
          </cell>
        </row>
        <row r="501">
          <cell r="C501" t="str">
            <v>RM-00507</v>
          </cell>
          <cell r="D501" t="str">
            <v xml:space="preserve">MARGUERITE SWEET DUSTING POWDER - CONDINEIGE| بودرة سكر للزينه </v>
          </cell>
          <cell r="E501" t="str">
            <v xml:space="preserve">1 Box X 5KG </v>
          </cell>
          <cell r="F501" t="str">
            <v>Box</v>
          </cell>
          <cell r="G501">
            <v>0.2</v>
          </cell>
          <cell r="H501">
            <v>1</v>
          </cell>
          <cell r="I501">
            <v>5</v>
          </cell>
          <cell r="J501">
            <v>14</v>
          </cell>
          <cell r="K501">
            <v>2.8000000000000003</v>
          </cell>
          <cell r="L501">
            <v>50</v>
          </cell>
          <cell r="M501">
            <v>300</v>
          </cell>
          <cell r="N501" t="str">
            <v>IN STOCK</v>
          </cell>
          <cell r="O501" t="str">
            <v>FOLLOW UP DELIVERY</v>
          </cell>
          <cell r="P501">
            <v>46131.520416666666</v>
          </cell>
        </row>
        <row r="502">
          <cell r="C502" t="str">
            <v>RM-00170</v>
          </cell>
          <cell r="D502" t="str">
            <v>CARAMEL SEA SALT كاراميل بالملح البحري</v>
          </cell>
          <cell r="E502" t="str">
            <v>Box X 5 Kg x 2 pcs</v>
          </cell>
          <cell r="F502" t="str">
            <v>Box</v>
          </cell>
          <cell r="G502">
            <v>0.1</v>
          </cell>
          <cell r="H502">
            <v>59</v>
          </cell>
          <cell r="I502">
            <v>590</v>
          </cell>
          <cell r="J502">
            <v>14</v>
          </cell>
          <cell r="K502">
            <v>330.40000000000003</v>
          </cell>
          <cell r="L502">
            <v>6790</v>
          </cell>
          <cell r="M502">
            <v>345.25423728813558</v>
          </cell>
          <cell r="N502" t="str">
            <v>IN STOCK</v>
          </cell>
          <cell r="O502" t="str">
            <v>FOLLOW UP DELIVERY</v>
          </cell>
          <cell r="P502">
            <v>46131.517476851855</v>
          </cell>
        </row>
        <row r="503">
          <cell r="C503" t="str">
            <v>RM-00261</v>
          </cell>
          <cell r="D503" t="str">
            <v>Oats شوفان</v>
          </cell>
          <cell r="E503" t="str">
            <v>1 Box X 12 Bottle X 1 KG</v>
          </cell>
          <cell r="F503" t="str">
            <v>Box</v>
          </cell>
          <cell r="G503">
            <v>8.3333333333333329E-2</v>
          </cell>
          <cell r="H503">
            <v>10</v>
          </cell>
          <cell r="I503">
            <v>120</v>
          </cell>
          <cell r="J503">
            <v>14</v>
          </cell>
          <cell r="K503">
            <v>67.2</v>
          </cell>
          <cell r="L503">
            <v>1680</v>
          </cell>
          <cell r="M503">
            <v>350</v>
          </cell>
          <cell r="N503" t="str">
            <v>IN STOCK</v>
          </cell>
          <cell r="O503" t="str">
            <v>FOLLOW UP DELIVERY</v>
          </cell>
          <cell r="P503">
            <v>46131.520451388889</v>
          </cell>
        </row>
        <row r="504">
          <cell r="C504" t="str">
            <v>RM-00144</v>
          </cell>
          <cell r="D504" t="str">
            <v>Ground cinnamon قرفة مطحونة</v>
          </cell>
          <cell r="E504" t="str">
            <v>1 bag x 10 pcs x 1 kg</v>
          </cell>
          <cell r="F504" t="str">
            <v>bag</v>
          </cell>
          <cell r="G504">
            <v>0.1</v>
          </cell>
          <cell r="H504">
            <v>15</v>
          </cell>
          <cell r="I504">
            <v>150</v>
          </cell>
          <cell r="J504">
            <v>14</v>
          </cell>
          <cell r="K504">
            <v>84.000000000000014</v>
          </cell>
          <cell r="L504">
            <v>120</v>
          </cell>
          <cell r="M504">
            <v>360</v>
          </cell>
          <cell r="N504" t="str">
            <v>IN STOCK</v>
          </cell>
          <cell r="O504" t="str">
            <v>FOLLOW UP DELIVERY</v>
          </cell>
          <cell r="P504">
            <v>46131.520439814813</v>
          </cell>
        </row>
        <row r="505">
          <cell r="C505" t="str">
            <v>PM-00277</v>
          </cell>
          <cell r="D505" t="str">
            <v>knife ( NAMQ ) سكين ( نمق )</v>
          </cell>
          <cell r="E505" t="str">
            <v>1 Box X 500 Pcs.</v>
          </cell>
          <cell r="F505" t="str">
            <v>Box</v>
          </cell>
          <cell r="G505">
            <v>2E-3</v>
          </cell>
          <cell r="H505">
            <v>38.5</v>
          </cell>
          <cell r="I505">
            <v>19250</v>
          </cell>
          <cell r="J505">
            <v>14</v>
          </cell>
          <cell r="K505">
            <v>10780.000000000002</v>
          </cell>
          <cell r="L505">
            <v>235500</v>
          </cell>
          <cell r="M505">
            <v>367.01298701298703</v>
          </cell>
          <cell r="N505" t="str">
            <v>IN STOCK</v>
          </cell>
          <cell r="O505" t="str">
            <v>FOLLOW UP DELIVERY</v>
          </cell>
          <cell r="P505">
            <v>46131.517500000002</v>
          </cell>
        </row>
        <row r="506">
          <cell r="C506" t="str">
            <v>RM-00274</v>
          </cell>
          <cell r="D506" t="str">
            <v>pomgrana hone دبس رمان</v>
          </cell>
          <cell r="E506" t="str">
            <v>1 Box X 12 X 700 grm</v>
          </cell>
          <cell r="F506" t="str">
            <v>Pcs</v>
          </cell>
          <cell r="G506">
            <v>1</v>
          </cell>
          <cell r="H506">
            <v>36</v>
          </cell>
          <cell r="I506">
            <v>36</v>
          </cell>
          <cell r="J506">
            <v>14</v>
          </cell>
          <cell r="K506">
            <v>20.160000000000004</v>
          </cell>
          <cell r="L506">
            <v>105</v>
          </cell>
          <cell r="M506">
            <v>393.75</v>
          </cell>
          <cell r="N506" t="str">
            <v>IN STOCK</v>
          </cell>
          <cell r="O506" t="str">
            <v>FOLLOW UP DELIVERY</v>
          </cell>
          <cell r="P506">
            <v>46131.520462962966</v>
          </cell>
        </row>
        <row r="507">
          <cell r="C507" t="str">
            <v>RM-00147</v>
          </cell>
          <cell r="D507" t="str">
            <v>Cardamom هيل حب</v>
          </cell>
          <cell r="E507" t="str">
            <v>1 Box X 5 Kg</v>
          </cell>
          <cell r="F507" t="str">
            <v>Box</v>
          </cell>
          <cell r="G507">
            <v>0.2</v>
          </cell>
          <cell r="H507">
            <v>1</v>
          </cell>
          <cell r="I507">
            <v>5</v>
          </cell>
          <cell r="J507">
            <v>14</v>
          </cell>
          <cell r="K507">
            <v>2.8000000000000003</v>
          </cell>
          <cell r="L507">
            <v>69.375</v>
          </cell>
          <cell r="M507">
            <v>416.25</v>
          </cell>
          <cell r="N507" t="str">
            <v>IN STOCK</v>
          </cell>
          <cell r="O507" t="str">
            <v>FOLLOW UP DELIVERY</v>
          </cell>
          <cell r="P507">
            <v>46131.520891203705</v>
          </cell>
        </row>
        <row r="508">
          <cell r="C508" t="str">
            <v>PM-00099</v>
          </cell>
          <cell r="D508" t="str">
            <v>Rectangular Jar Tramiso علب مستطيلة تيراميسو بلاستيك</v>
          </cell>
          <cell r="E508" t="str">
            <v>1 Box X 200 Pcs</v>
          </cell>
          <cell r="F508" t="str">
            <v>Box</v>
          </cell>
          <cell r="G508">
            <v>5.0000000000000001E-3</v>
          </cell>
          <cell r="H508">
            <v>5</v>
          </cell>
          <cell r="I508">
            <v>1000</v>
          </cell>
          <cell r="J508">
            <v>14</v>
          </cell>
          <cell r="K508">
            <v>560</v>
          </cell>
          <cell r="L508">
            <v>15200</v>
          </cell>
          <cell r="M508">
            <v>456</v>
          </cell>
          <cell r="N508" t="str">
            <v>IN STOCK</v>
          </cell>
          <cell r="O508" t="str">
            <v>FOLLOW UP DELIVERY</v>
          </cell>
          <cell r="P508">
            <v>46131.520474537036</v>
          </cell>
        </row>
        <row r="509">
          <cell r="C509" t="str">
            <v>PM-00576</v>
          </cell>
          <cell r="D509" t="str">
            <v>بكج تغليف حلا الزعتر Zaatar Sweets Packaging</v>
          </cell>
          <cell r="E509" t="str">
            <v>1 Box X 4900 Pcs</v>
          </cell>
          <cell r="F509" t="str">
            <v>Box</v>
          </cell>
          <cell r="G509">
            <v>2.0408163265306123E-4</v>
          </cell>
          <cell r="H509">
            <v>2</v>
          </cell>
          <cell r="I509">
            <v>9800</v>
          </cell>
          <cell r="J509">
            <v>14</v>
          </cell>
          <cell r="K509">
            <v>5488.0000000000009</v>
          </cell>
          <cell r="L509">
            <v>156800</v>
          </cell>
          <cell r="M509">
            <v>480</v>
          </cell>
          <cell r="N509" t="str">
            <v>IN STOCK</v>
          </cell>
          <cell r="O509" t="str">
            <v>FOLLOW UP DELIVERY</v>
          </cell>
          <cell r="P509" t="str">
            <v/>
          </cell>
        </row>
        <row r="510">
          <cell r="C510" t="str">
            <v>PM-00149</v>
          </cell>
          <cell r="D510" t="str">
            <v>Lid 4 oz غطاء كاسة قهوة نمق 4 اونصه</v>
          </cell>
          <cell r="E510" t="str">
            <v>1 Box X 1000</v>
          </cell>
          <cell r="F510" t="str">
            <v>Box</v>
          </cell>
          <cell r="G510">
            <v>1E-3</v>
          </cell>
          <cell r="H510">
            <v>11</v>
          </cell>
          <cell r="I510">
            <v>11000</v>
          </cell>
          <cell r="J510">
            <v>60</v>
          </cell>
          <cell r="K510">
            <v>26400</v>
          </cell>
          <cell r="L510">
            <v>183000</v>
          </cell>
          <cell r="M510">
            <v>499.09090909090912</v>
          </cell>
          <cell r="N510" t="str">
            <v>IN STOCK</v>
          </cell>
          <cell r="O510" t="str">
            <v>FOLLOW UP DELIVERY</v>
          </cell>
          <cell r="P510" t="str">
            <v/>
          </cell>
        </row>
        <row r="511">
          <cell r="C511" t="str">
            <v>CO-00329</v>
          </cell>
          <cell r="D511" t="str">
            <v>Carbon Filter 3rd Phase " CTO" فلتر كربوني بلوك 10 إنش مرحلة ثالثه</v>
          </cell>
          <cell r="E511" t="str">
            <v>1 Pcs</v>
          </cell>
          <cell r="F511" t="str">
            <v>Pcs</v>
          </cell>
          <cell r="G511">
            <v>1</v>
          </cell>
          <cell r="H511">
            <v>11</v>
          </cell>
          <cell r="I511">
            <v>11</v>
          </cell>
          <cell r="J511">
            <v>14</v>
          </cell>
          <cell r="K511">
            <v>6.16</v>
          </cell>
          <cell r="L511">
            <v>189</v>
          </cell>
          <cell r="M511">
            <v>515.4545454545455</v>
          </cell>
          <cell r="N511" t="str">
            <v>IN STOCK</v>
          </cell>
          <cell r="O511" t="str">
            <v>FOLLOW UP DELIVERY</v>
          </cell>
          <cell r="P511">
            <v>46131.520486111112</v>
          </cell>
        </row>
        <row r="512">
          <cell r="C512" t="str">
            <v>CO-00106</v>
          </cell>
          <cell r="D512" t="str">
            <v>Clb Bag Food  كلوب حفظ الطعام مقاس 10</v>
          </cell>
          <cell r="E512" t="str">
            <v>Box</v>
          </cell>
          <cell r="F512" t="str">
            <v>Box</v>
          </cell>
          <cell r="G512">
            <v>1</v>
          </cell>
          <cell r="H512">
            <v>1</v>
          </cell>
          <cell r="I512">
            <v>1</v>
          </cell>
          <cell r="J512">
            <v>14</v>
          </cell>
          <cell r="K512">
            <v>0.56000000000000005</v>
          </cell>
          <cell r="L512">
            <v>19</v>
          </cell>
          <cell r="M512">
            <v>570</v>
          </cell>
          <cell r="N512" t="str">
            <v>IN STOCK</v>
          </cell>
          <cell r="O512" t="str">
            <v>FOLLOW UP DELIVERY</v>
          </cell>
          <cell r="P512">
            <v>46131.520497685182</v>
          </cell>
        </row>
        <row r="513">
          <cell r="C513" t="str">
            <v>RM-00148</v>
          </cell>
          <cell r="D513" t="str">
            <v>Clove قرنفل</v>
          </cell>
          <cell r="E513" t="str">
            <v>KG</v>
          </cell>
          <cell r="F513" t="str">
            <v>Pcs</v>
          </cell>
          <cell r="G513">
            <v>1</v>
          </cell>
          <cell r="H513">
            <v>1</v>
          </cell>
          <cell r="I513">
            <v>1</v>
          </cell>
          <cell r="J513">
            <v>14</v>
          </cell>
          <cell r="K513">
            <v>0.56000000000000005</v>
          </cell>
          <cell r="L513">
            <v>20</v>
          </cell>
          <cell r="M513">
            <v>600</v>
          </cell>
          <cell r="N513" t="str">
            <v>IN STOCK</v>
          </cell>
          <cell r="O513" t="str">
            <v>FOLLOW UP DELIVERY</v>
          </cell>
          <cell r="P513">
            <v>46134.446759259263</v>
          </cell>
        </row>
        <row r="514">
          <cell r="C514" t="str">
            <v>CO-00107</v>
          </cell>
          <cell r="D514" t="str">
            <v>Clb Bag Food  كلوب حفظ الطعام مقاس 16</v>
          </cell>
          <cell r="E514" t="str">
            <v>Box</v>
          </cell>
          <cell r="F514" t="str">
            <v>Box</v>
          </cell>
          <cell r="G514">
            <v>1</v>
          </cell>
          <cell r="H514">
            <v>1</v>
          </cell>
          <cell r="I514">
            <v>1</v>
          </cell>
          <cell r="J514">
            <v>14</v>
          </cell>
          <cell r="K514">
            <v>0.56000000000000005</v>
          </cell>
          <cell r="L514">
            <v>20</v>
          </cell>
          <cell r="M514">
            <v>600</v>
          </cell>
          <cell r="N514" t="str">
            <v>IN STOCK</v>
          </cell>
          <cell r="O514" t="str">
            <v>FOLLOW UP DELIVERY</v>
          </cell>
          <cell r="P514">
            <v>46131.520856481482</v>
          </cell>
        </row>
        <row r="515">
          <cell r="C515" t="str">
            <v>CO-00121</v>
          </cell>
          <cell r="D515" t="str">
            <v>Gloves Vinyl Large - Clear قفازات فينيل كبيرة - شفاف</v>
          </cell>
          <cell r="E515" t="str">
            <v>Box</v>
          </cell>
          <cell r="F515" t="str">
            <v>Box</v>
          </cell>
          <cell r="G515">
            <v>1E-3</v>
          </cell>
          <cell r="H515">
            <v>5</v>
          </cell>
          <cell r="I515">
            <v>5000</v>
          </cell>
          <cell r="J515">
            <v>14</v>
          </cell>
          <cell r="K515">
            <v>2800.0000000000005</v>
          </cell>
          <cell r="L515">
            <v>109000</v>
          </cell>
          <cell r="M515">
            <v>654</v>
          </cell>
          <cell r="N515" t="str">
            <v>IN STOCK</v>
          </cell>
          <cell r="O515" t="str">
            <v>FOLLOW UP DELIVERY</v>
          </cell>
          <cell r="P515">
            <v>46131.520879629628</v>
          </cell>
        </row>
        <row r="516">
          <cell r="C516" t="str">
            <v>RM-00275</v>
          </cell>
          <cell r="D516" t="str">
            <v>Potato Sticks بطاطس اعواد</v>
          </cell>
          <cell r="E516" t="str">
            <v>1 Box 48 Pac X 40 g</v>
          </cell>
          <cell r="F516" t="str">
            <v>Box</v>
          </cell>
          <cell r="G516">
            <v>0.52083333333333337</v>
          </cell>
          <cell r="H516">
            <v>10</v>
          </cell>
          <cell r="I516">
            <v>19.2</v>
          </cell>
          <cell r="J516">
            <v>14</v>
          </cell>
          <cell r="K516">
            <v>10.752000000000001</v>
          </cell>
          <cell r="L516">
            <v>462.71999999999997</v>
          </cell>
          <cell r="M516">
            <v>722.99999999999989</v>
          </cell>
          <cell r="N516" t="str">
            <v>IN STOCK</v>
          </cell>
          <cell r="O516" t="str">
            <v>FOLLOW UP DELIVERY</v>
          </cell>
          <cell r="P516">
            <v>46131.520902777775</v>
          </cell>
        </row>
        <row r="517">
          <cell r="C517" t="str">
            <v>PM-00668</v>
          </cell>
          <cell r="D517" t="str">
            <v>غلاف منتج بالمي قلب - BILMI HEART NAMQ</v>
          </cell>
          <cell r="E517" t="str">
            <v xml:space="preserve"> Box x 500 Pcs </v>
          </cell>
          <cell r="F517" t="str">
            <v>Box</v>
          </cell>
          <cell r="G517">
            <v>2E-3</v>
          </cell>
          <cell r="H517">
            <v>60</v>
          </cell>
          <cell r="I517">
            <v>30000</v>
          </cell>
          <cell r="J517">
            <v>14</v>
          </cell>
          <cell r="K517">
            <v>16800</v>
          </cell>
          <cell r="L517">
            <v>1077500</v>
          </cell>
          <cell r="M517">
            <v>1077.5</v>
          </cell>
          <cell r="N517" t="str">
            <v>IN STOCK</v>
          </cell>
          <cell r="O517" t="str">
            <v>FOLLOW UP DELIVERY</v>
          </cell>
          <cell r="P517">
            <v>46131.517523148148</v>
          </cell>
        </row>
        <row r="518">
          <cell r="C518" t="str">
            <v>PM-00303</v>
          </cell>
          <cell r="D518" t="str">
            <v>3.25 Oz Sauce Cup plastic علبة صوص 3.25 اونصة</v>
          </cell>
          <cell r="E518" t="str">
            <v>Box</v>
          </cell>
          <cell r="F518" t="str">
            <v>Box</v>
          </cell>
          <cell r="G518">
            <v>1E-3</v>
          </cell>
          <cell r="H518">
            <v>2</v>
          </cell>
          <cell r="I518">
            <v>2000</v>
          </cell>
          <cell r="J518">
            <v>14</v>
          </cell>
          <cell r="K518">
            <v>1120</v>
          </cell>
          <cell r="L518">
            <v>112000</v>
          </cell>
          <cell r="M518">
            <v>1680</v>
          </cell>
          <cell r="N518" t="str">
            <v>IN STOCK</v>
          </cell>
          <cell r="O518" t="str">
            <v>FOLLOW UP DELIVERY</v>
          </cell>
          <cell r="P518">
            <v>46131.520925925928</v>
          </cell>
        </row>
        <row r="519">
          <cell r="C519" t="str">
            <v>RM-00108</v>
          </cell>
          <cell r="D519" t="str">
            <v xml:space="preserve">Puck cream 160 grams x 48pcs-- 48x قشطة بوك 160جرام </v>
          </cell>
          <cell r="E519" t="str">
            <v>box</v>
          </cell>
          <cell r="F519" t="str">
            <v>Box</v>
          </cell>
          <cell r="G519">
            <v>1</v>
          </cell>
          <cell r="H519">
            <v>2</v>
          </cell>
          <cell r="I519">
            <v>2</v>
          </cell>
          <cell r="J519">
            <v>14</v>
          </cell>
          <cell r="K519">
            <v>1.1200000000000001</v>
          </cell>
          <cell r="L519">
            <v>168</v>
          </cell>
          <cell r="M519">
            <v>2520</v>
          </cell>
          <cell r="N519" t="str">
            <v>IN STOCK</v>
          </cell>
          <cell r="O519" t="str">
            <v>FOLLOW UP DELIVERY</v>
          </cell>
          <cell r="P519">
            <v>46131.520937499998</v>
          </cell>
        </row>
        <row r="520">
          <cell r="C520" t="str">
            <v>PM-00638</v>
          </cell>
          <cell r="D520" t="str">
            <v>Caramelized Pecan Paper Box 1 PCS (New ID) | علبة بيكان مكرمل ورقية</v>
          </cell>
          <cell r="E520" t="str">
            <v>1 Box X 600</v>
          </cell>
          <cell r="F520" t="str">
            <v>Box</v>
          </cell>
          <cell r="G520">
            <v>1.6666666666666668E-3</v>
          </cell>
          <cell r="H520">
            <v>13</v>
          </cell>
          <cell r="I520">
            <v>7799.9999999999991</v>
          </cell>
          <cell r="J520">
            <v>14</v>
          </cell>
          <cell r="K520">
            <v>4368</v>
          </cell>
          <cell r="L520">
            <v>-18300</v>
          </cell>
          <cell r="M520" t="e">
            <v>#N/A</v>
          </cell>
          <cell r="N520" t="e">
            <v>#N/A</v>
          </cell>
          <cell r="O520" t="e">
            <v>#N/A</v>
          </cell>
          <cell r="P520">
            <v>46141.525138888886</v>
          </cell>
        </row>
        <row r="521">
          <cell r="C521" t="str">
            <v>RM-00077</v>
          </cell>
          <cell r="D521" t="str">
            <v>Milk chocolate drops 37% ( CREA )شوكولاتة بالحليب اقراص ( كريا )</v>
          </cell>
          <cell r="E521" t="str">
            <v>1 Box X 2 Bag X 6 KG</v>
          </cell>
          <cell r="F521" t="str">
            <v>Box</v>
          </cell>
          <cell r="G521">
            <v>8.3333333333333329E-2</v>
          </cell>
          <cell r="H521">
            <v>2282.5</v>
          </cell>
          <cell r="I521">
            <v>27390</v>
          </cell>
          <cell r="J521">
            <v>14</v>
          </cell>
          <cell r="K521">
            <v>15338.400000000001</v>
          </cell>
          <cell r="L521">
            <v>1440</v>
          </cell>
          <cell r="M521" t="e">
            <v>#N/A</v>
          </cell>
          <cell r="N521" t="e">
            <v>#N/A</v>
          </cell>
          <cell r="O521" t="e">
            <v>#N/A</v>
          </cell>
          <cell r="P521">
            <v>46140.60601851852</v>
          </cell>
        </row>
      </sheetData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abib Ur Rehman Ahmed" id="{49E62FED-4041-45E0-B29D-B6622C2DAA30}" userId="S::h.rehman@namqcafe.com::ad522001-5dcd-48b9-919e-00c11e901323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E34211-441D-43DF-9018-29FCEFC0664A}" name="Table2" displayName="Table2" ref="A2:E4" totalsRowShown="0" headerRowDxfId="629" dataDxfId="628">
  <autoFilter ref="A2:E4" xr:uid="{F7E34211-441D-43DF-9018-29FCEFC0664A}"/>
  <tableColumns count="5">
    <tableColumn id="1" xr3:uid="{C13BE1DA-5007-4AAF-9406-F698BB5D21C3}" name="Status " dataDxfId="627"/>
    <tableColumn id="2" xr3:uid="{A09F13E6-6058-455E-834D-2D49C7031713}" name="All Items - Stock Status" dataDxfId="626"/>
    <tableColumn id="3" xr3:uid="{11E19F27-B924-43CD-83AE-AD4699AAC7FC}" name="Raw Material - Stock Status" dataDxfId="625"/>
    <tableColumn id="4" xr3:uid="{00D5E026-ABAD-4C5E-8323-178D18141645}" name="Packiging Material - Stock Status" dataDxfId="624"/>
    <tableColumn id="5" xr3:uid="{47879C58-CE2A-46B5-A2E8-EDFCEF2BD383}" name="Consumables - Stock Status" dataDxfId="6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70" dT="2026-03-01T16:33:01.53" personId="{49E62FED-4041-45E0-B29D-B6622C2DAA30}" id="{20472920-7776-42F1-84F7-ABA9BBB6BE8A}">
    <text>185 * 615 =52275
138 * 800 = 110400</text>
  </threadedComment>
  <threadedComment ref="G877" dT="2026-03-02T18:48:33.60" personId="{49E62FED-4041-45E0-B29D-B6622C2DAA30}" id="{3F1A2902-DDD5-4294-88B3-C6C8BF7A394C}">
    <text>208 = 48 Pcs packing
3 = 500 pcs packing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12288E5-90D0-459C-8317-C6CD07AE0E2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e959581-ddf5-4903-af39-69b46665a5e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DFF94-780E-4DF5-8998-57CEA0D98129}">
  <sheetPr codeName="Sheet1"/>
  <dimension ref="A1:S669"/>
  <sheetViews>
    <sheetView zoomScale="70" zoomScaleNormal="70" workbookViewId="0">
      <pane xSplit="5" ySplit="2" topLeftCell="I630" activePane="bottomRight" state="frozen"/>
      <selection pane="topRight" activeCell="F1" sqref="F1"/>
      <selection pane="bottomLeft" activeCell="A3" sqref="A3"/>
      <selection pane="bottomRight" activeCell="S665" sqref="S665"/>
    </sheetView>
  </sheetViews>
  <sheetFormatPr defaultRowHeight="15" x14ac:dyDescent="0.25"/>
  <cols>
    <col min="2" max="2" width="26.42578125" hidden="1" customWidth="1"/>
    <col min="3" max="3" width="20.140625" bestFit="1" customWidth="1"/>
    <col min="4" max="4" width="79.5703125" customWidth="1"/>
    <col min="5" max="5" width="27.42578125" customWidth="1"/>
    <col min="6" max="6" width="12.7109375" customWidth="1"/>
    <col min="7" max="7" width="18.28515625" style="12" customWidth="1"/>
    <col min="8" max="8" width="18.28515625" style="13" bestFit="1" customWidth="1"/>
    <col min="9" max="9" width="17.5703125" bestFit="1" customWidth="1"/>
    <col min="10" max="10" width="14.85546875" bestFit="1" customWidth="1"/>
    <col min="11" max="11" width="23.42578125" bestFit="1" customWidth="1"/>
    <col min="12" max="12" width="15.42578125" style="14" bestFit="1" customWidth="1"/>
    <col min="13" max="13" width="21.140625" bestFit="1" customWidth="1"/>
    <col min="14" max="14" width="19.140625" bestFit="1" customWidth="1"/>
    <col min="15" max="15" width="24.85546875" bestFit="1" customWidth="1"/>
    <col min="16" max="17" width="8.7109375" hidden="1" customWidth="1"/>
    <col min="18" max="18" width="15.85546875" hidden="1" customWidth="1"/>
  </cols>
  <sheetData>
    <row r="1" spans="1:19" ht="18.75" x14ac:dyDescent="0.25">
      <c r="G1" s="21"/>
      <c r="H1" s="197" t="s">
        <v>0</v>
      </c>
      <c r="I1" s="197"/>
      <c r="M1" s="198" t="s">
        <v>1</v>
      </c>
      <c r="N1" s="199"/>
      <c r="O1" s="199"/>
    </row>
    <row r="2" spans="1:19" s="11" customFormat="1" ht="15.75" x14ac:dyDescent="0.25">
      <c r="A2" s="15"/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7" t="s">
        <v>7</v>
      </c>
      <c r="H2" s="18" t="s">
        <v>8</v>
      </c>
      <c r="I2" s="16" t="s">
        <v>9</v>
      </c>
      <c r="J2" s="16" t="s">
        <v>10</v>
      </c>
      <c r="K2" s="16" t="s">
        <v>11</v>
      </c>
      <c r="L2" s="18" t="s">
        <v>12</v>
      </c>
      <c r="M2" s="16" t="s">
        <v>13</v>
      </c>
      <c r="N2" s="16" t="s">
        <v>14</v>
      </c>
      <c r="O2" s="16" t="s">
        <v>15</v>
      </c>
      <c r="R2" s="11" t="s">
        <v>16</v>
      </c>
      <c r="S2" s="11" t="s">
        <v>17</v>
      </c>
    </row>
    <row r="3" spans="1:19" ht="18.75" x14ac:dyDescent="0.25">
      <c r="A3" s="19">
        <v>168</v>
      </c>
      <c r="B3" s="19" t="s">
        <v>18</v>
      </c>
      <c r="C3" s="19" t="s">
        <v>19</v>
      </c>
      <c r="D3" s="27" t="s">
        <v>20</v>
      </c>
      <c r="E3" s="28" t="s">
        <v>21</v>
      </c>
      <c r="F3" s="5" t="s">
        <v>22</v>
      </c>
      <c r="G3" s="21">
        <v>1.6666666666666668E-3</v>
      </c>
      <c r="H3" s="22">
        <f>VLOOKUP($C3,'Master File June-26'!$C$3:$L$670,6,0)</f>
        <v>13</v>
      </c>
      <c r="I3" s="22">
        <f>VLOOKUP($C3,'Master File June-26'!$C$3:$L$670,7,0)</f>
        <v>7799.9999999999991</v>
      </c>
      <c r="J3" s="5">
        <f>VLOOKUP($C3,'Master File June-26'!$C$3:$L$670,8,0)</f>
        <v>14</v>
      </c>
      <c r="K3" s="23">
        <f>VLOOKUP($C3,'Master File June-26'!$C$3:$L$670,9,0)</f>
        <v>3899.9999999999995</v>
      </c>
      <c r="L3" s="58">
        <f>VLOOKUP($C3,'Master File June-26'!$C$3:$L$670,10,0)</f>
        <v>0</v>
      </c>
      <c r="M3" s="24">
        <f t="shared" ref="M3:M66" si="0">IFERROR((L3/I3*30),0)</f>
        <v>0</v>
      </c>
      <c r="N3" s="25" t="str">
        <f t="shared" ref="N3:N66" si="1">IF(M3&lt;J3,"ORDER NOW","IN STOCK")</f>
        <v>ORDER NOW</v>
      </c>
      <c r="O3" s="25" t="str">
        <f t="shared" ref="O3:O66" si="2">IF(M3&lt;J3,"CRITICAL","FOLLOW UP DELIVERY")</f>
        <v>CRITICAL</v>
      </c>
      <c r="S3" s="79">
        <f t="shared" ref="S3:S66" si="3">IF(L3&lt;K3,0,1)</f>
        <v>0</v>
      </c>
    </row>
    <row r="4" spans="1:19" ht="18.75" x14ac:dyDescent="0.25">
      <c r="A4" s="19">
        <v>94</v>
      </c>
      <c r="B4" s="19" t="s">
        <v>18</v>
      </c>
      <c r="C4" s="19" t="s">
        <v>23</v>
      </c>
      <c r="D4" s="68" t="s">
        <v>24</v>
      </c>
      <c r="E4" s="28" t="s">
        <v>25</v>
      </c>
      <c r="F4" s="5" t="s">
        <v>22</v>
      </c>
      <c r="G4" s="21">
        <v>2E-3</v>
      </c>
      <c r="H4" s="22">
        <f>VLOOKUP($C4,'Master File June-26'!$C$3:$L$670,6,0)</f>
        <v>8</v>
      </c>
      <c r="I4" s="22">
        <f>VLOOKUP($C4,'Master File June-26'!$C$3:$L$670,7,0)</f>
        <v>4000</v>
      </c>
      <c r="J4" s="5">
        <f>VLOOKUP($C4,'Master File June-26'!$C$3:$L$670,8,0)</f>
        <v>14</v>
      </c>
      <c r="K4" s="23">
        <f>VLOOKUP($C4,'Master File June-26'!$C$3:$L$670,9,0)</f>
        <v>2000</v>
      </c>
      <c r="L4" s="58">
        <f>VLOOKUP($C4,'Master File June-26'!$C$3:$L$670,10,0)</f>
        <v>19000</v>
      </c>
      <c r="M4" s="24">
        <f t="shared" si="0"/>
        <v>142.5</v>
      </c>
      <c r="N4" s="25" t="str">
        <f t="shared" si="1"/>
        <v>IN STOCK</v>
      </c>
      <c r="O4" s="25" t="str">
        <f t="shared" si="2"/>
        <v>FOLLOW UP DELIVERY</v>
      </c>
      <c r="R4" t="s">
        <v>26</v>
      </c>
      <c r="S4" s="79">
        <f t="shared" si="3"/>
        <v>1</v>
      </c>
    </row>
    <row r="5" spans="1:19" ht="18.75" x14ac:dyDescent="0.25">
      <c r="A5" s="19">
        <v>54</v>
      </c>
      <c r="B5" s="19" t="s">
        <v>18</v>
      </c>
      <c r="C5" s="19" t="s">
        <v>27</v>
      </c>
      <c r="D5" s="29" t="s">
        <v>28</v>
      </c>
      <c r="E5" s="30" t="s">
        <v>29</v>
      </c>
      <c r="F5" s="5" t="s">
        <v>22</v>
      </c>
      <c r="G5" s="21">
        <f>1/1200</f>
        <v>8.3333333333333339E-4</v>
      </c>
      <c r="H5" s="22">
        <f>VLOOKUP($C5,'Master File June-26'!$C$3:$L$670,6,0)</f>
        <v>10</v>
      </c>
      <c r="I5" s="22">
        <f>VLOOKUP($C5,'Master File June-26'!$C$3:$L$670,7,0)</f>
        <v>12000</v>
      </c>
      <c r="J5" s="5">
        <f>VLOOKUP($C5,'Master File June-26'!$C$3:$L$670,8,0)</f>
        <v>14</v>
      </c>
      <c r="K5" s="23">
        <f>VLOOKUP($C5,'Master File June-26'!$C$3:$L$670,9,0)</f>
        <v>6000</v>
      </c>
      <c r="L5" s="58">
        <f>VLOOKUP($C5,'Master File June-26'!$C$3:$L$670,10,0)</f>
        <v>0</v>
      </c>
      <c r="M5" s="24">
        <f t="shared" si="0"/>
        <v>0</v>
      </c>
      <c r="N5" s="25" t="str">
        <f t="shared" si="1"/>
        <v>ORDER NOW</v>
      </c>
      <c r="O5" s="25" t="str">
        <f t="shared" si="2"/>
        <v>CRITICAL</v>
      </c>
      <c r="R5" t="s">
        <v>30</v>
      </c>
      <c r="S5" s="79">
        <f t="shared" si="3"/>
        <v>0</v>
      </c>
    </row>
    <row r="6" spans="1:19" ht="18.75" x14ac:dyDescent="0.25">
      <c r="A6" s="19">
        <v>178</v>
      </c>
      <c r="B6" s="19" t="s">
        <v>18</v>
      </c>
      <c r="C6" s="19" t="s">
        <v>31</v>
      </c>
      <c r="D6" s="29" t="s">
        <v>32</v>
      </c>
      <c r="E6" s="34" t="s">
        <v>22</v>
      </c>
      <c r="F6" s="5" t="s">
        <v>22</v>
      </c>
      <c r="G6" s="21">
        <v>1</v>
      </c>
      <c r="H6" s="22">
        <f>VLOOKUP($C6,'Master File June-26'!$C$3:$L$670,6,0)</f>
        <v>8</v>
      </c>
      <c r="I6" s="22">
        <f>VLOOKUP($C6,'Master File June-26'!$C$3:$L$670,7,0)</f>
        <v>3840</v>
      </c>
      <c r="J6" s="5">
        <f>VLOOKUP($C6,'Master File June-26'!$C$3:$L$670,8,0)</f>
        <v>14</v>
      </c>
      <c r="K6" s="23">
        <f>VLOOKUP($C6,'Master File June-26'!$C$3:$L$670,9,0)</f>
        <v>1920</v>
      </c>
      <c r="L6" s="58">
        <f>VLOOKUP($C6,'Master File June-26'!$C$3:$L$670,10,0)</f>
        <v>0</v>
      </c>
      <c r="M6" s="24">
        <f t="shared" si="0"/>
        <v>0</v>
      </c>
      <c r="N6" s="25" t="str">
        <f t="shared" si="1"/>
        <v>ORDER NOW</v>
      </c>
      <c r="O6" s="25" t="str">
        <f t="shared" si="2"/>
        <v>CRITICAL</v>
      </c>
      <c r="S6" s="79">
        <f t="shared" si="3"/>
        <v>0</v>
      </c>
    </row>
    <row r="7" spans="1:19" ht="18.75" x14ac:dyDescent="0.25">
      <c r="A7" s="19">
        <v>93</v>
      </c>
      <c r="B7" s="19" t="s">
        <v>18</v>
      </c>
      <c r="C7" s="56" t="s">
        <v>33</v>
      </c>
      <c r="D7" s="68" t="s">
        <v>34</v>
      </c>
      <c r="E7" s="28" t="s">
        <v>35</v>
      </c>
      <c r="F7" s="5" t="s">
        <v>22</v>
      </c>
      <c r="G7" s="21">
        <v>2E-3</v>
      </c>
      <c r="H7" s="22">
        <f>VLOOKUP($C7,'Master File June-26'!$C$3:$L$670,6,0)</f>
        <v>150</v>
      </c>
      <c r="I7" s="22">
        <f>VLOOKUP($C7,'Master File June-26'!$C$3:$L$670,7,0)</f>
        <v>75000</v>
      </c>
      <c r="J7" s="5">
        <f>VLOOKUP($C7,'Master File June-26'!$C$3:$L$670,8,0)</f>
        <v>14</v>
      </c>
      <c r="K7" s="23">
        <f>VLOOKUP($C7,'Master File June-26'!$C$3:$L$670,9,0)</f>
        <v>37500</v>
      </c>
      <c r="L7" s="58">
        <f>VLOOKUP($C7,'Master File June-26'!$C$3:$L$670,10,0)</f>
        <v>0</v>
      </c>
      <c r="M7" s="24">
        <f t="shared" si="0"/>
        <v>0</v>
      </c>
      <c r="N7" s="25" t="str">
        <f t="shared" si="1"/>
        <v>ORDER NOW</v>
      </c>
      <c r="O7" s="25" t="str">
        <f t="shared" si="2"/>
        <v>CRITICAL</v>
      </c>
      <c r="R7" t="s">
        <v>26</v>
      </c>
      <c r="S7" s="79">
        <f t="shared" si="3"/>
        <v>0</v>
      </c>
    </row>
    <row r="8" spans="1:19" ht="18.75" x14ac:dyDescent="0.25">
      <c r="A8" s="19">
        <v>173</v>
      </c>
      <c r="B8" s="19" t="s">
        <v>18</v>
      </c>
      <c r="C8" s="56" t="s">
        <v>36</v>
      </c>
      <c r="D8" s="37" t="s">
        <v>37</v>
      </c>
      <c r="E8" s="34" t="s">
        <v>22</v>
      </c>
      <c r="F8" s="5" t="s">
        <v>22</v>
      </c>
      <c r="G8" s="21">
        <v>1</v>
      </c>
      <c r="H8" s="22">
        <f>VLOOKUP($C8,'Master File June-26'!$C$3:$L$670,6,0)</f>
        <v>2</v>
      </c>
      <c r="I8" s="22">
        <f>VLOOKUP($C8,'Master File June-26'!$C$3:$L$670,7,0)</f>
        <v>2</v>
      </c>
      <c r="J8" s="5">
        <f>VLOOKUP($C8,'Master File June-26'!$C$3:$L$670,8,0)</f>
        <v>14</v>
      </c>
      <c r="K8" s="23">
        <f>VLOOKUP($C8,'Master File June-26'!$C$3:$L$670,9,0)</f>
        <v>1</v>
      </c>
      <c r="L8" s="58">
        <f>VLOOKUP($C8,'Master File June-26'!$C$3:$L$670,10,0)</f>
        <v>0</v>
      </c>
      <c r="M8" s="24">
        <f t="shared" si="0"/>
        <v>0</v>
      </c>
      <c r="N8" s="25" t="str">
        <f t="shared" si="1"/>
        <v>ORDER NOW</v>
      </c>
      <c r="O8" s="25" t="str">
        <f t="shared" si="2"/>
        <v>CRITICAL</v>
      </c>
      <c r="S8" s="79">
        <f t="shared" si="3"/>
        <v>0</v>
      </c>
    </row>
    <row r="9" spans="1:19" ht="18.75" x14ac:dyDescent="0.25">
      <c r="A9" s="41">
        <v>539</v>
      </c>
      <c r="B9" s="41" t="s">
        <v>38</v>
      </c>
      <c r="C9" s="41" t="s">
        <v>39</v>
      </c>
      <c r="D9" s="37" t="s">
        <v>40</v>
      </c>
      <c r="E9" s="34" t="s">
        <v>22</v>
      </c>
      <c r="F9" s="5" t="s">
        <v>22</v>
      </c>
      <c r="G9" s="21">
        <v>1</v>
      </c>
      <c r="H9" s="22">
        <f>VLOOKUP($C9,'Master File June-26'!$C$3:$L$670,6,0)</f>
        <v>2</v>
      </c>
      <c r="I9" s="22">
        <f>VLOOKUP($C9,'Master File June-26'!$C$3:$L$670,7,0)</f>
        <v>2</v>
      </c>
      <c r="J9" s="5">
        <f>VLOOKUP($C9,'Master File June-26'!$C$3:$L$670,8,0)</f>
        <v>14</v>
      </c>
      <c r="K9" s="23">
        <f>VLOOKUP($C9,'Master File June-26'!$C$3:$L$670,9,0)</f>
        <v>1</v>
      </c>
      <c r="L9" s="58">
        <f>VLOOKUP($C9,'Master File June-26'!$C$3:$L$670,10,0)</f>
        <v>0</v>
      </c>
      <c r="M9" s="24">
        <f t="shared" si="0"/>
        <v>0</v>
      </c>
      <c r="N9" s="25" t="str">
        <f t="shared" si="1"/>
        <v>ORDER NOW</v>
      </c>
      <c r="O9" s="25" t="str">
        <f t="shared" si="2"/>
        <v>CRITICAL</v>
      </c>
      <c r="S9" s="79">
        <f t="shared" si="3"/>
        <v>0</v>
      </c>
    </row>
    <row r="10" spans="1:19" ht="18.75" x14ac:dyDescent="0.25">
      <c r="A10" s="41">
        <v>557</v>
      </c>
      <c r="B10" s="41" t="s">
        <v>38</v>
      </c>
      <c r="C10" s="41" t="s">
        <v>41</v>
      </c>
      <c r="D10" s="37" t="s">
        <v>42</v>
      </c>
      <c r="E10" s="34" t="s">
        <v>22</v>
      </c>
      <c r="F10" s="5" t="s">
        <v>22</v>
      </c>
      <c r="G10" s="21">
        <v>1</v>
      </c>
      <c r="H10" s="22">
        <f>VLOOKUP($C10,'Master File June-26'!$C$3:$L$670,6,0)</f>
        <v>1</v>
      </c>
      <c r="I10" s="22">
        <f>VLOOKUP($C10,'Master File June-26'!$C$3:$L$670,7,0)</f>
        <v>1</v>
      </c>
      <c r="J10" s="5">
        <f>VLOOKUP($C10,'Master File June-26'!$C$3:$L$670,8,0)</f>
        <v>14</v>
      </c>
      <c r="K10" s="23">
        <f>VLOOKUP($C10,'Master File June-26'!$C$3:$L$670,9,0)</f>
        <v>0.5</v>
      </c>
      <c r="L10" s="58">
        <f>VLOOKUP($C10,'Master File June-26'!$C$3:$L$670,10,0)</f>
        <v>0</v>
      </c>
      <c r="M10" s="24">
        <f t="shared" si="0"/>
        <v>0</v>
      </c>
      <c r="N10" s="25" t="str">
        <f t="shared" si="1"/>
        <v>ORDER NOW</v>
      </c>
      <c r="O10" s="25" t="str">
        <f t="shared" si="2"/>
        <v>CRITICAL</v>
      </c>
      <c r="S10" s="79">
        <f t="shared" si="3"/>
        <v>0</v>
      </c>
    </row>
    <row r="11" spans="1:19" ht="18.75" x14ac:dyDescent="0.25">
      <c r="A11" s="19">
        <v>64</v>
      </c>
      <c r="B11" s="19" t="s">
        <v>18</v>
      </c>
      <c r="C11" s="19" t="s">
        <v>43</v>
      </c>
      <c r="D11" s="29" t="s">
        <v>44</v>
      </c>
      <c r="E11" s="30" t="s">
        <v>45</v>
      </c>
      <c r="F11" s="5" t="s">
        <v>46</v>
      </c>
      <c r="G11" s="21">
        <v>2E-3</v>
      </c>
      <c r="H11" s="22">
        <f>VLOOKUP($C11,'Master File June-26'!$C$3:$L$670,6,0)</f>
        <v>5.5</v>
      </c>
      <c r="I11" s="22">
        <f>VLOOKUP($C11,'Master File June-26'!$C$3:$L$670,7,0)</f>
        <v>2750</v>
      </c>
      <c r="J11" s="5">
        <f>VLOOKUP($C11,'Master File June-26'!$C$3:$L$670,8,0)</f>
        <v>14</v>
      </c>
      <c r="K11" s="23">
        <f>VLOOKUP($C11,'Master File June-26'!$C$3:$L$670,9,0)</f>
        <v>1375</v>
      </c>
      <c r="L11" s="58">
        <f>VLOOKUP($C11,'Master File June-26'!$C$3:$L$670,10,0)</f>
        <v>0</v>
      </c>
      <c r="M11" s="24">
        <f t="shared" si="0"/>
        <v>0</v>
      </c>
      <c r="N11" s="25" t="str">
        <f t="shared" si="1"/>
        <v>ORDER NOW</v>
      </c>
      <c r="O11" s="25" t="str">
        <f t="shared" si="2"/>
        <v>CRITICAL</v>
      </c>
      <c r="R11" t="s">
        <v>30</v>
      </c>
      <c r="S11" s="79">
        <f t="shared" si="3"/>
        <v>0</v>
      </c>
    </row>
    <row r="12" spans="1:19" ht="18.75" x14ac:dyDescent="0.25">
      <c r="A12" s="4">
        <v>651</v>
      </c>
      <c r="B12" s="5"/>
      <c r="C12" s="41" t="s">
        <v>47</v>
      </c>
      <c r="D12" s="52" t="s">
        <v>48</v>
      </c>
      <c r="E12" s="34" t="s">
        <v>49</v>
      </c>
      <c r="F12" s="5"/>
      <c r="G12" s="21">
        <v>1</v>
      </c>
      <c r="H12" s="22">
        <f>VLOOKUP($C12,'Master File June-26'!$C$3:$L$670,6,0)</f>
        <v>13</v>
      </c>
      <c r="I12" s="22">
        <f>VLOOKUP($C12,'Master File June-26'!$C$3:$L$670,7,0)</f>
        <v>195</v>
      </c>
      <c r="J12" s="5">
        <f>VLOOKUP($C12,'Master File June-26'!$C$3:$L$670,8,0)</f>
        <v>14</v>
      </c>
      <c r="K12" s="23">
        <f>VLOOKUP($C12,'Master File June-26'!$C$3:$L$670,9,0)</f>
        <v>97.5</v>
      </c>
      <c r="L12" s="58">
        <f>VLOOKUP($C12,'Master File June-26'!$C$3:$L$670,10,0)</f>
        <v>211.44</v>
      </c>
      <c r="M12" s="24">
        <f t="shared" si="0"/>
        <v>32.529230769230765</v>
      </c>
      <c r="N12" s="25" t="str">
        <f t="shared" si="1"/>
        <v>IN STOCK</v>
      </c>
      <c r="O12" s="25" t="str">
        <f t="shared" si="2"/>
        <v>FOLLOW UP DELIVERY</v>
      </c>
      <c r="S12" s="79">
        <f t="shared" si="3"/>
        <v>1</v>
      </c>
    </row>
    <row r="13" spans="1:19" ht="18.75" x14ac:dyDescent="0.25">
      <c r="A13" s="41">
        <v>398</v>
      </c>
      <c r="B13" s="41" t="s">
        <v>38</v>
      </c>
      <c r="C13" s="41" t="s">
        <v>47</v>
      </c>
      <c r="D13" s="31" t="s">
        <v>48</v>
      </c>
      <c r="E13" s="34" t="s">
        <v>50</v>
      </c>
      <c r="F13" s="5" t="s">
        <v>22</v>
      </c>
      <c r="G13" s="21">
        <f>1/15</f>
        <v>6.6666666666666666E-2</v>
      </c>
      <c r="H13" s="22">
        <f>VLOOKUP($C13,'Master File June-26'!$C$3:$L$670,6,0)</f>
        <v>13</v>
      </c>
      <c r="I13" s="22">
        <f>VLOOKUP($C13,'Master File June-26'!$C$3:$L$670,7,0)</f>
        <v>195</v>
      </c>
      <c r="J13" s="5">
        <f>VLOOKUP($C13,'Master File June-26'!$C$3:$L$670,8,0)</f>
        <v>14</v>
      </c>
      <c r="K13" s="23">
        <f>VLOOKUP($C13,'Master File June-26'!$C$3:$L$670,9,0)</f>
        <v>97.5</v>
      </c>
      <c r="L13" s="58">
        <f>VLOOKUP($C13,'Master File June-26'!$C$3:$L$670,10,0)</f>
        <v>211.44</v>
      </c>
      <c r="M13" s="24">
        <f t="shared" si="0"/>
        <v>32.529230769230765</v>
      </c>
      <c r="N13" s="25" t="str">
        <f t="shared" si="1"/>
        <v>IN STOCK</v>
      </c>
      <c r="O13" s="25" t="str">
        <f t="shared" si="2"/>
        <v>FOLLOW UP DELIVERY</v>
      </c>
      <c r="S13" s="79">
        <f t="shared" si="3"/>
        <v>1</v>
      </c>
    </row>
    <row r="14" spans="1:19" ht="18.75" x14ac:dyDescent="0.25">
      <c r="A14" s="41">
        <v>354</v>
      </c>
      <c r="B14" s="41" t="s">
        <v>38</v>
      </c>
      <c r="C14" s="41" t="s">
        <v>51</v>
      </c>
      <c r="D14" s="29" t="s">
        <v>52</v>
      </c>
      <c r="E14" s="30" t="s">
        <v>53</v>
      </c>
      <c r="F14" s="5" t="s">
        <v>54</v>
      </c>
      <c r="G14" s="21">
        <v>7.6923076923076927E-2</v>
      </c>
      <c r="H14" s="22">
        <f>VLOOKUP($C14,'Master File June-26'!$C$3:$L$670,6,0)</f>
        <v>89.5</v>
      </c>
      <c r="I14" s="22">
        <f>VLOOKUP($C14,'Master File June-26'!$C$3:$L$670,7,0)</f>
        <v>1163.5</v>
      </c>
      <c r="J14" s="5">
        <f>VLOOKUP($C14,'Master File June-26'!$C$3:$L$670,8,0)</f>
        <v>14</v>
      </c>
      <c r="K14" s="23">
        <f>VLOOKUP($C14,'Master File June-26'!$C$3:$L$670,9,0)</f>
        <v>581.75</v>
      </c>
      <c r="L14" s="58">
        <f>VLOOKUP($C14,'Master File June-26'!$C$3:$L$670,10,0)</f>
        <v>0</v>
      </c>
      <c r="M14" s="24">
        <f t="shared" si="0"/>
        <v>0</v>
      </c>
      <c r="N14" s="25" t="str">
        <f t="shared" si="1"/>
        <v>ORDER NOW</v>
      </c>
      <c r="O14" s="25" t="str">
        <f t="shared" si="2"/>
        <v>CRITICAL</v>
      </c>
      <c r="S14" s="79">
        <f t="shared" si="3"/>
        <v>0</v>
      </c>
    </row>
    <row r="15" spans="1:19" ht="18.75" x14ac:dyDescent="0.25">
      <c r="A15" s="41">
        <v>516</v>
      </c>
      <c r="B15" s="41" t="s">
        <v>38</v>
      </c>
      <c r="C15" s="41" t="s">
        <v>55</v>
      </c>
      <c r="D15" s="27" t="s">
        <v>56</v>
      </c>
      <c r="E15" s="28" t="s">
        <v>57</v>
      </c>
      <c r="F15" s="5" t="s">
        <v>54</v>
      </c>
      <c r="G15" s="21">
        <v>0.14285714285714285</v>
      </c>
      <c r="H15" s="22">
        <f>VLOOKUP($C15,'Master File June-26'!$C$3:$L$670,6,0)</f>
        <v>43</v>
      </c>
      <c r="I15" s="22">
        <f>VLOOKUP($C15,'Master File June-26'!$C$3:$L$670,7,0)</f>
        <v>301</v>
      </c>
      <c r="J15" s="5">
        <f>VLOOKUP($C15,'Master File June-26'!$C$3:$L$670,8,0)</f>
        <v>14</v>
      </c>
      <c r="K15" s="23">
        <f>VLOOKUP($C15,'Master File June-26'!$C$3:$L$670,9,0)</f>
        <v>150.5</v>
      </c>
      <c r="L15" s="58">
        <f>VLOOKUP($C15,'Master File June-26'!$C$3:$L$670,10,0)</f>
        <v>0</v>
      </c>
      <c r="M15" s="24">
        <f t="shared" si="0"/>
        <v>0</v>
      </c>
      <c r="N15" s="25" t="str">
        <f t="shared" si="1"/>
        <v>ORDER NOW</v>
      </c>
      <c r="O15" s="25" t="str">
        <f t="shared" si="2"/>
        <v>CRITICAL</v>
      </c>
      <c r="S15" s="79">
        <f t="shared" si="3"/>
        <v>0</v>
      </c>
    </row>
    <row r="16" spans="1:19" ht="18.75" x14ac:dyDescent="0.25">
      <c r="A16" s="41">
        <v>491</v>
      </c>
      <c r="B16" s="41" t="s">
        <v>38</v>
      </c>
      <c r="C16" s="41" t="s">
        <v>58</v>
      </c>
      <c r="D16" s="27" t="s">
        <v>59</v>
      </c>
      <c r="E16" s="28" t="s">
        <v>60</v>
      </c>
      <c r="F16" s="5" t="s">
        <v>22</v>
      </c>
      <c r="G16" s="21">
        <v>0.17543859649122809</v>
      </c>
      <c r="H16" s="22">
        <f>VLOOKUP($C16,'Master File June-26'!$C$3:$L$670,6,0)</f>
        <v>4</v>
      </c>
      <c r="I16" s="22">
        <f>VLOOKUP($C16,'Master File June-26'!$C$3:$L$670,7,0)</f>
        <v>22.799999999999997</v>
      </c>
      <c r="J16" s="5">
        <f>VLOOKUP($C16,'Master File June-26'!$C$3:$L$670,8,0)</f>
        <v>14</v>
      </c>
      <c r="K16" s="23">
        <f>VLOOKUP($C16,'Master File June-26'!$C$3:$L$670,9,0)</f>
        <v>11.399999999999999</v>
      </c>
      <c r="L16" s="58">
        <f>VLOOKUP($C16,'Master File June-26'!$C$3:$L$670,10,0)</f>
        <v>23.94</v>
      </c>
      <c r="M16" s="24">
        <f t="shared" si="0"/>
        <v>31.500000000000007</v>
      </c>
      <c r="N16" s="25" t="str">
        <f t="shared" si="1"/>
        <v>IN STOCK</v>
      </c>
      <c r="O16" s="25" t="str">
        <f t="shared" si="2"/>
        <v>FOLLOW UP DELIVERY</v>
      </c>
      <c r="S16" s="79">
        <f t="shared" si="3"/>
        <v>1</v>
      </c>
    </row>
    <row r="17" spans="1:19" ht="18.75" x14ac:dyDescent="0.25">
      <c r="A17" s="41">
        <v>543</v>
      </c>
      <c r="B17" s="41" t="s">
        <v>61</v>
      </c>
      <c r="C17" s="41" t="s">
        <v>62</v>
      </c>
      <c r="D17" s="91" t="s">
        <v>63</v>
      </c>
      <c r="E17" s="34" t="s">
        <v>64</v>
      </c>
      <c r="F17" s="5" t="s">
        <v>49</v>
      </c>
      <c r="G17" s="21">
        <v>1</v>
      </c>
      <c r="H17" s="22">
        <f>VLOOKUP($C17,'Master File June-26'!$C$3:$L$670,6,0)</f>
        <v>13</v>
      </c>
      <c r="I17" s="22">
        <f>VLOOKUP($C17,'Master File June-26'!$C$3:$L$670,7,0)</f>
        <v>13</v>
      </c>
      <c r="J17" s="5">
        <f>VLOOKUP($C17,'Master File June-26'!$C$3:$L$670,8,0)</f>
        <v>14</v>
      </c>
      <c r="K17" s="23">
        <f>VLOOKUP($C17,'Master File June-26'!$C$3:$L$670,9,0)</f>
        <v>6.5</v>
      </c>
      <c r="L17" s="58">
        <f>VLOOKUP($C17,'Master File June-26'!$C$3:$L$670,10,0)</f>
        <v>0</v>
      </c>
      <c r="M17" s="24">
        <f t="shared" si="0"/>
        <v>0</v>
      </c>
      <c r="N17" s="25" t="str">
        <f t="shared" si="1"/>
        <v>ORDER NOW</v>
      </c>
      <c r="O17" s="25" t="str">
        <f t="shared" si="2"/>
        <v>CRITICAL</v>
      </c>
      <c r="S17" s="79">
        <f t="shared" si="3"/>
        <v>0</v>
      </c>
    </row>
    <row r="18" spans="1:19" ht="18.75" x14ac:dyDescent="0.25">
      <c r="A18" s="41">
        <v>390</v>
      </c>
      <c r="B18" s="41" t="s">
        <v>38</v>
      </c>
      <c r="C18" s="41" t="s">
        <v>65</v>
      </c>
      <c r="D18" s="27" t="s">
        <v>66</v>
      </c>
      <c r="E18" s="28" t="s">
        <v>67</v>
      </c>
      <c r="F18" s="5" t="s">
        <v>49</v>
      </c>
      <c r="G18" s="21">
        <v>2</v>
      </c>
      <c r="H18" s="22">
        <f>VLOOKUP($C18,'Master File June-26'!$C$3:$L$670,6,0)</f>
        <v>44</v>
      </c>
      <c r="I18" s="22">
        <f>VLOOKUP($C18,'Master File June-26'!$C$3:$L$670,7,0)</f>
        <v>22</v>
      </c>
      <c r="J18" s="5">
        <f>VLOOKUP($C18,'Master File June-26'!$C$3:$L$670,8,0)</f>
        <v>14</v>
      </c>
      <c r="K18" s="23">
        <f>VLOOKUP($C18,'Master File June-26'!$C$3:$L$670,9,0)</f>
        <v>11</v>
      </c>
      <c r="L18" s="58">
        <f>VLOOKUP($C18,'Master File June-26'!$C$3:$L$670,10,0)</f>
        <v>0</v>
      </c>
      <c r="M18" s="24">
        <f t="shared" si="0"/>
        <v>0</v>
      </c>
      <c r="N18" s="25" t="str">
        <f t="shared" si="1"/>
        <v>ORDER NOW</v>
      </c>
      <c r="O18" s="25" t="str">
        <f t="shared" si="2"/>
        <v>CRITICAL</v>
      </c>
      <c r="S18" s="79">
        <f t="shared" si="3"/>
        <v>0</v>
      </c>
    </row>
    <row r="19" spans="1:19" ht="18.75" x14ac:dyDescent="0.25">
      <c r="A19" s="41">
        <v>495</v>
      </c>
      <c r="B19" s="41" t="s">
        <v>38</v>
      </c>
      <c r="C19" s="41" t="s">
        <v>68</v>
      </c>
      <c r="D19" s="27" t="s">
        <v>69</v>
      </c>
      <c r="E19" s="28" t="s">
        <v>70</v>
      </c>
      <c r="F19" s="5" t="s">
        <v>22</v>
      </c>
      <c r="G19" s="21">
        <v>0.1</v>
      </c>
      <c r="H19" s="22">
        <f>VLOOKUP($C19,'Master File June-26'!$C$3:$L$670,6,0)</f>
        <v>120</v>
      </c>
      <c r="I19" s="22">
        <f>VLOOKUP($C19,'Master File June-26'!$C$3:$L$670,7,0)</f>
        <v>1200</v>
      </c>
      <c r="J19" s="5">
        <f>VLOOKUP($C19,'Master File June-26'!$C$3:$L$670,8,0)</f>
        <v>14</v>
      </c>
      <c r="K19" s="23">
        <f>VLOOKUP($C19,'Master File June-26'!$C$3:$L$670,9,0)</f>
        <v>600</v>
      </c>
      <c r="L19" s="58">
        <f>VLOOKUP($C19,'Master File June-26'!$C$3:$L$670,10,0)</f>
        <v>0</v>
      </c>
      <c r="M19" s="24">
        <f t="shared" si="0"/>
        <v>0</v>
      </c>
      <c r="N19" s="25" t="str">
        <f t="shared" si="1"/>
        <v>ORDER NOW</v>
      </c>
      <c r="O19" s="25" t="str">
        <f t="shared" si="2"/>
        <v>CRITICAL</v>
      </c>
      <c r="S19" s="79">
        <f t="shared" si="3"/>
        <v>0</v>
      </c>
    </row>
    <row r="20" spans="1:19" ht="18.75" x14ac:dyDescent="0.25">
      <c r="A20" s="39">
        <v>273</v>
      </c>
      <c r="B20" s="39" t="s">
        <v>18</v>
      </c>
      <c r="C20" s="39" t="s">
        <v>71</v>
      </c>
      <c r="D20" s="27" t="s">
        <v>72</v>
      </c>
      <c r="E20" s="28" t="s">
        <v>73</v>
      </c>
      <c r="F20" s="5" t="s">
        <v>22</v>
      </c>
      <c r="G20" s="21">
        <v>0.16666666666666666</v>
      </c>
      <c r="H20" s="22">
        <f>VLOOKUP($C20,'Master File June-26'!$C$3:$L$670,6,0)</f>
        <v>22</v>
      </c>
      <c r="I20" s="22">
        <f>VLOOKUP($C20,'Master File June-26'!$C$3:$L$670,7,0)</f>
        <v>132</v>
      </c>
      <c r="J20" s="5">
        <f>VLOOKUP($C20,'Master File June-26'!$C$3:$L$670,8,0)</f>
        <v>14</v>
      </c>
      <c r="K20" s="23">
        <f>VLOOKUP($C20,'Master File June-26'!$C$3:$L$670,9,0)</f>
        <v>66</v>
      </c>
      <c r="L20" s="58">
        <f>VLOOKUP($C20,'Master File June-26'!$C$3:$L$670,10,0)</f>
        <v>36</v>
      </c>
      <c r="M20" s="24">
        <f t="shared" si="0"/>
        <v>8.1818181818181817</v>
      </c>
      <c r="N20" s="25" t="str">
        <f t="shared" si="1"/>
        <v>ORDER NOW</v>
      </c>
      <c r="O20" s="25" t="str">
        <f t="shared" si="2"/>
        <v>CRITICAL</v>
      </c>
      <c r="S20" s="79">
        <f t="shared" si="3"/>
        <v>0</v>
      </c>
    </row>
    <row r="21" spans="1:19" ht="18.75" x14ac:dyDescent="0.25">
      <c r="A21" s="41">
        <v>386</v>
      </c>
      <c r="B21" s="41" t="s">
        <v>38</v>
      </c>
      <c r="C21" s="41" t="s">
        <v>74</v>
      </c>
      <c r="D21" s="27" t="s">
        <v>75</v>
      </c>
      <c r="E21" s="28" t="s">
        <v>70</v>
      </c>
      <c r="F21" s="5" t="s">
        <v>54</v>
      </c>
      <c r="G21" s="21">
        <v>0.1</v>
      </c>
      <c r="H21" s="22">
        <f>VLOOKUP($C21,'Master File June-26'!$C$3:$L$670,6,0)</f>
        <v>9.5</v>
      </c>
      <c r="I21" s="22">
        <f>VLOOKUP($C21,'Master File June-26'!$C$3:$L$670,7,0)</f>
        <v>95</v>
      </c>
      <c r="J21" s="5">
        <f>VLOOKUP($C21,'Master File June-26'!$C$3:$L$670,8,0)</f>
        <v>14</v>
      </c>
      <c r="K21" s="23">
        <f>VLOOKUP($C21,'Master File June-26'!$C$3:$L$670,9,0)</f>
        <v>47.5</v>
      </c>
      <c r="L21" s="58">
        <f>VLOOKUP($C21,'Master File June-26'!$C$3:$L$670,10,0)</f>
        <v>20</v>
      </c>
      <c r="M21" s="24">
        <f t="shared" si="0"/>
        <v>6.3157894736842106</v>
      </c>
      <c r="N21" s="25" t="str">
        <f t="shared" si="1"/>
        <v>ORDER NOW</v>
      </c>
      <c r="O21" s="25" t="str">
        <f t="shared" si="2"/>
        <v>CRITICAL</v>
      </c>
      <c r="S21" s="79">
        <f t="shared" si="3"/>
        <v>0</v>
      </c>
    </row>
    <row r="22" spans="1:19" ht="18.75" x14ac:dyDescent="0.25">
      <c r="A22" s="19">
        <v>58</v>
      </c>
      <c r="B22" s="19" t="s">
        <v>18</v>
      </c>
      <c r="C22" s="19" t="s">
        <v>76</v>
      </c>
      <c r="D22" s="68" t="s">
        <v>77</v>
      </c>
      <c r="E22" s="33" t="s">
        <v>78</v>
      </c>
      <c r="F22" s="5" t="s">
        <v>49</v>
      </c>
      <c r="G22" s="21">
        <v>1</v>
      </c>
      <c r="H22" s="22">
        <f>VLOOKUP($C22,'Master File June-26'!$C$3:$L$670,6,0)</f>
        <v>20</v>
      </c>
      <c r="I22" s="22">
        <f>VLOOKUP($C22,'Master File June-26'!$C$3:$L$670,7,0)</f>
        <v>20</v>
      </c>
      <c r="J22" s="5">
        <f>VLOOKUP($C22,'Master File June-26'!$C$3:$L$670,8,0)</f>
        <v>30</v>
      </c>
      <c r="K22" s="23">
        <f>VLOOKUP($C22,'Master File June-26'!$C$3:$L$670,9,0)</f>
        <v>21.428571428571427</v>
      </c>
      <c r="L22" s="58">
        <f>VLOOKUP($C22,'Master File June-26'!$C$3:$L$670,10,0)</f>
        <v>0</v>
      </c>
      <c r="M22" s="24">
        <f t="shared" si="0"/>
        <v>0</v>
      </c>
      <c r="N22" s="25" t="str">
        <f t="shared" si="1"/>
        <v>ORDER NOW</v>
      </c>
      <c r="O22" s="25" t="str">
        <f t="shared" si="2"/>
        <v>CRITICAL</v>
      </c>
      <c r="R22" t="s">
        <v>30</v>
      </c>
      <c r="S22" s="79">
        <f t="shared" si="3"/>
        <v>0</v>
      </c>
    </row>
    <row r="23" spans="1:19" ht="18.75" x14ac:dyDescent="0.25">
      <c r="A23" s="41">
        <v>380</v>
      </c>
      <c r="B23" s="41" t="s">
        <v>38</v>
      </c>
      <c r="C23" s="41" t="s">
        <v>79</v>
      </c>
      <c r="D23" s="27" t="s">
        <v>80</v>
      </c>
      <c r="E23" s="28" t="s">
        <v>81</v>
      </c>
      <c r="F23" s="5" t="s">
        <v>49</v>
      </c>
      <c r="G23" s="21">
        <v>8.3333333333333329E-2</v>
      </c>
      <c r="H23" s="22">
        <f>VLOOKUP($C23,'Master File June-26'!$C$3:$L$670,6,0)</f>
        <v>55</v>
      </c>
      <c r="I23" s="22">
        <f>VLOOKUP($C23,'Master File June-26'!$C$3:$L$670,7,0)</f>
        <v>660</v>
      </c>
      <c r="J23" s="5">
        <f>VLOOKUP($C23,'Master File June-26'!$C$3:$L$670,8,0)</f>
        <v>14</v>
      </c>
      <c r="K23" s="23">
        <f>VLOOKUP($C23,'Master File June-26'!$C$3:$L$670,9,0)</f>
        <v>330</v>
      </c>
      <c r="L23" s="58">
        <f>VLOOKUP($C23,'Master File June-26'!$C$3:$L$670,10,0)</f>
        <v>6.1999999999999993</v>
      </c>
      <c r="M23" s="24">
        <f t="shared" si="0"/>
        <v>0.2818181818181818</v>
      </c>
      <c r="N23" s="25" t="str">
        <f t="shared" si="1"/>
        <v>ORDER NOW</v>
      </c>
      <c r="O23" s="25" t="str">
        <f t="shared" si="2"/>
        <v>CRITICAL</v>
      </c>
      <c r="S23" s="79">
        <f t="shared" si="3"/>
        <v>0</v>
      </c>
    </row>
    <row r="24" spans="1:19" ht="18.75" x14ac:dyDescent="0.25">
      <c r="A24" s="41">
        <v>395</v>
      </c>
      <c r="B24" s="41" t="s">
        <v>38</v>
      </c>
      <c r="C24" s="41" t="s">
        <v>82</v>
      </c>
      <c r="D24" s="27" t="s">
        <v>83</v>
      </c>
      <c r="E24" s="28" t="s">
        <v>84</v>
      </c>
      <c r="F24" s="5" t="s">
        <v>64</v>
      </c>
      <c r="G24" s="21">
        <f>1/3.8</f>
        <v>0.26315789473684209</v>
      </c>
      <c r="H24" s="22">
        <f>VLOOKUP($C24,'Master File June-26'!$C$3:$L$670,6,0)</f>
        <v>16</v>
      </c>
      <c r="I24" s="22">
        <f>VLOOKUP($C24,'Master File June-26'!$C$3:$L$670,7,0)</f>
        <v>60.800000000000004</v>
      </c>
      <c r="J24" s="5">
        <f>VLOOKUP($C24,'Master File June-26'!$C$3:$L$670,8,0)</f>
        <v>14</v>
      </c>
      <c r="K24" s="23">
        <f>VLOOKUP($C24,'Master File June-26'!$C$3:$L$670,9,0)</f>
        <v>30.400000000000002</v>
      </c>
      <c r="L24" s="58">
        <f>VLOOKUP($C24,'Master File June-26'!$C$3:$L$670,10,0)</f>
        <v>0</v>
      </c>
      <c r="M24" s="24">
        <f t="shared" si="0"/>
        <v>0</v>
      </c>
      <c r="N24" s="25" t="str">
        <f t="shared" si="1"/>
        <v>ORDER NOW</v>
      </c>
      <c r="O24" s="25" t="str">
        <f t="shared" si="2"/>
        <v>CRITICAL</v>
      </c>
      <c r="S24" s="79">
        <f t="shared" si="3"/>
        <v>0</v>
      </c>
    </row>
    <row r="25" spans="1:19" ht="18.75" x14ac:dyDescent="0.25">
      <c r="A25" s="41">
        <v>343</v>
      </c>
      <c r="B25" s="41" t="s">
        <v>85</v>
      </c>
      <c r="C25" s="41" t="s">
        <v>86</v>
      </c>
      <c r="D25" s="29" t="s">
        <v>87</v>
      </c>
      <c r="E25" s="30" t="s">
        <v>88</v>
      </c>
      <c r="F25" s="5" t="s">
        <v>89</v>
      </c>
      <c r="G25" s="21">
        <v>0.1</v>
      </c>
      <c r="H25" s="22">
        <f>VLOOKUP($C25,'Master File June-26'!$C$3:$L$670,6,0)</f>
        <v>143</v>
      </c>
      <c r="I25" s="22">
        <f>VLOOKUP($C25,'Master File June-26'!$C$3:$L$670,7,0)</f>
        <v>1430</v>
      </c>
      <c r="J25" s="5">
        <f>VLOOKUP($C25,'Master File June-26'!$C$3:$L$670,8,0)</f>
        <v>14</v>
      </c>
      <c r="K25" s="23">
        <f>VLOOKUP($C25,'Master File June-26'!$C$3:$L$670,9,0)</f>
        <v>715</v>
      </c>
      <c r="L25" s="58">
        <f>VLOOKUP($C25,'Master File June-26'!$C$3:$L$670,10,0)</f>
        <v>650</v>
      </c>
      <c r="M25" s="24">
        <f t="shared" si="0"/>
        <v>13.636363636363637</v>
      </c>
      <c r="N25" s="25" t="str">
        <f t="shared" si="1"/>
        <v>ORDER NOW</v>
      </c>
      <c r="O25" s="25" t="str">
        <f t="shared" si="2"/>
        <v>CRITICAL</v>
      </c>
      <c r="S25" s="79">
        <f t="shared" si="3"/>
        <v>0</v>
      </c>
    </row>
    <row r="26" spans="1:19" ht="18.75" x14ac:dyDescent="0.25">
      <c r="A26" s="19">
        <v>22</v>
      </c>
      <c r="B26" s="19" t="s">
        <v>18</v>
      </c>
      <c r="C26" s="19" t="s">
        <v>90</v>
      </c>
      <c r="D26" s="27" t="s">
        <v>91</v>
      </c>
      <c r="E26" s="28" t="s">
        <v>92</v>
      </c>
      <c r="F26" s="5" t="s">
        <v>22</v>
      </c>
      <c r="G26" s="21">
        <v>5.0000000000000001E-4</v>
      </c>
      <c r="H26" s="22">
        <f>VLOOKUP($C26,'Master File June-26'!$C$3:$L$670,6,0)</f>
        <v>145.5</v>
      </c>
      <c r="I26" s="22">
        <f>VLOOKUP($C26,'Master File June-26'!$C$3:$L$670,7,0)</f>
        <v>291000</v>
      </c>
      <c r="J26" s="5">
        <f>VLOOKUP($C26,'Master File June-26'!$C$3:$L$670,8,0)</f>
        <v>14</v>
      </c>
      <c r="K26" s="23">
        <f>VLOOKUP($C26,'Master File June-26'!$C$3:$L$670,9,0)</f>
        <v>145500</v>
      </c>
      <c r="L26" s="58">
        <f>VLOOKUP($C26,'Master File June-26'!$C$3:$L$670,10,0)</f>
        <v>65500</v>
      </c>
      <c r="M26" s="24">
        <f t="shared" si="0"/>
        <v>6.7525773195876289</v>
      </c>
      <c r="N26" s="25" t="str">
        <f t="shared" si="1"/>
        <v>ORDER NOW</v>
      </c>
      <c r="O26" s="25" t="str">
        <f t="shared" si="2"/>
        <v>CRITICAL</v>
      </c>
      <c r="R26" t="s">
        <v>30</v>
      </c>
      <c r="S26" s="79">
        <f t="shared" si="3"/>
        <v>0</v>
      </c>
    </row>
    <row r="27" spans="1:19" ht="18.75" x14ac:dyDescent="0.25">
      <c r="A27" s="19">
        <v>70</v>
      </c>
      <c r="B27" s="19" t="s">
        <v>18</v>
      </c>
      <c r="C27" s="19" t="s">
        <v>93</v>
      </c>
      <c r="D27" s="27" t="s">
        <v>94</v>
      </c>
      <c r="E27" s="28" t="s">
        <v>95</v>
      </c>
      <c r="F27" s="5" t="s">
        <v>22</v>
      </c>
      <c r="G27" s="21">
        <v>2E-3</v>
      </c>
      <c r="H27" s="22">
        <f>VLOOKUP($C27,'Master File June-26'!$C$3:$L$670,6,0)</f>
        <v>100</v>
      </c>
      <c r="I27" s="22">
        <f>VLOOKUP($C27,'Master File June-26'!$C$3:$L$670,7,0)</f>
        <v>50000</v>
      </c>
      <c r="J27" s="5">
        <f>VLOOKUP($C27,'Master File June-26'!$C$3:$L$670,8,0)</f>
        <v>14</v>
      </c>
      <c r="K27" s="23">
        <f>VLOOKUP($C27,'Master File June-26'!$C$3:$L$670,9,0)</f>
        <v>25000</v>
      </c>
      <c r="L27" s="58">
        <f>VLOOKUP($C27,'Master File June-26'!$C$3:$L$670,10,0)</f>
        <v>44000</v>
      </c>
      <c r="M27" s="24">
        <f t="shared" si="0"/>
        <v>26.4</v>
      </c>
      <c r="N27" s="25" t="str">
        <f t="shared" si="1"/>
        <v>IN STOCK</v>
      </c>
      <c r="O27" s="25" t="str">
        <f t="shared" si="2"/>
        <v>FOLLOW UP DELIVERY</v>
      </c>
      <c r="R27" t="s">
        <v>30</v>
      </c>
      <c r="S27" s="79">
        <f t="shared" si="3"/>
        <v>1</v>
      </c>
    </row>
    <row r="28" spans="1:19" ht="18.75" x14ac:dyDescent="0.25">
      <c r="A28" s="19">
        <v>102</v>
      </c>
      <c r="B28" s="19" t="s">
        <v>18</v>
      </c>
      <c r="C28" s="19" t="s">
        <v>96</v>
      </c>
      <c r="D28" s="27" t="s">
        <v>97</v>
      </c>
      <c r="E28" s="28" t="s">
        <v>98</v>
      </c>
      <c r="F28" s="5" t="s">
        <v>46</v>
      </c>
      <c r="G28" s="21">
        <v>2E-3</v>
      </c>
      <c r="H28" s="22">
        <f>VLOOKUP($C28,'Master File June-26'!$C$3:$L$670,6,0)</f>
        <v>16</v>
      </c>
      <c r="I28" s="22">
        <f>VLOOKUP($C28,'Master File June-26'!$C$3:$L$670,7,0)</f>
        <v>8000</v>
      </c>
      <c r="J28" s="5">
        <f>VLOOKUP($C28,'Master File June-26'!$C$3:$L$670,8,0)</f>
        <v>14</v>
      </c>
      <c r="K28" s="23">
        <f>VLOOKUP($C28,'Master File June-26'!$C$3:$L$670,9,0)</f>
        <v>4000</v>
      </c>
      <c r="L28" s="58">
        <f>VLOOKUP($C28,'Master File June-26'!$C$3:$L$670,10,0)</f>
        <v>3000</v>
      </c>
      <c r="M28" s="24">
        <f t="shared" si="0"/>
        <v>11.25</v>
      </c>
      <c r="N28" s="25" t="str">
        <f t="shared" si="1"/>
        <v>ORDER NOW</v>
      </c>
      <c r="O28" s="25" t="str">
        <f t="shared" si="2"/>
        <v>CRITICAL</v>
      </c>
      <c r="R28" t="s">
        <v>30</v>
      </c>
      <c r="S28" s="79">
        <f t="shared" si="3"/>
        <v>0</v>
      </c>
    </row>
    <row r="29" spans="1:19" ht="18.75" x14ac:dyDescent="0.25">
      <c r="A29" s="4">
        <v>602</v>
      </c>
      <c r="B29" s="4" t="s">
        <v>85</v>
      </c>
      <c r="C29" s="4" t="s">
        <v>99</v>
      </c>
      <c r="D29" s="27" t="s">
        <v>100</v>
      </c>
      <c r="E29" s="28" t="s">
        <v>101</v>
      </c>
      <c r="F29" s="5" t="s">
        <v>22</v>
      </c>
      <c r="G29" s="21">
        <f>1/6</f>
        <v>0.16666666666666666</v>
      </c>
      <c r="H29" s="22">
        <f>VLOOKUP($C29,'Master File June-26'!$C$3:$L$670,6,0)</f>
        <v>5.5</v>
      </c>
      <c r="I29" s="22">
        <f>VLOOKUP($C29,'Master File June-26'!$C$3:$L$670,7,0)</f>
        <v>33</v>
      </c>
      <c r="J29" s="5">
        <f>VLOOKUP($C29,'Master File June-26'!$C$3:$L$670,8,0)</f>
        <v>14</v>
      </c>
      <c r="K29" s="23">
        <f>VLOOKUP($C29,'Master File June-26'!$C$3:$L$670,9,0)</f>
        <v>16.5</v>
      </c>
      <c r="L29" s="58">
        <f>VLOOKUP($C29,'Master File June-26'!$C$3:$L$670,10,0)</f>
        <v>0</v>
      </c>
      <c r="M29" s="24">
        <f t="shared" si="0"/>
        <v>0</v>
      </c>
      <c r="N29" s="25" t="str">
        <f t="shared" si="1"/>
        <v>ORDER NOW</v>
      </c>
      <c r="O29" s="25" t="str">
        <f t="shared" si="2"/>
        <v>CRITICAL</v>
      </c>
      <c r="S29" s="79">
        <f t="shared" si="3"/>
        <v>0</v>
      </c>
    </row>
    <row r="30" spans="1:19" ht="18.75" x14ac:dyDescent="0.25">
      <c r="A30" s="41">
        <v>358</v>
      </c>
      <c r="B30" s="41" t="s">
        <v>85</v>
      </c>
      <c r="C30" s="41" t="s">
        <v>102</v>
      </c>
      <c r="D30" s="27" t="s">
        <v>103</v>
      </c>
      <c r="E30" s="28" t="s">
        <v>101</v>
      </c>
      <c r="F30" s="5" t="s">
        <v>22</v>
      </c>
      <c r="G30" s="21">
        <v>0.16666666666666666</v>
      </c>
      <c r="H30" s="22">
        <f>VLOOKUP($C30,'Master File June-26'!$C$3:$L$670,6,0)</f>
        <v>5.5</v>
      </c>
      <c r="I30" s="22">
        <f>VLOOKUP($C30,'Master File June-26'!$C$3:$L$670,7,0)</f>
        <v>33</v>
      </c>
      <c r="J30" s="5">
        <f>VLOOKUP($C30,'Master File June-26'!$C$3:$L$670,8,0)</f>
        <v>14</v>
      </c>
      <c r="K30" s="23">
        <f>VLOOKUP($C30,'Master File June-26'!$C$3:$L$670,9,0)</f>
        <v>16.5</v>
      </c>
      <c r="L30" s="58">
        <f>VLOOKUP($C30,'Master File June-26'!$C$3:$L$670,10,0)</f>
        <v>0</v>
      </c>
      <c r="M30" s="24">
        <f t="shared" si="0"/>
        <v>0</v>
      </c>
      <c r="N30" s="25" t="str">
        <f t="shared" si="1"/>
        <v>ORDER NOW</v>
      </c>
      <c r="O30" s="25" t="str">
        <f t="shared" si="2"/>
        <v>CRITICAL</v>
      </c>
      <c r="S30" s="79">
        <f t="shared" si="3"/>
        <v>0</v>
      </c>
    </row>
    <row r="31" spans="1:19" ht="18.75" x14ac:dyDescent="0.25">
      <c r="A31" s="41">
        <v>401</v>
      </c>
      <c r="B31" s="41" t="s">
        <v>104</v>
      </c>
      <c r="C31" s="41" t="s">
        <v>105</v>
      </c>
      <c r="D31" s="27" t="s">
        <v>106</v>
      </c>
      <c r="E31" s="28" t="s">
        <v>107</v>
      </c>
      <c r="F31" s="5" t="s">
        <v>22</v>
      </c>
      <c r="G31" s="21">
        <v>4.1666666666666664E-2</v>
      </c>
      <c r="H31" s="22">
        <f>VLOOKUP($C31,'Master File June-26'!$C$3:$L$670,6,0)</f>
        <v>56</v>
      </c>
      <c r="I31" s="22">
        <f>VLOOKUP($C31,'Master File June-26'!$C$3:$L$670,7,0)</f>
        <v>1344</v>
      </c>
      <c r="J31" s="5">
        <f>VLOOKUP($C31,'Master File June-26'!$C$3:$L$670,8,0)</f>
        <v>14</v>
      </c>
      <c r="K31" s="23">
        <f>VLOOKUP($C31,'Master File June-26'!$C$3:$L$670,9,0)</f>
        <v>672</v>
      </c>
      <c r="L31" s="58">
        <f>VLOOKUP($C31,'Master File June-26'!$C$3:$L$670,10,0)</f>
        <v>5884.8</v>
      </c>
      <c r="M31" s="24">
        <f t="shared" si="0"/>
        <v>131.35714285714286</v>
      </c>
      <c r="N31" s="25" t="str">
        <f t="shared" si="1"/>
        <v>IN STOCK</v>
      </c>
      <c r="O31" s="25" t="str">
        <f t="shared" si="2"/>
        <v>FOLLOW UP DELIVERY</v>
      </c>
      <c r="S31" s="79">
        <f t="shared" si="3"/>
        <v>1</v>
      </c>
    </row>
    <row r="32" spans="1:19" ht="18.75" x14ac:dyDescent="0.25">
      <c r="A32" s="4">
        <v>599</v>
      </c>
      <c r="B32" s="4" t="s">
        <v>104</v>
      </c>
      <c r="C32" s="4" t="s">
        <v>108</v>
      </c>
      <c r="D32" s="27" t="s">
        <v>109</v>
      </c>
      <c r="E32" s="28" t="s">
        <v>110</v>
      </c>
      <c r="F32" s="5" t="s">
        <v>22</v>
      </c>
      <c r="G32" s="21">
        <v>0.5</v>
      </c>
      <c r="H32" s="22">
        <f>VLOOKUP($C32,'Master File June-26'!$C$3:$L$670,6,0)</f>
        <v>38.5</v>
      </c>
      <c r="I32" s="22">
        <f>VLOOKUP($C32,'Master File June-26'!$C$3:$L$670,7,0)</f>
        <v>77</v>
      </c>
      <c r="J32" s="5">
        <f>VLOOKUP($C32,'Master File June-26'!$C$3:$L$670,8,0)</f>
        <v>14</v>
      </c>
      <c r="K32" s="23">
        <f>VLOOKUP($C32,'Master File June-26'!$C$3:$L$670,9,0)</f>
        <v>38.5</v>
      </c>
      <c r="L32" s="58">
        <f>VLOOKUP($C32,'Master File June-26'!$C$3:$L$670,10,0)</f>
        <v>0</v>
      </c>
      <c r="M32" s="24">
        <f t="shared" si="0"/>
        <v>0</v>
      </c>
      <c r="N32" s="25" t="str">
        <f t="shared" si="1"/>
        <v>ORDER NOW</v>
      </c>
      <c r="O32" s="25" t="str">
        <f t="shared" si="2"/>
        <v>CRITICAL</v>
      </c>
      <c r="S32" s="79">
        <f t="shared" si="3"/>
        <v>0</v>
      </c>
    </row>
    <row r="33" spans="1:19" ht="18.75" x14ac:dyDescent="0.25">
      <c r="A33" s="41">
        <v>385</v>
      </c>
      <c r="B33" s="41" t="s">
        <v>85</v>
      </c>
      <c r="C33" s="41" t="s">
        <v>111</v>
      </c>
      <c r="D33" s="27" t="s">
        <v>112</v>
      </c>
      <c r="E33" s="28" t="s">
        <v>113</v>
      </c>
      <c r="F33" s="5" t="s">
        <v>22</v>
      </c>
      <c r="G33" s="21">
        <v>0.33333333333333331</v>
      </c>
      <c r="H33" s="22">
        <f>VLOOKUP($C33,'Master File June-26'!$C$3:$L$670,6,0)</f>
        <v>135</v>
      </c>
      <c r="I33" s="22">
        <f>VLOOKUP($C33,'Master File June-26'!$C$3:$L$670,7,0)</f>
        <v>405</v>
      </c>
      <c r="J33" s="5">
        <f>VLOOKUP($C33,'Master File June-26'!$C$3:$L$670,8,0)</f>
        <v>14</v>
      </c>
      <c r="K33" s="23">
        <f>VLOOKUP($C33,'Master File June-26'!$C$3:$L$670,9,0)</f>
        <v>202.5</v>
      </c>
      <c r="L33" s="58">
        <f>VLOOKUP($C33,'Master File June-26'!$C$3:$L$670,10,0)</f>
        <v>1050</v>
      </c>
      <c r="M33" s="24">
        <f t="shared" si="0"/>
        <v>77.777777777777771</v>
      </c>
      <c r="N33" s="25" t="str">
        <f t="shared" si="1"/>
        <v>IN STOCK</v>
      </c>
      <c r="O33" s="25" t="str">
        <f t="shared" si="2"/>
        <v>FOLLOW UP DELIVERY</v>
      </c>
      <c r="S33" s="79">
        <f t="shared" si="3"/>
        <v>1</v>
      </c>
    </row>
    <row r="34" spans="1:19" ht="18.75" x14ac:dyDescent="0.25">
      <c r="A34" s="41">
        <v>356</v>
      </c>
      <c r="B34" s="41" t="s">
        <v>38</v>
      </c>
      <c r="C34" s="41" t="s">
        <v>114</v>
      </c>
      <c r="D34" s="27" t="s">
        <v>115</v>
      </c>
      <c r="E34" s="28" t="s">
        <v>116</v>
      </c>
      <c r="F34" s="5" t="s">
        <v>22</v>
      </c>
      <c r="G34" s="21">
        <v>0.1</v>
      </c>
      <c r="H34" s="22">
        <f>VLOOKUP($C34,'Master File June-26'!$C$3:$L$670,6,0)</f>
        <v>19</v>
      </c>
      <c r="I34" s="22">
        <f>VLOOKUP($C34,'Master File June-26'!$C$3:$L$670,7,0)</f>
        <v>190</v>
      </c>
      <c r="J34" s="5">
        <f>VLOOKUP($C34,'Master File June-26'!$C$3:$L$670,8,0)</f>
        <v>14</v>
      </c>
      <c r="K34" s="23">
        <f>VLOOKUP($C34,'Master File June-26'!$C$3:$L$670,9,0)</f>
        <v>95</v>
      </c>
      <c r="L34" s="58">
        <f>VLOOKUP($C34,'Master File June-26'!$C$3:$L$670,10,0)</f>
        <v>0</v>
      </c>
      <c r="M34" s="24">
        <f t="shared" si="0"/>
        <v>0</v>
      </c>
      <c r="N34" s="25" t="str">
        <f t="shared" si="1"/>
        <v>ORDER NOW</v>
      </c>
      <c r="O34" s="25" t="str">
        <f t="shared" si="2"/>
        <v>CRITICAL</v>
      </c>
      <c r="S34" s="79">
        <f t="shared" si="3"/>
        <v>0</v>
      </c>
    </row>
    <row r="35" spans="1:19" ht="18.75" x14ac:dyDescent="0.25">
      <c r="A35" s="19">
        <v>97</v>
      </c>
      <c r="B35" s="19" t="s">
        <v>18</v>
      </c>
      <c r="C35" s="19" t="s">
        <v>117</v>
      </c>
      <c r="D35" s="27" t="s">
        <v>118</v>
      </c>
      <c r="E35" s="28" t="s">
        <v>119</v>
      </c>
      <c r="F35" s="5" t="s">
        <v>22</v>
      </c>
      <c r="G35" s="21">
        <v>1E-3</v>
      </c>
      <c r="H35" s="22">
        <f>VLOOKUP($C35,'Master File June-26'!$C$3:$L$670,6,0)</f>
        <v>400</v>
      </c>
      <c r="I35" s="22">
        <f>VLOOKUP($C35,'Master File June-26'!$C$3:$L$670,7,0)</f>
        <v>400000</v>
      </c>
      <c r="J35" s="5">
        <f>VLOOKUP($C35,'Master File June-26'!$C$3:$L$670,8,0)</f>
        <v>14</v>
      </c>
      <c r="K35" s="23">
        <f>VLOOKUP($C35,'Master File June-26'!$C$3:$L$670,9,0)</f>
        <v>200000</v>
      </c>
      <c r="L35" s="58">
        <f>VLOOKUP($C35,'Master File June-26'!$C$3:$L$670,10,0)</f>
        <v>0</v>
      </c>
      <c r="M35" s="24">
        <f t="shared" si="0"/>
        <v>0</v>
      </c>
      <c r="N35" s="25" t="str">
        <f t="shared" si="1"/>
        <v>ORDER NOW</v>
      </c>
      <c r="O35" s="25" t="str">
        <f t="shared" si="2"/>
        <v>CRITICAL</v>
      </c>
      <c r="R35" t="s">
        <v>30</v>
      </c>
      <c r="S35" s="79">
        <f t="shared" si="3"/>
        <v>0</v>
      </c>
    </row>
    <row r="36" spans="1:19" ht="18.75" x14ac:dyDescent="0.25">
      <c r="A36" s="41">
        <v>384</v>
      </c>
      <c r="B36" s="41" t="s">
        <v>38</v>
      </c>
      <c r="C36" s="41" t="s">
        <v>120</v>
      </c>
      <c r="D36" s="27" t="s">
        <v>121</v>
      </c>
      <c r="E36" s="28" t="s">
        <v>122</v>
      </c>
      <c r="F36" s="5" t="s">
        <v>22</v>
      </c>
      <c r="G36" s="21">
        <f>1/9</f>
        <v>0.1111111111111111</v>
      </c>
      <c r="H36" s="22">
        <f>VLOOKUP($C36,'Master File June-26'!$C$3:$L$670,6,0)</f>
        <v>22</v>
      </c>
      <c r="I36" s="22">
        <f>VLOOKUP($C36,'Master File June-26'!$C$3:$L$670,7,0)</f>
        <v>198</v>
      </c>
      <c r="J36" s="5">
        <f>VLOOKUP($C36,'Master File June-26'!$C$3:$L$670,8,0)</f>
        <v>14</v>
      </c>
      <c r="K36" s="23">
        <f>VLOOKUP($C36,'Master File June-26'!$C$3:$L$670,9,0)</f>
        <v>99</v>
      </c>
      <c r="L36" s="58">
        <f>VLOOKUP($C36,'Master File June-26'!$C$3:$L$670,10,0)</f>
        <v>0</v>
      </c>
      <c r="M36" s="24">
        <f t="shared" si="0"/>
        <v>0</v>
      </c>
      <c r="N36" s="25" t="str">
        <f t="shared" si="1"/>
        <v>ORDER NOW</v>
      </c>
      <c r="O36" s="25" t="str">
        <f t="shared" si="2"/>
        <v>CRITICAL</v>
      </c>
      <c r="S36" s="79">
        <f t="shared" si="3"/>
        <v>0</v>
      </c>
    </row>
    <row r="37" spans="1:19" ht="18.75" x14ac:dyDescent="0.25">
      <c r="A37" s="39">
        <v>215</v>
      </c>
      <c r="B37" s="39" t="s">
        <v>123</v>
      </c>
      <c r="C37" s="39" t="s">
        <v>124</v>
      </c>
      <c r="D37" s="27" t="s">
        <v>125</v>
      </c>
      <c r="E37" s="28" t="s">
        <v>126</v>
      </c>
      <c r="F37" s="5" t="s">
        <v>49</v>
      </c>
      <c r="G37" s="21">
        <v>1</v>
      </c>
      <c r="H37" s="22">
        <f>VLOOKUP($C37,'Master File June-26'!$C$3:$L$670,6,0)</f>
        <v>233</v>
      </c>
      <c r="I37" s="22">
        <f>VLOOKUP($C37,'Master File June-26'!$C$3:$L$670,7,0)</f>
        <v>233</v>
      </c>
      <c r="J37" s="5">
        <f>VLOOKUP($C37,'Master File June-26'!$C$3:$L$670,8,0)</f>
        <v>14</v>
      </c>
      <c r="K37" s="23">
        <f>VLOOKUP($C37,'Master File June-26'!$C$3:$L$670,9,0)</f>
        <v>116.5</v>
      </c>
      <c r="L37" s="58">
        <f>VLOOKUP($C37,'Master File June-26'!$C$3:$L$670,10,0)</f>
        <v>38</v>
      </c>
      <c r="M37" s="24">
        <f t="shared" si="0"/>
        <v>4.8927038626609436</v>
      </c>
      <c r="N37" s="25" t="str">
        <f t="shared" si="1"/>
        <v>ORDER NOW</v>
      </c>
      <c r="O37" s="25" t="str">
        <f t="shared" si="2"/>
        <v>CRITICAL</v>
      </c>
      <c r="S37" s="79">
        <f t="shared" si="3"/>
        <v>0</v>
      </c>
    </row>
    <row r="38" spans="1:19" ht="18.75" x14ac:dyDescent="0.25">
      <c r="A38" s="41">
        <v>375</v>
      </c>
      <c r="B38" s="41" t="s">
        <v>85</v>
      </c>
      <c r="C38" s="41" t="s">
        <v>127</v>
      </c>
      <c r="D38" s="27" t="s">
        <v>128</v>
      </c>
      <c r="E38" s="28" t="s">
        <v>101</v>
      </c>
      <c r="F38" s="5" t="s">
        <v>22</v>
      </c>
      <c r="G38" s="21">
        <v>0.16666666666666666</v>
      </c>
      <c r="H38" s="22">
        <f>VLOOKUP($C38,'Master File June-26'!$C$3:$L$670,6,0)</f>
        <v>16.5</v>
      </c>
      <c r="I38" s="22">
        <f>VLOOKUP($C38,'Master File June-26'!$C$3:$L$670,7,0)</f>
        <v>99</v>
      </c>
      <c r="J38" s="5">
        <f>VLOOKUP($C38,'Master File June-26'!$C$3:$L$670,8,0)</f>
        <v>14</v>
      </c>
      <c r="K38" s="23">
        <f>VLOOKUP($C38,'Master File June-26'!$C$3:$L$670,9,0)</f>
        <v>49.5</v>
      </c>
      <c r="L38" s="58">
        <f>VLOOKUP($C38,'Master File June-26'!$C$3:$L$670,10,0)</f>
        <v>99</v>
      </c>
      <c r="M38" s="24">
        <f t="shared" si="0"/>
        <v>30</v>
      </c>
      <c r="N38" s="25" t="str">
        <f t="shared" si="1"/>
        <v>IN STOCK</v>
      </c>
      <c r="O38" s="25" t="str">
        <f t="shared" si="2"/>
        <v>FOLLOW UP DELIVERY</v>
      </c>
      <c r="S38" s="79">
        <f t="shared" si="3"/>
        <v>1</v>
      </c>
    </row>
    <row r="39" spans="1:19" ht="18.75" x14ac:dyDescent="0.25">
      <c r="A39" s="19">
        <v>96</v>
      </c>
      <c r="B39" s="19" t="s">
        <v>18</v>
      </c>
      <c r="C39" s="19" t="s">
        <v>129</v>
      </c>
      <c r="D39" s="27" t="s">
        <v>130</v>
      </c>
      <c r="E39" s="28" t="s">
        <v>119</v>
      </c>
      <c r="F39" s="5" t="s">
        <v>22</v>
      </c>
      <c r="G39" s="21">
        <v>1E-3</v>
      </c>
      <c r="H39" s="22">
        <f>VLOOKUP($C39,'Master File June-26'!$C$3:$L$670,6,0)</f>
        <v>18</v>
      </c>
      <c r="I39" s="22">
        <f>VLOOKUP($C39,'Master File June-26'!$C$3:$L$670,7,0)</f>
        <v>18000</v>
      </c>
      <c r="J39" s="5">
        <f>VLOOKUP($C39,'Master File June-26'!$C$3:$L$670,8,0)</f>
        <v>14</v>
      </c>
      <c r="K39" s="23">
        <f>VLOOKUP($C39,'Master File June-26'!$C$3:$L$670,9,0)</f>
        <v>9000</v>
      </c>
      <c r="L39" s="58">
        <f>VLOOKUP($C39,'Master File June-26'!$C$3:$L$670,10,0)</f>
        <v>0</v>
      </c>
      <c r="M39" s="24">
        <f t="shared" si="0"/>
        <v>0</v>
      </c>
      <c r="N39" s="25" t="str">
        <f t="shared" si="1"/>
        <v>ORDER NOW</v>
      </c>
      <c r="O39" s="25" t="str">
        <f t="shared" si="2"/>
        <v>CRITICAL</v>
      </c>
      <c r="R39" t="s">
        <v>30</v>
      </c>
      <c r="S39" s="79">
        <f t="shared" si="3"/>
        <v>0</v>
      </c>
    </row>
    <row r="40" spans="1:19" ht="18.75" x14ac:dyDescent="0.25">
      <c r="A40" s="41">
        <v>494</v>
      </c>
      <c r="B40" s="41" t="s">
        <v>38</v>
      </c>
      <c r="C40" s="41" t="s">
        <v>131</v>
      </c>
      <c r="D40" s="27" t="s">
        <v>132</v>
      </c>
      <c r="E40" s="28" t="s">
        <v>116</v>
      </c>
      <c r="F40" s="5" t="s">
        <v>22</v>
      </c>
      <c r="G40" s="21">
        <v>0.1</v>
      </c>
      <c r="H40" s="22">
        <f>VLOOKUP($C40,'Master File June-26'!$C$3:$L$670,6,0)</f>
        <v>200</v>
      </c>
      <c r="I40" s="22">
        <f>VLOOKUP($C40,'Master File June-26'!$C$3:$L$670,7,0)</f>
        <v>2000</v>
      </c>
      <c r="J40" s="5">
        <f>VLOOKUP($C40,'Master File June-26'!$C$3:$L$670,8,0)</f>
        <v>14</v>
      </c>
      <c r="K40" s="23">
        <f>VLOOKUP($C40,'Master File June-26'!$C$3:$L$670,9,0)</f>
        <v>1000</v>
      </c>
      <c r="L40" s="58">
        <f>VLOOKUP($C40,'Master File June-26'!$C$3:$L$670,10,0)</f>
        <v>0</v>
      </c>
      <c r="M40" s="24">
        <f t="shared" si="0"/>
        <v>0</v>
      </c>
      <c r="N40" s="25" t="str">
        <f t="shared" si="1"/>
        <v>ORDER NOW</v>
      </c>
      <c r="O40" s="25" t="str">
        <f t="shared" si="2"/>
        <v>CRITICAL</v>
      </c>
      <c r="S40" s="79">
        <f t="shared" si="3"/>
        <v>0</v>
      </c>
    </row>
    <row r="41" spans="1:19" ht="18.75" x14ac:dyDescent="0.25">
      <c r="A41" s="4">
        <v>607</v>
      </c>
      <c r="B41" s="4" t="s">
        <v>133</v>
      </c>
      <c r="C41" s="4" t="s">
        <v>134</v>
      </c>
      <c r="D41" s="27" t="s">
        <v>135</v>
      </c>
      <c r="E41" s="28" t="s">
        <v>64</v>
      </c>
      <c r="F41" s="5" t="s">
        <v>49</v>
      </c>
      <c r="G41" s="21">
        <v>1</v>
      </c>
      <c r="H41" s="22">
        <f>VLOOKUP($C41,'Master File June-26'!$C$3:$L$670,6,0)</f>
        <v>3410</v>
      </c>
      <c r="I41" s="22">
        <f>VLOOKUP($C41,'Master File June-26'!$C$3:$L$670,7,0)</f>
        <v>3410</v>
      </c>
      <c r="J41" s="5">
        <f>VLOOKUP($C41,'Master File June-26'!$C$3:$L$670,8,0)</f>
        <v>14</v>
      </c>
      <c r="K41" s="23">
        <f>VLOOKUP($C41,'Master File June-26'!$C$3:$L$670,9,0)</f>
        <v>1705</v>
      </c>
      <c r="L41" s="58">
        <f>VLOOKUP($C41,'Master File June-26'!$C$3:$L$670,10,0)</f>
        <v>0</v>
      </c>
      <c r="M41" s="24">
        <f t="shared" si="0"/>
        <v>0</v>
      </c>
      <c r="N41" s="25" t="str">
        <f t="shared" si="1"/>
        <v>ORDER NOW</v>
      </c>
      <c r="O41" s="25" t="str">
        <f t="shared" si="2"/>
        <v>CRITICAL</v>
      </c>
      <c r="S41" s="79">
        <f t="shared" si="3"/>
        <v>0</v>
      </c>
    </row>
    <row r="42" spans="1:19" ht="18.75" x14ac:dyDescent="0.25">
      <c r="A42" s="41">
        <v>453</v>
      </c>
      <c r="B42" s="41" t="s">
        <v>38</v>
      </c>
      <c r="C42" s="41" t="s">
        <v>136</v>
      </c>
      <c r="D42" s="27" t="s">
        <v>137</v>
      </c>
      <c r="E42" s="28" t="s">
        <v>138</v>
      </c>
      <c r="F42" s="5" t="s">
        <v>22</v>
      </c>
      <c r="G42" s="21">
        <v>8.3333333333333329E-2</v>
      </c>
      <c r="H42" s="22">
        <f>VLOOKUP($C42,'Master File June-26'!$C$3:$L$670,6,0)</f>
        <v>250</v>
      </c>
      <c r="I42" s="22">
        <f>VLOOKUP($C42,'Master File June-26'!$C$3:$L$670,7,0)</f>
        <v>3000</v>
      </c>
      <c r="J42" s="5">
        <f>VLOOKUP($C42,'Master File June-26'!$C$3:$L$670,8,0)</f>
        <v>14</v>
      </c>
      <c r="K42" s="23">
        <f>VLOOKUP($C42,'Master File June-26'!$C$3:$L$670,9,0)</f>
        <v>1500</v>
      </c>
      <c r="L42" s="58">
        <f>VLOOKUP($C42,'Master File June-26'!$C$3:$L$670,10,0)</f>
        <v>0</v>
      </c>
      <c r="M42" s="24">
        <f t="shared" si="0"/>
        <v>0</v>
      </c>
      <c r="N42" s="25" t="str">
        <f t="shared" si="1"/>
        <v>ORDER NOW</v>
      </c>
      <c r="O42" s="25" t="str">
        <f t="shared" si="2"/>
        <v>CRITICAL</v>
      </c>
      <c r="S42" s="79">
        <f t="shared" si="3"/>
        <v>0</v>
      </c>
    </row>
    <row r="43" spans="1:19" ht="18.75" x14ac:dyDescent="0.25">
      <c r="A43" s="4">
        <v>613</v>
      </c>
      <c r="B43" s="4" t="s">
        <v>133</v>
      </c>
      <c r="C43" s="4" t="s">
        <v>139</v>
      </c>
      <c r="D43" s="27" t="s">
        <v>140</v>
      </c>
      <c r="E43" s="28" t="s">
        <v>64</v>
      </c>
      <c r="F43" s="5" t="s">
        <v>49</v>
      </c>
      <c r="G43" s="21">
        <v>1</v>
      </c>
      <c r="H43" s="22">
        <f>VLOOKUP($C43,'Master File June-26'!$C$3:$L$670,6,0)</f>
        <v>7645</v>
      </c>
      <c r="I43" s="22">
        <f>VLOOKUP($C43,'Master File June-26'!$C$3:$L$670,7,0)</f>
        <v>7645</v>
      </c>
      <c r="J43" s="5">
        <f>VLOOKUP($C43,'Master File June-26'!$C$3:$L$670,8,0)</f>
        <v>14</v>
      </c>
      <c r="K43" s="23">
        <f>VLOOKUP($C43,'Master File June-26'!$C$3:$L$670,9,0)</f>
        <v>3822.5</v>
      </c>
      <c r="L43" s="58">
        <f>VLOOKUP($C43,'Master File June-26'!$C$3:$L$670,10,0)</f>
        <v>0</v>
      </c>
      <c r="M43" s="24">
        <f t="shared" si="0"/>
        <v>0</v>
      </c>
      <c r="N43" s="25" t="str">
        <f t="shared" si="1"/>
        <v>ORDER NOW</v>
      </c>
      <c r="O43" s="25" t="str">
        <f t="shared" si="2"/>
        <v>CRITICAL</v>
      </c>
      <c r="S43" s="79">
        <f t="shared" si="3"/>
        <v>0</v>
      </c>
    </row>
    <row r="44" spans="1:19" ht="18.75" x14ac:dyDescent="0.25">
      <c r="A44" s="19">
        <v>160</v>
      </c>
      <c r="B44" s="19" t="s">
        <v>18</v>
      </c>
      <c r="C44" s="19" t="s">
        <v>141</v>
      </c>
      <c r="D44" s="27" t="s">
        <v>142</v>
      </c>
      <c r="E44" s="28" t="s">
        <v>78</v>
      </c>
      <c r="F44" s="5" t="s">
        <v>49</v>
      </c>
      <c r="G44" s="21">
        <v>1</v>
      </c>
      <c r="H44" s="22">
        <f>VLOOKUP($C44,'Master File June-26'!$C$3:$L$670,6,0)</f>
        <v>60000</v>
      </c>
      <c r="I44" s="22">
        <f>VLOOKUP($C44,'Master File June-26'!$C$3:$L$670,7,0)</f>
        <v>60000</v>
      </c>
      <c r="J44" s="5">
        <f>VLOOKUP($C44,'Master File June-26'!$C$3:$L$670,8,0)</f>
        <v>14</v>
      </c>
      <c r="K44" s="23">
        <f>VLOOKUP($C44,'Master File June-26'!$C$3:$L$670,9,0)</f>
        <v>30000</v>
      </c>
      <c r="L44" s="58">
        <f>VLOOKUP($C44,'Master File June-26'!$C$3:$L$670,10,0)</f>
        <v>0</v>
      </c>
      <c r="M44" s="24">
        <f t="shared" si="0"/>
        <v>0</v>
      </c>
      <c r="N44" s="25" t="str">
        <f t="shared" si="1"/>
        <v>ORDER NOW</v>
      </c>
      <c r="O44" s="25" t="str">
        <f t="shared" si="2"/>
        <v>CRITICAL</v>
      </c>
      <c r="S44" s="79">
        <f t="shared" si="3"/>
        <v>0</v>
      </c>
    </row>
    <row r="45" spans="1:19" ht="18.75" x14ac:dyDescent="0.25">
      <c r="A45" s="19">
        <v>11</v>
      </c>
      <c r="B45" s="19" t="s">
        <v>18</v>
      </c>
      <c r="C45" s="19" t="s">
        <v>143</v>
      </c>
      <c r="D45" s="29" t="s">
        <v>144</v>
      </c>
      <c r="E45" s="30" t="s">
        <v>145</v>
      </c>
      <c r="F45" s="5" t="s">
        <v>22</v>
      </c>
      <c r="G45" s="21">
        <f>1/8000</f>
        <v>1.25E-4</v>
      </c>
      <c r="H45" s="22">
        <f>VLOOKUP($C45,'Master File June-26'!$C$3:$L$670,6,0)</f>
        <v>8</v>
      </c>
      <c r="I45" s="22">
        <f>VLOOKUP($C45,'Master File June-26'!$C$3:$L$670,7,0)</f>
        <v>64000</v>
      </c>
      <c r="J45" s="5">
        <f>VLOOKUP($C45,'Master File June-26'!$C$3:$L$670,8,0)</f>
        <v>14</v>
      </c>
      <c r="K45" s="23">
        <f>VLOOKUP($C45,'Master File June-26'!$C$3:$L$670,9,0)</f>
        <v>32000</v>
      </c>
      <c r="L45" s="58">
        <f>VLOOKUP($C45,'Master File June-26'!$C$3:$L$670,10,0)</f>
        <v>150</v>
      </c>
      <c r="M45" s="24">
        <f t="shared" si="0"/>
        <v>7.03125E-2</v>
      </c>
      <c r="N45" s="25" t="str">
        <f t="shared" si="1"/>
        <v>ORDER NOW</v>
      </c>
      <c r="O45" s="25" t="str">
        <f t="shared" si="2"/>
        <v>CRITICAL</v>
      </c>
      <c r="R45" t="s">
        <v>30</v>
      </c>
      <c r="S45" s="79">
        <f t="shared" si="3"/>
        <v>0</v>
      </c>
    </row>
    <row r="46" spans="1:19" ht="18.75" x14ac:dyDescent="0.25">
      <c r="A46" s="19">
        <v>19</v>
      </c>
      <c r="B46" s="19" t="s">
        <v>18</v>
      </c>
      <c r="C46" s="19" t="s">
        <v>146</v>
      </c>
      <c r="D46" s="68" t="s">
        <v>147</v>
      </c>
      <c r="E46" s="28" t="s">
        <v>148</v>
      </c>
      <c r="F46" s="5" t="s">
        <v>22</v>
      </c>
      <c r="G46" s="21">
        <v>2.5000000000000001E-3</v>
      </c>
      <c r="H46" s="22">
        <f>VLOOKUP($C46,'Master File June-26'!$C$3:$L$670,6,0)</f>
        <v>0</v>
      </c>
      <c r="I46" s="22">
        <f>VLOOKUP($C46,'Master File June-26'!$C$3:$L$670,7,0)</f>
        <v>0</v>
      </c>
      <c r="J46" s="5">
        <f>VLOOKUP($C46,'Master File June-26'!$C$3:$L$670,8,0)</f>
        <v>14</v>
      </c>
      <c r="K46" s="23">
        <f>VLOOKUP($C46,'Master File June-26'!$C$3:$L$670,9,0)</f>
        <v>0</v>
      </c>
      <c r="L46" s="58">
        <f>VLOOKUP($C46,'Master File June-26'!$C$3:$L$670,10,0)</f>
        <v>0</v>
      </c>
      <c r="M46" s="24">
        <f t="shared" si="0"/>
        <v>0</v>
      </c>
      <c r="N46" s="25" t="str">
        <f t="shared" si="1"/>
        <v>ORDER NOW</v>
      </c>
      <c r="O46" s="25" t="str">
        <f t="shared" si="2"/>
        <v>CRITICAL</v>
      </c>
      <c r="R46" t="s">
        <v>26</v>
      </c>
      <c r="S46" s="79">
        <f t="shared" si="3"/>
        <v>1</v>
      </c>
    </row>
    <row r="47" spans="1:19" ht="18.75" x14ac:dyDescent="0.25">
      <c r="A47" s="19">
        <v>29</v>
      </c>
      <c r="B47" s="19" t="s">
        <v>18</v>
      </c>
      <c r="C47" s="19" t="s">
        <v>149</v>
      </c>
      <c r="D47" s="68" t="s">
        <v>150</v>
      </c>
      <c r="E47" s="28" t="s">
        <v>151</v>
      </c>
      <c r="F47" s="5" t="s">
        <v>22</v>
      </c>
      <c r="G47" s="21">
        <f>1/1000</f>
        <v>1E-3</v>
      </c>
      <c r="H47" s="22">
        <f>VLOOKUP($C47,'Master File June-26'!$C$3:$L$670,6,0)</f>
        <v>0</v>
      </c>
      <c r="I47" s="22">
        <f>VLOOKUP($C47,'Master File June-26'!$C$3:$L$670,7,0)</f>
        <v>0</v>
      </c>
      <c r="J47" s="5">
        <f>VLOOKUP($C47,'Master File June-26'!$C$3:$L$670,8,0)</f>
        <v>60</v>
      </c>
      <c r="K47" s="23">
        <f>VLOOKUP($C47,'Master File June-26'!$C$3:$L$670,9,0)</f>
        <v>0</v>
      </c>
      <c r="L47" s="58">
        <f>VLOOKUP($C47,'Master File June-26'!$C$3:$L$670,10,0)</f>
        <v>0</v>
      </c>
      <c r="M47" s="24">
        <f t="shared" si="0"/>
        <v>0</v>
      </c>
      <c r="N47" s="25" t="str">
        <f t="shared" si="1"/>
        <v>ORDER NOW</v>
      </c>
      <c r="O47" s="25" t="str">
        <f t="shared" si="2"/>
        <v>CRITICAL</v>
      </c>
      <c r="R47" t="s">
        <v>26</v>
      </c>
      <c r="S47" s="79">
        <f t="shared" si="3"/>
        <v>1</v>
      </c>
    </row>
    <row r="48" spans="1:19" ht="18.75" x14ac:dyDescent="0.25">
      <c r="A48" s="19">
        <v>46</v>
      </c>
      <c r="B48" s="19" t="s">
        <v>18</v>
      </c>
      <c r="C48" s="19" t="s">
        <v>152</v>
      </c>
      <c r="D48" s="29" t="s">
        <v>153</v>
      </c>
      <c r="E48" s="30"/>
      <c r="F48" s="5" t="s">
        <v>22</v>
      </c>
      <c r="G48" s="21">
        <v>1</v>
      </c>
      <c r="H48" s="22">
        <f>VLOOKUP($C48,'Master File June-26'!$C$3:$L$670,6,0)</f>
        <v>5.5</v>
      </c>
      <c r="I48" s="22">
        <f>VLOOKUP($C48,'Master File June-26'!$C$3:$L$670,7,0)</f>
        <v>5.5</v>
      </c>
      <c r="J48" s="5">
        <f>VLOOKUP($C48,'Master File June-26'!$C$3:$L$670,8,0)</f>
        <v>14</v>
      </c>
      <c r="K48" s="23">
        <f>VLOOKUP($C48,'Master File June-26'!$C$3:$L$670,9,0)</f>
        <v>2.75</v>
      </c>
      <c r="L48" s="58">
        <f>VLOOKUP($C48,'Master File June-26'!$C$3:$L$670,10,0)</f>
        <v>0</v>
      </c>
      <c r="M48" s="24">
        <f t="shared" si="0"/>
        <v>0</v>
      </c>
      <c r="N48" s="25" t="str">
        <f t="shared" si="1"/>
        <v>ORDER NOW</v>
      </c>
      <c r="O48" s="25" t="str">
        <f t="shared" si="2"/>
        <v>CRITICAL</v>
      </c>
      <c r="R48" t="s">
        <v>30</v>
      </c>
      <c r="S48" s="79">
        <f t="shared" si="3"/>
        <v>0</v>
      </c>
    </row>
    <row r="49" spans="1:19" ht="18.75" x14ac:dyDescent="0.25">
      <c r="A49" s="19">
        <v>49</v>
      </c>
      <c r="B49" s="19" t="s">
        <v>18</v>
      </c>
      <c r="C49" s="19" t="s">
        <v>154</v>
      </c>
      <c r="D49" s="68" t="s">
        <v>155</v>
      </c>
      <c r="E49" s="28" t="s">
        <v>156</v>
      </c>
      <c r="F49" s="5" t="s">
        <v>22</v>
      </c>
      <c r="G49" s="21">
        <f>1/8000</f>
        <v>1.25E-4</v>
      </c>
      <c r="H49" s="22">
        <f>VLOOKUP($C49,'Master File June-26'!$C$3:$L$670,6,0)</f>
        <v>0</v>
      </c>
      <c r="I49" s="22">
        <f>VLOOKUP($C49,'Master File June-26'!$C$3:$L$670,7,0)</f>
        <v>0</v>
      </c>
      <c r="J49" s="5">
        <f>VLOOKUP($C49,'Master File June-26'!$C$3:$L$670,8,0)</f>
        <v>14</v>
      </c>
      <c r="K49" s="23">
        <f>VLOOKUP($C49,'Master File June-26'!$C$3:$L$670,9,0)</f>
        <v>0</v>
      </c>
      <c r="L49" s="58">
        <f>VLOOKUP($C49,'Master File June-26'!$C$3:$L$670,10,0)</f>
        <v>8000</v>
      </c>
      <c r="M49" s="24">
        <f t="shared" si="0"/>
        <v>0</v>
      </c>
      <c r="N49" s="25" t="str">
        <f t="shared" si="1"/>
        <v>ORDER NOW</v>
      </c>
      <c r="O49" s="25" t="str">
        <f t="shared" si="2"/>
        <v>CRITICAL</v>
      </c>
      <c r="R49" t="s">
        <v>30</v>
      </c>
      <c r="S49" s="79">
        <f t="shared" si="3"/>
        <v>1</v>
      </c>
    </row>
    <row r="50" spans="1:19" ht="18.75" x14ac:dyDescent="0.25">
      <c r="A50" s="19">
        <v>50</v>
      </c>
      <c r="B50" s="19" t="s">
        <v>157</v>
      </c>
      <c r="C50" s="19" t="s">
        <v>158</v>
      </c>
      <c r="D50" s="27" t="s">
        <v>159</v>
      </c>
      <c r="E50" s="28" t="s">
        <v>160</v>
      </c>
      <c r="F50" s="5" t="s">
        <v>49</v>
      </c>
      <c r="G50" s="21">
        <v>1</v>
      </c>
      <c r="H50" s="22">
        <f>VLOOKUP($C50,'Master File June-26'!$C$3:$L$670,6,0)</f>
        <v>44</v>
      </c>
      <c r="I50" s="22">
        <f>VLOOKUP($C50,'Master File June-26'!$C$3:$L$670,7,0)</f>
        <v>44</v>
      </c>
      <c r="J50" s="5">
        <f>VLOOKUP($C50,'Master File June-26'!$C$3:$L$670,8,0)</f>
        <v>14</v>
      </c>
      <c r="K50" s="23">
        <f>VLOOKUP($C50,'Master File June-26'!$C$3:$L$670,9,0)</f>
        <v>22</v>
      </c>
      <c r="L50" s="58">
        <f>VLOOKUP($C50,'Master File June-26'!$C$3:$L$670,10,0)</f>
        <v>0</v>
      </c>
      <c r="M50" s="24">
        <f t="shared" si="0"/>
        <v>0</v>
      </c>
      <c r="N50" s="25" t="str">
        <f t="shared" si="1"/>
        <v>ORDER NOW</v>
      </c>
      <c r="O50" s="25" t="str">
        <f t="shared" si="2"/>
        <v>CRITICAL</v>
      </c>
      <c r="R50" t="s">
        <v>30</v>
      </c>
      <c r="S50" s="79">
        <f t="shared" si="3"/>
        <v>0</v>
      </c>
    </row>
    <row r="51" spans="1:19" ht="18.75" x14ac:dyDescent="0.25">
      <c r="A51" s="19">
        <v>59</v>
      </c>
      <c r="B51" s="19" t="s">
        <v>18</v>
      </c>
      <c r="C51" s="19" t="s">
        <v>161</v>
      </c>
      <c r="D51" s="68" t="s">
        <v>162</v>
      </c>
      <c r="E51" s="33" t="s">
        <v>78</v>
      </c>
      <c r="F51" s="5" t="s">
        <v>49</v>
      </c>
      <c r="G51" s="21">
        <v>1</v>
      </c>
      <c r="H51" s="22">
        <f>VLOOKUP($C51,'Master File June-26'!$C$3:$L$670,6,0)</f>
        <v>40</v>
      </c>
      <c r="I51" s="22">
        <f>VLOOKUP($C51,'Master File June-26'!$C$3:$L$670,7,0)</f>
        <v>40</v>
      </c>
      <c r="J51" s="5">
        <f>VLOOKUP($C51,'Master File June-26'!$C$3:$L$670,8,0)</f>
        <v>30</v>
      </c>
      <c r="K51" s="23">
        <f>VLOOKUP($C51,'Master File June-26'!$C$3:$L$670,9,0)</f>
        <v>42.857142857142854</v>
      </c>
      <c r="L51" s="58">
        <f>VLOOKUP($C51,'Master File June-26'!$C$3:$L$670,10,0)</f>
        <v>0</v>
      </c>
      <c r="M51" s="24">
        <f t="shared" si="0"/>
        <v>0</v>
      </c>
      <c r="N51" s="25" t="str">
        <f t="shared" si="1"/>
        <v>ORDER NOW</v>
      </c>
      <c r="O51" s="25" t="str">
        <f t="shared" si="2"/>
        <v>CRITICAL</v>
      </c>
      <c r="R51" t="s">
        <v>30</v>
      </c>
      <c r="S51" s="79">
        <f t="shared" si="3"/>
        <v>0</v>
      </c>
    </row>
    <row r="52" spans="1:19" ht="18.75" x14ac:dyDescent="0.25">
      <c r="A52" s="19">
        <v>60</v>
      </c>
      <c r="B52" s="19" t="s">
        <v>18</v>
      </c>
      <c r="C52" s="19" t="s">
        <v>163</v>
      </c>
      <c r="D52" s="68" t="s">
        <v>164</v>
      </c>
      <c r="E52" s="33" t="s">
        <v>78</v>
      </c>
      <c r="F52" s="5" t="s">
        <v>49</v>
      </c>
      <c r="G52" s="21">
        <v>1</v>
      </c>
      <c r="H52" s="22">
        <f>VLOOKUP($C52,'Master File June-26'!$C$3:$L$670,6,0)</f>
        <v>10</v>
      </c>
      <c r="I52" s="22">
        <f>VLOOKUP($C52,'Master File June-26'!$C$3:$L$670,7,0)</f>
        <v>10</v>
      </c>
      <c r="J52" s="5">
        <f>VLOOKUP($C52,'Master File June-26'!$C$3:$L$670,8,0)</f>
        <v>30</v>
      </c>
      <c r="K52" s="23">
        <f>VLOOKUP($C52,'Master File June-26'!$C$3:$L$670,9,0)</f>
        <v>10.714285714285714</v>
      </c>
      <c r="L52" s="58">
        <f>VLOOKUP($C52,'Master File June-26'!$C$3:$L$670,10,0)</f>
        <v>0</v>
      </c>
      <c r="M52" s="24">
        <f t="shared" si="0"/>
        <v>0</v>
      </c>
      <c r="N52" s="25" t="str">
        <f t="shared" si="1"/>
        <v>ORDER NOW</v>
      </c>
      <c r="O52" s="25" t="str">
        <f t="shared" si="2"/>
        <v>CRITICAL</v>
      </c>
      <c r="R52" t="s">
        <v>30</v>
      </c>
      <c r="S52" s="79">
        <f t="shared" si="3"/>
        <v>0</v>
      </c>
    </row>
    <row r="53" spans="1:19" ht="18.75" x14ac:dyDescent="0.25">
      <c r="A53" s="19">
        <v>65</v>
      </c>
      <c r="B53" s="19" t="s">
        <v>18</v>
      </c>
      <c r="C53" s="19" t="s">
        <v>165</v>
      </c>
      <c r="D53" s="27" t="s">
        <v>166</v>
      </c>
      <c r="E53" s="28" t="s">
        <v>167</v>
      </c>
      <c r="F53" s="5" t="s">
        <v>22</v>
      </c>
      <c r="G53" s="21">
        <v>1E-3</v>
      </c>
      <c r="H53" s="22">
        <f>VLOOKUP($C53,'Master File June-26'!$C$3:$L$670,6,0)</f>
        <v>0</v>
      </c>
      <c r="I53" s="22">
        <f>VLOOKUP($C53,'Master File June-26'!$C$3:$L$670,7,0)</f>
        <v>0</v>
      </c>
      <c r="J53" s="5">
        <f>VLOOKUP($C53,'Master File June-26'!$C$3:$L$670,8,0)</f>
        <v>14</v>
      </c>
      <c r="K53" s="23">
        <f>VLOOKUP($C53,'Master File June-26'!$C$3:$L$670,9,0)</f>
        <v>0</v>
      </c>
      <c r="L53" s="58">
        <f>VLOOKUP($C53,'Master File June-26'!$C$3:$L$670,10,0)</f>
        <v>0</v>
      </c>
      <c r="M53" s="24">
        <f t="shared" si="0"/>
        <v>0</v>
      </c>
      <c r="N53" s="25" t="str">
        <f t="shared" si="1"/>
        <v>ORDER NOW</v>
      </c>
      <c r="O53" s="25" t="str">
        <f t="shared" si="2"/>
        <v>CRITICAL</v>
      </c>
      <c r="R53" t="s">
        <v>30</v>
      </c>
      <c r="S53" s="79">
        <f t="shared" si="3"/>
        <v>1</v>
      </c>
    </row>
    <row r="54" spans="1:19" ht="18.75" x14ac:dyDescent="0.25">
      <c r="A54" s="19">
        <v>66</v>
      </c>
      <c r="B54" s="19" t="s">
        <v>18</v>
      </c>
      <c r="C54" s="19" t="s">
        <v>168</v>
      </c>
      <c r="D54" s="27" t="s">
        <v>169</v>
      </c>
      <c r="E54" s="28" t="s">
        <v>170</v>
      </c>
      <c r="F54" s="5" t="s">
        <v>22</v>
      </c>
      <c r="G54" s="21">
        <v>4.1666666666666664E-2</v>
      </c>
      <c r="H54" s="22">
        <f>VLOOKUP($C54,'Master File June-26'!$C$3:$L$670,6,0)</f>
        <v>5.5</v>
      </c>
      <c r="I54" s="22">
        <f>VLOOKUP($C54,'Master File June-26'!$C$3:$L$670,7,0)</f>
        <v>132</v>
      </c>
      <c r="J54" s="5">
        <f>VLOOKUP($C54,'Master File June-26'!$C$3:$L$670,8,0)</f>
        <v>14</v>
      </c>
      <c r="K54" s="23">
        <f>VLOOKUP($C54,'Master File June-26'!$C$3:$L$670,9,0)</f>
        <v>66</v>
      </c>
      <c r="L54" s="58">
        <f>VLOOKUP($C54,'Master File June-26'!$C$3:$L$670,10,0)</f>
        <v>0</v>
      </c>
      <c r="M54" s="24">
        <f t="shared" si="0"/>
        <v>0</v>
      </c>
      <c r="N54" s="25" t="str">
        <f t="shared" si="1"/>
        <v>ORDER NOW</v>
      </c>
      <c r="O54" s="25" t="str">
        <f t="shared" si="2"/>
        <v>CRITICAL</v>
      </c>
      <c r="R54" t="s">
        <v>30</v>
      </c>
      <c r="S54" s="79">
        <f t="shared" si="3"/>
        <v>0</v>
      </c>
    </row>
    <row r="55" spans="1:19" ht="18.75" x14ac:dyDescent="0.25">
      <c r="A55" s="19">
        <v>69</v>
      </c>
      <c r="B55" s="19" t="s">
        <v>18</v>
      </c>
      <c r="C55" s="19" t="s">
        <v>171</v>
      </c>
      <c r="D55" s="29" t="s">
        <v>172</v>
      </c>
      <c r="E55" s="30"/>
      <c r="F55" s="5"/>
      <c r="G55" s="21">
        <v>1</v>
      </c>
      <c r="H55" s="22">
        <f>VLOOKUP($C55,'Master File June-26'!$C$3:$L$670,6,0)</f>
        <v>5.5</v>
      </c>
      <c r="I55" s="22">
        <f>VLOOKUP($C55,'Master File June-26'!$C$3:$L$670,7,0)</f>
        <v>5.5</v>
      </c>
      <c r="J55" s="5">
        <f>VLOOKUP($C55,'Master File June-26'!$C$3:$L$670,8,0)</f>
        <v>14</v>
      </c>
      <c r="K55" s="23">
        <f>VLOOKUP($C55,'Master File June-26'!$C$3:$L$670,9,0)</f>
        <v>2.75</v>
      </c>
      <c r="L55" s="58">
        <f>VLOOKUP($C55,'Master File June-26'!$C$3:$L$670,10,0)</f>
        <v>0</v>
      </c>
      <c r="M55" s="24">
        <f t="shared" si="0"/>
        <v>0</v>
      </c>
      <c r="N55" s="25" t="str">
        <f t="shared" si="1"/>
        <v>ORDER NOW</v>
      </c>
      <c r="O55" s="25" t="str">
        <f t="shared" si="2"/>
        <v>CRITICAL</v>
      </c>
      <c r="R55" t="s">
        <v>30</v>
      </c>
      <c r="S55" s="79">
        <f t="shared" si="3"/>
        <v>0</v>
      </c>
    </row>
    <row r="56" spans="1:19" ht="18.75" x14ac:dyDescent="0.25">
      <c r="A56" s="19">
        <v>72</v>
      </c>
      <c r="B56" s="19" t="s">
        <v>18</v>
      </c>
      <c r="C56" s="19" t="s">
        <v>173</v>
      </c>
      <c r="D56" s="27" t="s">
        <v>174</v>
      </c>
      <c r="E56" s="28" t="s">
        <v>175</v>
      </c>
      <c r="F56" s="5" t="s">
        <v>22</v>
      </c>
      <c r="G56" s="21">
        <f>1/50</f>
        <v>0.02</v>
      </c>
      <c r="H56" s="22">
        <f>VLOOKUP($C56,'Master File June-26'!$C$3:$L$670,6,0)</f>
        <v>11</v>
      </c>
      <c r="I56" s="22">
        <f>VLOOKUP($C56,'Master File June-26'!$C$3:$L$670,7,0)</f>
        <v>550</v>
      </c>
      <c r="J56" s="5">
        <f>VLOOKUP($C56,'Master File June-26'!$C$3:$L$670,8,0)</f>
        <v>14</v>
      </c>
      <c r="K56" s="23">
        <f>VLOOKUP($C56,'Master File June-26'!$C$3:$L$670,9,0)</f>
        <v>275</v>
      </c>
      <c r="L56" s="58">
        <f>VLOOKUP($C56,'Master File June-26'!$C$3:$L$670,10,0)</f>
        <v>0</v>
      </c>
      <c r="M56" s="24">
        <f t="shared" si="0"/>
        <v>0</v>
      </c>
      <c r="N56" s="25" t="str">
        <f t="shared" si="1"/>
        <v>ORDER NOW</v>
      </c>
      <c r="O56" s="25" t="str">
        <f t="shared" si="2"/>
        <v>CRITICAL</v>
      </c>
      <c r="R56" t="s">
        <v>30</v>
      </c>
      <c r="S56" s="79">
        <f t="shared" si="3"/>
        <v>0</v>
      </c>
    </row>
    <row r="57" spans="1:19" ht="18.75" x14ac:dyDescent="0.25">
      <c r="A57" s="19">
        <v>90</v>
      </c>
      <c r="B57" s="19" t="s">
        <v>18</v>
      </c>
      <c r="C57" s="19" t="s">
        <v>176</v>
      </c>
      <c r="D57" s="27" t="s">
        <v>177</v>
      </c>
      <c r="E57" s="28" t="s">
        <v>35</v>
      </c>
      <c r="F57" s="5" t="s">
        <v>22</v>
      </c>
      <c r="G57" s="21">
        <v>2E-3</v>
      </c>
      <c r="H57" s="22">
        <f>VLOOKUP($C57,'Master File June-26'!$C$3:$L$670,6,0)</f>
        <v>150</v>
      </c>
      <c r="I57" s="22">
        <f>VLOOKUP($C57,'Master File June-26'!$C$3:$L$670,7,0)</f>
        <v>75000</v>
      </c>
      <c r="J57" s="5">
        <f>VLOOKUP($C57,'Master File June-26'!$C$3:$L$670,8,0)</f>
        <v>14</v>
      </c>
      <c r="K57" s="23">
        <f>VLOOKUP($C57,'Master File June-26'!$C$3:$L$670,9,0)</f>
        <v>37500</v>
      </c>
      <c r="L57" s="58">
        <f>VLOOKUP($C57,'Master File June-26'!$C$3:$L$670,10,0)</f>
        <v>3500</v>
      </c>
      <c r="M57" s="24">
        <f t="shared" si="0"/>
        <v>1.4000000000000001</v>
      </c>
      <c r="N57" s="25" t="str">
        <f t="shared" si="1"/>
        <v>ORDER NOW</v>
      </c>
      <c r="O57" s="25" t="str">
        <f t="shared" si="2"/>
        <v>CRITICAL</v>
      </c>
      <c r="R57" t="s">
        <v>30</v>
      </c>
      <c r="S57" s="79">
        <f t="shared" si="3"/>
        <v>0</v>
      </c>
    </row>
    <row r="58" spans="1:19" ht="18.75" x14ac:dyDescent="0.25">
      <c r="A58" s="19">
        <v>95</v>
      </c>
      <c r="B58" s="19" t="s">
        <v>18</v>
      </c>
      <c r="C58" s="19" t="s">
        <v>178</v>
      </c>
      <c r="D58" s="68" t="s">
        <v>179</v>
      </c>
      <c r="E58" s="28" t="s">
        <v>180</v>
      </c>
      <c r="F58" s="5" t="s">
        <v>22</v>
      </c>
      <c r="G58" s="21">
        <v>1E-3</v>
      </c>
      <c r="H58" s="22">
        <f>VLOOKUP($C58,'Master File June-26'!$C$3:$L$670,6,0)</f>
        <v>0</v>
      </c>
      <c r="I58" s="22">
        <f>VLOOKUP($C58,'Master File June-26'!$C$3:$L$670,7,0)</f>
        <v>0</v>
      </c>
      <c r="J58" s="5">
        <f>VLOOKUP($C58,'Master File June-26'!$C$3:$L$670,8,0)</f>
        <v>14</v>
      </c>
      <c r="K58" s="23">
        <f>VLOOKUP($C58,'Master File June-26'!$C$3:$L$670,9,0)</f>
        <v>0</v>
      </c>
      <c r="L58" s="58">
        <f>VLOOKUP($C58,'Master File June-26'!$C$3:$L$670,10,0)</f>
        <v>0</v>
      </c>
      <c r="M58" s="24">
        <f t="shared" si="0"/>
        <v>0</v>
      </c>
      <c r="N58" s="25" t="str">
        <f t="shared" si="1"/>
        <v>ORDER NOW</v>
      </c>
      <c r="O58" s="25" t="str">
        <f t="shared" si="2"/>
        <v>CRITICAL</v>
      </c>
      <c r="R58" t="s">
        <v>26</v>
      </c>
      <c r="S58" s="79">
        <f t="shared" si="3"/>
        <v>1</v>
      </c>
    </row>
    <row r="59" spans="1:19" ht="18.75" x14ac:dyDescent="0.25">
      <c r="A59" s="19">
        <v>107</v>
      </c>
      <c r="B59" s="19" t="s">
        <v>18</v>
      </c>
      <c r="C59" s="19" t="s">
        <v>181</v>
      </c>
      <c r="D59" s="27" t="s">
        <v>182</v>
      </c>
      <c r="E59" s="28" t="s">
        <v>183</v>
      </c>
      <c r="F59" s="5" t="s">
        <v>22</v>
      </c>
      <c r="G59" s="21">
        <v>5.0000000000000001E-3</v>
      </c>
      <c r="H59" s="22">
        <f>VLOOKUP($C59,'Master File June-26'!$C$3:$L$670,6,0)</f>
        <v>25</v>
      </c>
      <c r="I59" s="22">
        <f>VLOOKUP($C59,'Master File June-26'!$C$3:$L$670,7,0)</f>
        <v>5000</v>
      </c>
      <c r="J59" s="5">
        <f>VLOOKUP($C59,'Master File June-26'!$C$3:$L$670,8,0)</f>
        <v>14</v>
      </c>
      <c r="K59" s="23">
        <f>VLOOKUP($C59,'Master File June-26'!$C$3:$L$670,9,0)</f>
        <v>2500</v>
      </c>
      <c r="L59" s="58">
        <f>VLOOKUP($C59,'Master File June-26'!$C$3:$L$670,10,0)</f>
        <v>0</v>
      </c>
      <c r="M59" s="24">
        <f t="shared" si="0"/>
        <v>0</v>
      </c>
      <c r="N59" s="25" t="str">
        <f t="shared" si="1"/>
        <v>ORDER NOW</v>
      </c>
      <c r="O59" s="25" t="str">
        <f t="shared" si="2"/>
        <v>CRITICAL</v>
      </c>
      <c r="R59" t="s">
        <v>30</v>
      </c>
      <c r="S59" s="79">
        <f t="shared" si="3"/>
        <v>0</v>
      </c>
    </row>
    <row r="60" spans="1:19" ht="18.75" x14ac:dyDescent="0.25">
      <c r="A60" s="19">
        <v>108</v>
      </c>
      <c r="B60" s="19" t="s">
        <v>18</v>
      </c>
      <c r="C60" s="19" t="s">
        <v>184</v>
      </c>
      <c r="D60" s="68" t="s">
        <v>185</v>
      </c>
      <c r="E60" s="28" t="s">
        <v>186</v>
      </c>
      <c r="F60" s="5" t="s">
        <v>22</v>
      </c>
      <c r="G60" s="21">
        <v>2E-3</v>
      </c>
      <c r="H60" s="22">
        <f>VLOOKUP($C60,'Master File June-26'!$C$3:$L$670,6,0)</f>
        <v>16</v>
      </c>
      <c r="I60" s="22">
        <f>VLOOKUP($C60,'Master File June-26'!$C$3:$L$670,7,0)</f>
        <v>8000</v>
      </c>
      <c r="J60" s="5">
        <f>VLOOKUP($C60,'Master File June-26'!$C$3:$L$670,8,0)</f>
        <v>14</v>
      </c>
      <c r="K60" s="23">
        <f>VLOOKUP($C60,'Master File June-26'!$C$3:$L$670,9,0)</f>
        <v>4000</v>
      </c>
      <c r="L60" s="58">
        <f>VLOOKUP($C60,'Master File June-26'!$C$3:$L$670,10,0)</f>
        <v>1000</v>
      </c>
      <c r="M60" s="24">
        <f t="shared" si="0"/>
        <v>3.75</v>
      </c>
      <c r="N60" s="25" t="str">
        <f t="shared" si="1"/>
        <v>ORDER NOW</v>
      </c>
      <c r="O60" s="25" t="str">
        <f t="shared" si="2"/>
        <v>CRITICAL</v>
      </c>
      <c r="R60" t="s">
        <v>30</v>
      </c>
      <c r="S60" s="79">
        <f t="shared" si="3"/>
        <v>0</v>
      </c>
    </row>
    <row r="61" spans="1:19" ht="18.75" x14ac:dyDescent="0.25">
      <c r="A61" s="19">
        <v>112</v>
      </c>
      <c r="B61" s="19" t="s">
        <v>18</v>
      </c>
      <c r="C61" s="19" t="s">
        <v>187</v>
      </c>
      <c r="D61" s="27" t="s">
        <v>188</v>
      </c>
      <c r="E61" s="28" t="s">
        <v>180</v>
      </c>
      <c r="F61" s="5" t="s">
        <v>22</v>
      </c>
      <c r="G61" s="21">
        <f>1/1000</f>
        <v>1E-3</v>
      </c>
      <c r="H61" s="22">
        <f>VLOOKUP($C61,'Master File June-26'!$C$3:$L$670,6,0)</f>
        <v>15</v>
      </c>
      <c r="I61" s="22">
        <f>VLOOKUP($C61,'Master File June-26'!$C$3:$L$670,7,0)</f>
        <v>15000</v>
      </c>
      <c r="J61" s="5">
        <f>VLOOKUP($C61,'Master File June-26'!$C$3:$L$670,8,0)</f>
        <v>14</v>
      </c>
      <c r="K61" s="23">
        <f>VLOOKUP($C61,'Master File June-26'!$C$3:$L$670,9,0)</f>
        <v>7500</v>
      </c>
      <c r="L61" s="58">
        <f>VLOOKUP($C61,'Master File June-26'!$C$3:$L$670,10,0)</f>
        <v>0</v>
      </c>
      <c r="M61" s="24">
        <f t="shared" si="0"/>
        <v>0</v>
      </c>
      <c r="N61" s="25" t="str">
        <f t="shared" si="1"/>
        <v>ORDER NOW</v>
      </c>
      <c r="O61" s="25" t="str">
        <f t="shared" si="2"/>
        <v>CRITICAL</v>
      </c>
      <c r="R61" t="s">
        <v>30</v>
      </c>
      <c r="S61" s="79">
        <f t="shared" si="3"/>
        <v>0</v>
      </c>
    </row>
    <row r="62" spans="1:19" ht="18.75" x14ac:dyDescent="0.25">
      <c r="A62" s="19">
        <v>116</v>
      </c>
      <c r="B62" s="19" t="s">
        <v>18</v>
      </c>
      <c r="C62" s="19" t="s">
        <v>189</v>
      </c>
      <c r="D62" s="27" t="s">
        <v>190</v>
      </c>
      <c r="E62" s="28" t="s">
        <v>191</v>
      </c>
      <c r="F62" s="5" t="s">
        <v>22</v>
      </c>
      <c r="G62" s="21">
        <v>1E-3</v>
      </c>
      <c r="H62" s="22">
        <f>VLOOKUP($C62,'Master File June-26'!$C$3:$L$670,6,0)</f>
        <v>8</v>
      </c>
      <c r="I62" s="22">
        <f>VLOOKUP($C62,'Master File June-26'!$C$3:$L$670,7,0)</f>
        <v>8000</v>
      </c>
      <c r="J62" s="5">
        <f>VLOOKUP($C62,'Master File June-26'!$C$3:$L$670,8,0)</f>
        <v>14</v>
      </c>
      <c r="K62" s="23">
        <f>VLOOKUP($C62,'Master File June-26'!$C$3:$L$670,9,0)</f>
        <v>4000</v>
      </c>
      <c r="L62" s="58">
        <f>VLOOKUP($C62,'Master File June-26'!$C$3:$L$670,10,0)</f>
        <v>0</v>
      </c>
      <c r="M62" s="24">
        <f t="shared" si="0"/>
        <v>0</v>
      </c>
      <c r="N62" s="25" t="str">
        <f t="shared" si="1"/>
        <v>ORDER NOW</v>
      </c>
      <c r="O62" s="25" t="str">
        <f t="shared" si="2"/>
        <v>CRITICAL</v>
      </c>
      <c r="R62" t="s">
        <v>30</v>
      </c>
      <c r="S62" s="79">
        <f t="shared" si="3"/>
        <v>0</v>
      </c>
    </row>
    <row r="63" spans="1:19" ht="18.75" x14ac:dyDescent="0.25">
      <c r="A63" s="19">
        <v>123</v>
      </c>
      <c r="B63" s="19" t="s">
        <v>18</v>
      </c>
      <c r="C63" s="19" t="s">
        <v>192</v>
      </c>
      <c r="D63" s="27" t="s">
        <v>193</v>
      </c>
      <c r="E63" s="28" t="s">
        <v>98</v>
      </c>
      <c r="F63" s="5" t="s">
        <v>46</v>
      </c>
      <c r="G63" s="21">
        <v>2E-3</v>
      </c>
      <c r="H63" s="22">
        <f>VLOOKUP($C63,'Master File June-26'!$C$3:$L$670,6,0)</f>
        <v>15</v>
      </c>
      <c r="I63" s="22">
        <f>VLOOKUP($C63,'Master File June-26'!$C$3:$L$670,7,0)</f>
        <v>7500</v>
      </c>
      <c r="J63" s="5">
        <f>VLOOKUP($C63,'Master File June-26'!$C$3:$L$670,8,0)</f>
        <v>14</v>
      </c>
      <c r="K63" s="23">
        <f>VLOOKUP($C63,'Master File June-26'!$C$3:$L$670,9,0)</f>
        <v>3750</v>
      </c>
      <c r="L63" s="58">
        <f>VLOOKUP($C63,'Master File June-26'!$C$3:$L$670,10,0)</f>
        <v>0</v>
      </c>
      <c r="M63" s="24">
        <f t="shared" si="0"/>
        <v>0</v>
      </c>
      <c r="N63" s="25" t="str">
        <f t="shared" si="1"/>
        <v>ORDER NOW</v>
      </c>
      <c r="O63" s="25" t="str">
        <f t="shared" si="2"/>
        <v>CRITICAL</v>
      </c>
      <c r="R63" t="s">
        <v>30</v>
      </c>
      <c r="S63" s="79">
        <f t="shared" si="3"/>
        <v>0</v>
      </c>
    </row>
    <row r="64" spans="1:19" ht="18.75" x14ac:dyDescent="0.25">
      <c r="A64" s="19">
        <v>127</v>
      </c>
      <c r="B64" s="19" t="s">
        <v>18</v>
      </c>
      <c r="C64" s="19" t="s">
        <v>194</v>
      </c>
      <c r="D64" s="27" t="s">
        <v>195</v>
      </c>
      <c r="E64" s="28" t="s">
        <v>196</v>
      </c>
      <c r="F64" s="5" t="s">
        <v>46</v>
      </c>
      <c r="G64" s="21">
        <v>0.01</v>
      </c>
      <c r="H64" s="22">
        <f>VLOOKUP($C64,'Master File June-26'!$C$3:$L$670,6,0)</f>
        <v>300</v>
      </c>
      <c r="I64" s="22">
        <f>VLOOKUP($C64,'Master File June-26'!$C$3:$L$670,7,0)</f>
        <v>30000</v>
      </c>
      <c r="J64" s="5">
        <f>VLOOKUP($C64,'Master File June-26'!$C$3:$L$670,8,0)</f>
        <v>14</v>
      </c>
      <c r="K64" s="23">
        <f>VLOOKUP($C64,'Master File June-26'!$C$3:$L$670,9,0)</f>
        <v>15000</v>
      </c>
      <c r="L64" s="58">
        <f>VLOOKUP($C64,'Master File June-26'!$C$3:$L$670,10,0)</f>
        <v>0</v>
      </c>
      <c r="M64" s="24">
        <f t="shared" si="0"/>
        <v>0</v>
      </c>
      <c r="N64" s="25" t="str">
        <f t="shared" si="1"/>
        <v>ORDER NOW</v>
      </c>
      <c r="O64" s="25" t="str">
        <f t="shared" si="2"/>
        <v>CRITICAL</v>
      </c>
      <c r="R64" t="s">
        <v>30</v>
      </c>
      <c r="S64" s="79">
        <f t="shared" si="3"/>
        <v>0</v>
      </c>
    </row>
    <row r="65" spans="1:19" ht="18.75" x14ac:dyDescent="0.25">
      <c r="A65" s="19">
        <v>129</v>
      </c>
      <c r="B65" s="19" t="s">
        <v>18</v>
      </c>
      <c r="C65" s="19" t="s">
        <v>197</v>
      </c>
      <c r="D65" s="27" t="s">
        <v>198</v>
      </c>
      <c r="E65" s="28" t="s">
        <v>183</v>
      </c>
      <c r="F65" s="5" t="s">
        <v>22</v>
      </c>
      <c r="G65" s="21">
        <f>1/200</f>
        <v>5.0000000000000001E-3</v>
      </c>
      <c r="H65" s="22">
        <f>VLOOKUP($C65,'Master File June-26'!$C$3:$L$670,6,0)</f>
        <v>50</v>
      </c>
      <c r="I65" s="22">
        <f>VLOOKUP($C65,'Master File June-26'!$C$3:$L$670,7,0)</f>
        <v>10000</v>
      </c>
      <c r="J65" s="5">
        <f>VLOOKUP($C65,'Master File June-26'!$C$3:$L$670,8,0)</f>
        <v>14</v>
      </c>
      <c r="K65" s="23">
        <f>VLOOKUP($C65,'Master File June-26'!$C$3:$L$670,9,0)</f>
        <v>5000</v>
      </c>
      <c r="L65" s="58">
        <f>VLOOKUP($C65,'Master File June-26'!$C$3:$L$670,10,0)</f>
        <v>0</v>
      </c>
      <c r="M65" s="24">
        <f t="shared" si="0"/>
        <v>0</v>
      </c>
      <c r="N65" s="25" t="str">
        <f t="shared" si="1"/>
        <v>ORDER NOW</v>
      </c>
      <c r="O65" s="25" t="str">
        <f t="shared" si="2"/>
        <v>CRITICAL</v>
      </c>
      <c r="R65" t="s">
        <v>30</v>
      </c>
      <c r="S65" s="79">
        <f t="shared" si="3"/>
        <v>0</v>
      </c>
    </row>
    <row r="66" spans="1:19" ht="18.75" x14ac:dyDescent="0.25">
      <c r="A66" s="19">
        <v>136</v>
      </c>
      <c r="B66" s="19" t="s">
        <v>18</v>
      </c>
      <c r="C66" s="19" t="s">
        <v>199</v>
      </c>
      <c r="D66" s="32" t="s">
        <v>200</v>
      </c>
      <c r="E66" s="33" t="s">
        <v>201</v>
      </c>
      <c r="F66" s="5" t="s">
        <v>46</v>
      </c>
      <c r="G66" s="21">
        <v>0.02</v>
      </c>
      <c r="H66" s="22">
        <f>VLOOKUP($C66,'Master File June-26'!$C$3:$L$670,6,0)</f>
        <v>0</v>
      </c>
      <c r="I66" s="22">
        <f>VLOOKUP($C66,'Master File June-26'!$C$3:$L$670,7,0)</f>
        <v>0</v>
      </c>
      <c r="J66" s="5">
        <f>VLOOKUP($C66,'Master File June-26'!$C$3:$L$670,8,0)</f>
        <v>14</v>
      </c>
      <c r="K66" s="23">
        <f>VLOOKUP($C66,'Master File June-26'!$C$3:$L$670,9,0)</f>
        <v>0</v>
      </c>
      <c r="L66" s="58">
        <f>VLOOKUP($C66,'Master File June-26'!$C$3:$L$670,10,0)</f>
        <v>0</v>
      </c>
      <c r="M66" s="24">
        <f t="shared" si="0"/>
        <v>0</v>
      </c>
      <c r="N66" s="25" t="str">
        <f t="shared" si="1"/>
        <v>ORDER NOW</v>
      </c>
      <c r="O66" s="25" t="str">
        <f t="shared" si="2"/>
        <v>CRITICAL</v>
      </c>
      <c r="R66" t="s">
        <v>30</v>
      </c>
      <c r="S66" s="79">
        <f t="shared" si="3"/>
        <v>1</v>
      </c>
    </row>
    <row r="67" spans="1:19" ht="18.75" x14ac:dyDescent="0.25">
      <c r="A67" s="19">
        <v>144</v>
      </c>
      <c r="B67" s="19" t="s">
        <v>18</v>
      </c>
      <c r="C67" s="19" t="s">
        <v>202</v>
      </c>
      <c r="D67" s="65" t="s">
        <v>203</v>
      </c>
      <c r="E67" s="33" t="s">
        <v>49</v>
      </c>
      <c r="F67" s="5" t="s">
        <v>49</v>
      </c>
      <c r="G67" s="21">
        <v>1</v>
      </c>
      <c r="H67" s="22">
        <f>VLOOKUP($C67,'Master File June-26'!$C$3:$L$670,6,0)</f>
        <v>0</v>
      </c>
      <c r="I67" s="22">
        <f>VLOOKUP($C67,'Master File June-26'!$C$3:$L$670,7,0)</f>
        <v>200</v>
      </c>
      <c r="J67" s="5">
        <f>VLOOKUP($C67,'Master File June-26'!$C$3:$L$670,8,0)</f>
        <v>14</v>
      </c>
      <c r="K67" s="23">
        <f>VLOOKUP($C67,'Master File June-26'!$C$3:$L$670,9,0)</f>
        <v>100</v>
      </c>
      <c r="L67" s="58">
        <f>VLOOKUP($C67,'Master File June-26'!$C$3:$L$670,10,0)</f>
        <v>0</v>
      </c>
      <c r="M67" s="24">
        <f t="shared" ref="M67:M130" si="4">IFERROR((L67/I67*30),0)</f>
        <v>0</v>
      </c>
      <c r="N67" s="25" t="str">
        <f t="shared" ref="N67:N130" si="5">IF(M67&lt;J67,"ORDER NOW","IN STOCK")</f>
        <v>ORDER NOW</v>
      </c>
      <c r="O67" s="25" t="str">
        <f t="shared" ref="O67:O130" si="6">IF(M67&lt;J67,"CRITICAL","FOLLOW UP DELIVERY")</f>
        <v>CRITICAL</v>
      </c>
      <c r="R67" t="s">
        <v>30</v>
      </c>
      <c r="S67" s="79">
        <f t="shared" ref="S67:S130" si="7">IF(L67&lt;K67,0,1)</f>
        <v>0</v>
      </c>
    </row>
    <row r="68" spans="1:19" ht="18.75" x14ac:dyDescent="0.25">
      <c r="A68" s="19">
        <v>145</v>
      </c>
      <c r="B68" s="19" t="s">
        <v>18</v>
      </c>
      <c r="C68" s="19" t="s">
        <v>204</v>
      </c>
      <c r="D68" s="65" t="s">
        <v>205</v>
      </c>
      <c r="E68" s="33" t="s">
        <v>49</v>
      </c>
      <c r="F68" s="5" t="s">
        <v>49</v>
      </c>
      <c r="G68" s="21">
        <v>1</v>
      </c>
      <c r="H68" s="22">
        <f>VLOOKUP($C68,'Master File June-26'!$C$3:$L$670,6,0)</f>
        <v>0</v>
      </c>
      <c r="I68" s="22">
        <f>VLOOKUP($C68,'Master File June-26'!$C$3:$L$670,7,0)</f>
        <v>200</v>
      </c>
      <c r="J68" s="5">
        <f>VLOOKUP($C68,'Master File June-26'!$C$3:$L$670,8,0)</f>
        <v>14</v>
      </c>
      <c r="K68" s="23">
        <f>VLOOKUP($C68,'Master File June-26'!$C$3:$L$670,9,0)</f>
        <v>100</v>
      </c>
      <c r="L68" s="58">
        <f>VLOOKUP($C68,'Master File June-26'!$C$3:$L$670,10,0)</f>
        <v>0</v>
      </c>
      <c r="M68" s="24">
        <f t="shared" si="4"/>
        <v>0</v>
      </c>
      <c r="N68" s="25" t="str">
        <f t="shared" si="5"/>
        <v>ORDER NOW</v>
      </c>
      <c r="O68" s="25" t="str">
        <f t="shared" si="6"/>
        <v>CRITICAL</v>
      </c>
      <c r="R68" t="s">
        <v>30</v>
      </c>
      <c r="S68" s="79">
        <f t="shared" si="7"/>
        <v>0</v>
      </c>
    </row>
    <row r="69" spans="1:19" ht="18.75" x14ac:dyDescent="0.25">
      <c r="A69" s="19">
        <v>150</v>
      </c>
      <c r="B69" s="19" t="s">
        <v>18</v>
      </c>
      <c r="C69" s="19" t="s">
        <v>206</v>
      </c>
      <c r="D69" s="27" t="s">
        <v>207</v>
      </c>
      <c r="E69" s="28" t="s">
        <v>208</v>
      </c>
      <c r="F69" s="5" t="s">
        <v>46</v>
      </c>
      <c r="G69" s="21">
        <f>1/500</f>
        <v>2E-3</v>
      </c>
      <c r="H69" s="22">
        <f>VLOOKUP($C69,'Master File June-26'!$C$3:$L$670,6,0)</f>
        <v>6</v>
      </c>
      <c r="I69" s="22">
        <f>VLOOKUP($C69,'Master File June-26'!$C$3:$L$670,7,0)</f>
        <v>3000</v>
      </c>
      <c r="J69" s="5">
        <f>VLOOKUP($C69,'Master File June-26'!$C$3:$L$670,8,0)</f>
        <v>14</v>
      </c>
      <c r="K69" s="23">
        <f>VLOOKUP($C69,'Master File June-26'!$C$3:$L$670,9,0)</f>
        <v>1500</v>
      </c>
      <c r="L69" s="58">
        <f>VLOOKUP($C69,'Master File June-26'!$C$3:$L$670,10,0)</f>
        <v>0</v>
      </c>
      <c r="M69" s="24">
        <f t="shared" si="4"/>
        <v>0</v>
      </c>
      <c r="N69" s="25" t="str">
        <f t="shared" si="5"/>
        <v>ORDER NOW</v>
      </c>
      <c r="O69" s="25" t="str">
        <f t="shared" si="6"/>
        <v>CRITICAL</v>
      </c>
      <c r="R69" t="s">
        <v>30</v>
      </c>
      <c r="S69" s="79">
        <f t="shared" si="7"/>
        <v>0</v>
      </c>
    </row>
    <row r="70" spans="1:19" ht="18.75" x14ac:dyDescent="0.25">
      <c r="A70" s="19">
        <v>155</v>
      </c>
      <c r="B70" s="19" t="s">
        <v>18</v>
      </c>
      <c r="C70" s="19" t="s">
        <v>209</v>
      </c>
      <c r="D70" s="29" t="s">
        <v>210</v>
      </c>
      <c r="E70" s="28" t="s">
        <v>211</v>
      </c>
      <c r="F70" s="5" t="s">
        <v>22</v>
      </c>
      <c r="G70" s="21">
        <v>1.3333333333333333E-3</v>
      </c>
      <c r="H70" s="22">
        <f>VLOOKUP($C70,'Master File June-26'!$C$3:$L$670,6,0)</f>
        <v>28</v>
      </c>
      <c r="I70" s="22">
        <f>VLOOKUP($C70,'Master File June-26'!$C$3:$L$670,7,0)</f>
        <v>21000</v>
      </c>
      <c r="J70" s="5">
        <f>VLOOKUP($C70,'Master File June-26'!$C$3:$L$670,8,0)</f>
        <v>14</v>
      </c>
      <c r="K70" s="23">
        <f>VLOOKUP($C70,'Master File June-26'!$C$3:$L$670,9,0)</f>
        <v>10500</v>
      </c>
      <c r="L70" s="58">
        <f>VLOOKUP($C70,'Master File June-26'!$C$3:$L$670,10,0)</f>
        <v>0</v>
      </c>
      <c r="M70" s="24">
        <f t="shared" si="4"/>
        <v>0</v>
      </c>
      <c r="N70" s="25" t="str">
        <f t="shared" si="5"/>
        <v>ORDER NOW</v>
      </c>
      <c r="O70" s="25" t="str">
        <f t="shared" si="6"/>
        <v>CRITICAL</v>
      </c>
      <c r="S70" s="79">
        <f t="shared" si="7"/>
        <v>0</v>
      </c>
    </row>
    <row r="71" spans="1:19" ht="18.75" x14ac:dyDescent="0.25">
      <c r="A71" s="19">
        <v>156</v>
      </c>
      <c r="B71" s="19" t="s">
        <v>18</v>
      </c>
      <c r="C71" s="19" t="s">
        <v>212</v>
      </c>
      <c r="D71" s="29" t="s">
        <v>213</v>
      </c>
      <c r="E71" s="28"/>
      <c r="F71" s="5"/>
      <c r="G71" s="21">
        <v>1</v>
      </c>
      <c r="H71" s="22">
        <f>VLOOKUP($C71,'Master File June-26'!$C$3:$L$670,6,0)</f>
        <v>15000</v>
      </c>
      <c r="I71" s="22">
        <f>VLOOKUP($C71,'Master File June-26'!$C$3:$L$670,7,0)</f>
        <v>15000</v>
      </c>
      <c r="J71" s="5">
        <f>VLOOKUP($C71,'Master File June-26'!$C$3:$L$670,8,0)</f>
        <v>14</v>
      </c>
      <c r="K71" s="23">
        <f>VLOOKUP($C71,'Master File June-26'!$C$3:$L$670,9,0)</f>
        <v>7500</v>
      </c>
      <c r="L71" s="58">
        <f>VLOOKUP($C71,'Master File June-26'!$C$3:$L$670,10,0)</f>
        <v>0</v>
      </c>
      <c r="M71" s="24">
        <f t="shared" si="4"/>
        <v>0</v>
      </c>
      <c r="N71" s="25" t="str">
        <f t="shared" si="5"/>
        <v>ORDER NOW</v>
      </c>
      <c r="O71" s="25" t="str">
        <f t="shared" si="6"/>
        <v>CRITICAL</v>
      </c>
      <c r="S71" s="79">
        <f t="shared" si="7"/>
        <v>0</v>
      </c>
    </row>
    <row r="72" spans="1:19" ht="18.75" x14ac:dyDescent="0.25">
      <c r="A72" s="19">
        <v>157</v>
      </c>
      <c r="B72" s="19" t="s">
        <v>18</v>
      </c>
      <c r="C72" s="19" t="s">
        <v>214</v>
      </c>
      <c r="D72" s="29" t="s">
        <v>215</v>
      </c>
      <c r="E72" s="28" t="s">
        <v>216</v>
      </c>
      <c r="F72" s="5" t="s">
        <v>49</v>
      </c>
      <c r="G72" s="21">
        <f>1/25</f>
        <v>0.04</v>
      </c>
      <c r="H72" s="22">
        <f>VLOOKUP($C72,'Master File June-26'!$C$3:$L$670,6,0)</f>
        <v>400</v>
      </c>
      <c r="I72" s="22">
        <f>VLOOKUP($C72,'Master File June-26'!$C$3:$L$670,7,0)</f>
        <v>10000</v>
      </c>
      <c r="J72" s="5">
        <f>VLOOKUP($C72,'Master File June-26'!$C$3:$L$670,8,0)</f>
        <v>14</v>
      </c>
      <c r="K72" s="23">
        <f>VLOOKUP($C72,'Master File June-26'!$C$3:$L$670,9,0)</f>
        <v>5000</v>
      </c>
      <c r="L72" s="58">
        <f>VLOOKUP($C72,'Master File June-26'!$C$3:$L$670,10,0)</f>
        <v>0</v>
      </c>
      <c r="M72" s="24">
        <f t="shared" si="4"/>
        <v>0</v>
      </c>
      <c r="N72" s="25" t="str">
        <f t="shared" si="5"/>
        <v>ORDER NOW</v>
      </c>
      <c r="O72" s="25" t="str">
        <f t="shared" si="6"/>
        <v>CRITICAL</v>
      </c>
      <c r="S72" s="79">
        <f t="shared" si="7"/>
        <v>0</v>
      </c>
    </row>
    <row r="73" spans="1:19" ht="18.75" x14ac:dyDescent="0.25">
      <c r="A73" s="19">
        <v>158</v>
      </c>
      <c r="B73" s="19" t="s">
        <v>157</v>
      </c>
      <c r="C73" s="19" t="s">
        <v>217</v>
      </c>
      <c r="D73" s="27" t="s">
        <v>218</v>
      </c>
      <c r="E73" s="28" t="s">
        <v>78</v>
      </c>
      <c r="F73" s="5" t="s">
        <v>49</v>
      </c>
      <c r="G73" s="21">
        <v>1</v>
      </c>
      <c r="H73" s="22">
        <f>VLOOKUP($C73,'Master File June-26'!$C$3:$L$670,6,0)</f>
        <v>80</v>
      </c>
      <c r="I73" s="22">
        <f>VLOOKUP($C73,'Master File June-26'!$C$3:$L$670,7,0)</f>
        <v>80</v>
      </c>
      <c r="J73" s="5">
        <f>VLOOKUP($C73,'Master File June-26'!$C$3:$L$670,8,0)</f>
        <v>14</v>
      </c>
      <c r="K73" s="23">
        <f>VLOOKUP($C73,'Master File June-26'!$C$3:$L$670,9,0)</f>
        <v>40</v>
      </c>
      <c r="L73" s="58">
        <f>VLOOKUP($C73,'Master File June-26'!$C$3:$L$670,10,0)</f>
        <v>0</v>
      </c>
      <c r="M73" s="24">
        <f t="shared" si="4"/>
        <v>0</v>
      </c>
      <c r="N73" s="25" t="str">
        <f t="shared" si="5"/>
        <v>ORDER NOW</v>
      </c>
      <c r="O73" s="25" t="str">
        <f t="shared" si="6"/>
        <v>CRITICAL</v>
      </c>
      <c r="S73" s="79">
        <f t="shared" si="7"/>
        <v>0</v>
      </c>
    </row>
    <row r="74" spans="1:19" ht="18.75" x14ac:dyDescent="0.25">
      <c r="A74" s="19">
        <v>159</v>
      </c>
      <c r="B74" s="19" t="s">
        <v>18</v>
      </c>
      <c r="C74" s="19" t="s">
        <v>219</v>
      </c>
      <c r="D74" s="29" t="s">
        <v>220</v>
      </c>
      <c r="E74" s="28" t="s">
        <v>49</v>
      </c>
      <c r="F74" s="5" t="s">
        <v>49</v>
      </c>
      <c r="G74" s="21">
        <v>1</v>
      </c>
      <c r="H74" s="22">
        <f>VLOOKUP($C74,'Master File June-26'!$C$3:$L$670,6,0)</f>
        <v>3</v>
      </c>
      <c r="I74" s="22">
        <f>VLOOKUP($C74,'Master File June-26'!$C$3:$L$670,7,0)</f>
        <v>0</v>
      </c>
      <c r="J74" s="5">
        <f>VLOOKUP($C74,'Master File June-26'!$C$3:$L$670,8,0)</f>
        <v>14</v>
      </c>
      <c r="K74" s="23">
        <f>VLOOKUP($C74,'Master File June-26'!$C$3:$L$670,9,0)</f>
        <v>0</v>
      </c>
      <c r="L74" s="58">
        <f>VLOOKUP($C74,'Master File June-26'!$C$3:$L$670,10,0)</f>
        <v>0</v>
      </c>
      <c r="M74" s="24">
        <f t="shared" si="4"/>
        <v>0</v>
      </c>
      <c r="N74" s="25" t="str">
        <f t="shared" si="5"/>
        <v>ORDER NOW</v>
      </c>
      <c r="O74" s="25" t="str">
        <f t="shared" si="6"/>
        <v>CRITICAL</v>
      </c>
      <c r="S74" s="79">
        <f t="shared" si="7"/>
        <v>1</v>
      </c>
    </row>
    <row r="75" spans="1:19" ht="18.75" x14ac:dyDescent="0.25">
      <c r="A75" s="19">
        <v>170</v>
      </c>
      <c r="B75" s="19" t="s">
        <v>18</v>
      </c>
      <c r="C75" s="19" t="s">
        <v>221</v>
      </c>
      <c r="D75" s="27" t="s">
        <v>222</v>
      </c>
      <c r="E75" s="28" t="s">
        <v>223</v>
      </c>
      <c r="F75" s="5" t="s">
        <v>22</v>
      </c>
      <c r="G75" s="21">
        <v>6.6666666666666671E-3</v>
      </c>
      <c r="H75" s="22">
        <f>VLOOKUP($C75,'Master File June-26'!$C$3:$L$670,6,0)</f>
        <v>50</v>
      </c>
      <c r="I75" s="22">
        <f>VLOOKUP($C75,'Master File June-26'!$C$3:$L$670,7,0)</f>
        <v>7499.9999999999991</v>
      </c>
      <c r="J75" s="5">
        <f>VLOOKUP($C75,'Master File June-26'!$C$3:$L$670,8,0)</f>
        <v>14</v>
      </c>
      <c r="K75" s="23">
        <f>VLOOKUP($C75,'Master File June-26'!$C$3:$L$670,9,0)</f>
        <v>3749.9999999999995</v>
      </c>
      <c r="L75" s="58">
        <f>VLOOKUP($C75,'Master File June-26'!$C$3:$L$670,10,0)</f>
        <v>0</v>
      </c>
      <c r="M75" s="24">
        <f t="shared" si="4"/>
        <v>0</v>
      </c>
      <c r="N75" s="25" t="str">
        <f t="shared" si="5"/>
        <v>ORDER NOW</v>
      </c>
      <c r="O75" s="25" t="str">
        <f t="shared" si="6"/>
        <v>CRITICAL</v>
      </c>
      <c r="S75" s="79">
        <f t="shared" si="7"/>
        <v>0</v>
      </c>
    </row>
    <row r="76" spans="1:19" ht="18.75" x14ac:dyDescent="0.25">
      <c r="A76" s="19">
        <v>177</v>
      </c>
      <c r="B76" s="19" t="s">
        <v>18</v>
      </c>
      <c r="C76" s="19" t="s">
        <v>224</v>
      </c>
      <c r="D76" s="37" t="s">
        <v>225</v>
      </c>
      <c r="E76" s="34" t="s">
        <v>22</v>
      </c>
      <c r="F76" s="5" t="s">
        <v>22</v>
      </c>
      <c r="G76" s="21">
        <v>3.1250000000000002E-3</v>
      </c>
      <c r="H76" s="22">
        <f>VLOOKUP($C76,'Master File June-26'!$C$3:$L$670,6,0)</f>
        <v>10</v>
      </c>
      <c r="I76" s="22">
        <f>VLOOKUP($C76,'Master File June-26'!$C$3:$L$670,7,0)</f>
        <v>3200</v>
      </c>
      <c r="J76" s="5">
        <f>VLOOKUP($C76,'Master File June-26'!$C$3:$L$670,8,0)</f>
        <v>14</v>
      </c>
      <c r="K76" s="23">
        <f>VLOOKUP($C76,'Master File June-26'!$C$3:$L$670,9,0)</f>
        <v>1600</v>
      </c>
      <c r="L76" s="58">
        <f>VLOOKUP($C76,'Master File June-26'!$C$3:$L$670,10,0)</f>
        <v>0</v>
      </c>
      <c r="M76" s="24">
        <f t="shared" si="4"/>
        <v>0</v>
      </c>
      <c r="N76" s="25" t="str">
        <f t="shared" si="5"/>
        <v>ORDER NOW</v>
      </c>
      <c r="O76" s="25" t="str">
        <f t="shared" si="6"/>
        <v>CRITICAL</v>
      </c>
      <c r="S76" s="79">
        <f t="shared" si="7"/>
        <v>0</v>
      </c>
    </row>
    <row r="77" spans="1:19" ht="18.75" x14ac:dyDescent="0.25">
      <c r="A77" s="19">
        <v>183</v>
      </c>
      <c r="B77" s="19" t="s">
        <v>18</v>
      </c>
      <c r="C77" s="19" t="s">
        <v>226</v>
      </c>
      <c r="D77" s="4" t="s">
        <v>227</v>
      </c>
      <c r="E77" s="34" t="s">
        <v>49</v>
      </c>
      <c r="F77" s="5" t="s">
        <v>49</v>
      </c>
      <c r="G77" s="21">
        <v>1</v>
      </c>
      <c r="H77" s="22">
        <f>VLOOKUP($C77,'Master File June-26'!$C$3:$L$670,6,0)</f>
        <v>5000</v>
      </c>
      <c r="I77" s="22">
        <f>VLOOKUP($C77,'Master File June-26'!$C$3:$L$670,7,0)</f>
        <v>5000</v>
      </c>
      <c r="J77" s="5">
        <f>VLOOKUP($C77,'Master File June-26'!$C$3:$L$670,8,0)</f>
        <v>14</v>
      </c>
      <c r="K77" s="23">
        <f>VLOOKUP($C77,'Master File June-26'!$C$3:$L$670,9,0)</f>
        <v>2500</v>
      </c>
      <c r="L77" s="58">
        <f>VLOOKUP($C77,'Master File June-26'!$C$3:$L$670,10,0)</f>
        <v>0</v>
      </c>
      <c r="M77" s="24">
        <f t="shared" si="4"/>
        <v>0</v>
      </c>
      <c r="N77" s="25" t="str">
        <f t="shared" si="5"/>
        <v>ORDER NOW</v>
      </c>
      <c r="O77" s="25" t="str">
        <f t="shared" si="6"/>
        <v>CRITICAL</v>
      </c>
      <c r="S77" s="79">
        <f t="shared" si="7"/>
        <v>0</v>
      </c>
    </row>
    <row r="78" spans="1:19" ht="18.75" x14ac:dyDescent="0.25">
      <c r="A78" s="19">
        <v>184</v>
      </c>
      <c r="B78" s="19" t="s">
        <v>18</v>
      </c>
      <c r="C78" s="19" t="s">
        <v>228</v>
      </c>
      <c r="D78" s="4" t="s">
        <v>229</v>
      </c>
      <c r="E78" s="34" t="s">
        <v>49</v>
      </c>
      <c r="F78" s="5" t="s">
        <v>49</v>
      </c>
      <c r="G78" s="21">
        <v>1</v>
      </c>
      <c r="H78" s="22">
        <f>VLOOKUP($C78,'Master File June-26'!$C$3:$L$670,6,0)</f>
        <v>5000</v>
      </c>
      <c r="I78" s="22">
        <f>VLOOKUP($C78,'Master File June-26'!$C$3:$L$670,7,0)</f>
        <v>5000</v>
      </c>
      <c r="J78" s="5">
        <f>VLOOKUP($C78,'Master File June-26'!$C$3:$L$670,8,0)</f>
        <v>14</v>
      </c>
      <c r="K78" s="23">
        <f>VLOOKUP($C78,'Master File June-26'!$C$3:$L$670,9,0)</f>
        <v>2500</v>
      </c>
      <c r="L78" s="58">
        <f>VLOOKUP($C78,'Master File June-26'!$C$3:$L$670,10,0)</f>
        <v>0</v>
      </c>
      <c r="M78" s="24">
        <f t="shared" si="4"/>
        <v>0</v>
      </c>
      <c r="N78" s="25" t="str">
        <f t="shared" si="5"/>
        <v>ORDER NOW</v>
      </c>
      <c r="O78" s="25" t="str">
        <f t="shared" si="6"/>
        <v>CRITICAL</v>
      </c>
      <c r="S78" s="79">
        <f t="shared" si="7"/>
        <v>0</v>
      </c>
    </row>
    <row r="79" spans="1:19" ht="18.75" x14ac:dyDescent="0.25">
      <c r="A79" s="39">
        <v>185</v>
      </c>
      <c r="B79" s="39" t="s">
        <v>18</v>
      </c>
      <c r="C79" s="39" t="s">
        <v>230</v>
      </c>
      <c r="D79" s="32" t="s">
        <v>231</v>
      </c>
      <c r="E79" s="33" t="s">
        <v>160</v>
      </c>
      <c r="F79" s="5" t="s">
        <v>49</v>
      </c>
      <c r="G79" s="21">
        <v>1</v>
      </c>
      <c r="H79" s="22">
        <f>VLOOKUP($C79,'Master File June-26'!$C$3:$L$670,6,0)</f>
        <v>0</v>
      </c>
      <c r="I79" s="22">
        <f>VLOOKUP($C79,'Master File June-26'!$C$3:$L$670,7,0)</f>
        <v>0</v>
      </c>
      <c r="J79" s="5">
        <f>VLOOKUP($C79,'Master File June-26'!$C$3:$L$670,8,0)</f>
        <v>14</v>
      </c>
      <c r="K79" s="23">
        <f>VLOOKUP($C79,'Master File June-26'!$C$3:$L$670,9,0)</f>
        <v>0</v>
      </c>
      <c r="L79" s="58">
        <f>VLOOKUP($C79,'Master File June-26'!$C$3:$L$670,10,0)</f>
        <v>0</v>
      </c>
      <c r="M79" s="24">
        <f t="shared" si="4"/>
        <v>0</v>
      </c>
      <c r="N79" s="25" t="str">
        <f t="shared" si="5"/>
        <v>ORDER NOW</v>
      </c>
      <c r="O79" s="25" t="str">
        <f t="shared" si="6"/>
        <v>CRITICAL</v>
      </c>
      <c r="S79" s="79">
        <f t="shared" si="7"/>
        <v>1</v>
      </c>
    </row>
    <row r="80" spans="1:19" ht="18.75" x14ac:dyDescent="0.25">
      <c r="A80" s="39">
        <v>188</v>
      </c>
      <c r="B80" s="39" t="s">
        <v>18</v>
      </c>
      <c r="C80" s="39" t="s">
        <v>232</v>
      </c>
      <c r="D80" s="27" t="s">
        <v>233</v>
      </c>
      <c r="E80" s="28" t="s">
        <v>78</v>
      </c>
      <c r="F80" s="5" t="s">
        <v>49</v>
      </c>
      <c r="G80" s="21">
        <v>1</v>
      </c>
      <c r="H80" s="22">
        <f>VLOOKUP($C80,'Master File June-26'!$C$3:$L$670,6,0)</f>
        <v>11</v>
      </c>
      <c r="I80" s="22">
        <f>VLOOKUP($C80,'Master File June-26'!$C$3:$L$670,7,0)</f>
        <v>0</v>
      </c>
      <c r="J80" s="5">
        <f>VLOOKUP($C80,'Master File June-26'!$C$3:$L$670,8,0)</f>
        <v>14</v>
      </c>
      <c r="K80" s="23">
        <f>VLOOKUP($C80,'Master File June-26'!$C$3:$L$670,9,0)</f>
        <v>0</v>
      </c>
      <c r="L80" s="58">
        <f>VLOOKUP($C80,'Master File June-26'!$C$3:$L$670,10,0)</f>
        <v>0</v>
      </c>
      <c r="M80" s="24">
        <f t="shared" si="4"/>
        <v>0</v>
      </c>
      <c r="N80" s="25" t="str">
        <f t="shared" si="5"/>
        <v>ORDER NOW</v>
      </c>
      <c r="O80" s="25" t="str">
        <f t="shared" si="6"/>
        <v>CRITICAL</v>
      </c>
      <c r="S80" s="79">
        <f t="shared" si="7"/>
        <v>1</v>
      </c>
    </row>
    <row r="81" spans="1:19" ht="18.75" x14ac:dyDescent="0.25">
      <c r="A81" s="39">
        <v>189</v>
      </c>
      <c r="B81" s="39" t="s">
        <v>234</v>
      </c>
      <c r="C81" s="39" t="s">
        <v>235</v>
      </c>
      <c r="D81" s="27" t="s">
        <v>236</v>
      </c>
      <c r="E81" s="28" t="s">
        <v>78</v>
      </c>
      <c r="F81" s="5" t="s">
        <v>49</v>
      </c>
      <c r="G81" s="21">
        <v>1</v>
      </c>
      <c r="H81" s="22">
        <f>VLOOKUP($C81,'Master File June-26'!$C$3:$L$670,6,0)</f>
        <v>0</v>
      </c>
      <c r="I81" s="22">
        <f>VLOOKUP($C81,'Master File June-26'!$C$3:$L$670,7,0)</f>
        <v>0</v>
      </c>
      <c r="J81" s="5">
        <f>VLOOKUP($C81,'Master File June-26'!$C$3:$L$670,8,0)</f>
        <v>14</v>
      </c>
      <c r="K81" s="23">
        <f>VLOOKUP($C81,'Master File June-26'!$C$3:$L$670,9,0)</f>
        <v>0</v>
      </c>
      <c r="L81" s="58">
        <f>VLOOKUP($C81,'Master File June-26'!$C$3:$L$670,10,0)</f>
        <v>0</v>
      </c>
      <c r="M81" s="24">
        <f t="shared" si="4"/>
        <v>0</v>
      </c>
      <c r="N81" s="25" t="str">
        <f t="shared" si="5"/>
        <v>ORDER NOW</v>
      </c>
      <c r="O81" s="25" t="str">
        <f t="shared" si="6"/>
        <v>CRITICAL</v>
      </c>
      <c r="S81" s="79">
        <f t="shared" si="7"/>
        <v>1</v>
      </c>
    </row>
    <row r="82" spans="1:19" ht="18.75" x14ac:dyDescent="0.25">
      <c r="A82" s="39">
        <v>195</v>
      </c>
      <c r="B82" s="39" t="s">
        <v>18</v>
      </c>
      <c r="C82" s="39" t="s">
        <v>237</v>
      </c>
      <c r="D82" s="31" t="s">
        <v>238</v>
      </c>
      <c r="E82" s="34" t="s">
        <v>160</v>
      </c>
      <c r="F82" s="5" t="s">
        <v>49</v>
      </c>
      <c r="G82" s="21">
        <v>1</v>
      </c>
      <c r="H82" s="22">
        <f>VLOOKUP($C82,'Master File June-26'!$C$3:$L$670,6,0)</f>
        <v>11</v>
      </c>
      <c r="I82" s="22">
        <f>VLOOKUP($C82,'Master File June-26'!$C$3:$L$670,7,0)</f>
        <v>11</v>
      </c>
      <c r="J82" s="5">
        <f>VLOOKUP($C82,'Master File June-26'!$C$3:$L$670,8,0)</f>
        <v>14</v>
      </c>
      <c r="K82" s="23">
        <f>VLOOKUP($C82,'Master File June-26'!$C$3:$L$670,9,0)</f>
        <v>5.5</v>
      </c>
      <c r="L82" s="58">
        <f>VLOOKUP($C82,'Master File June-26'!$C$3:$L$670,10,0)</f>
        <v>0</v>
      </c>
      <c r="M82" s="24">
        <f t="shared" si="4"/>
        <v>0</v>
      </c>
      <c r="N82" s="25" t="str">
        <f t="shared" si="5"/>
        <v>ORDER NOW</v>
      </c>
      <c r="O82" s="25" t="str">
        <f t="shared" si="6"/>
        <v>CRITICAL</v>
      </c>
      <c r="S82" s="79">
        <f t="shared" si="7"/>
        <v>0</v>
      </c>
    </row>
    <row r="83" spans="1:19" ht="18.75" x14ac:dyDescent="0.25">
      <c r="A83" s="39">
        <v>196</v>
      </c>
      <c r="B83" s="39" t="s">
        <v>239</v>
      </c>
      <c r="C83" s="39" t="s">
        <v>240</v>
      </c>
      <c r="D83" s="27" t="s">
        <v>241</v>
      </c>
      <c r="E83" s="28" t="s">
        <v>160</v>
      </c>
      <c r="F83" s="5" t="s">
        <v>49</v>
      </c>
      <c r="G83" s="21">
        <v>1</v>
      </c>
      <c r="H83" s="22">
        <f>VLOOKUP($C83,'Master File June-26'!$C$3:$L$670,6,0)</f>
        <v>680</v>
      </c>
      <c r="I83" s="22">
        <f>VLOOKUP($C83,'Master File June-26'!$C$3:$L$670,7,0)</f>
        <v>680</v>
      </c>
      <c r="J83" s="5">
        <f>VLOOKUP($C83,'Master File June-26'!$C$3:$L$670,8,0)</f>
        <v>14</v>
      </c>
      <c r="K83" s="23">
        <f>VLOOKUP($C83,'Master File June-26'!$C$3:$L$670,9,0)</f>
        <v>340</v>
      </c>
      <c r="L83" s="58">
        <f>VLOOKUP($C83,'Master File June-26'!$C$3:$L$670,10,0)</f>
        <v>0</v>
      </c>
      <c r="M83" s="24">
        <f t="shared" si="4"/>
        <v>0</v>
      </c>
      <c r="N83" s="25" t="str">
        <f t="shared" si="5"/>
        <v>ORDER NOW</v>
      </c>
      <c r="O83" s="25" t="str">
        <f t="shared" si="6"/>
        <v>CRITICAL</v>
      </c>
      <c r="S83" s="79">
        <f t="shared" si="7"/>
        <v>0</v>
      </c>
    </row>
    <row r="84" spans="1:19" ht="18.75" x14ac:dyDescent="0.25">
      <c r="A84" s="39">
        <v>204</v>
      </c>
      <c r="B84" s="39" t="s">
        <v>242</v>
      </c>
      <c r="C84" s="39" t="s">
        <v>243</v>
      </c>
      <c r="D84" s="31" t="s">
        <v>244</v>
      </c>
      <c r="E84" s="34" t="s">
        <v>160</v>
      </c>
      <c r="F84" s="5" t="s">
        <v>49</v>
      </c>
      <c r="G84" s="21">
        <v>1</v>
      </c>
      <c r="H84" s="22">
        <f>VLOOKUP($C84,'Master File June-26'!$C$3:$L$670,6,0)</f>
        <v>88</v>
      </c>
      <c r="I84" s="22">
        <f>VLOOKUP($C84,'Master File June-26'!$C$3:$L$670,7,0)</f>
        <v>88</v>
      </c>
      <c r="J84" s="5">
        <f>VLOOKUP($C84,'Master File June-26'!$C$3:$L$670,8,0)</f>
        <v>14</v>
      </c>
      <c r="K84" s="23">
        <f>VLOOKUP($C84,'Master File June-26'!$C$3:$L$670,9,0)</f>
        <v>44</v>
      </c>
      <c r="L84" s="58">
        <f>VLOOKUP($C84,'Master File June-26'!$C$3:$L$670,10,0)</f>
        <v>0</v>
      </c>
      <c r="M84" s="24">
        <f t="shared" si="4"/>
        <v>0</v>
      </c>
      <c r="N84" s="25" t="str">
        <f t="shared" si="5"/>
        <v>ORDER NOW</v>
      </c>
      <c r="O84" s="25" t="str">
        <f t="shared" si="6"/>
        <v>CRITICAL</v>
      </c>
      <c r="S84" s="79">
        <f t="shared" si="7"/>
        <v>0</v>
      </c>
    </row>
    <row r="85" spans="1:19" ht="18.75" x14ac:dyDescent="0.25">
      <c r="A85" s="39">
        <v>205</v>
      </c>
      <c r="B85" s="39" t="s">
        <v>239</v>
      </c>
      <c r="C85" s="39" t="s">
        <v>245</v>
      </c>
      <c r="D85" s="27" t="s">
        <v>246</v>
      </c>
      <c r="E85" s="28" t="s">
        <v>160</v>
      </c>
      <c r="F85" s="5" t="s">
        <v>49</v>
      </c>
      <c r="G85" s="21">
        <v>1</v>
      </c>
      <c r="H85" s="22">
        <f>VLOOKUP($C85,'Master File June-26'!$C$3:$L$670,6,0)</f>
        <v>0</v>
      </c>
      <c r="I85" s="22">
        <f>VLOOKUP($C85,'Master File June-26'!$C$3:$L$670,7,0)</f>
        <v>0</v>
      </c>
      <c r="J85" s="5">
        <f>VLOOKUP($C85,'Master File June-26'!$C$3:$L$670,8,0)</f>
        <v>14</v>
      </c>
      <c r="K85" s="23">
        <f>VLOOKUP($C85,'Master File June-26'!$C$3:$L$670,9,0)</f>
        <v>0</v>
      </c>
      <c r="L85" s="58">
        <f>VLOOKUP($C85,'Master File June-26'!$C$3:$L$670,10,0)</f>
        <v>0</v>
      </c>
      <c r="M85" s="24">
        <f t="shared" si="4"/>
        <v>0</v>
      </c>
      <c r="N85" s="25" t="str">
        <f t="shared" si="5"/>
        <v>ORDER NOW</v>
      </c>
      <c r="O85" s="25" t="str">
        <f t="shared" si="6"/>
        <v>CRITICAL</v>
      </c>
      <c r="S85" s="79">
        <f t="shared" si="7"/>
        <v>1</v>
      </c>
    </row>
    <row r="86" spans="1:19" ht="18.75" x14ac:dyDescent="0.25">
      <c r="A86" s="39">
        <v>216</v>
      </c>
      <c r="B86" s="39" t="s">
        <v>123</v>
      </c>
      <c r="C86" s="39" t="s">
        <v>247</v>
      </c>
      <c r="D86" s="27" t="s">
        <v>248</v>
      </c>
      <c r="E86" s="28" t="s">
        <v>249</v>
      </c>
      <c r="F86" s="5" t="s">
        <v>49</v>
      </c>
      <c r="G86" s="21">
        <v>1</v>
      </c>
      <c r="H86" s="22">
        <f>VLOOKUP($C86,'Master File June-26'!$C$3:$L$670,6,0)</f>
        <v>367.5</v>
      </c>
      <c r="I86" s="22">
        <f>VLOOKUP($C86,'Master File June-26'!$C$3:$L$670,7,0)</f>
        <v>367.5</v>
      </c>
      <c r="J86" s="5">
        <f>VLOOKUP($C86,'Master File June-26'!$C$3:$L$670,8,0)</f>
        <v>14</v>
      </c>
      <c r="K86" s="23">
        <f>VLOOKUP($C86,'Master File June-26'!$C$3:$L$670,9,0)</f>
        <v>183.75</v>
      </c>
      <c r="L86" s="58">
        <f>VLOOKUP($C86,'Master File June-26'!$C$3:$L$670,10,0)</f>
        <v>0</v>
      </c>
      <c r="M86" s="24">
        <f t="shared" si="4"/>
        <v>0</v>
      </c>
      <c r="N86" s="25" t="str">
        <f t="shared" si="5"/>
        <v>ORDER NOW</v>
      </c>
      <c r="O86" s="25" t="str">
        <f t="shared" si="6"/>
        <v>CRITICAL</v>
      </c>
      <c r="S86" s="79">
        <f t="shared" si="7"/>
        <v>0</v>
      </c>
    </row>
    <row r="87" spans="1:19" ht="18.75" x14ac:dyDescent="0.25">
      <c r="A87" s="39">
        <v>221</v>
      </c>
      <c r="B87" s="39" t="s">
        <v>123</v>
      </c>
      <c r="C87" s="39" t="s">
        <v>250</v>
      </c>
      <c r="D87" s="27" t="s">
        <v>251</v>
      </c>
      <c r="E87" s="28" t="s">
        <v>78</v>
      </c>
      <c r="F87" s="5" t="s">
        <v>49</v>
      </c>
      <c r="G87" s="21">
        <v>1</v>
      </c>
      <c r="H87" s="22">
        <f>VLOOKUP($C87,'Master File June-26'!$C$3:$L$670,6,0)</f>
        <v>115.5</v>
      </c>
      <c r="I87" s="22">
        <f>VLOOKUP($C87,'Master File June-26'!$C$3:$L$670,7,0)</f>
        <v>115.5</v>
      </c>
      <c r="J87" s="5">
        <f>VLOOKUP($C87,'Master File June-26'!$C$3:$L$670,8,0)</f>
        <v>14</v>
      </c>
      <c r="K87" s="23">
        <f>VLOOKUP($C87,'Master File June-26'!$C$3:$L$670,9,0)</f>
        <v>57.75</v>
      </c>
      <c r="L87" s="58">
        <f>VLOOKUP($C87,'Master File June-26'!$C$3:$L$670,10,0)</f>
        <v>0</v>
      </c>
      <c r="M87" s="24">
        <f t="shared" si="4"/>
        <v>0</v>
      </c>
      <c r="N87" s="25" t="str">
        <f t="shared" si="5"/>
        <v>ORDER NOW</v>
      </c>
      <c r="O87" s="25" t="str">
        <f t="shared" si="6"/>
        <v>CRITICAL</v>
      </c>
      <c r="S87" s="79">
        <f t="shared" si="7"/>
        <v>0</v>
      </c>
    </row>
    <row r="88" spans="1:19" ht="18.75" x14ac:dyDescent="0.25">
      <c r="A88" s="39">
        <v>224</v>
      </c>
      <c r="B88" s="39" t="s">
        <v>123</v>
      </c>
      <c r="C88" s="39" t="s">
        <v>252</v>
      </c>
      <c r="D88" s="27" t="s">
        <v>253</v>
      </c>
      <c r="E88" s="28" t="s">
        <v>254</v>
      </c>
      <c r="F88" s="5" t="s">
        <v>49</v>
      </c>
      <c r="G88" s="21">
        <v>1</v>
      </c>
      <c r="H88" s="22">
        <f>VLOOKUP($C88,'Master File June-26'!$C$3:$L$670,6,0)</f>
        <v>99</v>
      </c>
      <c r="I88" s="22">
        <f>VLOOKUP($C88,'Master File June-26'!$C$3:$L$670,7,0)</f>
        <v>99</v>
      </c>
      <c r="J88" s="5">
        <f>VLOOKUP($C88,'Master File June-26'!$C$3:$L$670,8,0)</f>
        <v>14</v>
      </c>
      <c r="K88" s="23">
        <f>VLOOKUP($C88,'Master File June-26'!$C$3:$L$670,9,0)</f>
        <v>49.5</v>
      </c>
      <c r="L88" s="58">
        <f>VLOOKUP($C88,'Master File June-26'!$C$3:$L$670,10,0)</f>
        <v>0</v>
      </c>
      <c r="M88" s="24">
        <f t="shared" si="4"/>
        <v>0</v>
      </c>
      <c r="N88" s="25" t="str">
        <f t="shared" si="5"/>
        <v>ORDER NOW</v>
      </c>
      <c r="O88" s="25" t="str">
        <f t="shared" si="6"/>
        <v>CRITICAL</v>
      </c>
      <c r="S88" s="79">
        <f t="shared" si="7"/>
        <v>0</v>
      </c>
    </row>
    <row r="89" spans="1:19" ht="18.75" x14ac:dyDescent="0.25">
      <c r="A89" s="39">
        <v>225</v>
      </c>
      <c r="B89" s="39" t="s">
        <v>239</v>
      </c>
      <c r="C89" s="39" t="s">
        <v>255</v>
      </c>
      <c r="D89" s="27" t="s">
        <v>256</v>
      </c>
      <c r="E89" s="28" t="s">
        <v>160</v>
      </c>
      <c r="F89" s="5" t="s">
        <v>49</v>
      </c>
      <c r="G89" s="21">
        <v>1</v>
      </c>
      <c r="H89" s="22">
        <f>VLOOKUP($C89,'Master File June-26'!$C$3:$L$670,6,0)</f>
        <v>66</v>
      </c>
      <c r="I89" s="22">
        <f>VLOOKUP($C89,'Master File June-26'!$C$3:$L$670,7,0)</f>
        <v>66</v>
      </c>
      <c r="J89" s="5">
        <f>VLOOKUP($C89,'Master File June-26'!$C$3:$L$670,8,0)</f>
        <v>14</v>
      </c>
      <c r="K89" s="23">
        <f>VLOOKUP($C89,'Master File June-26'!$C$3:$L$670,9,0)</f>
        <v>33</v>
      </c>
      <c r="L89" s="58">
        <f>VLOOKUP($C89,'Master File June-26'!$C$3:$L$670,10,0)</f>
        <v>0</v>
      </c>
      <c r="M89" s="24">
        <f t="shared" si="4"/>
        <v>0</v>
      </c>
      <c r="N89" s="25" t="str">
        <f t="shared" si="5"/>
        <v>ORDER NOW</v>
      </c>
      <c r="O89" s="25" t="str">
        <f t="shared" si="6"/>
        <v>CRITICAL</v>
      </c>
      <c r="S89" s="79">
        <f t="shared" si="7"/>
        <v>0</v>
      </c>
    </row>
    <row r="90" spans="1:19" ht="18.75" x14ac:dyDescent="0.25">
      <c r="A90" s="39">
        <v>227</v>
      </c>
      <c r="B90" s="39" t="s">
        <v>239</v>
      </c>
      <c r="C90" s="39" t="s">
        <v>257</v>
      </c>
      <c r="D90" s="27" t="s">
        <v>258</v>
      </c>
      <c r="E90" s="28" t="s">
        <v>160</v>
      </c>
      <c r="F90" s="5" t="s">
        <v>49</v>
      </c>
      <c r="G90" s="21">
        <v>1</v>
      </c>
      <c r="H90" s="22">
        <f>VLOOKUP($C90,'Master File June-26'!$C$3:$L$670,6,0)</f>
        <v>5.5</v>
      </c>
      <c r="I90" s="22">
        <f>VLOOKUP($C90,'Master File June-26'!$C$3:$L$670,7,0)</f>
        <v>5.5</v>
      </c>
      <c r="J90" s="5">
        <f>VLOOKUP($C90,'Master File June-26'!$C$3:$L$670,8,0)</f>
        <v>14</v>
      </c>
      <c r="K90" s="23">
        <f>VLOOKUP($C90,'Master File June-26'!$C$3:$L$670,9,0)</f>
        <v>2.75</v>
      </c>
      <c r="L90" s="58">
        <f>VLOOKUP($C90,'Master File June-26'!$C$3:$L$670,10,0)</f>
        <v>0</v>
      </c>
      <c r="M90" s="24">
        <f t="shared" si="4"/>
        <v>0</v>
      </c>
      <c r="N90" s="25" t="str">
        <f t="shared" si="5"/>
        <v>ORDER NOW</v>
      </c>
      <c r="O90" s="25" t="str">
        <f t="shared" si="6"/>
        <v>CRITICAL</v>
      </c>
      <c r="S90" s="79">
        <f t="shared" si="7"/>
        <v>0</v>
      </c>
    </row>
    <row r="91" spans="1:19" ht="18.75" x14ac:dyDescent="0.25">
      <c r="A91" s="39">
        <v>229</v>
      </c>
      <c r="B91" s="39" t="s">
        <v>239</v>
      </c>
      <c r="C91" s="39" t="s">
        <v>259</v>
      </c>
      <c r="D91" s="27" t="s">
        <v>260</v>
      </c>
      <c r="E91" s="28" t="s">
        <v>78</v>
      </c>
      <c r="F91" s="5" t="s">
        <v>49</v>
      </c>
      <c r="G91" s="21">
        <v>1</v>
      </c>
      <c r="H91" s="22">
        <f>VLOOKUP($C91,'Master File June-26'!$C$3:$L$670,6,0)</f>
        <v>5.5</v>
      </c>
      <c r="I91" s="22">
        <f>VLOOKUP($C91,'Master File June-26'!$C$3:$L$670,7,0)</f>
        <v>0</v>
      </c>
      <c r="J91" s="5">
        <f>VLOOKUP($C91,'Master File June-26'!$C$3:$L$670,8,0)</f>
        <v>14</v>
      </c>
      <c r="K91" s="23">
        <f>VLOOKUP($C91,'Master File June-26'!$C$3:$L$670,9,0)</f>
        <v>0</v>
      </c>
      <c r="L91" s="58">
        <f>VLOOKUP($C91,'Master File June-26'!$C$3:$L$670,10,0)</f>
        <v>0</v>
      </c>
      <c r="M91" s="24">
        <f t="shared" si="4"/>
        <v>0</v>
      </c>
      <c r="N91" s="25" t="str">
        <f t="shared" si="5"/>
        <v>ORDER NOW</v>
      </c>
      <c r="O91" s="25" t="str">
        <f t="shared" si="6"/>
        <v>CRITICAL</v>
      </c>
      <c r="S91" s="79">
        <f t="shared" si="7"/>
        <v>1</v>
      </c>
    </row>
    <row r="92" spans="1:19" ht="18.75" x14ac:dyDescent="0.25">
      <c r="A92" s="39">
        <v>252</v>
      </c>
      <c r="B92" s="39" t="s">
        <v>123</v>
      </c>
      <c r="C92" s="39" t="s">
        <v>261</v>
      </c>
      <c r="D92" s="27" t="s">
        <v>262</v>
      </c>
      <c r="E92" s="28" t="s">
        <v>263</v>
      </c>
      <c r="F92" s="5" t="s">
        <v>264</v>
      </c>
      <c r="G92" s="21">
        <f>1/20</f>
        <v>0.05</v>
      </c>
      <c r="H92" s="22">
        <f>VLOOKUP($C92,'Master File June-26'!$C$3:$L$670,6,0)</f>
        <v>5.5</v>
      </c>
      <c r="I92" s="22">
        <f>VLOOKUP($C92,'Master File June-26'!$C$3:$L$670,7,0)</f>
        <v>110</v>
      </c>
      <c r="J92" s="5">
        <f>VLOOKUP($C92,'Master File June-26'!$C$3:$L$670,8,0)</f>
        <v>14</v>
      </c>
      <c r="K92" s="23">
        <f>VLOOKUP($C92,'Master File June-26'!$C$3:$L$670,9,0)</f>
        <v>55</v>
      </c>
      <c r="L92" s="58">
        <f>VLOOKUP($C92,'Master File June-26'!$C$3:$L$670,10,0)</f>
        <v>0</v>
      </c>
      <c r="M92" s="24">
        <f t="shared" si="4"/>
        <v>0</v>
      </c>
      <c r="N92" s="25" t="str">
        <f t="shared" si="5"/>
        <v>ORDER NOW</v>
      </c>
      <c r="O92" s="25" t="str">
        <f t="shared" si="6"/>
        <v>CRITICAL</v>
      </c>
      <c r="S92" s="79">
        <f t="shared" si="7"/>
        <v>0</v>
      </c>
    </row>
    <row r="93" spans="1:19" ht="18.75" x14ac:dyDescent="0.25">
      <c r="A93" s="39">
        <v>260</v>
      </c>
      <c r="B93" s="39" t="s">
        <v>265</v>
      </c>
      <c r="C93" s="39" t="s">
        <v>266</v>
      </c>
      <c r="D93" s="27" t="s">
        <v>267</v>
      </c>
      <c r="E93" s="28" t="s">
        <v>268</v>
      </c>
      <c r="F93" s="5" t="s">
        <v>46</v>
      </c>
      <c r="G93" s="21">
        <v>0.1</v>
      </c>
      <c r="H93" s="22">
        <f>VLOOKUP($C93,'Master File June-26'!$C$3:$L$670,6,0)</f>
        <v>184</v>
      </c>
      <c r="I93" s="22">
        <f>VLOOKUP($C93,'Master File June-26'!$C$3:$L$670,7,0)</f>
        <v>1840</v>
      </c>
      <c r="J93" s="5">
        <f>VLOOKUP($C93,'Master File June-26'!$C$3:$L$670,8,0)</f>
        <v>14</v>
      </c>
      <c r="K93" s="23">
        <f>VLOOKUP($C93,'Master File June-26'!$C$3:$L$670,9,0)</f>
        <v>920</v>
      </c>
      <c r="L93" s="58">
        <f>VLOOKUP($C93,'Master File June-26'!$C$3:$L$670,10,0)</f>
        <v>0</v>
      </c>
      <c r="M93" s="24">
        <f t="shared" si="4"/>
        <v>0</v>
      </c>
      <c r="N93" s="25" t="str">
        <f t="shared" si="5"/>
        <v>ORDER NOW</v>
      </c>
      <c r="O93" s="25" t="str">
        <f t="shared" si="6"/>
        <v>CRITICAL</v>
      </c>
      <c r="S93" s="79">
        <f t="shared" si="7"/>
        <v>0</v>
      </c>
    </row>
    <row r="94" spans="1:19" ht="18.75" x14ac:dyDescent="0.25">
      <c r="A94" s="39">
        <v>265</v>
      </c>
      <c r="B94" s="39" t="s">
        <v>157</v>
      </c>
      <c r="C94" s="39" t="s">
        <v>269</v>
      </c>
      <c r="D94" s="27" t="s">
        <v>270</v>
      </c>
      <c r="E94" s="28" t="s">
        <v>160</v>
      </c>
      <c r="F94" s="5" t="s">
        <v>49</v>
      </c>
      <c r="G94" s="21">
        <v>1</v>
      </c>
      <c r="H94" s="22">
        <f>VLOOKUP($C94,'Master File June-26'!$C$3:$L$670,6,0)</f>
        <v>0</v>
      </c>
      <c r="I94" s="22">
        <f>VLOOKUP($C94,'Master File June-26'!$C$3:$L$670,7,0)</f>
        <v>0</v>
      </c>
      <c r="J94" s="5">
        <f>VLOOKUP($C94,'Master File June-26'!$C$3:$L$670,8,0)</f>
        <v>14</v>
      </c>
      <c r="K94" s="23">
        <f>VLOOKUP($C94,'Master File June-26'!$C$3:$L$670,9,0)</f>
        <v>0</v>
      </c>
      <c r="L94" s="58">
        <f>VLOOKUP($C94,'Master File June-26'!$C$3:$L$670,10,0)</f>
        <v>0</v>
      </c>
      <c r="M94" s="24">
        <f t="shared" si="4"/>
        <v>0</v>
      </c>
      <c r="N94" s="25" t="str">
        <f t="shared" si="5"/>
        <v>ORDER NOW</v>
      </c>
      <c r="O94" s="25" t="str">
        <f t="shared" si="6"/>
        <v>CRITICAL</v>
      </c>
      <c r="S94" s="79">
        <f t="shared" si="7"/>
        <v>1</v>
      </c>
    </row>
    <row r="95" spans="1:19" ht="18.75" x14ac:dyDescent="0.25">
      <c r="A95" s="39">
        <v>266</v>
      </c>
      <c r="B95" s="39" t="s">
        <v>239</v>
      </c>
      <c r="C95" s="39" t="s">
        <v>271</v>
      </c>
      <c r="D95" s="27" t="s">
        <v>272</v>
      </c>
      <c r="E95" s="28" t="s">
        <v>78</v>
      </c>
      <c r="F95" s="5" t="s">
        <v>49</v>
      </c>
      <c r="G95" s="21">
        <v>1</v>
      </c>
      <c r="H95" s="22">
        <f>VLOOKUP($C95,'Master File June-26'!$C$3:$L$670,6,0)</f>
        <v>0</v>
      </c>
      <c r="I95" s="22">
        <f>VLOOKUP($C95,'Master File June-26'!$C$3:$L$670,7,0)</f>
        <v>0</v>
      </c>
      <c r="J95" s="5">
        <f>VLOOKUP($C95,'Master File June-26'!$C$3:$L$670,8,0)</f>
        <v>14</v>
      </c>
      <c r="K95" s="23">
        <f>VLOOKUP($C95,'Master File June-26'!$C$3:$L$670,9,0)</f>
        <v>0</v>
      </c>
      <c r="L95" s="58">
        <f>VLOOKUP($C95,'Master File June-26'!$C$3:$L$670,10,0)</f>
        <v>0</v>
      </c>
      <c r="M95" s="24">
        <f t="shared" si="4"/>
        <v>0</v>
      </c>
      <c r="N95" s="25" t="str">
        <f t="shared" si="5"/>
        <v>ORDER NOW</v>
      </c>
      <c r="O95" s="25" t="str">
        <f t="shared" si="6"/>
        <v>CRITICAL</v>
      </c>
      <c r="S95" s="79">
        <f t="shared" si="7"/>
        <v>1</v>
      </c>
    </row>
    <row r="96" spans="1:19" ht="18.75" x14ac:dyDescent="0.25">
      <c r="A96" s="39">
        <v>267</v>
      </c>
      <c r="B96" s="39" t="s">
        <v>239</v>
      </c>
      <c r="C96" s="39" t="s">
        <v>273</v>
      </c>
      <c r="D96" s="27" t="s">
        <v>274</v>
      </c>
      <c r="E96" s="28" t="s">
        <v>78</v>
      </c>
      <c r="F96" s="5" t="s">
        <v>49</v>
      </c>
      <c r="G96" s="21">
        <v>1</v>
      </c>
      <c r="H96" s="22">
        <f>VLOOKUP($C96,'Master File June-26'!$C$3:$L$670,6,0)</f>
        <v>0</v>
      </c>
      <c r="I96" s="22">
        <f>VLOOKUP($C96,'Master File June-26'!$C$3:$L$670,7,0)</f>
        <v>0</v>
      </c>
      <c r="J96" s="5">
        <f>VLOOKUP($C96,'Master File June-26'!$C$3:$L$670,8,0)</f>
        <v>14</v>
      </c>
      <c r="K96" s="23">
        <f>VLOOKUP($C96,'Master File June-26'!$C$3:$L$670,9,0)</f>
        <v>0</v>
      </c>
      <c r="L96" s="58">
        <f>VLOOKUP($C96,'Master File June-26'!$C$3:$L$670,10,0)</f>
        <v>1</v>
      </c>
      <c r="M96" s="24">
        <f t="shared" si="4"/>
        <v>0</v>
      </c>
      <c r="N96" s="25" t="str">
        <f t="shared" si="5"/>
        <v>ORDER NOW</v>
      </c>
      <c r="O96" s="25" t="str">
        <f t="shared" si="6"/>
        <v>CRITICAL</v>
      </c>
      <c r="S96" s="79">
        <f t="shared" si="7"/>
        <v>1</v>
      </c>
    </row>
    <row r="97" spans="1:19" ht="18.75" x14ac:dyDescent="0.25">
      <c r="A97" s="39">
        <v>268</v>
      </c>
      <c r="B97" s="39" t="s">
        <v>239</v>
      </c>
      <c r="C97" s="39" t="s">
        <v>275</v>
      </c>
      <c r="D97" s="27" t="s">
        <v>276</v>
      </c>
      <c r="E97" s="28" t="s">
        <v>78</v>
      </c>
      <c r="F97" s="5" t="s">
        <v>49</v>
      </c>
      <c r="G97" s="21">
        <v>1</v>
      </c>
      <c r="H97" s="22">
        <f>VLOOKUP($C97,'Master File June-26'!$C$3:$L$670,6,0)</f>
        <v>0</v>
      </c>
      <c r="I97" s="22">
        <f>VLOOKUP($C97,'Master File June-26'!$C$3:$L$670,7,0)</f>
        <v>0</v>
      </c>
      <c r="J97" s="5">
        <f>VLOOKUP($C97,'Master File June-26'!$C$3:$L$670,8,0)</f>
        <v>14</v>
      </c>
      <c r="K97" s="23">
        <f>VLOOKUP($C97,'Master File June-26'!$C$3:$L$670,9,0)</f>
        <v>0</v>
      </c>
      <c r="L97" s="58">
        <f>VLOOKUP($C97,'Master File June-26'!$C$3:$L$670,10,0)</f>
        <v>1</v>
      </c>
      <c r="M97" s="24">
        <f t="shared" si="4"/>
        <v>0</v>
      </c>
      <c r="N97" s="25" t="str">
        <f t="shared" si="5"/>
        <v>ORDER NOW</v>
      </c>
      <c r="O97" s="25" t="str">
        <f t="shared" si="6"/>
        <v>CRITICAL</v>
      </c>
      <c r="S97" s="79">
        <f t="shared" si="7"/>
        <v>1</v>
      </c>
    </row>
    <row r="98" spans="1:19" ht="18.75" x14ac:dyDescent="0.25">
      <c r="A98" s="39">
        <v>270</v>
      </c>
      <c r="B98" s="39" t="s">
        <v>265</v>
      </c>
      <c r="C98" s="39" t="s">
        <v>277</v>
      </c>
      <c r="D98" s="27" t="s">
        <v>278</v>
      </c>
      <c r="E98" s="28" t="s">
        <v>78</v>
      </c>
      <c r="F98" s="5" t="s">
        <v>49</v>
      </c>
      <c r="G98" s="21">
        <v>1</v>
      </c>
      <c r="H98" s="22">
        <f>VLOOKUP($C98,'Master File June-26'!$C$3:$L$670,6,0)</f>
        <v>0</v>
      </c>
      <c r="I98" s="22">
        <f>VLOOKUP($C98,'Master File June-26'!$C$3:$L$670,7,0)</f>
        <v>0</v>
      </c>
      <c r="J98" s="5">
        <f>VLOOKUP($C98,'Master File June-26'!$C$3:$L$670,8,0)</f>
        <v>14</v>
      </c>
      <c r="K98" s="23">
        <f>VLOOKUP($C98,'Master File June-26'!$C$3:$L$670,9,0)</f>
        <v>0</v>
      </c>
      <c r="L98" s="58">
        <f>VLOOKUP($C98,'Master File June-26'!$C$3:$L$670,10,0)</f>
        <v>0</v>
      </c>
      <c r="M98" s="24">
        <f t="shared" si="4"/>
        <v>0</v>
      </c>
      <c r="N98" s="25" t="str">
        <f t="shared" si="5"/>
        <v>ORDER NOW</v>
      </c>
      <c r="O98" s="25" t="str">
        <f t="shared" si="6"/>
        <v>CRITICAL</v>
      </c>
      <c r="S98" s="79">
        <f t="shared" si="7"/>
        <v>1</v>
      </c>
    </row>
    <row r="99" spans="1:19" ht="18.75" x14ac:dyDescent="0.25">
      <c r="A99" s="39">
        <v>271</v>
      </c>
      <c r="B99" s="39" t="s">
        <v>239</v>
      </c>
      <c r="C99" s="39" t="s">
        <v>279</v>
      </c>
      <c r="D99" s="27" t="s">
        <v>280</v>
      </c>
      <c r="E99" s="28" t="s">
        <v>78</v>
      </c>
      <c r="F99" s="5" t="s">
        <v>49</v>
      </c>
      <c r="G99" s="21">
        <v>1</v>
      </c>
      <c r="H99" s="22">
        <f>VLOOKUP($C99,'Master File June-26'!$C$3:$L$670,6,0)</f>
        <v>0</v>
      </c>
      <c r="I99" s="22">
        <f>VLOOKUP($C99,'Master File June-26'!$C$3:$L$670,7,0)</f>
        <v>0</v>
      </c>
      <c r="J99" s="5">
        <f>VLOOKUP($C99,'Master File June-26'!$C$3:$L$670,8,0)</f>
        <v>14</v>
      </c>
      <c r="K99" s="23">
        <f>VLOOKUP($C99,'Master File June-26'!$C$3:$L$670,9,0)</f>
        <v>0</v>
      </c>
      <c r="L99" s="58">
        <f>VLOOKUP($C99,'Master File June-26'!$C$3:$L$670,10,0)</f>
        <v>0</v>
      </c>
      <c r="M99" s="24">
        <f t="shared" si="4"/>
        <v>0</v>
      </c>
      <c r="N99" s="25" t="str">
        <f t="shared" si="5"/>
        <v>ORDER NOW</v>
      </c>
      <c r="O99" s="25" t="str">
        <f t="shared" si="6"/>
        <v>CRITICAL</v>
      </c>
      <c r="S99" s="79">
        <f t="shared" si="7"/>
        <v>1</v>
      </c>
    </row>
    <row r="100" spans="1:19" ht="18.75" x14ac:dyDescent="0.25">
      <c r="A100" s="39">
        <v>275</v>
      </c>
      <c r="B100" s="39" t="s">
        <v>157</v>
      </c>
      <c r="C100" s="39" t="s">
        <v>281</v>
      </c>
      <c r="D100" s="27" t="s">
        <v>282</v>
      </c>
      <c r="E100" s="28" t="s">
        <v>160</v>
      </c>
      <c r="F100" s="5" t="s">
        <v>49</v>
      </c>
      <c r="G100" s="21">
        <v>1</v>
      </c>
      <c r="H100" s="22">
        <f>VLOOKUP($C100,'Master File June-26'!$C$3:$L$670,6,0)</f>
        <v>22</v>
      </c>
      <c r="I100" s="22">
        <f>VLOOKUP($C100,'Master File June-26'!$C$3:$L$670,7,0)</f>
        <v>22</v>
      </c>
      <c r="J100" s="5">
        <f>VLOOKUP($C100,'Master File June-26'!$C$3:$L$670,8,0)</f>
        <v>14</v>
      </c>
      <c r="K100" s="23">
        <f>VLOOKUP($C100,'Master File June-26'!$C$3:$L$670,9,0)</f>
        <v>11</v>
      </c>
      <c r="L100" s="58">
        <f>VLOOKUP($C100,'Master File June-26'!$C$3:$L$670,10,0)</f>
        <v>0</v>
      </c>
      <c r="M100" s="24">
        <f t="shared" si="4"/>
        <v>0</v>
      </c>
      <c r="N100" s="25" t="str">
        <f t="shared" si="5"/>
        <v>ORDER NOW</v>
      </c>
      <c r="O100" s="25" t="str">
        <f t="shared" si="6"/>
        <v>CRITICAL</v>
      </c>
      <c r="S100" s="79">
        <f t="shared" si="7"/>
        <v>0</v>
      </c>
    </row>
    <row r="101" spans="1:19" ht="18.75" x14ac:dyDescent="0.25">
      <c r="A101" s="39">
        <v>276</v>
      </c>
      <c r="B101" s="39" t="s">
        <v>157</v>
      </c>
      <c r="C101" s="39" t="s">
        <v>283</v>
      </c>
      <c r="D101" s="27" t="s">
        <v>284</v>
      </c>
      <c r="E101" s="28" t="s">
        <v>160</v>
      </c>
      <c r="F101" s="5" t="s">
        <v>49</v>
      </c>
      <c r="G101" s="21">
        <v>1</v>
      </c>
      <c r="H101" s="22">
        <f>VLOOKUP($C101,'Master File June-26'!$C$3:$L$670,6,0)</f>
        <v>600</v>
      </c>
      <c r="I101" s="22">
        <f>VLOOKUP($C101,'Master File June-26'!$C$3:$L$670,7,0)</f>
        <v>600</v>
      </c>
      <c r="J101" s="5">
        <f>VLOOKUP($C101,'Master File June-26'!$C$3:$L$670,8,0)</f>
        <v>14</v>
      </c>
      <c r="K101" s="23">
        <f>VLOOKUP($C101,'Master File June-26'!$C$3:$L$670,9,0)</f>
        <v>300</v>
      </c>
      <c r="L101" s="58">
        <f>VLOOKUP($C101,'Master File June-26'!$C$3:$L$670,10,0)</f>
        <v>0</v>
      </c>
      <c r="M101" s="24">
        <f t="shared" si="4"/>
        <v>0</v>
      </c>
      <c r="N101" s="25" t="str">
        <f t="shared" si="5"/>
        <v>ORDER NOW</v>
      </c>
      <c r="O101" s="25" t="str">
        <f t="shared" si="6"/>
        <v>CRITICAL</v>
      </c>
      <c r="S101" s="79">
        <f t="shared" si="7"/>
        <v>0</v>
      </c>
    </row>
    <row r="102" spans="1:19" ht="18.75" x14ac:dyDescent="0.25">
      <c r="A102" s="39">
        <v>279</v>
      </c>
      <c r="B102" s="39" t="s">
        <v>18</v>
      </c>
      <c r="C102" s="39" t="s">
        <v>285</v>
      </c>
      <c r="D102" s="27" t="s">
        <v>286</v>
      </c>
      <c r="E102" s="28" t="s">
        <v>160</v>
      </c>
      <c r="F102" s="5" t="s">
        <v>49</v>
      </c>
      <c r="G102" s="21">
        <v>1</v>
      </c>
      <c r="H102" s="22">
        <f>VLOOKUP($C102,'Master File June-26'!$C$3:$L$670,6,0)</f>
        <v>27.5</v>
      </c>
      <c r="I102" s="22">
        <f>VLOOKUP($C102,'Master File June-26'!$C$3:$L$670,7,0)</f>
        <v>27.5</v>
      </c>
      <c r="J102" s="5">
        <f>VLOOKUP($C102,'Master File June-26'!$C$3:$L$670,8,0)</f>
        <v>14</v>
      </c>
      <c r="K102" s="23">
        <f>VLOOKUP($C102,'Master File June-26'!$C$3:$L$670,9,0)</f>
        <v>13.75</v>
      </c>
      <c r="L102" s="58">
        <f>VLOOKUP($C102,'Master File June-26'!$C$3:$L$670,10,0)</f>
        <v>0</v>
      </c>
      <c r="M102" s="24">
        <f t="shared" si="4"/>
        <v>0</v>
      </c>
      <c r="N102" s="25" t="str">
        <f t="shared" si="5"/>
        <v>ORDER NOW</v>
      </c>
      <c r="O102" s="25" t="str">
        <f t="shared" si="6"/>
        <v>CRITICAL</v>
      </c>
      <c r="S102" s="79">
        <f t="shared" si="7"/>
        <v>0</v>
      </c>
    </row>
    <row r="103" spans="1:19" ht="18.75" x14ac:dyDescent="0.25">
      <c r="A103" s="39">
        <v>282</v>
      </c>
      <c r="B103" s="39" t="s">
        <v>18</v>
      </c>
      <c r="C103" s="39" t="s">
        <v>287</v>
      </c>
      <c r="D103" s="27" t="s">
        <v>288</v>
      </c>
      <c r="E103" s="27" t="s">
        <v>289</v>
      </c>
      <c r="F103" s="5" t="s">
        <v>22</v>
      </c>
      <c r="G103" s="21">
        <v>8.3333333333333339E-4</v>
      </c>
      <c r="H103" s="22">
        <f>VLOOKUP($C103,'Master File June-26'!$C$3:$L$670,6,0)</f>
        <v>11</v>
      </c>
      <c r="I103" s="22">
        <f>VLOOKUP($C103,'Master File June-26'!$C$3:$L$670,7,0)</f>
        <v>13200</v>
      </c>
      <c r="J103" s="5">
        <f>VLOOKUP($C103,'Master File June-26'!$C$3:$L$670,8,0)</f>
        <v>14</v>
      </c>
      <c r="K103" s="23">
        <f>VLOOKUP($C103,'Master File June-26'!$C$3:$L$670,9,0)</f>
        <v>6600</v>
      </c>
      <c r="L103" s="58">
        <f>VLOOKUP($C103,'Master File June-26'!$C$3:$L$670,10,0)</f>
        <v>0</v>
      </c>
      <c r="M103" s="24">
        <f t="shared" si="4"/>
        <v>0</v>
      </c>
      <c r="N103" s="25" t="str">
        <f t="shared" si="5"/>
        <v>ORDER NOW</v>
      </c>
      <c r="O103" s="25" t="str">
        <f t="shared" si="6"/>
        <v>CRITICAL</v>
      </c>
      <c r="S103" s="79">
        <f t="shared" si="7"/>
        <v>0</v>
      </c>
    </row>
    <row r="104" spans="1:19" ht="18.75" x14ac:dyDescent="0.25">
      <c r="A104" s="39">
        <v>283</v>
      </c>
      <c r="B104" s="39" t="s">
        <v>18</v>
      </c>
      <c r="C104" s="39" t="s">
        <v>290</v>
      </c>
      <c r="D104" s="27" t="s">
        <v>291</v>
      </c>
      <c r="E104" s="28" t="s">
        <v>78</v>
      </c>
      <c r="F104" s="5" t="s">
        <v>49</v>
      </c>
      <c r="G104" s="21">
        <v>1</v>
      </c>
      <c r="H104" s="22">
        <f>VLOOKUP($C104,'Master File June-26'!$C$3:$L$670,6,0)</f>
        <v>22</v>
      </c>
      <c r="I104" s="22">
        <f>VLOOKUP($C104,'Master File June-26'!$C$3:$L$670,7,0)</f>
        <v>22</v>
      </c>
      <c r="J104" s="5">
        <f>VLOOKUP($C104,'Master File June-26'!$C$3:$L$670,8,0)</f>
        <v>14</v>
      </c>
      <c r="K104" s="23">
        <f>VLOOKUP($C104,'Master File June-26'!$C$3:$L$670,9,0)</f>
        <v>11</v>
      </c>
      <c r="L104" s="58">
        <f>VLOOKUP($C104,'Master File June-26'!$C$3:$L$670,10,0)</f>
        <v>0</v>
      </c>
      <c r="M104" s="24">
        <f t="shared" si="4"/>
        <v>0</v>
      </c>
      <c r="N104" s="25" t="str">
        <f t="shared" si="5"/>
        <v>ORDER NOW</v>
      </c>
      <c r="O104" s="25" t="str">
        <f t="shared" si="6"/>
        <v>CRITICAL</v>
      </c>
      <c r="S104" s="79">
        <f t="shared" si="7"/>
        <v>0</v>
      </c>
    </row>
    <row r="105" spans="1:19" ht="18.75" x14ac:dyDescent="0.25">
      <c r="A105" s="39">
        <v>284</v>
      </c>
      <c r="B105" s="39" t="s">
        <v>157</v>
      </c>
      <c r="C105" s="39" t="s">
        <v>292</v>
      </c>
      <c r="D105" s="27" t="s">
        <v>293</v>
      </c>
      <c r="E105" s="28" t="s">
        <v>160</v>
      </c>
      <c r="F105" s="5" t="s">
        <v>49</v>
      </c>
      <c r="G105" s="21">
        <v>1</v>
      </c>
      <c r="H105" s="22">
        <f>VLOOKUP($C105,'Master File June-26'!$C$3:$L$670,6,0)</f>
        <v>0</v>
      </c>
      <c r="I105" s="22">
        <f>VLOOKUP($C105,'Master File June-26'!$C$3:$L$670,7,0)</f>
        <v>0</v>
      </c>
      <c r="J105" s="5">
        <f>VLOOKUP($C105,'Master File June-26'!$C$3:$L$670,8,0)</f>
        <v>14</v>
      </c>
      <c r="K105" s="23">
        <f>VLOOKUP($C105,'Master File June-26'!$C$3:$L$670,9,0)</f>
        <v>0</v>
      </c>
      <c r="L105" s="58">
        <f>VLOOKUP($C105,'Master File June-26'!$C$3:$L$670,10,0)</f>
        <v>0</v>
      </c>
      <c r="M105" s="24">
        <f t="shared" si="4"/>
        <v>0</v>
      </c>
      <c r="N105" s="25" t="str">
        <f t="shared" si="5"/>
        <v>ORDER NOW</v>
      </c>
      <c r="O105" s="25" t="str">
        <f t="shared" si="6"/>
        <v>CRITICAL</v>
      </c>
      <c r="S105" s="79">
        <f t="shared" si="7"/>
        <v>1</v>
      </c>
    </row>
    <row r="106" spans="1:19" ht="18.75" x14ac:dyDescent="0.25">
      <c r="A106" s="39">
        <v>286</v>
      </c>
      <c r="B106" s="39" t="s">
        <v>157</v>
      </c>
      <c r="C106" s="39" t="s">
        <v>294</v>
      </c>
      <c r="D106" s="27" t="s">
        <v>295</v>
      </c>
      <c r="E106" s="28" t="s">
        <v>78</v>
      </c>
      <c r="F106" s="5" t="s">
        <v>49</v>
      </c>
      <c r="G106" s="21">
        <v>1</v>
      </c>
      <c r="H106" s="22">
        <f>VLOOKUP($C106,'Master File June-26'!$C$3:$L$670,6,0)</f>
        <v>44</v>
      </c>
      <c r="I106" s="22">
        <f>VLOOKUP($C106,'Master File June-26'!$C$3:$L$670,7,0)</f>
        <v>44</v>
      </c>
      <c r="J106" s="5">
        <f>VLOOKUP($C106,'Master File June-26'!$C$3:$L$670,8,0)</f>
        <v>14</v>
      </c>
      <c r="K106" s="23">
        <f>VLOOKUP($C106,'Master File June-26'!$C$3:$L$670,9,0)</f>
        <v>22</v>
      </c>
      <c r="L106" s="58">
        <f>VLOOKUP($C106,'Master File June-26'!$C$3:$L$670,10,0)</f>
        <v>0</v>
      </c>
      <c r="M106" s="24">
        <f t="shared" si="4"/>
        <v>0</v>
      </c>
      <c r="N106" s="25" t="str">
        <f t="shared" si="5"/>
        <v>ORDER NOW</v>
      </c>
      <c r="O106" s="25" t="str">
        <f t="shared" si="6"/>
        <v>CRITICAL</v>
      </c>
      <c r="S106" s="79">
        <f t="shared" si="7"/>
        <v>0</v>
      </c>
    </row>
    <row r="107" spans="1:19" ht="18.75" x14ac:dyDescent="0.25">
      <c r="A107" s="39">
        <v>288</v>
      </c>
      <c r="B107" s="39" t="s">
        <v>18</v>
      </c>
      <c r="C107" s="39" t="s">
        <v>296</v>
      </c>
      <c r="D107" s="27" t="s">
        <v>297</v>
      </c>
      <c r="E107" s="28" t="s">
        <v>78</v>
      </c>
      <c r="F107" s="5" t="s">
        <v>49</v>
      </c>
      <c r="G107" s="21">
        <v>1</v>
      </c>
      <c r="H107" s="22">
        <f>VLOOKUP($C107,'Master File June-26'!$C$3:$L$670,6,0)</f>
        <v>121</v>
      </c>
      <c r="I107" s="22">
        <f>VLOOKUP($C107,'Master File June-26'!$C$3:$L$670,7,0)</f>
        <v>121</v>
      </c>
      <c r="J107" s="5">
        <f>VLOOKUP($C107,'Master File June-26'!$C$3:$L$670,8,0)</f>
        <v>14</v>
      </c>
      <c r="K107" s="23">
        <f>VLOOKUP($C107,'Master File June-26'!$C$3:$L$670,9,0)</f>
        <v>60.5</v>
      </c>
      <c r="L107" s="58">
        <f>VLOOKUP($C107,'Master File June-26'!$C$3:$L$670,10,0)</f>
        <v>0</v>
      </c>
      <c r="M107" s="24">
        <f t="shared" si="4"/>
        <v>0</v>
      </c>
      <c r="N107" s="25" t="str">
        <f t="shared" si="5"/>
        <v>ORDER NOW</v>
      </c>
      <c r="O107" s="25" t="str">
        <f t="shared" si="6"/>
        <v>CRITICAL</v>
      </c>
      <c r="S107" s="79">
        <f t="shared" si="7"/>
        <v>0</v>
      </c>
    </row>
    <row r="108" spans="1:19" ht="18.75" x14ac:dyDescent="0.25">
      <c r="A108" s="39">
        <v>289</v>
      </c>
      <c r="B108" s="39" t="s">
        <v>298</v>
      </c>
      <c r="C108" s="39" t="s">
        <v>299</v>
      </c>
      <c r="D108" s="34" t="s">
        <v>300</v>
      </c>
      <c r="E108" s="34" t="s">
        <v>160</v>
      </c>
      <c r="F108" s="5" t="s">
        <v>49</v>
      </c>
      <c r="G108" s="21">
        <v>1</v>
      </c>
      <c r="H108" s="22">
        <f>VLOOKUP($C108,'Master File June-26'!$C$3:$L$670,6,0)</f>
        <v>11</v>
      </c>
      <c r="I108" s="22">
        <f>VLOOKUP($C108,'Master File June-26'!$C$3:$L$670,7,0)</f>
        <v>11</v>
      </c>
      <c r="J108" s="5">
        <f>VLOOKUP($C108,'Master File June-26'!$C$3:$L$670,8,0)</f>
        <v>14</v>
      </c>
      <c r="K108" s="23">
        <f>VLOOKUP($C108,'Master File June-26'!$C$3:$L$670,9,0)</f>
        <v>5.5</v>
      </c>
      <c r="L108" s="58">
        <f>VLOOKUP($C108,'Master File June-26'!$C$3:$L$670,10,0)</f>
        <v>0</v>
      </c>
      <c r="M108" s="24">
        <f t="shared" si="4"/>
        <v>0</v>
      </c>
      <c r="N108" s="25" t="str">
        <f t="shared" si="5"/>
        <v>ORDER NOW</v>
      </c>
      <c r="O108" s="25" t="str">
        <f t="shared" si="6"/>
        <v>CRITICAL</v>
      </c>
      <c r="S108" s="79">
        <f t="shared" si="7"/>
        <v>0</v>
      </c>
    </row>
    <row r="109" spans="1:19" ht="18.75" x14ac:dyDescent="0.25">
      <c r="A109" s="39">
        <v>290</v>
      </c>
      <c r="B109" s="39" t="s">
        <v>239</v>
      </c>
      <c r="C109" s="39" t="s">
        <v>301</v>
      </c>
      <c r="D109" s="28" t="s">
        <v>302</v>
      </c>
      <c r="E109" s="28" t="s">
        <v>78</v>
      </c>
      <c r="F109" s="5" t="s">
        <v>49</v>
      </c>
      <c r="G109" s="21">
        <v>1</v>
      </c>
      <c r="H109" s="22">
        <f>VLOOKUP($C109,'Master File June-26'!$C$3:$L$670,6,0)</f>
        <v>27.5</v>
      </c>
      <c r="I109" s="22">
        <f>VLOOKUP($C109,'Master File June-26'!$C$3:$L$670,7,0)</f>
        <v>27.5</v>
      </c>
      <c r="J109" s="5">
        <f>VLOOKUP($C109,'Master File June-26'!$C$3:$L$670,8,0)</f>
        <v>14</v>
      </c>
      <c r="K109" s="23">
        <f>VLOOKUP($C109,'Master File June-26'!$C$3:$L$670,9,0)</f>
        <v>13.75</v>
      </c>
      <c r="L109" s="58">
        <f>VLOOKUP($C109,'Master File June-26'!$C$3:$L$670,10,0)</f>
        <v>0</v>
      </c>
      <c r="M109" s="24">
        <f t="shared" si="4"/>
        <v>0</v>
      </c>
      <c r="N109" s="25" t="str">
        <f t="shared" si="5"/>
        <v>ORDER NOW</v>
      </c>
      <c r="O109" s="25" t="str">
        <f t="shared" si="6"/>
        <v>CRITICAL</v>
      </c>
      <c r="S109" s="79">
        <f t="shared" si="7"/>
        <v>0</v>
      </c>
    </row>
    <row r="110" spans="1:19" ht="18.75" x14ac:dyDescent="0.25">
      <c r="A110" s="39">
        <v>291</v>
      </c>
      <c r="B110" s="39" t="s">
        <v>18</v>
      </c>
      <c r="C110" s="39" t="s">
        <v>303</v>
      </c>
      <c r="D110" s="28" t="s">
        <v>304</v>
      </c>
      <c r="E110" s="28" t="s">
        <v>160</v>
      </c>
      <c r="F110" s="5" t="s">
        <v>49</v>
      </c>
      <c r="G110" s="21">
        <v>1</v>
      </c>
      <c r="H110" s="22">
        <f>VLOOKUP($C110,'Master File June-26'!$C$3:$L$670,6,0)</f>
        <v>82.5</v>
      </c>
      <c r="I110" s="22">
        <f>VLOOKUP($C110,'Master File June-26'!$C$3:$L$670,7,0)</f>
        <v>82.5</v>
      </c>
      <c r="J110" s="5">
        <f>VLOOKUP($C110,'Master File June-26'!$C$3:$L$670,8,0)</f>
        <v>14</v>
      </c>
      <c r="K110" s="23">
        <f>VLOOKUP($C110,'Master File June-26'!$C$3:$L$670,9,0)</f>
        <v>41.25</v>
      </c>
      <c r="L110" s="58">
        <f>VLOOKUP($C110,'Master File June-26'!$C$3:$L$670,10,0)</f>
        <v>0</v>
      </c>
      <c r="M110" s="24">
        <f t="shared" si="4"/>
        <v>0</v>
      </c>
      <c r="N110" s="25" t="str">
        <f t="shared" si="5"/>
        <v>ORDER NOW</v>
      </c>
      <c r="O110" s="25" t="str">
        <f t="shared" si="6"/>
        <v>CRITICAL</v>
      </c>
      <c r="S110" s="79">
        <f t="shared" si="7"/>
        <v>0</v>
      </c>
    </row>
    <row r="111" spans="1:19" ht="18.75" x14ac:dyDescent="0.25">
      <c r="A111" s="39">
        <v>292</v>
      </c>
      <c r="B111" s="39" t="s">
        <v>157</v>
      </c>
      <c r="C111" s="39" t="s">
        <v>305</v>
      </c>
      <c r="D111" s="28" t="s">
        <v>306</v>
      </c>
      <c r="E111" s="28" t="s">
        <v>160</v>
      </c>
      <c r="F111" s="5" t="s">
        <v>49</v>
      </c>
      <c r="G111" s="21">
        <v>1</v>
      </c>
      <c r="H111" s="22">
        <f>VLOOKUP($C111,'Master File June-26'!$C$3:$L$670,6,0)</f>
        <v>165</v>
      </c>
      <c r="I111" s="22">
        <f>VLOOKUP($C111,'Master File June-26'!$C$3:$L$670,7,0)</f>
        <v>165</v>
      </c>
      <c r="J111" s="5">
        <f>VLOOKUP($C111,'Master File June-26'!$C$3:$L$670,8,0)</f>
        <v>14</v>
      </c>
      <c r="K111" s="23">
        <f>VLOOKUP($C111,'Master File June-26'!$C$3:$L$670,9,0)</f>
        <v>82.5</v>
      </c>
      <c r="L111" s="58">
        <f>VLOOKUP($C111,'Master File June-26'!$C$3:$L$670,10,0)</f>
        <v>0</v>
      </c>
      <c r="M111" s="24">
        <f t="shared" si="4"/>
        <v>0</v>
      </c>
      <c r="N111" s="25" t="str">
        <f t="shared" si="5"/>
        <v>ORDER NOW</v>
      </c>
      <c r="O111" s="25" t="str">
        <f t="shared" si="6"/>
        <v>CRITICAL</v>
      </c>
      <c r="S111" s="79">
        <f t="shared" si="7"/>
        <v>0</v>
      </c>
    </row>
    <row r="112" spans="1:19" ht="18.75" x14ac:dyDescent="0.25">
      <c r="A112" s="39">
        <v>293</v>
      </c>
      <c r="B112" s="39" t="s">
        <v>18</v>
      </c>
      <c r="C112" s="39" t="s">
        <v>307</v>
      </c>
      <c r="D112" s="28" t="s">
        <v>308</v>
      </c>
      <c r="E112" s="28" t="s">
        <v>160</v>
      </c>
      <c r="F112" s="5" t="s">
        <v>49</v>
      </c>
      <c r="G112" s="21">
        <v>1</v>
      </c>
      <c r="H112" s="22">
        <f>VLOOKUP($C112,'Master File June-26'!$C$3:$L$670,6,0)</f>
        <v>209</v>
      </c>
      <c r="I112" s="22">
        <f>VLOOKUP($C112,'Master File June-26'!$C$3:$L$670,7,0)</f>
        <v>209</v>
      </c>
      <c r="J112" s="5">
        <f>VLOOKUP($C112,'Master File June-26'!$C$3:$L$670,8,0)</f>
        <v>14</v>
      </c>
      <c r="K112" s="23">
        <f>VLOOKUP($C112,'Master File June-26'!$C$3:$L$670,9,0)</f>
        <v>104.5</v>
      </c>
      <c r="L112" s="58">
        <f>VLOOKUP($C112,'Master File June-26'!$C$3:$L$670,10,0)</f>
        <v>0</v>
      </c>
      <c r="M112" s="24">
        <f t="shared" si="4"/>
        <v>0</v>
      </c>
      <c r="N112" s="25" t="str">
        <f t="shared" si="5"/>
        <v>ORDER NOW</v>
      </c>
      <c r="O112" s="25" t="str">
        <f t="shared" si="6"/>
        <v>CRITICAL</v>
      </c>
      <c r="S112" s="79">
        <f t="shared" si="7"/>
        <v>0</v>
      </c>
    </row>
    <row r="113" spans="1:19" ht="18.75" x14ac:dyDescent="0.25">
      <c r="A113" s="39">
        <v>295</v>
      </c>
      <c r="B113" s="39" t="s">
        <v>18</v>
      </c>
      <c r="C113" s="39" t="s">
        <v>309</v>
      </c>
      <c r="D113" s="28" t="s">
        <v>310</v>
      </c>
      <c r="E113" s="28" t="s">
        <v>78</v>
      </c>
      <c r="F113" s="5" t="s">
        <v>49</v>
      </c>
      <c r="G113" s="21">
        <v>1</v>
      </c>
      <c r="H113" s="22">
        <f>VLOOKUP($C113,'Master File June-26'!$C$3:$L$670,6,0)</f>
        <v>11</v>
      </c>
      <c r="I113" s="22">
        <f>VLOOKUP($C113,'Master File June-26'!$C$3:$L$670,7,0)</f>
        <v>11</v>
      </c>
      <c r="J113" s="5">
        <f>VLOOKUP($C113,'Master File June-26'!$C$3:$L$670,8,0)</f>
        <v>14</v>
      </c>
      <c r="K113" s="23">
        <f>VLOOKUP($C113,'Master File June-26'!$C$3:$L$670,9,0)</f>
        <v>5.5</v>
      </c>
      <c r="L113" s="58">
        <f>VLOOKUP($C113,'Master File June-26'!$C$3:$L$670,10,0)</f>
        <v>0</v>
      </c>
      <c r="M113" s="24">
        <f t="shared" si="4"/>
        <v>0</v>
      </c>
      <c r="N113" s="25" t="str">
        <f t="shared" si="5"/>
        <v>ORDER NOW</v>
      </c>
      <c r="O113" s="25" t="str">
        <f t="shared" si="6"/>
        <v>CRITICAL</v>
      </c>
      <c r="S113" s="79">
        <f t="shared" si="7"/>
        <v>0</v>
      </c>
    </row>
    <row r="114" spans="1:19" ht="18.75" x14ac:dyDescent="0.25">
      <c r="A114" s="39">
        <v>296</v>
      </c>
      <c r="B114" s="39" t="s">
        <v>18</v>
      </c>
      <c r="C114" s="39" t="s">
        <v>311</v>
      </c>
      <c r="D114" s="28" t="s">
        <v>312</v>
      </c>
      <c r="E114" s="28" t="s">
        <v>78</v>
      </c>
      <c r="F114" s="5" t="s">
        <v>49</v>
      </c>
      <c r="G114" s="21">
        <v>1</v>
      </c>
      <c r="H114" s="22">
        <f>VLOOKUP($C114,'Master File June-26'!$C$3:$L$670,6,0)</f>
        <v>22</v>
      </c>
      <c r="I114" s="22">
        <f>VLOOKUP($C114,'Master File June-26'!$C$3:$L$670,7,0)</f>
        <v>22</v>
      </c>
      <c r="J114" s="5">
        <f>VLOOKUP($C114,'Master File June-26'!$C$3:$L$670,8,0)</f>
        <v>14</v>
      </c>
      <c r="K114" s="23">
        <f>VLOOKUP($C114,'Master File June-26'!$C$3:$L$670,9,0)</f>
        <v>11</v>
      </c>
      <c r="L114" s="58">
        <f>VLOOKUP($C114,'Master File June-26'!$C$3:$L$670,10,0)</f>
        <v>0</v>
      </c>
      <c r="M114" s="24">
        <f t="shared" si="4"/>
        <v>0</v>
      </c>
      <c r="N114" s="25" t="str">
        <f t="shared" si="5"/>
        <v>ORDER NOW</v>
      </c>
      <c r="O114" s="25" t="str">
        <f t="shared" si="6"/>
        <v>CRITICAL</v>
      </c>
      <c r="S114" s="79">
        <f t="shared" si="7"/>
        <v>0</v>
      </c>
    </row>
    <row r="115" spans="1:19" ht="18.75" x14ac:dyDescent="0.25">
      <c r="A115" s="39">
        <v>297</v>
      </c>
      <c r="B115" s="39" t="s">
        <v>18</v>
      </c>
      <c r="C115" s="39" t="s">
        <v>313</v>
      </c>
      <c r="D115" s="28" t="s">
        <v>314</v>
      </c>
      <c r="E115" s="28" t="s">
        <v>78</v>
      </c>
      <c r="F115" s="5" t="s">
        <v>49</v>
      </c>
      <c r="G115" s="21">
        <v>1</v>
      </c>
      <c r="H115" s="22">
        <f>VLOOKUP($C115,'Master File June-26'!$C$3:$L$670,6,0)</f>
        <v>11</v>
      </c>
      <c r="I115" s="22">
        <f>VLOOKUP($C115,'Master File June-26'!$C$3:$L$670,7,0)</f>
        <v>11</v>
      </c>
      <c r="J115" s="5">
        <f>VLOOKUP($C115,'Master File June-26'!$C$3:$L$670,8,0)</f>
        <v>14</v>
      </c>
      <c r="K115" s="23">
        <f>VLOOKUP($C115,'Master File June-26'!$C$3:$L$670,9,0)</f>
        <v>5.5</v>
      </c>
      <c r="L115" s="58">
        <f>VLOOKUP($C115,'Master File June-26'!$C$3:$L$670,10,0)</f>
        <v>0</v>
      </c>
      <c r="M115" s="24">
        <f t="shared" si="4"/>
        <v>0</v>
      </c>
      <c r="N115" s="25" t="str">
        <f t="shared" si="5"/>
        <v>ORDER NOW</v>
      </c>
      <c r="O115" s="25" t="str">
        <f t="shared" si="6"/>
        <v>CRITICAL</v>
      </c>
      <c r="S115" s="79">
        <f t="shared" si="7"/>
        <v>0</v>
      </c>
    </row>
    <row r="116" spans="1:19" ht="18.75" x14ac:dyDescent="0.25">
      <c r="A116" s="39">
        <v>298</v>
      </c>
      <c r="B116" s="39" t="s">
        <v>18</v>
      </c>
      <c r="C116" s="39" t="s">
        <v>315</v>
      </c>
      <c r="D116" s="34" t="s">
        <v>316</v>
      </c>
      <c r="E116" s="34" t="s">
        <v>78</v>
      </c>
      <c r="F116" s="5" t="s">
        <v>49</v>
      </c>
      <c r="G116" s="21">
        <v>1</v>
      </c>
      <c r="H116" s="22">
        <f>VLOOKUP($C116,'Master File June-26'!$C$3:$L$670,6,0)</f>
        <v>11</v>
      </c>
      <c r="I116" s="22">
        <f>VLOOKUP($C116,'Master File June-26'!$C$3:$L$670,7,0)</f>
        <v>11</v>
      </c>
      <c r="J116" s="5">
        <f>VLOOKUP($C116,'Master File June-26'!$C$3:$L$670,8,0)</f>
        <v>14</v>
      </c>
      <c r="K116" s="23">
        <f>VLOOKUP($C116,'Master File June-26'!$C$3:$L$670,9,0)</f>
        <v>5.5</v>
      </c>
      <c r="L116" s="58">
        <f>VLOOKUP($C116,'Master File June-26'!$C$3:$L$670,10,0)</f>
        <v>0</v>
      </c>
      <c r="M116" s="24">
        <f t="shared" si="4"/>
        <v>0</v>
      </c>
      <c r="N116" s="25" t="str">
        <f t="shared" si="5"/>
        <v>ORDER NOW</v>
      </c>
      <c r="O116" s="25" t="str">
        <f t="shared" si="6"/>
        <v>CRITICAL</v>
      </c>
      <c r="S116" s="79">
        <f t="shared" si="7"/>
        <v>0</v>
      </c>
    </row>
    <row r="117" spans="1:19" ht="18.75" x14ac:dyDescent="0.25">
      <c r="A117" s="39">
        <v>299</v>
      </c>
      <c r="B117" s="39" t="s">
        <v>18</v>
      </c>
      <c r="C117" s="39" t="s">
        <v>317</v>
      </c>
      <c r="D117" s="34" t="s">
        <v>318</v>
      </c>
      <c r="E117" s="117" t="s">
        <v>78</v>
      </c>
      <c r="F117" s="5" t="s">
        <v>49</v>
      </c>
      <c r="G117" s="21">
        <v>1</v>
      </c>
      <c r="H117" s="22">
        <f>VLOOKUP($C117,'Master File June-26'!$C$3:$L$670,6,0)</f>
        <v>11</v>
      </c>
      <c r="I117" s="22">
        <f>VLOOKUP($C117,'Master File June-26'!$C$3:$L$670,7,0)</f>
        <v>11</v>
      </c>
      <c r="J117" s="5">
        <f>VLOOKUP($C117,'Master File June-26'!$C$3:$L$670,8,0)</f>
        <v>14</v>
      </c>
      <c r="K117" s="23">
        <f>VLOOKUP($C117,'Master File June-26'!$C$3:$L$670,9,0)</f>
        <v>5.5</v>
      </c>
      <c r="L117" s="58">
        <f>VLOOKUP($C117,'Master File June-26'!$C$3:$L$670,10,0)</f>
        <v>0</v>
      </c>
      <c r="M117" s="24">
        <f t="shared" si="4"/>
        <v>0</v>
      </c>
      <c r="N117" s="25" t="str">
        <f t="shared" si="5"/>
        <v>ORDER NOW</v>
      </c>
      <c r="O117" s="25" t="str">
        <f t="shared" si="6"/>
        <v>CRITICAL</v>
      </c>
      <c r="S117" s="79">
        <f t="shared" si="7"/>
        <v>0</v>
      </c>
    </row>
    <row r="118" spans="1:19" ht="18.75" x14ac:dyDescent="0.25">
      <c r="A118" s="39">
        <v>300</v>
      </c>
      <c r="B118" s="39" t="s">
        <v>234</v>
      </c>
      <c r="C118" s="39" t="s">
        <v>319</v>
      </c>
      <c r="D118" s="34" t="s">
        <v>320</v>
      </c>
      <c r="E118" s="34" t="s">
        <v>78</v>
      </c>
      <c r="F118" s="5" t="s">
        <v>49</v>
      </c>
      <c r="G118" s="21">
        <v>1</v>
      </c>
      <c r="H118" s="22">
        <f>VLOOKUP($C118,'Master File June-26'!$C$3:$L$670,6,0)</f>
        <v>11</v>
      </c>
      <c r="I118" s="22">
        <f>VLOOKUP($C118,'Master File June-26'!$C$3:$L$670,7,0)</f>
        <v>11</v>
      </c>
      <c r="J118" s="5">
        <f>VLOOKUP($C118,'Master File June-26'!$C$3:$L$670,8,0)</f>
        <v>14</v>
      </c>
      <c r="K118" s="23">
        <f>VLOOKUP($C118,'Master File June-26'!$C$3:$L$670,9,0)</f>
        <v>5.5</v>
      </c>
      <c r="L118" s="58">
        <f>VLOOKUP($C118,'Master File June-26'!$C$3:$L$670,10,0)</f>
        <v>0</v>
      </c>
      <c r="M118" s="24">
        <f t="shared" si="4"/>
        <v>0</v>
      </c>
      <c r="N118" s="25" t="str">
        <f t="shared" si="5"/>
        <v>ORDER NOW</v>
      </c>
      <c r="O118" s="25" t="str">
        <f t="shared" si="6"/>
        <v>CRITICAL</v>
      </c>
      <c r="S118" s="79">
        <f t="shared" si="7"/>
        <v>0</v>
      </c>
    </row>
    <row r="119" spans="1:19" ht="18.75" x14ac:dyDescent="0.25">
      <c r="A119" s="39">
        <v>301</v>
      </c>
      <c r="B119" s="39" t="s">
        <v>18</v>
      </c>
      <c r="C119" s="39" t="s">
        <v>321</v>
      </c>
      <c r="D119" s="34" t="s">
        <v>322</v>
      </c>
      <c r="E119" s="34" t="s">
        <v>78</v>
      </c>
      <c r="F119" s="5" t="s">
        <v>49</v>
      </c>
      <c r="G119" s="21">
        <v>1</v>
      </c>
      <c r="H119" s="22">
        <f>VLOOKUP($C119,'Master File June-26'!$C$3:$L$670,6,0)</f>
        <v>11</v>
      </c>
      <c r="I119" s="22">
        <f>VLOOKUP($C119,'Master File June-26'!$C$3:$L$670,7,0)</f>
        <v>11</v>
      </c>
      <c r="J119" s="5">
        <f>VLOOKUP($C119,'Master File June-26'!$C$3:$L$670,8,0)</f>
        <v>14</v>
      </c>
      <c r="K119" s="23">
        <f>VLOOKUP($C119,'Master File June-26'!$C$3:$L$670,9,0)</f>
        <v>5.5</v>
      </c>
      <c r="L119" s="58">
        <f>VLOOKUP($C119,'Master File June-26'!$C$3:$L$670,10,0)</f>
        <v>0</v>
      </c>
      <c r="M119" s="24">
        <f t="shared" si="4"/>
        <v>0</v>
      </c>
      <c r="N119" s="25" t="str">
        <f t="shared" si="5"/>
        <v>ORDER NOW</v>
      </c>
      <c r="O119" s="25" t="str">
        <f t="shared" si="6"/>
        <v>CRITICAL</v>
      </c>
      <c r="S119" s="79">
        <f t="shared" si="7"/>
        <v>0</v>
      </c>
    </row>
    <row r="120" spans="1:19" ht="18.75" x14ac:dyDescent="0.25">
      <c r="A120" s="39">
        <v>302</v>
      </c>
      <c r="B120" s="39" t="s">
        <v>18</v>
      </c>
      <c r="C120" s="39" t="s">
        <v>323</v>
      </c>
      <c r="D120" s="34" t="s">
        <v>324</v>
      </c>
      <c r="E120" s="34" t="s">
        <v>78</v>
      </c>
      <c r="F120" s="5" t="s">
        <v>49</v>
      </c>
      <c r="G120" s="21">
        <v>1</v>
      </c>
      <c r="H120" s="22">
        <f>VLOOKUP($C120,'Master File June-26'!$C$3:$L$670,6,0)</f>
        <v>11</v>
      </c>
      <c r="I120" s="22">
        <f>VLOOKUP($C120,'Master File June-26'!$C$3:$L$670,7,0)</f>
        <v>11</v>
      </c>
      <c r="J120" s="5">
        <f>VLOOKUP($C120,'Master File June-26'!$C$3:$L$670,8,0)</f>
        <v>14</v>
      </c>
      <c r="K120" s="23">
        <f>VLOOKUP($C120,'Master File June-26'!$C$3:$L$670,9,0)</f>
        <v>5.5</v>
      </c>
      <c r="L120" s="58">
        <f>VLOOKUP($C120,'Master File June-26'!$C$3:$L$670,10,0)</f>
        <v>0</v>
      </c>
      <c r="M120" s="24">
        <f t="shared" si="4"/>
        <v>0</v>
      </c>
      <c r="N120" s="25" t="str">
        <f t="shared" si="5"/>
        <v>ORDER NOW</v>
      </c>
      <c r="O120" s="25" t="str">
        <f t="shared" si="6"/>
        <v>CRITICAL</v>
      </c>
      <c r="S120" s="79">
        <f t="shared" si="7"/>
        <v>0</v>
      </c>
    </row>
    <row r="121" spans="1:19" ht="18.75" x14ac:dyDescent="0.25">
      <c r="A121" s="39">
        <v>304</v>
      </c>
      <c r="B121" s="39" t="s">
        <v>18</v>
      </c>
      <c r="C121" s="39" t="s">
        <v>325</v>
      </c>
      <c r="D121" s="34" t="s">
        <v>326</v>
      </c>
      <c r="E121" s="34" t="s">
        <v>78</v>
      </c>
      <c r="F121" s="5" t="s">
        <v>49</v>
      </c>
      <c r="G121" s="21">
        <v>1</v>
      </c>
      <c r="H121" s="22">
        <f>VLOOKUP($C121,'Master File June-26'!$C$3:$L$670,6,0)</f>
        <v>11</v>
      </c>
      <c r="I121" s="22">
        <f>VLOOKUP($C121,'Master File June-26'!$C$3:$L$670,7,0)</f>
        <v>11</v>
      </c>
      <c r="J121" s="5">
        <f>VLOOKUP($C121,'Master File June-26'!$C$3:$L$670,8,0)</f>
        <v>14</v>
      </c>
      <c r="K121" s="23">
        <f>VLOOKUP($C121,'Master File June-26'!$C$3:$L$670,9,0)</f>
        <v>5.5</v>
      </c>
      <c r="L121" s="58">
        <f>VLOOKUP($C121,'Master File June-26'!$C$3:$L$670,10,0)</f>
        <v>0</v>
      </c>
      <c r="M121" s="24">
        <f t="shared" si="4"/>
        <v>0</v>
      </c>
      <c r="N121" s="25" t="str">
        <f t="shared" si="5"/>
        <v>ORDER NOW</v>
      </c>
      <c r="O121" s="25" t="str">
        <f t="shared" si="6"/>
        <v>CRITICAL</v>
      </c>
      <c r="S121" s="79">
        <f t="shared" si="7"/>
        <v>0</v>
      </c>
    </row>
    <row r="122" spans="1:19" ht="18.75" x14ac:dyDescent="0.25">
      <c r="A122" s="39">
        <v>305</v>
      </c>
      <c r="B122" s="39" t="s">
        <v>18</v>
      </c>
      <c r="C122" s="39" t="s">
        <v>327</v>
      </c>
      <c r="D122" s="28" t="s">
        <v>328</v>
      </c>
      <c r="E122" s="28" t="s">
        <v>78</v>
      </c>
      <c r="F122" s="5" t="s">
        <v>49</v>
      </c>
      <c r="G122" s="21">
        <v>1</v>
      </c>
      <c r="H122" s="22">
        <f>VLOOKUP($C122,'Master File June-26'!$C$3:$L$670,6,0)</f>
        <v>22</v>
      </c>
      <c r="I122" s="22">
        <f>VLOOKUP($C122,'Master File June-26'!$C$3:$L$670,7,0)</f>
        <v>22</v>
      </c>
      <c r="J122" s="5">
        <f>VLOOKUP($C122,'Master File June-26'!$C$3:$L$670,8,0)</f>
        <v>14</v>
      </c>
      <c r="K122" s="23">
        <f>VLOOKUP($C122,'Master File June-26'!$C$3:$L$670,9,0)</f>
        <v>11</v>
      </c>
      <c r="L122" s="58">
        <f>VLOOKUP($C122,'Master File June-26'!$C$3:$L$670,10,0)</f>
        <v>0</v>
      </c>
      <c r="M122" s="24">
        <f t="shared" si="4"/>
        <v>0</v>
      </c>
      <c r="N122" s="25" t="str">
        <f t="shared" si="5"/>
        <v>ORDER NOW</v>
      </c>
      <c r="O122" s="25" t="str">
        <f t="shared" si="6"/>
        <v>CRITICAL</v>
      </c>
      <c r="S122" s="79">
        <f t="shared" si="7"/>
        <v>0</v>
      </c>
    </row>
    <row r="123" spans="1:19" ht="18.75" x14ac:dyDescent="0.25">
      <c r="A123" s="39">
        <v>306</v>
      </c>
      <c r="B123" s="39" t="s">
        <v>18</v>
      </c>
      <c r="C123" s="39" t="s">
        <v>329</v>
      </c>
      <c r="D123" s="28" t="s">
        <v>330</v>
      </c>
      <c r="E123" s="28" t="s">
        <v>78</v>
      </c>
      <c r="F123" s="5" t="s">
        <v>49</v>
      </c>
      <c r="G123" s="21">
        <v>1</v>
      </c>
      <c r="H123" s="22">
        <f>VLOOKUP($C123,'Master File June-26'!$C$3:$L$670,6,0)</f>
        <v>0</v>
      </c>
      <c r="I123" s="22">
        <f>VLOOKUP($C123,'Master File June-26'!$C$3:$L$670,7,0)</f>
        <v>0</v>
      </c>
      <c r="J123" s="5">
        <f>VLOOKUP($C123,'Master File June-26'!$C$3:$L$670,8,0)</f>
        <v>14</v>
      </c>
      <c r="K123" s="23">
        <f>VLOOKUP($C123,'Master File June-26'!$C$3:$L$670,9,0)</f>
        <v>0</v>
      </c>
      <c r="L123" s="58">
        <f>VLOOKUP($C123,'Master File June-26'!$C$3:$L$670,10,0)</f>
        <v>0</v>
      </c>
      <c r="M123" s="24">
        <f t="shared" si="4"/>
        <v>0</v>
      </c>
      <c r="N123" s="25" t="str">
        <f t="shared" si="5"/>
        <v>ORDER NOW</v>
      </c>
      <c r="O123" s="25" t="str">
        <f t="shared" si="6"/>
        <v>CRITICAL</v>
      </c>
      <c r="S123" s="79">
        <f t="shared" si="7"/>
        <v>1</v>
      </c>
    </row>
    <row r="124" spans="1:19" ht="18.75" x14ac:dyDescent="0.25">
      <c r="A124" s="39">
        <v>307</v>
      </c>
      <c r="B124" s="39" t="s">
        <v>18</v>
      </c>
      <c r="C124" s="39" t="s">
        <v>331</v>
      </c>
      <c r="D124" s="28" t="s">
        <v>332</v>
      </c>
      <c r="E124" s="28" t="s">
        <v>78</v>
      </c>
      <c r="F124" s="5" t="s">
        <v>49</v>
      </c>
      <c r="G124" s="21">
        <v>1</v>
      </c>
      <c r="H124" s="22">
        <f>VLOOKUP($C124,'Master File June-26'!$C$3:$L$670,6,0)</f>
        <v>0</v>
      </c>
      <c r="I124" s="22">
        <f>VLOOKUP($C124,'Master File June-26'!$C$3:$L$670,7,0)</f>
        <v>0</v>
      </c>
      <c r="J124" s="5">
        <f>VLOOKUP($C124,'Master File June-26'!$C$3:$L$670,8,0)</f>
        <v>14</v>
      </c>
      <c r="K124" s="23">
        <f>VLOOKUP($C124,'Master File June-26'!$C$3:$L$670,9,0)</f>
        <v>0</v>
      </c>
      <c r="L124" s="58">
        <f>VLOOKUP($C124,'Master File June-26'!$C$3:$L$670,10,0)</f>
        <v>0</v>
      </c>
      <c r="M124" s="24">
        <f t="shared" si="4"/>
        <v>0</v>
      </c>
      <c r="N124" s="25" t="str">
        <f t="shared" si="5"/>
        <v>ORDER NOW</v>
      </c>
      <c r="O124" s="25" t="str">
        <f t="shared" si="6"/>
        <v>CRITICAL</v>
      </c>
      <c r="S124" s="79">
        <f t="shared" si="7"/>
        <v>1</v>
      </c>
    </row>
    <row r="125" spans="1:19" ht="18.75" x14ac:dyDescent="0.25">
      <c r="A125" s="39">
        <v>308</v>
      </c>
      <c r="B125" s="39" t="s">
        <v>239</v>
      </c>
      <c r="C125" s="39" t="s">
        <v>333</v>
      </c>
      <c r="D125" s="28" t="s">
        <v>334</v>
      </c>
      <c r="E125" s="28" t="s">
        <v>160</v>
      </c>
      <c r="F125" s="5" t="s">
        <v>49</v>
      </c>
      <c r="G125" s="21">
        <v>1</v>
      </c>
      <c r="H125" s="22">
        <f>VLOOKUP($C125,'Master File June-26'!$C$3:$L$670,6,0)</f>
        <v>8</v>
      </c>
      <c r="I125" s="22">
        <f>VLOOKUP($C125,'Master File June-26'!$C$3:$L$670,7,0)</f>
        <v>8</v>
      </c>
      <c r="J125" s="5">
        <f>VLOOKUP($C125,'Master File June-26'!$C$3:$L$670,8,0)</f>
        <v>14</v>
      </c>
      <c r="K125" s="23">
        <f>VLOOKUP($C125,'Master File June-26'!$C$3:$L$670,9,0)</f>
        <v>4</v>
      </c>
      <c r="L125" s="58">
        <f>VLOOKUP($C125,'Master File June-26'!$C$3:$L$670,10,0)</f>
        <v>1</v>
      </c>
      <c r="M125" s="24">
        <f t="shared" si="4"/>
        <v>3.75</v>
      </c>
      <c r="N125" s="25" t="str">
        <f t="shared" si="5"/>
        <v>ORDER NOW</v>
      </c>
      <c r="O125" s="25" t="str">
        <f t="shared" si="6"/>
        <v>CRITICAL</v>
      </c>
      <c r="S125" s="79">
        <f t="shared" si="7"/>
        <v>0</v>
      </c>
    </row>
    <row r="126" spans="1:19" ht="18.75" x14ac:dyDescent="0.25">
      <c r="A126" s="39">
        <v>309</v>
      </c>
      <c r="B126" s="39" t="s">
        <v>239</v>
      </c>
      <c r="C126" s="39" t="s">
        <v>335</v>
      </c>
      <c r="D126" s="28" t="s">
        <v>336</v>
      </c>
      <c r="E126" s="28" t="s">
        <v>160</v>
      </c>
      <c r="F126" s="5" t="s">
        <v>49</v>
      </c>
      <c r="G126" s="21">
        <v>1</v>
      </c>
      <c r="H126" s="22">
        <f>VLOOKUP($C126,'Master File June-26'!$C$3:$L$670,6,0)</f>
        <v>0</v>
      </c>
      <c r="I126" s="22">
        <f>VLOOKUP($C126,'Master File June-26'!$C$3:$L$670,7,0)</f>
        <v>0</v>
      </c>
      <c r="J126" s="5">
        <f>VLOOKUP($C126,'Master File June-26'!$C$3:$L$670,8,0)</f>
        <v>14</v>
      </c>
      <c r="K126" s="23">
        <f>VLOOKUP($C126,'Master File June-26'!$C$3:$L$670,9,0)</f>
        <v>0</v>
      </c>
      <c r="L126" s="58">
        <f>VLOOKUP($C126,'Master File June-26'!$C$3:$L$670,10,0)</f>
        <v>0</v>
      </c>
      <c r="M126" s="24">
        <f t="shared" si="4"/>
        <v>0</v>
      </c>
      <c r="N126" s="25" t="str">
        <f t="shared" si="5"/>
        <v>ORDER NOW</v>
      </c>
      <c r="O126" s="25" t="str">
        <f t="shared" si="6"/>
        <v>CRITICAL</v>
      </c>
      <c r="S126" s="79">
        <f t="shared" si="7"/>
        <v>1</v>
      </c>
    </row>
    <row r="127" spans="1:19" ht="18.75" x14ac:dyDescent="0.25">
      <c r="A127" s="39">
        <v>310</v>
      </c>
      <c r="B127" s="39" t="s">
        <v>18</v>
      </c>
      <c r="C127" s="39" t="s">
        <v>337</v>
      </c>
      <c r="D127" s="28" t="s">
        <v>338</v>
      </c>
      <c r="E127" s="28" t="s">
        <v>78</v>
      </c>
      <c r="F127" s="5" t="s">
        <v>49</v>
      </c>
      <c r="G127" s="21">
        <v>1</v>
      </c>
      <c r="H127" s="22">
        <f>VLOOKUP($C127,'Master File June-26'!$C$3:$L$670,6,0)</f>
        <v>8</v>
      </c>
      <c r="I127" s="22">
        <f>VLOOKUP($C127,'Master File June-26'!$C$3:$L$670,7,0)</f>
        <v>8</v>
      </c>
      <c r="J127" s="5">
        <f>VLOOKUP($C127,'Master File June-26'!$C$3:$L$670,8,0)</f>
        <v>14</v>
      </c>
      <c r="K127" s="23">
        <f>VLOOKUP($C127,'Master File June-26'!$C$3:$L$670,9,0)</f>
        <v>4</v>
      </c>
      <c r="L127" s="58">
        <f>VLOOKUP($C127,'Master File June-26'!$C$3:$L$670,10,0)</f>
        <v>0</v>
      </c>
      <c r="M127" s="24">
        <f t="shared" si="4"/>
        <v>0</v>
      </c>
      <c r="N127" s="25" t="str">
        <f t="shared" si="5"/>
        <v>ORDER NOW</v>
      </c>
      <c r="O127" s="25" t="str">
        <f t="shared" si="6"/>
        <v>CRITICAL</v>
      </c>
      <c r="S127" s="79">
        <f t="shared" si="7"/>
        <v>0</v>
      </c>
    </row>
    <row r="128" spans="1:19" ht="18.75" x14ac:dyDescent="0.25">
      <c r="A128" s="39">
        <v>311</v>
      </c>
      <c r="B128" s="39" t="s">
        <v>339</v>
      </c>
      <c r="C128" s="39" t="s">
        <v>340</v>
      </c>
      <c r="D128" s="28" t="s">
        <v>341</v>
      </c>
      <c r="E128" s="28" t="s">
        <v>78</v>
      </c>
      <c r="F128" s="5" t="s">
        <v>49</v>
      </c>
      <c r="G128" s="21">
        <v>1</v>
      </c>
      <c r="H128" s="22">
        <f>VLOOKUP($C128,'Master File June-26'!$C$3:$L$670,6,0)</f>
        <v>200</v>
      </c>
      <c r="I128" s="22">
        <f>VLOOKUP($C128,'Master File June-26'!$C$3:$L$670,7,0)</f>
        <v>200</v>
      </c>
      <c r="J128" s="5">
        <f>VLOOKUP($C128,'Master File June-26'!$C$3:$L$670,8,0)</f>
        <v>14</v>
      </c>
      <c r="K128" s="23">
        <f>VLOOKUP($C128,'Master File June-26'!$C$3:$L$670,9,0)</f>
        <v>100</v>
      </c>
      <c r="L128" s="58">
        <f>VLOOKUP($C128,'Master File June-26'!$C$3:$L$670,10,0)</f>
        <v>0</v>
      </c>
      <c r="M128" s="24">
        <f t="shared" si="4"/>
        <v>0</v>
      </c>
      <c r="N128" s="25" t="str">
        <f t="shared" si="5"/>
        <v>ORDER NOW</v>
      </c>
      <c r="O128" s="25" t="str">
        <f t="shared" si="6"/>
        <v>CRITICAL</v>
      </c>
      <c r="S128" s="79">
        <f t="shared" si="7"/>
        <v>0</v>
      </c>
    </row>
    <row r="129" spans="1:19" ht="18.75" x14ac:dyDescent="0.25">
      <c r="A129" s="39">
        <v>312</v>
      </c>
      <c r="B129" s="39" t="s">
        <v>339</v>
      </c>
      <c r="C129" s="39" t="s">
        <v>342</v>
      </c>
      <c r="D129" s="28" t="s">
        <v>343</v>
      </c>
      <c r="E129" s="28" t="s">
        <v>78</v>
      </c>
      <c r="F129" s="5" t="s">
        <v>49</v>
      </c>
      <c r="G129" s="21">
        <v>1</v>
      </c>
      <c r="H129" s="22">
        <f>VLOOKUP($C129,'Master File June-26'!$C$3:$L$670,6,0)</f>
        <v>200</v>
      </c>
      <c r="I129" s="22">
        <f>VLOOKUP($C129,'Master File June-26'!$C$3:$L$670,7,0)</f>
        <v>200</v>
      </c>
      <c r="J129" s="5">
        <f>VLOOKUP($C129,'Master File June-26'!$C$3:$L$670,8,0)</f>
        <v>14</v>
      </c>
      <c r="K129" s="23">
        <f>VLOOKUP($C129,'Master File June-26'!$C$3:$L$670,9,0)</f>
        <v>100</v>
      </c>
      <c r="L129" s="58">
        <f>VLOOKUP($C129,'Master File June-26'!$C$3:$L$670,10,0)</f>
        <v>0</v>
      </c>
      <c r="M129" s="24">
        <f t="shared" si="4"/>
        <v>0</v>
      </c>
      <c r="N129" s="25" t="str">
        <f t="shared" si="5"/>
        <v>ORDER NOW</v>
      </c>
      <c r="O129" s="25" t="str">
        <f t="shared" si="6"/>
        <v>CRITICAL</v>
      </c>
      <c r="S129" s="79">
        <f t="shared" si="7"/>
        <v>0</v>
      </c>
    </row>
    <row r="130" spans="1:19" ht="18.75" x14ac:dyDescent="0.25">
      <c r="A130" s="39">
        <v>315</v>
      </c>
      <c r="B130" s="39" t="s">
        <v>239</v>
      </c>
      <c r="C130" s="39" t="s">
        <v>344</v>
      </c>
      <c r="D130" s="28" t="s">
        <v>345</v>
      </c>
      <c r="E130" s="28" t="s">
        <v>346</v>
      </c>
      <c r="F130" s="5" t="s">
        <v>22</v>
      </c>
      <c r="G130" s="21">
        <f>1/10</f>
        <v>0.1</v>
      </c>
      <c r="H130" s="22">
        <f>VLOOKUP($C130,'Master File June-26'!$C$3:$L$670,6,0)</f>
        <v>8</v>
      </c>
      <c r="I130" s="22">
        <f>VLOOKUP($C130,'Master File June-26'!$C$3:$L$670,7,0)</f>
        <v>80</v>
      </c>
      <c r="J130" s="5">
        <f>VLOOKUP($C130,'Master File June-26'!$C$3:$L$670,8,0)</f>
        <v>14</v>
      </c>
      <c r="K130" s="23">
        <f>VLOOKUP($C130,'Master File June-26'!$C$3:$L$670,9,0)</f>
        <v>40</v>
      </c>
      <c r="L130" s="58">
        <f>VLOOKUP($C130,'Master File June-26'!$C$3:$L$670,10,0)</f>
        <v>0</v>
      </c>
      <c r="M130" s="24">
        <f t="shared" si="4"/>
        <v>0</v>
      </c>
      <c r="N130" s="25" t="str">
        <f t="shared" si="5"/>
        <v>ORDER NOW</v>
      </c>
      <c r="O130" s="25" t="str">
        <f t="shared" si="6"/>
        <v>CRITICAL</v>
      </c>
      <c r="S130" s="79">
        <f t="shared" si="7"/>
        <v>0</v>
      </c>
    </row>
    <row r="131" spans="1:19" ht="18.75" x14ac:dyDescent="0.25">
      <c r="A131" s="39">
        <v>316</v>
      </c>
      <c r="B131" s="39" t="s">
        <v>157</v>
      </c>
      <c r="C131" s="39" t="s">
        <v>347</v>
      </c>
      <c r="D131" s="28" t="s">
        <v>348</v>
      </c>
      <c r="E131" s="28" t="s">
        <v>349</v>
      </c>
      <c r="F131" s="5" t="s">
        <v>22</v>
      </c>
      <c r="G131" s="21">
        <f>1/36</f>
        <v>2.7777777777777776E-2</v>
      </c>
      <c r="H131" s="22">
        <f>VLOOKUP($C131,'Master File June-26'!$C$3:$L$670,6,0)</f>
        <v>0</v>
      </c>
      <c r="I131" s="22">
        <f>VLOOKUP($C131,'Master File June-26'!$C$3:$L$670,7,0)</f>
        <v>0</v>
      </c>
      <c r="J131" s="5">
        <f>VLOOKUP($C131,'Master File June-26'!$C$3:$L$670,8,0)</f>
        <v>14</v>
      </c>
      <c r="K131" s="23">
        <f>VLOOKUP($C131,'Master File June-26'!$C$3:$L$670,9,0)</f>
        <v>0</v>
      </c>
      <c r="L131" s="58">
        <f>VLOOKUP($C131,'Master File June-26'!$C$3:$L$670,10,0)</f>
        <v>0</v>
      </c>
      <c r="M131" s="24">
        <f t="shared" ref="M131:M194" si="8">IFERROR((L131/I131*30),0)</f>
        <v>0</v>
      </c>
      <c r="N131" s="25" t="str">
        <f t="shared" ref="N131:N194" si="9">IF(M131&lt;J131,"ORDER NOW","IN STOCK")</f>
        <v>ORDER NOW</v>
      </c>
      <c r="O131" s="25" t="str">
        <f t="shared" ref="O131:O194" si="10">IF(M131&lt;J131,"CRITICAL","FOLLOW UP DELIVERY")</f>
        <v>CRITICAL</v>
      </c>
      <c r="S131" s="79">
        <f t="shared" ref="S131:S194" si="11">IF(L131&lt;K131,0,1)</f>
        <v>1</v>
      </c>
    </row>
    <row r="132" spans="1:19" ht="18.75" x14ac:dyDescent="0.25">
      <c r="A132" s="39">
        <v>317</v>
      </c>
      <c r="B132" s="39" t="s">
        <v>123</v>
      </c>
      <c r="C132" s="39" t="s">
        <v>350</v>
      </c>
      <c r="D132" s="28" t="s">
        <v>351</v>
      </c>
      <c r="E132" s="28" t="s">
        <v>352</v>
      </c>
      <c r="F132" s="5" t="s">
        <v>22</v>
      </c>
      <c r="G132" s="21">
        <v>0.1</v>
      </c>
      <c r="H132" s="22">
        <f>VLOOKUP($C132,'Master File June-26'!$C$3:$L$670,6,0)</f>
        <v>1</v>
      </c>
      <c r="I132" s="22">
        <f>VLOOKUP($C132,'Master File June-26'!$C$3:$L$670,7,0)</f>
        <v>10</v>
      </c>
      <c r="J132" s="5">
        <f>VLOOKUP($C132,'Master File June-26'!$C$3:$L$670,8,0)</f>
        <v>14</v>
      </c>
      <c r="K132" s="23">
        <f>VLOOKUP($C132,'Master File June-26'!$C$3:$L$670,9,0)</f>
        <v>5</v>
      </c>
      <c r="L132" s="58">
        <f>VLOOKUP($C132,'Master File June-26'!$C$3:$L$670,10,0)</f>
        <v>0</v>
      </c>
      <c r="M132" s="24">
        <f t="shared" si="8"/>
        <v>0</v>
      </c>
      <c r="N132" s="25" t="str">
        <f t="shared" si="9"/>
        <v>ORDER NOW</v>
      </c>
      <c r="O132" s="25" t="str">
        <f t="shared" si="10"/>
        <v>CRITICAL</v>
      </c>
      <c r="S132" s="79">
        <f t="shared" si="11"/>
        <v>0</v>
      </c>
    </row>
    <row r="133" spans="1:19" ht="18.75" x14ac:dyDescent="0.25">
      <c r="A133" s="39">
        <v>318</v>
      </c>
      <c r="B133" s="39" t="s">
        <v>239</v>
      </c>
      <c r="C133" s="39" t="s">
        <v>353</v>
      </c>
      <c r="D133" s="28" t="s">
        <v>354</v>
      </c>
      <c r="E133" s="28" t="s">
        <v>78</v>
      </c>
      <c r="F133" s="5" t="s">
        <v>49</v>
      </c>
      <c r="G133" s="21">
        <v>1</v>
      </c>
      <c r="H133" s="22">
        <f>VLOOKUP($C133,'Master File June-26'!$C$3:$L$670,6,0)</f>
        <v>0</v>
      </c>
      <c r="I133" s="22">
        <f>VLOOKUP($C133,'Master File June-26'!$C$3:$L$670,7,0)</f>
        <v>0</v>
      </c>
      <c r="J133" s="5">
        <f>VLOOKUP($C133,'Master File June-26'!$C$3:$L$670,8,0)</f>
        <v>14</v>
      </c>
      <c r="K133" s="23">
        <f>VLOOKUP($C133,'Master File June-26'!$C$3:$L$670,9,0)</f>
        <v>0</v>
      </c>
      <c r="L133" s="58">
        <f>VLOOKUP($C133,'Master File June-26'!$C$3:$L$670,10,0)</f>
        <v>0</v>
      </c>
      <c r="M133" s="24">
        <f t="shared" si="8"/>
        <v>0</v>
      </c>
      <c r="N133" s="25" t="str">
        <f t="shared" si="9"/>
        <v>ORDER NOW</v>
      </c>
      <c r="O133" s="25" t="str">
        <f t="shared" si="10"/>
        <v>CRITICAL</v>
      </c>
      <c r="S133" s="79">
        <f t="shared" si="11"/>
        <v>1</v>
      </c>
    </row>
    <row r="134" spans="1:19" ht="18.75" x14ac:dyDescent="0.25">
      <c r="A134" s="39">
        <v>319</v>
      </c>
      <c r="B134" s="39" t="s">
        <v>123</v>
      </c>
      <c r="C134" s="39" t="s">
        <v>355</v>
      </c>
      <c r="D134" s="28" t="s">
        <v>356</v>
      </c>
      <c r="E134" s="28" t="s">
        <v>49</v>
      </c>
      <c r="F134" s="5" t="s">
        <v>49</v>
      </c>
      <c r="G134" s="21">
        <v>1</v>
      </c>
      <c r="H134" s="22">
        <f>VLOOKUP($C134,'Master File June-26'!$C$3:$L$670,6,0)</f>
        <v>30</v>
      </c>
      <c r="I134" s="22">
        <f>VLOOKUP($C134,'Master File June-26'!$C$3:$L$670,7,0)</f>
        <v>30</v>
      </c>
      <c r="J134" s="5">
        <f>VLOOKUP($C134,'Master File June-26'!$C$3:$L$670,8,0)</f>
        <v>14</v>
      </c>
      <c r="K134" s="23">
        <f>VLOOKUP($C134,'Master File June-26'!$C$3:$L$670,9,0)</f>
        <v>15</v>
      </c>
      <c r="L134" s="58">
        <f>VLOOKUP($C134,'Master File June-26'!$C$3:$L$670,10,0)</f>
        <v>0</v>
      </c>
      <c r="M134" s="24">
        <f t="shared" si="8"/>
        <v>0</v>
      </c>
      <c r="N134" s="25" t="str">
        <f t="shared" si="9"/>
        <v>ORDER NOW</v>
      </c>
      <c r="O134" s="25" t="str">
        <f t="shared" si="10"/>
        <v>CRITICAL</v>
      </c>
      <c r="S134" s="79">
        <f t="shared" si="11"/>
        <v>0</v>
      </c>
    </row>
    <row r="135" spans="1:19" ht="18.75" x14ac:dyDescent="0.25">
      <c r="A135" s="39">
        <v>321</v>
      </c>
      <c r="B135" s="39" t="s">
        <v>157</v>
      </c>
      <c r="C135" s="39" t="s">
        <v>357</v>
      </c>
      <c r="D135" s="28" t="s">
        <v>358</v>
      </c>
      <c r="E135" s="28" t="s">
        <v>180</v>
      </c>
      <c r="F135" s="5" t="s">
        <v>22</v>
      </c>
      <c r="G135" s="21">
        <v>1E-3</v>
      </c>
      <c r="H135" s="22">
        <f>VLOOKUP($C135,'Master File June-26'!$C$3:$L$670,6,0)</f>
        <v>5</v>
      </c>
      <c r="I135" s="22">
        <f>VLOOKUP($C135,'Master File June-26'!$C$3:$L$670,7,0)</f>
        <v>5000</v>
      </c>
      <c r="J135" s="5">
        <f>VLOOKUP($C135,'Master File June-26'!$C$3:$L$670,8,0)</f>
        <v>14</v>
      </c>
      <c r="K135" s="23">
        <f>VLOOKUP($C135,'Master File June-26'!$C$3:$L$670,9,0)</f>
        <v>2500</v>
      </c>
      <c r="L135" s="58">
        <f>VLOOKUP($C135,'Master File June-26'!$C$3:$L$670,10,0)</f>
        <v>0</v>
      </c>
      <c r="M135" s="24">
        <f t="shared" si="8"/>
        <v>0</v>
      </c>
      <c r="N135" s="25" t="str">
        <f t="shared" si="9"/>
        <v>ORDER NOW</v>
      </c>
      <c r="O135" s="25" t="str">
        <f t="shared" si="10"/>
        <v>CRITICAL</v>
      </c>
      <c r="S135" s="79">
        <f t="shared" si="11"/>
        <v>0</v>
      </c>
    </row>
    <row r="136" spans="1:19" ht="18.75" x14ac:dyDescent="0.25">
      <c r="A136" s="39">
        <v>322</v>
      </c>
      <c r="B136" s="39" t="s">
        <v>157</v>
      </c>
      <c r="C136" s="39" t="s">
        <v>359</v>
      </c>
      <c r="D136" s="28" t="s">
        <v>360</v>
      </c>
      <c r="E136" s="28" t="s">
        <v>160</v>
      </c>
      <c r="F136" s="5" t="s">
        <v>49</v>
      </c>
      <c r="G136" s="21">
        <v>1</v>
      </c>
      <c r="H136" s="22">
        <f>VLOOKUP($C136,'Master File June-26'!$C$3:$L$670,6,0)</f>
        <v>5</v>
      </c>
      <c r="I136" s="22">
        <f>VLOOKUP($C136,'Master File June-26'!$C$3:$L$670,7,0)</f>
        <v>5</v>
      </c>
      <c r="J136" s="5">
        <f>VLOOKUP($C136,'Master File June-26'!$C$3:$L$670,8,0)</f>
        <v>14</v>
      </c>
      <c r="K136" s="23">
        <f>VLOOKUP($C136,'Master File June-26'!$C$3:$L$670,9,0)</f>
        <v>2.5</v>
      </c>
      <c r="L136" s="58">
        <f>VLOOKUP($C136,'Master File June-26'!$C$3:$L$670,10,0)</f>
        <v>0</v>
      </c>
      <c r="M136" s="24">
        <f t="shared" si="8"/>
        <v>0</v>
      </c>
      <c r="N136" s="25" t="str">
        <f t="shared" si="9"/>
        <v>ORDER NOW</v>
      </c>
      <c r="O136" s="25" t="str">
        <f t="shared" si="10"/>
        <v>CRITICAL</v>
      </c>
      <c r="S136" s="79">
        <f t="shared" si="11"/>
        <v>0</v>
      </c>
    </row>
    <row r="137" spans="1:19" ht="18.75" x14ac:dyDescent="0.25">
      <c r="A137" s="39">
        <v>324</v>
      </c>
      <c r="B137" s="39" t="s">
        <v>361</v>
      </c>
      <c r="C137" s="39" t="s">
        <v>362</v>
      </c>
      <c r="D137" s="28" t="s">
        <v>363</v>
      </c>
      <c r="E137" s="28" t="s">
        <v>364</v>
      </c>
      <c r="F137" s="5" t="s">
        <v>22</v>
      </c>
      <c r="G137" s="21">
        <f>1/500</f>
        <v>2E-3</v>
      </c>
      <c r="H137" s="22">
        <f>VLOOKUP($C137,'Master File June-26'!$C$3:$L$670,6,0)</f>
        <v>6</v>
      </c>
      <c r="I137" s="22">
        <f>VLOOKUP($C137,'Master File June-26'!$C$3:$L$670,7,0)</f>
        <v>3000</v>
      </c>
      <c r="J137" s="5">
        <f>VLOOKUP($C137,'Master File June-26'!$C$3:$L$670,8,0)</f>
        <v>14</v>
      </c>
      <c r="K137" s="23">
        <f>VLOOKUP($C137,'Master File June-26'!$C$3:$L$670,9,0)</f>
        <v>1500</v>
      </c>
      <c r="L137" s="58">
        <f>VLOOKUP($C137,'Master File June-26'!$C$3:$L$670,10,0)</f>
        <v>0</v>
      </c>
      <c r="M137" s="24">
        <f t="shared" si="8"/>
        <v>0</v>
      </c>
      <c r="N137" s="25" t="str">
        <f t="shared" si="9"/>
        <v>ORDER NOW</v>
      </c>
      <c r="O137" s="25" t="str">
        <f t="shared" si="10"/>
        <v>CRITICAL</v>
      </c>
      <c r="S137" s="79">
        <f t="shared" si="11"/>
        <v>0</v>
      </c>
    </row>
    <row r="138" spans="1:19" ht="18.75" x14ac:dyDescent="0.25">
      <c r="A138" s="39">
        <v>327</v>
      </c>
      <c r="B138" s="39" t="s">
        <v>239</v>
      </c>
      <c r="C138" s="39" t="s">
        <v>365</v>
      </c>
      <c r="D138" s="40" t="s">
        <v>366</v>
      </c>
      <c r="E138" s="34" t="s">
        <v>22</v>
      </c>
      <c r="F138" s="67" t="s">
        <v>22</v>
      </c>
      <c r="G138" s="21">
        <v>1</v>
      </c>
      <c r="H138" s="22">
        <f>VLOOKUP($C138,'Master File June-26'!$C$3:$L$670,6,0)</f>
        <v>1</v>
      </c>
      <c r="I138" s="22">
        <f>VLOOKUP($C138,'Master File June-26'!$C$3:$L$670,7,0)</f>
        <v>1</v>
      </c>
      <c r="J138" s="5">
        <f>VLOOKUP($C138,'Master File June-26'!$C$3:$L$670,8,0)</f>
        <v>14</v>
      </c>
      <c r="K138" s="23">
        <f>VLOOKUP($C138,'Master File June-26'!$C$3:$L$670,9,0)</f>
        <v>0.5</v>
      </c>
      <c r="L138" s="58">
        <f>VLOOKUP($C138,'Master File June-26'!$C$3:$L$670,10,0)</f>
        <v>0</v>
      </c>
      <c r="M138" s="24">
        <f t="shared" si="8"/>
        <v>0</v>
      </c>
      <c r="N138" s="25" t="str">
        <f t="shared" si="9"/>
        <v>ORDER NOW</v>
      </c>
      <c r="O138" s="25" t="str">
        <f t="shared" si="10"/>
        <v>CRITICAL</v>
      </c>
      <c r="S138" s="79">
        <f t="shared" si="11"/>
        <v>0</v>
      </c>
    </row>
    <row r="139" spans="1:19" ht="18.75" x14ac:dyDescent="0.25">
      <c r="A139" s="39">
        <v>328</v>
      </c>
      <c r="B139" s="39" t="s">
        <v>123</v>
      </c>
      <c r="C139" s="39" t="s">
        <v>367</v>
      </c>
      <c r="D139" s="40" t="s">
        <v>368</v>
      </c>
      <c r="E139" s="34" t="s">
        <v>22</v>
      </c>
      <c r="F139" s="5" t="s">
        <v>22</v>
      </c>
      <c r="G139" s="21">
        <v>1</v>
      </c>
      <c r="H139" s="22">
        <f>VLOOKUP($C139,'Master File June-26'!$C$3:$L$670,6,0)</f>
        <v>4</v>
      </c>
      <c r="I139" s="22">
        <f>VLOOKUP($C139,'Master File June-26'!$C$3:$L$670,7,0)</f>
        <v>4</v>
      </c>
      <c r="J139" s="5">
        <f>VLOOKUP($C139,'Master File June-26'!$C$3:$L$670,8,0)</f>
        <v>14</v>
      </c>
      <c r="K139" s="23">
        <f>VLOOKUP($C139,'Master File June-26'!$C$3:$L$670,9,0)</f>
        <v>2</v>
      </c>
      <c r="L139" s="58">
        <f>VLOOKUP($C139,'Master File June-26'!$C$3:$L$670,10,0)</f>
        <v>0</v>
      </c>
      <c r="M139" s="24">
        <f t="shared" si="8"/>
        <v>0</v>
      </c>
      <c r="N139" s="25" t="str">
        <f t="shared" si="9"/>
        <v>ORDER NOW</v>
      </c>
      <c r="O139" s="25" t="str">
        <f t="shared" si="10"/>
        <v>CRITICAL</v>
      </c>
      <c r="S139" s="79">
        <f t="shared" si="11"/>
        <v>0</v>
      </c>
    </row>
    <row r="140" spans="1:19" ht="18.75" x14ac:dyDescent="0.25">
      <c r="A140" s="41">
        <v>334</v>
      </c>
      <c r="B140" s="41" t="s">
        <v>38</v>
      </c>
      <c r="C140" s="41" t="s">
        <v>369</v>
      </c>
      <c r="D140" s="28" t="s">
        <v>370</v>
      </c>
      <c r="E140" s="28" t="s">
        <v>371</v>
      </c>
      <c r="F140" s="5" t="s">
        <v>22</v>
      </c>
      <c r="G140" s="21">
        <v>8.3333333333333329E-2</v>
      </c>
      <c r="H140" s="22">
        <f>VLOOKUP($C140,'Master File June-26'!$C$3:$L$670,6,0)</f>
        <v>77</v>
      </c>
      <c r="I140" s="22">
        <f>VLOOKUP($C140,'Master File June-26'!$C$3:$L$670,7,0)</f>
        <v>924</v>
      </c>
      <c r="J140" s="5">
        <f>VLOOKUP($C140,'Master File June-26'!$C$3:$L$670,8,0)</f>
        <v>14</v>
      </c>
      <c r="K140" s="23">
        <f>VLOOKUP($C140,'Master File June-26'!$C$3:$L$670,9,0)</f>
        <v>462</v>
      </c>
      <c r="L140" s="58">
        <f>VLOOKUP($C140,'Master File June-26'!$C$3:$L$670,10,0)</f>
        <v>0</v>
      </c>
      <c r="M140" s="24">
        <f t="shared" si="8"/>
        <v>0</v>
      </c>
      <c r="N140" s="25" t="str">
        <f t="shared" si="9"/>
        <v>ORDER NOW</v>
      </c>
      <c r="O140" s="25" t="str">
        <f t="shared" si="10"/>
        <v>CRITICAL</v>
      </c>
      <c r="S140" s="79">
        <f t="shared" si="11"/>
        <v>0</v>
      </c>
    </row>
    <row r="141" spans="1:19" ht="18.75" x14ac:dyDescent="0.25">
      <c r="A141" s="41">
        <v>372</v>
      </c>
      <c r="B141" s="41" t="s">
        <v>85</v>
      </c>
      <c r="C141" s="41" t="s">
        <v>372</v>
      </c>
      <c r="D141" s="28" t="s">
        <v>373</v>
      </c>
      <c r="E141" s="28" t="s">
        <v>374</v>
      </c>
      <c r="F141" s="5" t="s">
        <v>22</v>
      </c>
      <c r="G141" s="21">
        <v>0.16666666666666666</v>
      </c>
      <c r="H141" s="22">
        <f>VLOOKUP($C141,'Master File June-26'!$C$3:$L$670,6,0)</f>
        <v>16.5</v>
      </c>
      <c r="I141" s="22">
        <f>VLOOKUP($C141,'Master File June-26'!$C$3:$L$670,7,0)</f>
        <v>99</v>
      </c>
      <c r="J141" s="5">
        <f>VLOOKUP($C141,'Master File June-26'!$C$3:$L$670,8,0)</f>
        <v>14</v>
      </c>
      <c r="K141" s="23">
        <f>VLOOKUP($C141,'Master File June-26'!$C$3:$L$670,9,0)</f>
        <v>49.5</v>
      </c>
      <c r="L141" s="58">
        <f>VLOOKUP($C141,'Master File June-26'!$C$3:$L$670,10,0)</f>
        <v>0</v>
      </c>
      <c r="M141" s="24">
        <f t="shared" si="8"/>
        <v>0</v>
      </c>
      <c r="N141" s="25" t="str">
        <f t="shared" si="9"/>
        <v>ORDER NOW</v>
      </c>
      <c r="O141" s="25" t="str">
        <f t="shared" si="10"/>
        <v>CRITICAL</v>
      </c>
      <c r="S141" s="79">
        <f t="shared" si="11"/>
        <v>0</v>
      </c>
    </row>
    <row r="142" spans="1:19" ht="18.75" x14ac:dyDescent="0.25">
      <c r="A142" s="41">
        <v>373</v>
      </c>
      <c r="B142" s="41" t="s">
        <v>85</v>
      </c>
      <c r="C142" s="41" t="s">
        <v>375</v>
      </c>
      <c r="D142" s="28" t="s">
        <v>376</v>
      </c>
      <c r="E142" s="28" t="s">
        <v>374</v>
      </c>
      <c r="F142" s="5" t="s">
        <v>22</v>
      </c>
      <c r="G142" s="21">
        <v>0.16666666666666666</v>
      </c>
      <c r="H142" s="22">
        <f>VLOOKUP($C142,'Master File June-26'!$C$3:$L$670,6,0)</f>
        <v>11</v>
      </c>
      <c r="I142" s="22">
        <f>VLOOKUP($C142,'Master File June-26'!$C$3:$L$670,7,0)</f>
        <v>66</v>
      </c>
      <c r="J142" s="5">
        <f>VLOOKUP($C142,'Master File June-26'!$C$3:$L$670,8,0)</f>
        <v>14</v>
      </c>
      <c r="K142" s="23">
        <f>VLOOKUP($C142,'Master File June-26'!$C$3:$L$670,9,0)</f>
        <v>33</v>
      </c>
      <c r="L142" s="58">
        <f>VLOOKUP($C142,'Master File June-26'!$C$3:$L$670,10,0)</f>
        <v>0</v>
      </c>
      <c r="M142" s="24">
        <f t="shared" si="8"/>
        <v>0</v>
      </c>
      <c r="N142" s="25" t="str">
        <f t="shared" si="9"/>
        <v>ORDER NOW</v>
      </c>
      <c r="O142" s="25" t="str">
        <f t="shared" si="10"/>
        <v>CRITICAL</v>
      </c>
      <c r="S142" s="79">
        <f t="shared" si="11"/>
        <v>0</v>
      </c>
    </row>
    <row r="143" spans="1:19" ht="18.75" x14ac:dyDescent="0.25">
      <c r="A143" s="41">
        <v>378</v>
      </c>
      <c r="B143" s="41" t="s">
        <v>85</v>
      </c>
      <c r="C143" s="41" t="s">
        <v>377</v>
      </c>
      <c r="D143" s="28" t="s">
        <v>378</v>
      </c>
      <c r="E143" s="28" t="s">
        <v>101</v>
      </c>
      <c r="F143" s="5" t="s">
        <v>22</v>
      </c>
      <c r="G143" s="21">
        <v>0.16666666666666666</v>
      </c>
      <c r="H143" s="22">
        <f>VLOOKUP($C143,'Master File June-26'!$C$3:$L$670,6,0)</f>
        <v>0</v>
      </c>
      <c r="I143" s="22">
        <f>VLOOKUP($C143,'Master File June-26'!$C$3:$L$670,7,0)</f>
        <v>0</v>
      </c>
      <c r="J143" s="5">
        <f>VLOOKUP($C143,'Master File June-26'!$C$3:$L$670,8,0)</f>
        <v>14</v>
      </c>
      <c r="K143" s="23">
        <f>VLOOKUP($C143,'Master File June-26'!$C$3:$L$670,9,0)</f>
        <v>0</v>
      </c>
      <c r="L143" s="58">
        <f>VLOOKUP($C143,'Master File June-26'!$C$3:$L$670,10,0)</f>
        <v>0</v>
      </c>
      <c r="M143" s="24">
        <f t="shared" si="8"/>
        <v>0</v>
      </c>
      <c r="N143" s="25" t="str">
        <f t="shared" si="9"/>
        <v>ORDER NOW</v>
      </c>
      <c r="O143" s="25" t="str">
        <f t="shared" si="10"/>
        <v>CRITICAL</v>
      </c>
      <c r="S143" s="79">
        <f t="shared" si="11"/>
        <v>1</v>
      </c>
    </row>
    <row r="144" spans="1:19" ht="18.75" x14ac:dyDescent="0.25">
      <c r="A144" s="41">
        <v>379</v>
      </c>
      <c r="B144" s="41" t="s">
        <v>61</v>
      </c>
      <c r="C144" s="41" t="s">
        <v>379</v>
      </c>
      <c r="D144" s="28" t="s">
        <v>380</v>
      </c>
      <c r="E144" s="28" t="s">
        <v>381</v>
      </c>
      <c r="F144" s="5" t="s">
        <v>22</v>
      </c>
      <c r="G144" s="21">
        <f>1/12</f>
        <v>8.3333333333333329E-2</v>
      </c>
      <c r="H144" s="22">
        <f>VLOOKUP($C144,'Master File June-26'!$C$3:$L$670,6,0)</f>
        <v>66</v>
      </c>
      <c r="I144" s="22">
        <f>VLOOKUP($C144,'Master File June-26'!$C$3:$L$670,7,0)</f>
        <v>792</v>
      </c>
      <c r="J144" s="5">
        <f>VLOOKUP($C144,'Master File June-26'!$C$3:$L$670,8,0)</f>
        <v>14</v>
      </c>
      <c r="K144" s="23">
        <f>VLOOKUP($C144,'Master File June-26'!$C$3:$L$670,9,0)</f>
        <v>396</v>
      </c>
      <c r="L144" s="58">
        <f>VLOOKUP($C144,'Master File June-26'!$C$3:$L$670,10,0)</f>
        <v>0</v>
      </c>
      <c r="M144" s="24">
        <f t="shared" si="8"/>
        <v>0</v>
      </c>
      <c r="N144" s="25" t="str">
        <f t="shared" si="9"/>
        <v>ORDER NOW</v>
      </c>
      <c r="O144" s="25" t="str">
        <f t="shared" si="10"/>
        <v>CRITICAL</v>
      </c>
      <c r="S144" s="79">
        <f t="shared" si="11"/>
        <v>0</v>
      </c>
    </row>
    <row r="145" spans="1:19" ht="18.75" x14ac:dyDescent="0.25">
      <c r="A145" s="41">
        <v>393</v>
      </c>
      <c r="B145" s="41" t="s">
        <v>61</v>
      </c>
      <c r="C145" s="41" t="s">
        <v>382</v>
      </c>
      <c r="D145" s="28" t="s">
        <v>383</v>
      </c>
      <c r="E145" s="28" t="s">
        <v>384</v>
      </c>
      <c r="F145" s="5" t="s">
        <v>49</v>
      </c>
      <c r="G145" s="21">
        <f>1/0.2</f>
        <v>5</v>
      </c>
      <c r="H145" s="22">
        <f>VLOOKUP($C145,'Master File June-26'!$C$3:$L$670,6,0)</f>
        <v>500</v>
      </c>
      <c r="I145" s="22">
        <f>VLOOKUP($C145,'Master File June-26'!$C$3:$L$670,7,0)</f>
        <v>100</v>
      </c>
      <c r="J145" s="5">
        <f>VLOOKUP($C145,'Master File June-26'!$C$3:$L$670,8,0)</f>
        <v>14</v>
      </c>
      <c r="K145" s="23">
        <f>VLOOKUP($C145,'Master File June-26'!$C$3:$L$670,9,0)</f>
        <v>50</v>
      </c>
      <c r="L145" s="58">
        <f>VLOOKUP($C145,'Master File June-26'!$C$3:$L$670,10,0)</f>
        <v>0</v>
      </c>
      <c r="M145" s="24">
        <f t="shared" si="8"/>
        <v>0</v>
      </c>
      <c r="N145" s="25" t="str">
        <f t="shared" si="9"/>
        <v>ORDER NOW</v>
      </c>
      <c r="O145" s="25" t="str">
        <f t="shared" si="10"/>
        <v>CRITICAL</v>
      </c>
      <c r="S145" s="79">
        <f t="shared" si="11"/>
        <v>0</v>
      </c>
    </row>
    <row r="146" spans="1:19" ht="18.75" x14ac:dyDescent="0.25">
      <c r="A146" s="41">
        <v>399</v>
      </c>
      <c r="B146" s="41" t="s">
        <v>38</v>
      </c>
      <c r="C146" s="41" t="s">
        <v>385</v>
      </c>
      <c r="D146" s="28" t="s">
        <v>386</v>
      </c>
      <c r="E146" s="28" t="s">
        <v>64</v>
      </c>
      <c r="F146" s="5" t="s">
        <v>49</v>
      </c>
      <c r="G146" s="21">
        <v>1</v>
      </c>
      <c r="H146" s="22">
        <f>VLOOKUP($C146,'Master File June-26'!$C$3:$L$670,6,0)</f>
        <v>0</v>
      </c>
      <c r="I146" s="22">
        <f>VLOOKUP($C146,'Master File June-26'!$C$3:$L$670,7,0)</f>
        <v>0</v>
      </c>
      <c r="J146" s="5">
        <f>VLOOKUP($C146,'Master File June-26'!$C$3:$L$670,8,0)</f>
        <v>14</v>
      </c>
      <c r="K146" s="23">
        <f>VLOOKUP($C146,'Master File June-26'!$C$3:$L$670,9,0)</f>
        <v>0</v>
      </c>
      <c r="L146" s="58">
        <f>VLOOKUP($C146,'Master File June-26'!$C$3:$L$670,10,0)</f>
        <v>0</v>
      </c>
      <c r="M146" s="24">
        <f t="shared" si="8"/>
        <v>0</v>
      </c>
      <c r="N146" s="25" t="str">
        <f t="shared" si="9"/>
        <v>ORDER NOW</v>
      </c>
      <c r="O146" s="25" t="str">
        <f t="shared" si="10"/>
        <v>CRITICAL</v>
      </c>
      <c r="S146" s="79">
        <f t="shared" si="11"/>
        <v>1</v>
      </c>
    </row>
    <row r="147" spans="1:19" ht="18.75" x14ac:dyDescent="0.25">
      <c r="A147" s="41">
        <v>410</v>
      </c>
      <c r="B147" s="41" t="s">
        <v>85</v>
      </c>
      <c r="C147" s="41" t="s">
        <v>387</v>
      </c>
      <c r="D147" s="28" t="s">
        <v>388</v>
      </c>
      <c r="E147" s="28" t="s">
        <v>389</v>
      </c>
      <c r="F147" s="5" t="s">
        <v>22</v>
      </c>
      <c r="G147" s="21">
        <v>0.16666666666666666</v>
      </c>
      <c r="H147" s="22">
        <f>VLOOKUP($C147,'Master File June-26'!$C$3:$L$670,6,0)</f>
        <v>45</v>
      </c>
      <c r="I147" s="22">
        <f>VLOOKUP($C147,'Master File June-26'!$C$3:$L$670,7,0)</f>
        <v>270</v>
      </c>
      <c r="J147" s="5">
        <f>VLOOKUP($C147,'Master File June-26'!$C$3:$L$670,8,0)</f>
        <v>14</v>
      </c>
      <c r="K147" s="23">
        <f>VLOOKUP($C147,'Master File June-26'!$C$3:$L$670,9,0)</f>
        <v>135</v>
      </c>
      <c r="L147" s="58">
        <f>VLOOKUP($C147,'Master File June-26'!$C$3:$L$670,10,0)</f>
        <v>0</v>
      </c>
      <c r="M147" s="24">
        <f t="shared" si="8"/>
        <v>0</v>
      </c>
      <c r="N147" s="25" t="str">
        <f t="shared" si="9"/>
        <v>ORDER NOW</v>
      </c>
      <c r="O147" s="25" t="str">
        <f t="shared" si="10"/>
        <v>CRITICAL</v>
      </c>
      <c r="S147" s="79">
        <f t="shared" si="11"/>
        <v>0</v>
      </c>
    </row>
    <row r="148" spans="1:19" ht="18.75" x14ac:dyDescent="0.25">
      <c r="A148" s="41">
        <v>412</v>
      </c>
      <c r="B148" s="41" t="s">
        <v>38</v>
      </c>
      <c r="C148" s="41" t="s">
        <v>390</v>
      </c>
      <c r="D148" s="28" t="s">
        <v>391</v>
      </c>
      <c r="E148" s="28" t="s">
        <v>392</v>
      </c>
      <c r="F148" s="5" t="s">
        <v>49</v>
      </c>
      <c r="G148" s="21">
        <v>0.1</v>
      </c>
      <c r="H148" s="22">
        <f>VLOOKUP($C148,'Master File June-26'!$C$3:$L$670,6,0)</f>
        <v>0</v>
      </c>
      <c r="I148" s="22">
        <f>VLOOKUP($C148,'Master File June-26'!$C$3:$L$670,7,0)</f>
        <v>0</v>
      </c>
      <c r="J148" s="5">
        <f>VLOOKUP($C148,'Master File June-26'!$C$3:$L$670,8,0)</f>
        <v>14</v>
      </c>
      <c r="K148" s="23">
        <f>VLOOKUP($C148,'Master File June-26'!$C$3:$L$670,9,0)</f>
        <v>0</v>
      </c>
      <c r="L148" s="58">
        <f>VLOOKUP($C148,'Master File June-26'!$C$3:$L$670,10,0)</f>
        <v>0</v>
      </c>
      <c r="M148" s="24">
        <f t="shared" si="8"/>
        <v>0</v>
      </c>
      <c r="N148" s="25" t="str">
        <f t="shared" si="9"/>
        <v>ORDER NOW</v>
      </c>
      <c r="O148" s="25" t="str">
        <f t="shared" si="10"/>
        <v>CRITICAL</v>
      </c>
      <c r="S148" s="79">
        <f t="shared" si="11"/>
        <v>1</v>
      </c>
    </row>
    <row r="149" spans="1:19" ht="18.75" x14ac:dyDescent="0.25">
      <c r="A149" s="41">
        <v>415</v>
      </c>
      <c r="B149" s="41" t="s">
        <v>38</v>
      </c>
      <c r="C149" s="41" t="s">
        <v>393</v>
      </c>
      <c r="D149" s="28" t="s">
        <v>394</v>
      </c>
      <c r="E149" s="28" t="s">
        <v>395</v>
      </c>
      <c r="F149" s="5" t="s">
        <v>49</v>
      </c>
      <c r="G149" s="21">
        <f>1/25</f>
        <v>0.04</v>
      </c>
      <c r="H149" s="22">
        <f>VLOOKUP($C149,'Master File June-26'!$C$3:$L$670,6,0)</f>
        <v>0</v>
      </c>
      <c r="I149" s="22">
        <f>VLOOKUP($C149,'Master File June-26'!$C$3:$L$670,7,0)</f>
        <v>0</v>
      </c>
      <c r="J149" s="5">
        <f>VLOOKUP($C149,'Master File June-26'!$C$3:$L$670,8,0)</f>
        <v>14</v>
      </c>
      <c r="K149" s="23">
        <f>VLOOKUP($C149,'Master File June-26'!$C$3:$L$670,9,0)</f>
        <v>0</v>
      </c>
      <c r="L149" s="58">
        <f>VLOOKUP($C149,'Master File June-26'!$C$3:$L$670,10,0)</f>
        <v>0</v>
      </c>
      <c r="M149" s="24">
        <f t="shared" si="8"/>
        <v>0</v>
      </c>
      <c r="N149" s="25" t="str">
        <f t="shared" si="9"/>
        <v>ORDER NOW</v>
      </c>
      <c r="O149" s="25" t="str">
        <f t="shared" si="10"/>
        <v>CRITICAL</v>
      </c>
      <c r="S149" s="79">
        <f t="shared" si="11"/>
        <v>1</v>
      </c>
    </row>
    <row r="150" spans="1:19" ht="18.75" x14ac:dyDescent="0.25">
      <c r="A150" s="41">
        <v>418</v>
      </c>
      <c r="B150" s="41" t="s">
        <v>38</v>
      </c>
      <c r="C150" s="41" t="s">
        <v>396</v>
      </c>
      <c r="D150" s="28" t="s">
        <v>397</v>
      </c>
      <c r="E150" s="28" t="s">
        <v>398</v>
      </c>
      <c r="F150" s="5" t="s">
        <v>46</v>
      </c>
      <c r="G150" s="21">
        <v>0.1</v>
      </c>
      <c r="H150" s="22">
        <f>VLOOKUP($C150,'Master File June-26'!$C$3:$L$670,6,0)</f>
        <v>90</v>
      </c>
      <c r="I150" s="22">
        <f>VLOOKUP($C150,'Master File June-26'!$C$3:$L$670,7,0)</f>
        <v>900</v>
      </c>
      <c r="J150" s="5">
        <f>VLOOKUP($C150,'Master File June-26'!$C$3:$L$670,8,0)</f>
        <v>14</v>
      </c>
      <c r="K150" s="23">
        <f>VLOOKUP($C150,'Master File June-26'!$C$3:$L$670,9,0)</f>
        <v>450</v>
      </c>
      <c r="L150" s="58">
        <f>VLOOKUP($C150,'Master File June-26'!$C$3:$L$670,10,0)</f>
        <v>0</v>
      </c>
      <c r="M150" s="24">
        <f t="shared" si="8"/>
        <v>0</v>
      </c>
      <c r="N150" s="25" t="str">
        <f t="shared" si="9"/>
        <v>ORDER NOW</v>
      </c>
      <c r="O150" s="25" t="str">
        <f t="shared" si="10"/>
        <v>CRITICAL</v>
      </c>
      <c r="S150" s="79">
        <f t="shared" si="11"/>
        <v>0</v>
      </c>
    </row>
    <row r="151" spans="1:19" ht="18.75" x14ac:dyDescent="0.25">
      <c r="A151" s="41">
        <v>421</v>
      </c>
      <c r="B151" s="41" t="s">
        <v>38</v>
      </c>
      <c r="C151" s="41" t="s">
        <v>399</v>
      </c>
      <c r="D151" s="28" t="s">
        <v>400</v>
      </c>
      <c r="E151" s="28" t="s">
        <v>401</v>
      </c>
      <c r="F151" s="5" t="s">
        <v>54</v>
      </c>
      <c r="G151" s="21">
        <v>0.04</v>
      </c>
      <c r="H151" s="22">
        <f>VLOOKUP($C151,'Master File June-26'!$C$3:$L$670,6,0)</f>
        <v>4</v>
      </c>
      <c r="I151" s="22">
        <f>VLOOKUP($C151,'Master File June-26'!$C$3:$L$670,7,0)</f>
        <v>100</v>
      </c>
      <c r="J151" s="5">
        <f>VLOOKUP($C151,'Master File June-26'!$C$3:$L$670,8,0)</f>
        <v>14</v>
      </c>
      <c r="K151" s="23">
        <f>VLOOKUP($C151,'Master File June-26'!$C$3:$L$670,9,0)</f>
        <v>50</v>
      </c>
      <c r="L151" s="58">
        <f>VLOOKUP($C151,'Master File June-26'!$C$3:$L$670,10,0)</f>
        <v>0</v>
      </c>
      <c r="M151" s="24">
        <f t="shared" si="8"/>
        <v>0</v>
      </c>
      <c r="N151" s="25" t="str">
        <f t="shared" si="9"/>
        <v>ORDER NOW</v>
      </c>
      <c r="O151" s="25" t="str">
        <f t="shared" si="10"/>
        <v>CRITICAL</v>
      </c>
      <c r="S151" s="79">
        <f t="shared" si="11"/>
        <v>0</v>
      </c>
    </row>
    <row r="152" spans="1:19" ht="18.75" x14ac:dyDescent="0.25">
      <c r="A152" s="41">
        <v>426</v>
      </c>
      <c r="B152" s="41" t="s">
        <v>61</v>
      </c>
      <c r="C152" s="41" t="s">
        <v>402</v>
      </c>
      <c r="D152" s="28" t="s">
        <v>403</v>
      </c>
      <c r="E152" s="28" t="s">
        <v>64</v>
      </c>
      <c r="F152" s="5" t="s">
        <v>49</v>
      </c>
      <c r="G152" s="21">
        <v>1</v>
      </c>
      <c r="H152" s="22">
        <f>VLOOKUP($C152,'Master File June-26'!$C$3:$L$670,6,0)</f>
        <v>0</v>
      </c>
      <c r="I152" s="22">
        <f>VLOOKUP($C152,'Master File June-26'!$C$3:$L$670,7,0)</f>
        <v>0</v>
      </c>
      <c r="J152" s="5">
        <f>VLOOKUP($C152,'Master File June-26'!$C$3:$L$670,8,0)</f>
        <v>14</v>
      </c>
      <c r="K152" s="23">
        <f>VLOOKUP($C152,'Master File June-26'!$C$3:$L$670,9,0)</f>
        <v>0</v>
      </c>
      <c r="L152" s="58">
        <f>VLOOKUP($C152,'Master File June-26'!$C$3:$L$670,10,0)</f>
        <v>0</v>
      </c>
      <c r="M152" s="24">
        <f t="shared" si="8"/>
        <v>0</v>
      </c>
      <c r="N152" s="25" t="str">
        <f t="shared" si="9"/>
        <v>ORDER NOW</v>
      </c>
      <c r="O152" s="25" t="str">
        <f t="shared" si="10"/>
        <v>CRITICAL</v>
      </c>
      <c r="S152" s="79">
        <f t="shared" si="11"/>
        <v>1</v>
      </c>
    </row>
    <row r="153" spans="1:19" ht="18.75" x14ac:dyDescent="0.25">
      <c r="A153" s="41">
        <v>429</v>
      </c>
      <c r="B153" s="41" t="s">
        <v>38</v>
      </c>
      <c r="C153" s="41" t="s">
        <v>404</v>
      </c>
      <c r="D153" s="28" t="s">
        <v>405</v>
      </c>
      <c r="E153" s="28" t="s">
        <v>406</v>
      </c>
      <c r="F153" s="5" t="s">
        <v>22</v>
      </c>
      <c r="G153" s="21">
        <f>1/8160</f>
        <v>1.2254901960784314E-4</v>
      </c>
      <c r="H153" s="22">
        <f>VLOOKUP($C153,'Master File June-26'!$C$3:$L$670,6,0)</f>
        <v>0</v>
      </c>
      <c r="I153" s="22">
        <f>VLOOKUP($C153,'Master File June-26'!$C$3:$L$670,7,0)</f>
        <v>0</v>
      </c>
      <c r="J153" s="5">
        <f>VLOOKUP($C153,'Master File June-26'!$C$3:$L$670,8,0)</f>
        <v>14</v>
      </c>
      <c r="K153" s="23">
        <f>VLOOKUP($C153,'Master File June-26'!$C$3:$L$670,9,0)</f>
        <v>0</v>
      </c>
      <c r="L153" s="58">
        <f>VLOOKUP($C153,'Master File June-26'!$C$3:$L$670,10,0)</f>
        <v>0</v>
      </c>
      <c r="M153" s="24">
        <f t="shared" si="8"/>
        <v>0</v>
      </c>
      <c r="N153" s="25" t="str">
        <f t="shared" si="9"/>
        <v>ORDER NOW</v>
      </c>
      <c r="O153" s="25" t="str">
        <f t="shared" si="10"/>
        <v>CRITICAL</v>
      </c>
      <c r="S153" s="79">
        <f t="shared" si="11"/>
        <v>1</v>
      </c>
    </row>
    <row r="154" spans="1:19" ht="18.75" x14ac:dyDescent="0.25">
      <c r="A154" s="41">
        <v>435</v>
      </c>
      <c r="B154" s="41" t="s">
        <v>38</v>
      </c>
      <c r="C154" s="41" t="s">
        <v>407</v>
      </c>
      <c r="D154" s="28" t="s">
        <v>408</v>
      </c>
      <c r="E154" s="28" t="s">
        <v>409</v>
      </c>
      <c r="F154" s="5" t="s">
        <v>22</v>
      </c>
      <c r="G154" s="21">
        <v>0.1388888888888889</v>
      </c>
      <c r="H154" s="22">
        <f>VLOOKUP($C154,'Master File June-26'!$C$3:$L$670,6,0)</f>
        <v>0</v>
      </c>
      <c r="I154" s="22">
        <f>VLOOKUP($C154,'Master File June-26'!$C$3:$L$670,7,0)</f>
        <v>0</v>
      </c>
      <c r="J154" s="5">
        <f>VLOOKUP($C154,'Master File June-26'!$C$3:$L$670,8,0)</f>
        <v>14</v>
      </c>
      <c r="K154" s="23">
        <f>VLOOKUP($C154,'Master File June-26'!$C$3:$L$670,9,0)</f>
        <v>0</v>
      </c>
      <c r="L154" s="58">
        <f>VLOOKUP($C154,'Master File June-26'!$C$3:$L$670,10,0)</f>
        <v>0</v>
      </c>
      <c r="M154" s="24">
        <f t="shared" si="8"/>
        <v>0</v>
      </c>
      <c r="N154" s="25" t="str">
        <f t="shared" si="9"/>
        <v>ORDER NOW</v>
      </c>
      <c r="O154" s="25" t="str">
        <f t="shared" si="10"/>
        <v>CRITICAL</v>
      </c>
      <c r="S154" s="79">
        <f t="shared" si="11"/>
        <v>1</v>
      </c>
    </row>
    <row r="155" spans="1:19" ht="18.75" x14ac:dyDescent="0.25">
      <c r="A155" s="41">
        <v>437</v>
      </c>
      <c r="B155" s="41" t="s">
        <v>61</v>
      </c>
      <c r="C155" s="41" t="s">
        <v>410</v>
      </c>
      <c r="D155" s="28" t="s">
        <v>411</v>
      </c>
      <c r="E155" s="28" t="s">
        <v>412</v>
      </c>
      <c r="F155" s="5" t="s">
        <v>22</v>
      </c>
      <c r="G155" s="21">
        <v>0.05</v>
      </c>
      <c r="H155" s="22">
        <f>VLOOKUP($C155,'Master File June-26'!$C$3:$L$670,6,0)</f>
        <v>170</v>
      </c>
      <c r="I155" s="22">
        <f>VLOOKUP($C155,'Master File June-26'!$C$3:$L$670,7,0)</f>
        <v>3400</v>
      </c>
      <c r="J155" s="5">
        <f>VLOOKUP($C155,'Master File June-26'!$C$3:$L$670,8,0)</f>
        <v>14</v>
      </c>
      <c r="K155" s="23">
        <f>VLOOKUP($C155,'Master File June-26'!$C$3:$L$670,9,0)</f>
        <v>1700</v>
      </c>
      <c r="L155" s="58">
        <f>VLOOKUP($C155,'Master File June-26'!$C$3:$L$670,10,0)</f>
        <v>0</v>
      </c>
      <c r="M155" s="24">
        <f t="shared" si="8"/>
        <v>0</v>
      </c>
      <c r="N155" s="25" t="str">
        <f t="shared" si="9"/>
        <v>ORDER NOW</v>
      </c>
      <c r="O155" s="25" t="str">
        <f t="shared" si="10"/>
        <v>CRITICAL</v>
      </c>
      <c r="S155" s="79">
        <f t="shared" si="11"/>
        <v>0</v>
      </c>
    </row>
    <row r="156" spans="1:19" ht="18.75" x14ac:dyDescent="0.25">
      <c r="A156" s="41">
        <v>438</v>
      </c>
      <c r="B156" s="41" t="s">
        <v>61</v>
      </c>
      <c r="C156" s="41" t="s">
        <v>413</v>
      </c>
      <c r="D156" s="35" t="s">
        <v>414</v>
      </c>
      <c r="E156" s="28" t="s">
        <v>415</v>
      </c>
      <c r="F156" s="5" t="s">
        <v>89</v>
      </c>
      <c r="G156" s="21">
        <f>1/9.08</f>
        <v>0.11013215859030837</v>
      </c>
      <c r="H156" s="22">
        <f>VLOOKUP($C156,'Master File June-26'!$C$3:$L$670,6,0)</f>
        <v>2</v>
      </c>
      <c r="I156" s="22">
        <f>VLOOKUP($C156,'Master File June-26'!$C$3:$L$670,7,0)</f>
        <v>18.16</v>
      </c>
      <c r="J156" s="5">
        <f>VLOOKUP($C156,'Master File June-26'!$C$3:$L$670,8,0)</f>
        <v>14</v>
      </c>
      <c r="K156" s="23">
        <f>VLOOKUP($C156,'Master File June-26'!$C$3:$L$670,9,0)</f>
        <v>9.08</v>
      </c>
      <c r="L156" s="58">
        <f>VLOOKUP($C156,'Master File June-26'!$C$3:$L$670,10,0)</f>
        <v>0</v>
      </c>
      <c r="M156" s="24">
        <f t="shared" si="8"/>
        <v>0</v>
      </c>
      <c r="N156" s="25" t="str">
        <f t="shared" si="9"/>
        <v>ORDER NOW</v>
      </c>
      <c r="O156" s="25" t="str">
        <f t="shared" si="10"/>
        <v>CRITICAL</v>
      </c>
      <c r="S156" s="79">
        <f t="shared" si="11"/>
        <v>0</v>
      </c>
    </row>
    <row r="157" spans="1:19" ht="18.75" x14ac:dyDescent="0.25">
      <c r="A157" s="41">
        <v>439</v>
      </c>
      <c r="B157" s="41" t="s">
        <v>61</v>
      </c>
      <c r="C157" s="41" t="s">
        <v>416</v>
      </c>
      <c r="D157" s="28" t="s">
        <v>417</v>
      </c>
      <c r="E157" s="28" t="s">
        <v>418</v>
      </c>
      <c r="F157" s="5" t="s">
        <v>22</v>
      </c>
      <c r="G157" s="21">
        <f>1/7*(48*0.16)</f>
        <v>1.097142857142857</v>
      </c>
      <c r="H157" s="22">
        <f>VLOOKUP($C157,'Master File June-26'!$C$3:$L$670,6,0)</f>
        <v>0</v>
      </c>
      <c r="I157" s="22">
        <f>VLOOKUP($C157,'Master File June-26'!$C$3:$L$670,7,0)</f>
        <v>0</v>
      </c>
      <c r="J157" s="5">
        <f>VLOOKUP($C157,'Master File June-26'!$C$3:$L$670,8,0)</f>
        <v>14</v>
      </c>
      <c r="K157" s="23">
        <f>VLOOKUP($C157,'Master File June-26'!$C$3:$L$670,9,0)</f>
        <v>0</v>
      </c>
      <c r="L157" s="58">
        <f>VLOOKUP($C157,'Master File June-26'!$C$3:$L$670,10,0)</f>
        <v>0</v>
      </c>
      <c r="M157" s="24">
        <f t="shared" si="8"/>
        <v>0</v>
      </c>
      <c r="N157" s="25" t="str">
        <f t="shared" si="9"/>
        <v>ORDER NOW</v>
      </c>
      <c r="O157" s="25" t="str">
        <f t="shared" si="10"/>
        <v>CRITICAL</v>
      </c>
      <c r="S157" s="79">
        <f t="shared" si="11"/>
        <v>1</v>
      </c>
    </row>
    <row r="158" spans="1:19" ht="18.75" x14ac:dyDescent="0.25">
      <c r="A158" s="41">
        <v>442</v>
      </c>
      <c r="B158" s="41" t="s">
        <v>61</v>
      </c>
      <c r="C158" s="41" t="s">
        <v>419</v>
      </c>
      <c r="D158" s="28" t="s">
        <v>420</v>
      </c>
      <c r="E158" s="28" t="s">
        <v>421</v>
      </c>
      <c r="F158" s="5" t="s">
        <v>89</v>
      </c>
      <c r="G158" s="21">
        <f>1/(40*0.25)</f>
        <v>0.1</v>
      </c>
      <c r="H158" s="22">
        <f>VLOOKUP($C158,'Master File June-26'!$C$3:$L$670,6,0)</f>
        <v>40</v>
      </c>
      <c r="I158" s="22">
        <f>VLOOKUP($C158,'Master File June-26'!$C$3:$L$670,7,0)</f>
        <v>400</v>
      </c>
      <c r="J158" s="5">
        <f>VLOOKUP($C158,'Master File June-26'!$C$3:$L$670,8,0)</f>
        <v>14</v>
      </c>
      <c r="K158" s="23">
        <f>VLOOKUP($C158,'Master File June-26'!$C$3:$L$670,9,0)</f>
        <v>200</v>
      </c>
      <c r="L158" s="58">
        <f>VLOOKUP($C158,'Master File June-26'!$C$3:$L$670,10,0)</f>
        <v>0</v>
      </c>
      <c r="M158" s="24">
        <f t="shared" si="8"/>
        <v>0</v>
      </c>
      <c r="N158" s="25" t="str">
        <f t="shared" si="9"/>
        <v>ORDER NOW</v>
      </c>
      <c r="O158" s="25" t="str">
        <f t="shared" si="10"/>
        <v>CRITICAL</v>
      </c>
      <c r="S158" s="79">
        <f t="shared" si="11"/>
        <v>0</v>
      </c>
    </row>
    <row r="159" spans="1:19" ht="18.75" x14ac:dyDescent="0.25">
      <c r="A159" s="41">
        <v>443</v>
      </c>
      <c r="B159" s="41" t="s">
        <v>61</v>
      </c>
      <c r="C159" s="41" t="s">
        <v>422</v>
      </c>
      <c r="D159" s="30" t="s">
        <v>423</v>
      </c>
      <c r="E159" s="28" t="s">
        <v>424</v>
      </c>
      <c r="F159" s="5" t="s">
        <v>22</v>
      </c>
      <c r="G159" s="21">
        <f>1/(24*0.255)</f>
        <v>0.16339869281045752</v>
      </c>
      <c r="H159" s="22">
        <f>VLOOKUP($C159,'Master File June-26'!$C$3:$L$670,6,0)</f>
        <v>5</v>
      </c>
      <c r="I159" s="22">
        <f>VLOOKUP($C159,'Master File June-26'!$C$3:$L$670,7,0)</f>
        <v>30.599999999999998</v>
      </c>
      <c r="J159" s="5">
        <f>VLOOKUP($C159,'Master File June-26'!$C$3:$L$670,8,0)</f>
        <v>14</v>
      </c>
      <c r="K159" s="23">
        <f>VLOOKUP($C159,'Master File June-26'!$C$3:$L$670,9,0)</f>
        <v>15.299999999999999</v>
      </c>
      <c r="L159" s="58">
        <f>VLOOKUP($C159,'Master File June-26'!$C$3:$L$670,10,0)</f>
        <v>0</v>
      </c>
      <c r="M159" s="24">
        <f t="shared" si="8"/>
        <v>0</v>
      </c>
      <c r="N159" s="25" t="str">
        <f t="shared" si="9"/>
        <v>ORDER NOW</v>
      </c>
      <c r="O159" s="25" t="str">
        <f t="shared" si="10"/>
        <v>CRITICAL</v>
      </c>
      <c r="S159" s="79">
        <f t="shared" si="11"/>
        <v>0</v>
      </c>
    </row>
    <row r="160" spans="1:19" ht="18.75" x14ac:dyDescent="0.25">
      <c r="A160" s="41">
        <v>444</v>
      </c>
      <c r="B160" s="41" t="s">
        <v>61</v>
      </c>
      <c r="C160" s="41" t="s">
        <v>425</v>
      </c>
      <c r="D160" s="28" t="s">
        <v>426</v>
      </c>
      <c r="E160" s="28" t="s">
        <v>64</v>
      </c>
      <c r="F160" s="5" t="s">
        <v>49</v>
      </c>
      <c r="G160" s="21">
        <v>1</v>
      </c>
      <c r="H160" s="22">
        <f>VLOOKUP($C160,'Master File June-26'!$C$3:$L$670,6,0)</f>
        <v>0</v>
      </c>
      <c r="I160" s="22">
        <f>VLOOKUP($C160,'Master File June-26'!$C$3:$L$670,7,0)</f>
        <v>0</v>
      </c>
      <c r="J160" s="5">
        <f>VLOOKUP($C160,'Master File June-26'!$C$3:$L$670,8,0)</f>
        <v>14</v>
      </c>
      <c r="K160" s="23">
        <f>VLOOKUP($C160,'Master File June-26'!$C$3:$L$670,9,0)</f>
        <v>0</v>
      </c>
      <c r="L160" s="58">
        <f>VLOOKUP($C160,'Master File June-26'!$C$3:$L$670,10,0)</f>
        <v>0</v>
      </c>
      <c r="M160" s="24">
        <f t="shared" si="8"/>
        <v>0</v>
      </c>
      <c r="N160" s="25" t="str">
        <f t="shared" si="9"/>
        <v>ORDER NOW</v>
      </c>
      <c r="O160" s="25" t="str">
        <f t="shared" si="10"/>
        <v>CRITICAL</v>
      </c>
      <c r="S160" s="79">
        <f t="shared" si="11"/>
        <v>1</v>
      </c>
    </row>
    <row r="161" spans="1:19" ht="18.75" x14ac:dyDescent="0.25">
      <c r="A161" s="41">
        <v>445</v>
      </c>
      <c r="B161" s="41" t="s">
        <v>61</v>
      </c>
      <c r="C161" s="41" t="s">
        <v>427</v>
      </c>
      <c r="D161" s="28" t="s">
        <v>428</v>
      </c>
      <c r="E161" s="28" t="s">
        <v>429</v>
      </c>
      <c r="F161" s="5" t="s">
        <v>22</v>
      </c>
      <c r="G161" s="21">
        <v>0.25</v>
      </c>
      <c r="H161" s="22">
        <f>VLOOKUP($C161,'Master File June-26'!$C$3:$L$670,6,0)</f>
        <v>0</v>
      </c>
      <c r="I161" s="22">
        <f>VLOOKUP($C161,'Master File June-26'!$C$3:$L$670,7,0)</f>
        <v>0</v>
      </c>
      <c r="J161" s="5">
        <f>VLOOKUP($C161,'Master File June-26'!$C$3:$L$670,8,0)</f>
        <v>14</v>
      </c>
      <c r="K161" s="23">
        <f>VLOOKUP($C161,'Master File June-26'!$C$3:$L$670,9,0)</f>
        <v>0</v>
      </c>
      <c r="L161" s="58">
        <f>VLOOKUP($C161,'Master File June-26'!$C$3:$L$670,10,0)</f>
        <v>0</v>
      </c>
      <c r="M161" s="24">
        <f t="shared" si="8"/>
        <v>0</v>
      </c>
      <c r="N161" s="25" t="str">
        <f t="shared" si="9"/>
        <v>ORDER NOW</v>
      </c>
      <c r="O161" s="25" t="str">
        <f t="shared" si="10"/>
        <v>CRITICAL</v>
      </c>
      <c r="S161" s="79">
        <f t="shared" si="11"/>
        <v>1</v>
      </c>
    </row>
    <row r="162" spans="1:19" ht="18.75" x14ac:dyDescent="0.25">
      <c r="A162" s="41">
        <v>446</v>
      </c>
      <c r="B162" s="41" t="s">
        <v>61</v>
      </c>
      <c r="C162" s="41" t="s">
        <v>430</v>
      </c>
      <c r="D162" s="28" t="s">
        <v>431</v>
      </c>
      <c r="E162" s="28" t="s">
        <v>429</v>
      </c>
      <c r="F162" s="5" t="s">
        <v>22</v>
      </c>
      <c r="G162" s="21">
        <v>0.25</v>
      </c>
      <c r="H162" s="22">
        <f>VLOOKUP($C162,'Master File June-26'!$C$3:$L$670,6,0)</f>
        <v>2400</v>
      </c>
      <c r="I162" s="22">
        <f>VLOOKUP($C162,'Master File June-26'!$C$3:$L$670,7,0)</f>
        <v>9600</v>
      </c>
      <c r="J162" s="5">
        <f>VLOOKUP($C162,'Master File June-26'!$C$3:$L$670,8,0)</f>
        <v>14</v>
      </c>
      <c r="K162" s="23">
        <f>VLOOKUP($C162,'Master File June-26'!$C$3:$L$670,9,0)</f>
        <v>4800</v>
      </c>
      <c r="L162" s="58">
        <f>VLOOKUP($C162,'Master File June-26'!$C$3:$L$670,10,0)</f>
        <v>600</v>
      </c>
      <c r="M162" s="24">
        <f t="shared" si="8"/>
        <v>1.875</v>
      </c>
      <c r="N162" s="25" t="str">
        <f t="shared" si="9"/>
        <v>ORDER NOW</v>
      </c>
      <c r="O162" s="25" t="str">
        <f t="shared" si="10"/>
        <v>CRITICAL</v>
      </c>
      <c r="S162" s="79">
        <f t="shared" si="11"/>
        <v>0</v>
      </c>
    </row>
    <row r="163" spans="1:19" ht="18.75" x14ac:dyDescent="0.25">
      <c r="A163" s="41">
        <v>447</v>
      </c>
      <c r="B163" s="41" t="s">
        <v>38</v>
      </c>
      <c r="C163" s="41" t="s">
        <v>432</v>
      </c>
      <c r="D163" s="28" t="s">
        <v>433</v>
      </c>
      <c r="E163" s="28" t="s">
        <v>434</v>
      </c>
      <c r="F163" s="5" t="s">
        <v>22</v>
      </c>
      <c r="G163" s="21">
        <v>9.2592592592592587E-2</v>
      </c>
      <c r="H163" s="22">
        <f>VLOOKUP($C163,'Master File June-26'!$C$3:$L$670,6,0)</f>
        <v>0</v>
      </c>
      <c r="I163" s="22">
        <f>VLOOKUP($C163,'Master File June-26'!$C$3:$L$670,7,0)</f>
        <v>0</v>
      </c>
      <c r="J163" s="5">
        <f>VLOOKUP($C163,'Master File June-26'!$C$3:$L$670,8,0)</f>
        <v>14</v>
      </c>
      <c r="K163" s="23">
        <f>VLOOKUP($C163,'Master File June-26'!$C$3:$L$670,9,0)</f>
        <v>0</v>
      </c>
      <c r="L163" s="58">
        <f>VLOOKUP($C163,'Master File June-26'!$C$3:$L$670,10,0)</f>
        <v>0</v>
      </c>
      <c r="M163" s="24">
        <f t="shared" si="8"/>
        <v>0</v>
      </c>
      <c r="N163" s="25" t="str">
        <f t="shared" si="9"/>
        <v>ORDER NOW</v>
      </c>
      <c r="O163" s="25" t="str">
        <f t="shared" si="10"/>
        <v>CRITICAL</v>
      </c>
      <c r="S163" s="79">
        <f t="shared" si="11"/>
        <v>1</v>
      </c>
    </row>
    <row r="164" spans="1:19" ht="18.75" x14ac:dyDescent="0.25">
      <c r="A164" s="41">
        <v>448</v>
      </c>
      <c r="B164" s="41" t="s">
        <v>61</v>
      </c>
      <c r="C164" s="41" t="s">
        <v>435</v>
      </c>
      <c r="D164" s="28" t="s">
        <v>436</v>
      </c>
      <c r="E164" s="28" t="s">
        <v>437</v>
      </c>
      <c r="F164" s="5" t="s">
        <v>22</v>
      </c>
      <c r="G164" s="21">
        <f>1/(40*0.2)</f>
        <v>0.125</v>
      </c>
      <c r="H164" s="22">
        <f>VLOOKUP($C164,'Master File June-26'!$C$3:$L$670,6,0)</f>
        <v>100</v>
      </c>
      <c r="I164" s="22">
        <f>VLOOKUP($C164,'Master File June-26'!$C$3:$L$670,7,0)</f>
        <v>800</v>
      </c>
      <c r="J164" s="5">
        <f>VLOOKUP($C164,'Master File June-26'!$C$3:$L$670,8,0)</f>
        <v>14</v>
      </c>
      <c r="K164" s="23">
        <f>VLOOKUP($C164,'Master File June-26'!$C$3:$L$670,9,0)</f>
        <v>400</v>
      </c>
      <c r="L164" s="58">
        <f>VLOOKUP($C164,'Master File June-26'!$C$3:$L$670,10,0)</f>
        <v>0</v>
      </c>
      <c r="M164" s="24">
        <f t="shared" si="8"/>
        <v>0</v>
      </c>
      <c r="N164" s="25" t="str">
        <f t="shared" si="9"/>
        <v>ORDER NOW</v>
      </c>
      <c r="O164" s="25" t="str">
        <f t="shared" si="10"/>
        <v>CRITICAL</v>
      </c>
      <c r="S164" s="79">
        <f t="shared" si="11"/>
        <v>0</v>
      </c>
    </row>
    <row r="165" spans="1:19" ht="18.75" x14ac:dyDescent="0.25">
      <c r="A165" s="41">
        <v>450</v>
      </c>
      <c r="B165" s="41" t="s">
        <v>61</v>
      </c>
      <c r="C165" s="41" t="s">
        <v>438</v>
      </c>
      <c r="D165" s="28" t="s">
        <v>439</v>
      </c>
      <c r="E165" s="28" t="s">
        <v>440</v>
      </c>
      <c r="F165" s="5" t="s">
        <v>22</v>
      </c>
      <c r="G165" s="21">
        <f>1/10</f>
        <v>0.1</v>
      </c>
      <c r="H165" s="22">
        <f>VLOOKUP($C165,'Master File June-26'!$C$3:$L$670,6,0)</f>
        <v>0</v>
      </c>
      <c r="I165" s="22">
        <f>VLOOKUP($C165,'Master File June-26'!$C$3:$L$670,7,0)</f>
        <v>0</v>
      </c>
      <c r="J165" s="5">
        <f>VLOOKUP($C165,'Master File June-26'!$C$3:$L$670,8,0)</f>
        <v>14</v>
      </c>
      <c r="K165" s="23">
        <f>VLOOKUP($C165,'Master File June-26'!$C$3:$L$670,9,0)</f>
        <v>0</v>
      </c>
      <c r="L165" s="58">
        <f>VLOOKUP($C165,'Master File June-26'!$C$3:$L$670,10,0)</f>
        <v>0</v>
      </c>
      <c r="M165" s="24">
        <f t="shared" si="8"/>
        <v>0</v>
      </c>
      <c r="N165" s="25" t="str">
        <f t="shared" si="9"/>
        <v>ORDER NOW</v>
      </c>
      <c r="O165" s="25" t="str">
        <f t="shared" si="10"/>
        <v>CRITICAL</v>
      </c>
      <c r="S165" s="79">
        <f t="shared" si="11"/>
        <v>1</v>
      </c>
    </row>
    <row r="166" spans="1:19" ht="18.75" x14ac:dyDescent="0.25">
      <c r="A166" s="41">
        <v>451</v>
      </c>
      <c r="B166" s="41" t="s">
        <v>61</v>
      </c>
      <c r="C166" s="41" t="s">
        <v>441</v>
      </c>
      <c r="D166" s="28" t="s">
        <v>442</v>
      </c>
      <c r="E166" s="28" t="s">
        <v>443</v>
      </c>
      <c r="F166" s="5" t="s">
        <v>22</v>
      </c>
      <c r="G166" s="21">
        <v>0.04</v>
      </c>
      <c r="H166" s="22">
        <f>VLOOKUP($C166,'Master File June-26'!$C$3:$L$670,6,0)</f>
        <v>100</v>
      </c>
      <c r="I166" s="22">
        <f>VLOOKUP($C166,'Master File June-26'!$C$3:$L$670,7,0)</f>
        <v>2500</v>
      </c>
      <c r="J166" s="5">
        <f>VLOOKUP($C166,'Master File June-26'!$C$3:$L$670,8,0)</f>
        <v>14</v>
      </c>
      <c r="K166" s="23">
        <f>VLOOKUP($C166,'Master File June-26'!$C$3:$L$670,9,0)</f>
        <v>1250</v>
      </c>
      <c r="L166" s="58">
        <f>VLOOKUP($C166,'Master File June-26'!$C$3:$L$670,10,0)</f>
        <v>0</v>
      </c>
      <c r="M166" s="24">
        <f t="shared" si="8"/>
        <v>0</v>
      </c>
      <c r="N166" s="25" t="str">
        <f t="shared" si="9"/>
        <v>ORDER NOW</v>
      </c>
      <c r="O166" s="25" t="str">
        <f t="shared" si="10"/>
        <v>CRITICAL</v>
      </c>
      <c r="S166" s="79">
        <f t="shared" si="11"/>
        <v>0</v>
      </c>
    </row>
    <row r="167" spans="1:19" ht="18.75" x14ac:dyDescent="0.25">
      <c r="A167" s="41">
        <v>452</v>
      </c>
      <c r="B167" s="41" t="s">
        <v>38</v>
      </c>
      <c r="C167" s="41" t="s">
        <v>444</v>
      </c>
      <c r="D167" s="28" t="s">
        <v>445</v>
      </c>
      <c r="E167" s="28" t="s">
        <v>446</v>
      </c>
      <c r="F167" s="5" t="s">
        <v>22</v>
      </c>
      <c r="G167" s="21">
        <f>1/12</f>
        <v>8.3333333333333329E-2</v>
      </c>
      <c r="H167" s="22">
        <f>VLOOKUP($C167,'Master File June-26'!$C$3:$L$670,6,0)</f>
        <v>0</v>
      </c>
      <c r="I167" s="22">
        <f>VLOOKUP($C167,'Master File June-26'!$C$3:$L$670,7,0)</f>
        <v>0</v>
      </c>
      <c r="J167" s="5">
        <f>VLOOKUP($C167,'Master File June-26'!$C$3:$L$670,8,0)</f>
        <v>14</v>
      </c>
      <c r="K167" s="23">
        <f>VLOOKUP($C167,'Master File June-26'!$C$3:$L$670,9,0)</f>
        <v>0</v>
      </c>
      <c r="L167" s="58">
        <f>VLOOKUP($C167,'Master File June-26'!$C$3:$L$670,10,0)</f>
        <v>0</v>
      </c>
      <c r="M167" s="24">
        <f t="shared" si="8"/>
        <v>0</v>
      </c>
      <c r="N167" s="25" t="str">
        <f t="shared" si="9"/>
        <v>ORDER NOW</v>
      </c>
      <c r="O167" s="25" t="str">
        <f t="shared" si="10"/>
        <v>CRITICAL</v>
      </c>
      <c r="S167" s="79">
        <f t="shared" si="11"/>
        <v>1</v>
      </c>
    </row>
    <row r="168" spans="1:19" ht="18.75" x14ac:dyDescent="0.25">
      <c r="A168" s="41">
        <v>457</v>
      </c>
      <c r="B168" s="41" t="s">
        <v>85</v>
      </c>
      <c r="C168" s="41" t="s">
        <v>447</v>
      </c>
      <c r="D168" s="72" t="s">
        <v>448</v>
      </c>
      <c r="E168" s="28" t="s">
        <v>49</v>
      </c>
      <c r="F168" s="5" t="s">
        <v>49</v>
      </c>
      <c r="G168" s="21">
        <v>1</v>
      </c>
      <c r="H168" s="22">
        <f>VLOOKUP($C168,'Master File June-26'!$C$3:$L$670,6,0)</f>
        <v>11</v>
      </c>
      <c r="I168" s="22">
        <f>VLOOKUP($C168,'Master File June-26'!$C$3:$L$670,7,0)</f>
        <v>11</v>
      </c>
      <c r="J168" s="5">
        <f>VLOOKUP($C168,'Master File June-26'!$C$3:$L$670,8,0)</f>
        <v>14</v>
      </c>
      <c r="K168" s="23">
        <f>VLOOKUP($C168,'Master File June-26'!$C$3:$L$670,9,0)</f>
        <v>5.5</v>
      </c>
      <c r="L168" s="58">
        <f>VLOOKUP($C168,'Master File June-26'!$C$3:$L$670,10,0)</f>
        <v>0</v>
      </c>
      <c r="M168" s="24">
        <f t="shared" si="8"/>
        <v>0</v>
      </c>
      <c r="N168" s="25" t="str">
        <f t="shared" si="9"/>
        <v>ORDER NOW</v>
      </c>
      <c r="O168" s="25" t="str">
        <f t="shared" si="10"/>
        <v>CRITICAL</v>
      </c>
      <c r="S168" s="79">
        <f t="shared" si="11"/>
        <v>0</v>
      </c>
    </row>
    <row r="169" spans="1:19" ht="18.75" x14ac:dyDescent="0.25">
      <c r="A169" s="41">
        <v>458</v>
      </c>
      <c r="B169" s="41" t="s">
        <v>38</v>
      </c>
      <c r="C169" s="41" t="s">
        <v>449</v>
      </c>
      <c r="D169" s="27" t="s">
        <v>450</v>
      </c>
      <c r="E169" s="28" t="s">
        <v>451</v>
      </c>
      <c r="F169" s="5" t="s">
        <v>22</v>
      </c>
      <c r="G169" s="21">
        <f>1/8000</f>
        <v>1.25E-4</v>
      </c>
      <c r="H169" s="22">
        <f>VLOOKUP($C169,'Master File June-26'!$C$3:$L$670,6,0)</f>
        <v>0</v>
      </c>
      <c r="I169" s="22">
        <f>VLOOKUP($C169,'Master File June-26'!$C$3:$L$670,7,0)</f>
        <v>0</v>
      </c>
      <c r="J169" s="5">
        <f>VLOOKUP($C169,'Master File June-26'!$C$3:$L$670,8,0)</f>
        <v>14</v>
      </c>
      <c r="K169" s="23">
        <f>VLOOKUP($C169,'Master File June-26'!$C$3:$L$670,9,0)</f>
        <v>0</v>
      </c>
      <c r="L169" s="58">
        <f>VLOOKUP($C169,'Master File June-26'!$C$3:$L$670,10,0)</f>
        <v>0</v>
      </c>
      <c r="M169" s="24">
        <f t="shared" si="8"/>
        <v>0</v>
      </c>
      <c r="N169" s="25" t="str">
        <f t="shared" si="9"/>
        <v>ORDER NOW</v>
      </c>
      <c r="O169" s="25" t="str">
        <f t="shared" si="10"/>
        <v>CRITICAL</v>
      </c>
      <c r="S169" s="79">
        <f t="shared" si="11"/>
        <v>1</v>
      </c>
    </row>
    <row r="170" spans="1:19" ht="18.75" x14ac:dyDescent="0.25">
      <c r="A170" s="41">
        <v>459</v>
      </c>
      <c r="B170" s="41" t="s">
        <v>38</v>
      </c>
      <c r="C170" s="41" t="s">
        <v>452</v>
      </c>
      <c r="D170" s="27" t="s">
        <v>453</v>
      </c>
      <c r="E170" s="28" t="s">
        <v>454</v>
      </c>
      <c r="F170" s="5" t="s">
        <v>54</v>
      </c>
      <c r="G170" s="21">
        <f>1/15</f>
        <v>6.6666666666666666E-2</v>
      </c>
      <c r="H170" s="22">
        <f>VLOOKUP($C170,'Master File June-26'!$C$3:$L$670,6,0)</f>
        <v>0</v>
      </c>
      <c r="I170" s="22">
        <f>VLOOKUP($C170,'Master File June-26'!$C$3:$L$670,7,0)</f>
        <v>0</v>
      </c>
      <c r="J170" s="5">
        <f>VLOOKUP($C170,'Master File June-26'!$C$3:$L$670,8,0)</f>
        <v>14</v>
      </c>
      <c r="K170" s="23">
        <f>VLOOKUP($C170,'Master File June-26'!$C$3:$L$670,9,0)</f>
        <v>0</v>
      </c>
      <c r="L170" s="58">
        <f>VLOOKUP($C170,'Master File June-26'!$C$3:$L$670,10,0)</f>
        <v>0</v>
      </c>
      <c r="M170" s="24">
        <f t="shared" si="8"/>
        <v>0</v>
      </c>
      <c r="N170" s="25" t="str">
        <f t="shared" si="9"/>
        <v>ORDER NOW</v>
      </c>
      <c r="O170" s="25" t="str">
        <f t="shared" si="10"/>
        <v>CRITICAL</v>
      </c>
      <c r="S170" s="79">
        <f t="shared" si="11"/>
        <v>1</v>
      </c>
    </row>
    <row r="171" spans="1:19" ht="18.75" x14ac:dyDescent="0.25">
      <c r="A171" s="41">
        <v>461</v>
      </c>
      <c r="B171" s="41" t="s">
        <v>38</v>
      </c>
      <c r="C171" s="41" t="s">
        <v>455</v>
      </c>
      <c r="D171" s="27" t="s">
        <v>456</v>
      </c>
      <c r="E171" s="28" t="s">
        <v>457</v>
      </c>
      <c r="F171" s="5" t="s">
        <v>54</v>
      </c>
      <c r="G171" s="21">
        <v>1</v>
      </c>
      <c r="H171" s="22">
        <f>VLOOKUP($C171,'Master File June-26'!$C$3:$L$670,6,0)</f>
        <v>25</v>
      </c>
      <c r="I171" s="22">
        <f>VLOOKUP($C171,'Master File June-26'!$C$3:$L$670,7,0)</f>
        <v>25</v>
      </c>
      <c r="J171" s="5">
        <f>VLOOKUP($C171,'Master File June-26'!$C$3:$L$670,8,0)</f>
        <v>14</v>
      </c>
      <c r="K171" s="23">
        <f>VLOOKUP($C171,'Master File June-26'!$C$3:$L$670,9,0)</f>
        <v>12.5</v>
      </c>
      <c r="L171" s="58">
        <f>VLOOKUP($C171,'Master File June-26'!$C$3:$L$670,10,0)</f>
        <v>0</v>
      </c>
      <c r="M171" s="24">
        <f t="shared" si="8"/>
        <v>0</v>
      </c>
      <c r="N171" s="25" t="str">
        <f t="shared" si="9"/>
        <v>ORDER NOW</v>
      </c>
      <c r="O171" s="25" t="str">
        <f t="shared" si="10"/>
        <v>CRITICAL</v>
      </c>
      <c r="S171" s="79">
        <f t="shared" si="11"/>
        <v>0</v>
      </c>
    </row>
    <row r="172" spans="1:19" ht="18.75" x14ac:dyDescent="0.25">
      <c r="A172" s="41">
        <v>463</v>
      </c>
      <c r="B172" s="41" t="s">
        <v>38</v>
      </c>
      <c r="C172" s="41" t="s">
        <v>458</v>
      </c>
      <c r="D172" s="32" t="s">
        <v>459</v>
      </c>
      <c r="E172" s="28" t="s">
        <v>460</v>
      </c>
      <c r="F172" s="5" t="s">
        <v>49</v>
      </c>
      <c r="G172" s="21">
        <v>6.6666666666666666E-2</v>
      </c>
      <c r="H172" s="22">
        <f>VLOOKUP($C172,'Master File June-26'!$C$3:$L$670,6,0)</f>
        <v>0</v>
      </c>
      <c r="I172" s="22">
        <f>VLOOKUP($C172,'Master File June-26'!$C$3:$L$670,7,0)</f>
        <v>0</v>
      </c>
      <c r="J172" s="5">
        <f>VLOOKUP($C172,'Master File June-26'!$C$3:$L$670,8,0)</f>
        <v>14</v>
      </c>
      <c r="K172" s="23">
        <f>VLOOKUP($C172,'Master File June-26'!$C$3:$L$670,9,0)</f>
        <v>0</v>
      </c>
      <c r="L172" s="58">
        <f>VLOOKUP($C172,'Master File June-26'!$C$3:$L$670,10,0)</f>
        <v>0</v>
      </c>
      <c r="M172" s="24">
        <f t="shared" si="8"/>
        <v>0</v>
      </c>
      <c r="N172" s="25" t="str">
        <f t="shared" si="9"/>
        <v>ORDER NOW</v>
      </c>
      <c r="O172" s="25" t="str">
        <f t="shared" si="10"/>
        <v>CRITICAL</v>
      </c>
      <c r="S172" s="79">
        <f t="shared" si="11"/>
        <v>1</v>
      </c>
    </row>
    <row r="173" spans="1:19" ht="18.75" x14ac:dyDescent="0.25">
      <c r="A173" s="41">
        <v>466</v>
      </c>
      <c r="B173" s="41" t="s">
        <v>38</v>
      </c>
      <c r="C173" s="41" t="s">
        <v>461</v>
      </c>
      <c r="D173" s="29" t="s">
        <v>462</v>
      </c>
      <c r="E173" s="28" t="s">
        <v>463</v>
      </c>
      <c r="F173" s="5" t="s">
        <v>22</v>
      </c>
      <c r="G173" s="21">
        <v>0.4</v>
      </c>
      <c r="H173" s="22">
        <f>VLOOKUP($C173,'Master File June-26'!$C$3:$L$670,6,0)</f>
        <v>1</v>
      </c>
      <c r="I173" s="22">
        <f>VLOOKUP($C173,'Master File June-26'!$C$3:$L$670,7,0)</f>
        <v>2.5</v>
      </c>
      <c r="J173" s="5">
        <f>VLOOKUP($C173,'Master File June-26'!$C$3:$L$670,8,0)</f>
        <v>14</v>
      </c>
      <c r="K173" s="23">
        <f>VLOOKUP($C173,'Master File June-26'!$C$3:$L$670,9,0)</f>
        <v>1.25</v>
      </c>
      <c r="L173" s="58">
        <f>VLOOKUP($C173,'Master File June-26'!$C$3:$L$670,10,0)</f>
        <v>0</v>
      </c>
      <c r="M173" s="24">
        <f t="shared" si="8"/>
        <v>0</v>
      </c>
      <c r="N173" s="25" t="str">
        <f t="shared" si="9"/>
        <v>ORDER NOW</v>
      </c>
      <c r="O173" s="25" t="str">
        <f t="shared" si="10"/>
        <v>CRITICAL</v>
      </c>
      <c r="S173" s="79">
        <f t="shared" si="11"/>
        <v>0</v>
      </c>
    </row>
    <row r="174" spans="1:19" ht="18.75" x14ac:dyDescent="0.25">
      <c r="A174" s="41">
        <v>467</v>
      </c>
      <c r="B174" s="41" t="s">
        <v>38</v>
      </c>
      <c r="C174" s="41" t="s">
        <v>464</v>
      </c>
      <c r="D174" s="27" t="s">
        <v>465</v>
      </c>
      <c r="E174" s="28" t="s">
        <v>466</v>
      </c>
      <c r="F174" s="5" t="s">
        <v>49</v>
      </c>
      <c r="G174" s="21">
        <v>0.04</v>
      </c>
      <c r="H174" s="22">
        <f>VLOOKUP($C174,'Master File June-26'!$C$3:$L$670,6,0)</f>
        <v>4</v>
      </c>
      <c r="I174" s="22">
        <f>VLOOKUP($C174,'Master File June-26'!$C$3:$L$670,7,0)</f>
        <v>100</v>
      </c>
      <c r="J174" s="5">
        <f>VLOOKUP($C174,'Master File June-26'!$C$3:$L$670,8,0)</f>
        <v>14</v>
      </c>
      <c r="K174" s="23">
        <f>VLOOKUP($C174,'Master File June-26'!$C$3:$L$670,9,0)</f>
        <v>50</v>
      </c>
      <c r="L174" s="58">
        <f>VLOOKUP($C174,'Master File June-26'!$C$3:$L$670,10,0)</f>
        <v>0</v>
      </c>
      <c r="M174" s="24">
        <f t="shared" si="8"/>
        <v>0</v>
      </c>
      <c r="N174" s="25" t="str">
        <f t="shared" si="9"/>
        <v>ORDER NOW</v>
      </c>
      <c r="O174" s="25" t="str">
        <f t="shared" si="10"/>
        <v>CRITICAL</v>
      </c>
      <c r="S174" s="79">
        <f t="shared" si="11"/>
        <v>0</v>
      </c>
    </row>
    <row r="175" spans="1:19" ht="18.75" x14ac:dyDescent="0.25">
      <c r="A175" s="41">
        <v>468</v>
      </c>
      <c r="B175" s="41" t="s">
        <v>38</v>
      </c>
      <c r="C175" s="41" t="s">
        <v>467</v>
      </c>
      <c r="D175" s="27" t="s">
        <v>468</v>
      </c>
      <c r="E175" s="28" t="s">
        <v>469</v>
      </c>
      <c r="F175" s="5" t="s">
        <v>54</v>
      </c>
      <c r="G175" s="21">
        <v>6.6666666666666666E-2</v>
      </c>
      <c r="H175" s="22">
        <f>VLOOKUP($C175,'Master File June-26'!$C$3:$L$670,6,0)</f>
        <v>120</v>
      </c>
      <c r="I175" s="22">
        <f>VLOOKUP($C175,'Master File June-26'!$C$3:$L$670,7,0)</f>
        <v>1800</v>
      </c>
      <c r="J175" s="5">
        <f>VLOOKUP($C175,'Master File June-26'!$C$3:$L$670,8,0)</f>
        <v>14</v>
      </c>
      <c r="K175" s="23">
        <f>VLOOKUP($C175,'Master File June-26'!$C$3:$L$670,9,0)</f>
        <v>900</v>
      </c>
      <c r="L175" s="58">
        <f>VLOOKUP($C175,'Master File June-26'!$C$3:$L$670,10,0)</f>
        <v>0</v>
      </c>
      <c r="M175" s="24">
        <f t="shared" si="8"/>
        <v>0</v>
      </c>
      <c r="N175" s="25" t="str">
        <f t="shared" si="9"/>
        <v>ORDER NOW</v>
      </c>
      <c r="O175" s="25" t="str">
        <f t="shared" si="10"/>
        <v>CRITICAL</v>
      </c>
      <c r="S175" s="79">
        <f t="shared" si="11"/>
        <v>0</v>
      </c>
    </row>
    <row r="176" spans="1:19" ht="18.75" x14ac:dyDescent="0.25">
      <c r="A176" s="41">
        <v>469</v>
      </c>
      <c r="B176" s="41" t="s">
        <v>38</v>
      </c>
      <c r="C176" s="41" t="s">
        <v>470</v>
      </c>
      <c r="D176" s="27" t="s">
        <v>471</v>
      </c>
      <c r="E176" s="28" t="s">
        <v>469</v>
      </c>
      <c r="F176" s="5" t="s">
        <v>54</v>
      </c>
      <c r="G176" s="21">
        <v>6.6666666666666666E-2</v>
      </c>
      <c r="H176" s="22">
        <f>VLOOKUP($C176,'Master File June-26'!$C$3:$L$670,6,0)</f>
        <v>80</v>
      </c>
      <c r="I176" s="22">
        <f>VLOOKUP($C176,'Master File June-26'!$C$3:$L$670,7,0)</f>
        <v>1200</v>
      </c>
      <c r="J176" s="5">
        <f>VLOOKUP($C176,'Master File June-26'!$C$3:$L$670,8,0)</f>
        <v>14</v>
      </c>
      <c r="K176" s="23">
        <f>VLOOKUP($C176,'Master File June-26'!$C$3:$L$670,9,0)</f>
        <v>600</v>
      </c>
      <c r="L176" s="58">
        <f>VLOOKUP($C176,'Master File June-26'!$C$3:$L$670,10,0)</f>
        <v>750</v>
      </c>
      <c r="M176" s="24">
        <f t="shared" si="8"/>
        <v>18.75</v>
      </c>
      <c r="N176" s="25" t="str">
        <f t="shared" si="9"/>
        <v>IN STOCK</v>
      </c>
      <c r="O176" s="25" t="str">
        <f t="shared" si="10"/>
        <v>FOLLOW UP DELIVERY</v>
      </c>
      <c r="S176" s="79">
        <f t="shared" si="11"/>
        <v>1</v>
      </c>
    </row>
    <row r="177" spans="1:19" ht="18.75" x14ac:dyDescent="0.25">
      <c r="A177" s="41">
        <v>472</v>
      </c>
      <c r="B177" s="41" t="s">
        <v>38</v>
      </c>
      <c r="C177" s="41" t="s">
        <v>472</v>
      </c>
      <c r="D177" s="30" t="s">
        <v>473</v>
      </c>
      <c r="E177" s="27" t="s">
        <v>463</v>
      </c>
      <c r="F177" s="5" t="s">
        <v>22</v>
      </c>
      <c r="G177" s="21">
        <v>0.4</v>
      </c>
      <c r="H177" s="22">
        <f>VLOOKUP($C177,'Master File June-26'!$C$3:$L$670,6,0)</f>
        <v>1</v>
      </c>
      <c r="I177" s="22">
        <f>VLOOKUP($C177,'Master File June-26'!$C$3:$L$670,7,0)</f>
        <v>2.5</v>
      </c>
      <c r="J177" s="5">
        <f>VLOOKUP($C177,'Master File June-26'!$C$3:$L$670,8,0)</f>
        <v>14</v>
      </c>
      <c r="K177" s="23">
        <f>VLOOKUP($C177,'Master File June-26'!$C$3:$L$670,9,0)</f>
        <v>1.25</v>
      </c>
      <c r="L177" s="58">
        <f>VLOOKUP($C177,'Master File June-26'!$C$3:$L$670,10,0)</f>
        <v>0</v>
      </c>
      <c r="M177" s="24">
        <f t="shared" si="8"/>
        <v>0</v>
      </c>
      <c r="N177" s="25" t="str">
        <f t="shared" si="9"/>
        <v>ORDER NOW</v>
      </c>
      <c r="O177" s="25" t="str">
        <f t="shared" si="10"/>
        <v>CRITICAL</v>
      </c>
      <c r="S177" s="79">
        <f t="shared" si="11"/>
        <v>0</v>
      </c>
    </row>
    <row r="178" spans="1:19" ht="18.75" x14ac:dyDescent="0.25">
      <c r="A178" s="41">
        <v>483</v>
      </c>
      <c r="B178" s="41" t="s">
        <v>61</v>
      </c>
      <c r="C178" s="41" t="s">
        <v>474</v>
      </c>
      <c r="D178" s="28" t="s">
        <v>475</v>
      </c>
      <c r="E178" s="27" t="s">
        <v>476</v>
      </c>
      <c r="F178" s="5" t="s">
        <v>22</v>
      </c>
      <c r="G178" s="21">
        <v>0.1811594202898551</v>
      </c>
      <c r="H178" s="22">
        <f>VLOOKUP($C178,'Master File June-26'!$C$3:$L$670,6,0)</f>
        <v>0</v>
      </c>
      <c r="I178" s="22">
        <f>VLOOKUP($C178,'Master File June-26'!$C$3:$L$670,7,0)</f>
        <v>0</v>
      </c>
      <c r="J178" s="5">
        <f>VLOOKUP($C178,'Master File June-26'!$C$3:$L$670,8,0)</f>
        <v>14</v>
      </c>
      <c r="K178" s="23">
        <f>VLOOKUP($C178,'Master File June-26'!$C$3:$L$670,9,0)</f>
        <v>0</v>
      </c>
      <c r="L178" s="58">
        <f>VLOOKUP($C178,'Master File June-26'!$C$3:$L$670,10,0)</f>
        <v>0</v>
      </c>
      <c r="M178" s="24">
        <f t="shared" si="8"/>
        <v>0</v>
      </c>
      <c r="N178" s="25" t="str">
        <f t="shared" si="9"/>
        <v>ORDER NOW</v>
      </c>
      <c r="O178" s="25" t="str">
        <f t="shared" si="10"/>
        <v>CRITICAL</v>
      </c>
      <c r="S178" s="79">
        <f t="shared" si="11"/>
        <v>1</v>
      </c>
    </row>
    <row r="179" spans="1:19" ht="18.75" x14ac:dyDescent="0.25">
      <c r="A179" s="41">
        <v>489</v>
      </c>
      <c r="B179" s="41" t="s">
        <v>38</v>
      </c>
      <c r="C179" s="41" t="s">
        <v>477</v>
      </c>
      <c r="D179" s="28" t="s">
        <v>478</v>
      </c>
      <c r="E179" s="42" t="s">
        <v>479</v>
      </c>
      <c r="F179" s="5" t="s">
        <v>22</v>
      </c>
      <c r="G179" s="21">
        <f>1/64</f>
        <v>1.5625E-2</v>
      </c>
      <c r="H179" s="22">
        <f>VLOOKUP($C179,'Master File June-26'!$C$3:$L$670,6,0)</f>
        <v>0</v>
      </c>
      <c r="I179" s="22">
        <f>VLOOKUP($C179,'Master File June-26'!$C$3:$L$670,7,0)</f>
        <v>0</v>
      </c>
      <c r="J179" s="5">
        <f>VLOOKUP($C179,'Master File June-26'!$C$3:$L$670,8,0)</f>
        <v>14</v>
      </c>
      <c r="K179" s="23">
        <f>VLOOKUP($C179,'Master File June-26'!$C$3:$L$670,9,0)</f>
        <v>0</v>
      </c>
      <c r="L179" s="58">
        <f>VLOOKUP($C179,'Master File June-26'!$C$3:$L$670,10,0)</f>
        <v>0</v>
      </c>
      <c r="M179" s="24">
        <f t="shared" si="8"/>
        <v>0</v>
      </c>
      <c r="N179" s="25" t="str">
        <f t="shared" si="9"/>
        <v>ORDER NOW</v>
      </c>
      <c r="O179" s="25" t="str">
        <f t="shared" si="10"/>
        <v>CRITICAL</v>
      </c>
      <c r="S179" s="79">
        <f t="shared" si="11"/>
        <v>1</v>
      </c>
    </row>
    <row r="180" spans="1:19" ht="18.75" x14ac:dyDescent="0.25">
      <c r="A180" s="41">
        <v>493</v>
      </c>
      <c r="B180" s="41" t="s">
        <v>38</v>
      </c>
      <c r="C180" s="41" t="s">
        <v>480</v>
      </c>
      <c r="D180" s="28" t="s">
        <v>481</v>
      </c>
      <c r="E180" s="27" t="s">
        <v>482</v>
      </c>
      <c r="F180" s="5" t="s">
        <v>54</v>
      </c>
      <c r="G180" s="21">
        <v>6.6666666666666666E-2</v>
      </c>
      <c r="H180" s="22">
        <f>VLOOKUP($C180,'Master File June-26'!$C$3:$L$670,6,0)</f>
        <v>1</v>
      </c>
      <c r="I180" s="22">
        <f>VLOOKUP($C180,'Master File June-26'!$C$3:$L$670,7,0)</f>
        <v>15</v>
      </c>
      <c r="J180" s="5">
        <f>VLOOKUP($C180,'Master File June-26'!$C$3:$L$670,8,0)</f>
        <v>14</v>
      </c>
      <c r="K180" s="23">
        <f>VLOOKUP($C180,'Master File June-26'!$C$3:$L$670,9,0)</f>
        <v>7.5</v>
      </c>
      <c r="L180" s="58">
        <f>VLOOKUP($C180,'Master File June-26'!$C$3:$L$670,10,0)</f>
        <v>0</v>
      </c>
      <c r="M180" s="24">
        <f t="shared" si="8"/>
        <v>0</v>
      </c>
      <c r="N180" s="25" t="str">
        <f t="shared" si="9"/>
        <v>ORDER NOW</v>
      </c>
      <c r="O180" s="25" t="str">
        <f t="shared" si="10"/>
        <v>CRITICAL</v>
      </c>
      <c r="S180" s="79">
        <f t="shared" si="11"/>
        <v>0</v>
      </c>
    </row>
    <row r="181" spans="1:19" ht="18.75" x14ac:dyDescent="0.25">
      <c r="A181" s="41">
        <v>498</v>
      </c>
      <c r="B181" s="41" t="s">
        <v>38</v>
      </c>
      <c r="C181" s="41" t="s">
        <v>483</v>
      </c>
      <c r="D181" s="28" t="s">
        <v>484</v>
      </c>
      <c r="E181" s="27" t="s">
        <v>64</v>
      </c>
      <c r="F181" s="5" t="s">
        <v>49</v>
      </c>
      <c r="G181" s="21">
        <v>1</v>
      </c>
      <c r="H181" s="22">
        <f>VLOOKUP($C181,'Master File June-26'!$C$3:$L$670,6,0)</f>
        <v>0</v>
      </c>
      <c r="I181" s="22">
        <f>VLOOKUP($C181,'Master File June-26'!$C$3:$L$670,7,0)</f>
        <v>0</v>
      </c>
      <c r="J181" s="5">
        <f>VLOOKUP($C181,'Master File June-26'!$C$3:$L$670,8,0)</f>
        <v>14</v>
      </c>
      <c r="K181" s="23">
        <f>VLOOKUP($C181,'Master File June-26'!$C$3:$L$670,9,0)</f>
        <v>0</v>
      </c>
      <c r="L181" s="58">
        <f>VLOOKUP($C181,'Master File June-26'!$C$3:$L$670,10,0)</f>
        <v>0</v>
      </c>
      <c r="M181" s="24">
        <f t="shared" si="8"/>
        <v>0</v>
      </c>
      <c r="N181" s="25" t="str">
        <f t="shared" si="9"/>
        <v>ORDER NOW</v>
      </c>
      <c r="O181" s="25" t="str">
        <f t="shared" si="10"/>
        <v>CRITICAL</v>
      </c>
      <c r="S181" s="79">
        <f t="shared" si="11"/>
        <v>1</v>
      </c>
    </row>
    <row r="182" spans="1:19" ht="18.75" x14ac:dyDescent="0.25">
      <c r="A182" s="41">
        <v>499</v>
      </c>
      <c r="B182" s="41" t="s">
        <v>38</v>
      </c>
      <c r="C182" s="41" t="s">
        <v>485</v>
      </c>
      <c r="D182" s="28" t="s">
        <v>486</v>
      </c>
      <c r="E182" s="27" t="s">
        <v>487</v>
      </c>
      <c r="F182" s="5" t="s">
        <v>22</v>
      </c>
      <c r="G182" s="21">
        <v>0.05</v>
      </c>
      <c r="H182" s="22">
        <f>VLOOKUP($C182,'Master File June-26'!$C$3:$L$670,6,0)</f>
        <v>0</v>
      </c>
      <c r="I182" s="22">
        <f>VLOOKUP($C182,'Master File June-26'!$C$3:$L$670,7,0)</f>
        <v>0</v>
      </c>
      <c r="J182" s="5">
        <f>VLOOKUP($C182,'Master File June-26'!$C$3:$L$670,8,0)</f>
        <v>14</v>
      </c>
      <c r="K182" s="23">
        <f>VLOOKUP($C182,'Master File June-26'!$C$3:$L$670,9,0)</f>
        <v>0</v>
      </c>
      <c r="L182" s="58">
        <f>VLOOKUP($C182,'Master File June-26'!$C$3:$L$670,10,0)</f>
        <v>0</v>
      </c>
      <c r="M182" s="24">
        <f t="shared" si="8"/>
        <v>0</v>
      </c>
      <c r="N182" s="25" t="str">
        <f t="shared" si="9"/>
        <v>ORDER NOW</v>
      </c>
      <c r="O182" s="25" t="str">
        <f t="shared" si="10"/>
        <v>CRITICAL</v>
      </c>
      <c r="S182" s="79">
        <f t="shared" si="11"/>
        <v>1</v>
      </c>
    </row>
    <row r="183" spans="1:19" ht="18.75" x14ac:dyDescent="0.25">
      <c r="A183" s="41">
        <v>501</v>
      </c>
      <c r="B183" s="41" t="s">
        <v>38</v>
      </c>
      <c r="C183" s="41" t="s">
        <v>488</v>
      </c>
      <c r="D183" s="28" t="s">
        <v>489</v>
      </c>
      <c r="E183" s="27" t="s">
        <v>490</v>
      </c>
      <c r="F183" s="5" t="s">
        <v>54</v>
      </c>
      <c r="G183" s="21">
        <v>0.2</v>
      </c>
      <c r="H183" s="22">
        <f>VLOOKUP($C183,'Master File June-26'!$C$3:$L$670,6,0)</f>
        <v>0</v>
      </c>
      <c r="I183" s="22">
        <f>VLOOKUP($C183,'Master File June-26'!$C$3:$L$670,7,0)</f>
        <v>0</v>
      </c>
      <c r="J183" s="5">
        <f>VLOOKUP($C183,'Master File June-26'!$C$3:$L$670,8,0)</f>
        <v>14</v>
      </c>
      <c r="K183" s="23">
        <f>VLOOKUP($C183,'Master File June-26'!$C$3:$L$670,9,0)</f>
        <v>0</v>
      </c>
      <c r="L183" s="58">
        <f>VLOOKUP($C183,'Master File June-26'!$C$3:$L$670,10,0)</f>
        <v>10</v>
      </c>
      <c r="M183" s="24">
        <f t="shared" si="8"/>
        <v>0</v>
      </c>
      <c r="N183" s="25" t="str">
        <f t="shared" si="9"/>
        <v>ORDER NOW</v>
      </c>
      <c r="O183" s="25" t="str">
        <f t="shared" si="10"/>
        <v>CRITICAL</v>
      </c>
      <c r="S183" s="79">
        <f t="shared" si="11"/>
        <v>1</v>
      </c>
    </row>
    <row r="184" spans="1:19" ht="18.75" x14ac:dyDescent="0.25">
      <c r="A184" s="41">
        <v>505</v>
      </c>
      <c r="B184" s="41" t="s">
        <v>38</v>
      </c>
      <c r="C184" s="41" t="s">
        <v>491</v>
      </c>
      <c r="D184" s="28" t="s">
        <v>492</v>
      </c>
      <c r="E184" s="27" t="s">
        <v>493</v>
      </c>
      <c r="F184" s="5" t="s">
        <v>49</v>
      </c>
      <c r="G184" s="21">
        <v>1</v>
      </c>
      <c r="H184" s="22">
        <f>VLOOKUP($C184,'Master File June-26'!$C$3:$L$670,6,0)</f>
        <v>0</v>
      </c>
      <c r="I184" s="22">
        <f>VLOOKUP($C184,'Master File June-26'!$C$3:$L$670,7,0)</f>
        <v>0</v>
      </c>
      <c r="J184" s="5">
        <f>VLOOKUP($C184,'Master File June-26'!$C$3:$L$670,8,0)</f>
        <v>14</v>
      </c>
      <c r="K184" s="23">
        <f>VLOOKUP($C184,'Master File June-26'!$C$3:$L$670,9,0)</f>
        <v>0</v>
      </c>
      <c r="L184" s="58">
        <f>VLOOKUP($C184,'Master File June-26'!$C$3:$L$670,10,0)</f>
        <v>0</v>
      </c>
      <c r="M184" s="24">
        <f t="shared" si="8"/>
        <v>0</v>
      </c>
      <c r="N184" s="25" t="str">
        <f t="shared" si="9"/>
        <v>ORDER NOW</v>
      </c>
      <c r="O184" s="25" t="str">
        <f t="shared" si="10"/>
        <v>CRITICAL</v>
      </c>
      <c r="S184" s="79">
        <f t="shared" si="11"/>
        <v>1</v>
      </c>
    </row>
    <row r="185" spans="1:19" ht="18.75" x14ac:dyDescent="0.25">
      <c r="A185" s="41">
        <v>512</v>
      </c>
      <c r="B185" s="41" t="s">
        <v>38</v>
      </c>
      <c r="C185" s="41" t="s">
        <v>494</v>
      </c>
      <c r="D185" s="28" t="s">
        <v>495</v>
      </c>
      <c r="E185" s="27" t="s">
        <v>496</v>
      </c>
      <c r="F185" s="5" t="s">
        <v>22</v>
      </c>
      <c r="G185" s="21">
        <f>1/8</f>
        <v>0.125</v>
      </c>
      <c r="H185" s="22">
        <f>VLOOKUP($C185,'Master File June-26'!$C$3:$L$670,6,0)</f>
        <v>3</v>
      </c>
      <c r="I185" s="22">
        <f>VLOOKUP($C185,'Master File June-26'!$C$3:$L$670,7,0)</f>
        <v>24</v>
      </c>
      <c r="J185" s="5">
        <f>VLOOKUP($C185,'Master File June-26'!$C$3:$L$670,8,0)</f>
        <v>14</v>
      </c>
      <c r="K185" s="23">
        <f>VLOOKUP($C185,'Master File June-26'!$C$3:$L$670,9,0)</f>
        <v>12</v>
      </c>
      <c r="L185" s="58">
        <f>VLOOKUP($C185,'Master File June-26'!$C$3:$L$670,10,0)</f>
        <v>0</v>
      </c>
      <c r="M185" s="24">
        <f t="shared" si="8"/>
        <v>0</v>
      </c>
      <c r="N185" s="25" t="str">
        <f t="shared" si="9"/>
        <v>ORDER NOW</v>
      </c>
      <c r="O185" s="25" t="str">
        <f t="shared" si="10"/>
        <v>CRITICAL</v>
      </c>
      <c r="S185" s="79">
        <f t="shared" si="11"/>
        <v>0</v>
      </c>
    </row>
    <row r="186" spans="1:19" ht="18.75" x14ac:dyDescent="0.25">
      <c r="A186" s="41">
        <v>514</v>
      </c>
      <c r="B186" s="41" t="s">
        <v>38</v>
      </c>
      <c r="C186" s="41" t="s">
        <v>497</v>
      </c>
      <c r="D186" s="28" t="s">
        <v>498</v>
      </c>
      <c r="E186" s="27" t="s">
        <v>496</v>
      </c>
      <c r="F186" s="5" t="s">
        <v>22</v>
      </c>
      <c r="G186" s="21">
        <v>0.125</v>
      </c>
      <c r="H186" s="22">
        <f>VLOOKUP($C186,'Master File June-26'!$C$3:$L$670,6,0)</f>
        <v>0</v>
      </c>
      <c r="I186" s="22">
        <f>VLOOKUP($C186,'Master File June-26'!$C$3:$L$670,7,0)</f>
        <v>0</v>
      </c>
      <c r="J186" s="5">
        <f>VLOOKUP($C186,'Master File June-26'!$C$3:$L$670,8,0)</f>
        <v>14</v>
      </c>
      <c r="K186" s="23">
        <f>VLOOKUP($C186,'Master File June-26'!$C$3:$L$670,9,0)</f>
        <v>0</v>
      </c>
      <c r="L186" s="58">
        <f>VLOOKUP($C186,'Master File June-26'!$C$3:$L$670,10,0)</f>
        <v>0</v>
      </c>
      <c r="M186" s="24">
        <f t="shared" si="8"/>
        <v>0</v>
      </c>
      <c r="N186" s="25" t="str">
        <f t="shared" si="9"/>
        <v>ORDER NOW</v>
      </c>
      <c r="O186" s="25" t="str">
        <f t="shared" si="10"/>
        <v>CRITICAL</v>
      </c>
      <c r="S186" s="79">
        <f t="shared" si="11"/>
        <v>1</v>
      </c>
    </row>
    <row r="187" spans="1:19" ht="18.75" x14ac:dyDescent="0.25">
      <c r="A187" s="41">
        <v>518</v>
      </c>
      <c r="B187" s="41" t="s">
        <v>38</v>
      </c>
      <c r="C187" s="41" t="s">
        <v>499</v>
      </c>
      <c r="D187" s="28" t="s">
        <v>500</v>
      </c>
      <c r="E187" s="27" t="s">
        <v>501</v>
      </c>
      <c r="F187" s="5" t="s">
        <v>89</v>
      </c>
      <c r="G187" s="21">
        <f>1/15</f>
        <v>6.6666666666666666E-2</v>
      </c>
      <c r="H187" s="22">
        <f>VLOOKUP($C187,'Master File June-26'!$C$3:$L$670,6,0)</f>
        <v>1</v>
      </c>
      <c r="I187" s="22">
        <f>VLOOKUP($C187,'Master File June-26'!$C$3:$L$670,7,0)</f>
        <v>15</v>
      </c>
      <c r="J187" s="5">
        <f>VLOOKUP($C187,'Master File June-26'!$C$3:$L$670,8,0)</f>
        <v>14</v>
      </c>
      <c r="K187" s="23">
        <f>VLOOKUP($C187,'Master File June-26'!$C$3:$L$670,9,0)</f>
        <v>7.5</v>
      </c>
      <c r="L187" s="58">
        <f>VLOOKUP($C187,'Master File June-26'!$C$3:$L$670,10,0)</f>
        <v>0</v>
      </c>
      <c r="M187" s="24">
        <f t="shared" si="8"/>
        <v>0</v>
      </c>
      <c r="N187" s="25" t="str">
        <f t="shared" si="9"/>
        <v>ORDER NOW</v>
      </c>
      <c r="O187" s="25" t="str">
        <f t="shared" si="10"/>
        <v>CRITICAL</v>
      </c>
      <c r="S187" s="79">
        <f t="shared" si="11"/>
        <v>0</v>
      </c>
    </row>
    <row r="188" spans="1:19" ht="18.75" x14ac:dyDescent="0.25">
      <c r="A188" s="41">
        <v>519</v>
      </c>
      <c r="B188" s="41" t="s">
        <v>38</v>
      </c>
      <c r="C188" s="41" t="s">
        <v>502</v>
      </c>
      <c r="D188" s="28" t="s">
        <v>503</v>
      </c>
      <c r="E188" s="43" t="s">
        <v>504</v>
      </c>
      <c r="F188" s="5" t="s">
        <v>49</v>
      </c>
      <c r="G188" s="21">
        <v>1</v>
      </c>
      <c r="H188" s="22">
        <f>VLOOKUP($C188,'Master File June-26'!$C$3:$L$670,6,0)</f>
        <v>0</v>
      </c>
      <c r="I188" s="22">
        <f>VLOOKUP($C188,'Master File June-26'!$C$3:$L$670,7,0)</f>
        <v>0</v>
      </c>
      <c r="J188" s="5">
        <f>VLOOKUP($C188,'Master File June-26'!$C$3:$L$670,8,0)</f>
        <v>14</v>
      </c>
      <c r="K188" s="23">
        <f>VLOOKUP($C188,'Master File June-26'!$C$3:$L$670,9,0)</f>
        <v>0</v>
      </c>
      <c r="L188" s="58">
        <f>VLOOKUP($C188,'Master File June-26'!$C$3:$L$670,10,0)</f>
        <v>0</v>
      </c>
      <c r="M188" s="24">
        <f t="shared" si="8"/>
        <v>0</v>
      </c>
      <c r="N188" s="25" t="str">
        <f t="shared" si="9"/>
        <v>ORDER NOW</v>
      </c>
      <c r="O188" s="25" t="str">
        <f t="shared" si="10"/>
        <v>CRITICAL</v>
      </c>
      <c r="S188" s="79">
        <f t="shared" si="11"/>
        <v>1</v>
      </c>
    </row>
    <row r="189" spans="1:19" ht="18.75" x14ac:dyDescent="0.25">
      <c r="A189" s="41">
        <v>520</v>
      </c>
      <c r="B189" s="41" t="s">
        <v>38</v>
      </c>
      <c r="C189" s="41" t="s">
        <v>505</v>
      </c>
      <c r="D189" s="28" t="s">
        <v>506</v>
      </c>
      <c r="E189" s="27" t="s">
        <v>507</v>
      </c>
      <c r="F189" s="5" t="s">
        <v>49</v>
      </c>
      <c r="G189" s="21">
        <f>1/650</f>
        <v>1.5384615384615385E-3</v>
      </c>
      <c r="H189" s="22">
        <f>VLOOKUP($C189,'Master File June-26'!$C$3:$L$670,6,0)</f>
        <v>0</v>
      </c>
      <c r="I189" s="22">
        <f>VLOOKUP($C189,'Master File June-26'!$C$3:$L$670,7,0)</f>
        <v>0</v>
      </c>
      <c r="J189" s="5">
        <f>VLOOKUP($C189,'Master File June-26'!$C$3:$L$670,8,0)</f>
        <v>14</v>
      </c>
      <c r="K189" s="23">
        <f>VLOOKUP($C189,'Master File June-26'!$C$3:$L$670,9,0)</f>
        <v>0</v>
      </c>
      <c r="L189" s="58">
        <f>VLOOKUP($C189,'Master File June-26'!$C$3:$L$670,10,0)</f>
        <v>0</v>
      </c>
      <c r="M189" s="24">
        <f t="shared" si="8"/>
        <v>0</v>
      </c>
      <c r="N189" s="25" t="str">
        <f t="shared" si="9"/>
        <v>ORDER NOW</v>
      </c>
      <c r="O189" s="25" t="str">
        <f t="shared" si="10"/>
        <v>CRITICAL</v>
      </c>
      <c r="S189" s="79">
        <f t="shared" si="11"/>
        <v>1</v>
      </c>
    </row>
    <row r="190" spans="1:19" ht="18.75" x14ac:dyDescent="0.25">
      <c r="A190" s="41">
        <v>522</v>
      </c>
      <c r="B190" s="41" t="s">
        <v>38</v>
      </c>
      <c r="C190" s="41" t="s">
        <v>508</v>
      </c>
      <c r="D190" s="30" t="s">
        <v>509</v>
      </c>
      <c r="E190" s="27" t="s">
        <v>510</v>
      </c>
      <c r="F190" s="5" t="s">
        <v>22</v>
      </c>
      <c r="G190" s="21">
        <f>1/4</f>
        <v>0.25</v>
      </c>
      <c r="H190" s="22">
        <f>VLOOKUP($C190,'Master File June-26'!$C$3:$L$670,6,0)</f>
        <v>0</v>
      </c>
      <c r="I190" s="22">
        <f>VLOOKUP($C190,'Master File June-26'!$C$3:$L$670,7,0)</f>
        <v>0</v>
      </c>
      <c r="J190" s="5">
        <f>VLOOKUP($C190,'Master File June-26'!$C$3:$L$670,8,0)</f>
        <v>14</v>
      </c>
      <c r="K190" s="23">
        <f>VLOOKUP($C190,'Master File June-26'!$C$3:$L$670,9,0)</f>
        <v>0</v>
      </c>
      <c r="L190" s="58">
        <f>VLOOKUP($C190,'Master File June-26'!$C$3:$L$670,10,0)</f>
        <v>1</v>
      </c>
      <c r="M190" s="24">
        <f t="shared" si="8"/>
        <v>0</v>
      </c>
      <c r="N190" s="25" t="str">
        <f t="shared" si="9"/>
        <v>ORDER NOW</v>
      </c>
      <c r="O190" s="25" t="str">
        <f t="shared" si="10"/>
        <v>CRITICAL</v>
      </c>
      <c r="S190" s="79">
        <f t="shared" si="11"/>
        <v>1</v>
      </c>
    </row>
    <row r="191" spans="1:19" ht="18.75" x14ac:dyDescent="0.25">
      <c r="A191" s="41">
        <v>525</v>
      </c>
      <c r="B191" s="41" t="s">
        <v>38</v>
      </c>
      <c r="C191" s="41" t="s">
        <v>511</v>
      </c>
      <c r="D191" s="28" t="s">
        <v>512</v>
      </c>
      <c r="E191" s="27" t="s">
        <v>513</v>
      </c>
      <c r="F191" s="5" t="s">
        <v>22</v>
      </c>
      <c r="G191" s="21">
        <f>1/12</f>
        <v>8.3333333333333329E-2</v>
      </c>
      <c r="H191" s="22">
        <f>VLOOKUP($C191,'Master File June-26'!$C$3:$L$670,6,0)</f>
        <v>0</v>
      </c>
      <c r="I191" s="22">
        <f>VLOOKUP($C191,'Master File June-26'!$C$3:$L$670,7,0)</f>
        <v>10</v>
      </c>
      <c r="J191" s="5">
        <f>VLOOKUP($C191,'Master File June-26'!$C$3:$L$670,8,0)</f>
        <v>14</v>
      </c>
      <c r="K191" s="23">
        <f>VLOOKUP($C191,'Master File June-26'!$C$3:$L$670,9,0)</f>
        <v>5</v>
      </c>
      <c r="L191" s="58">
        <f>VLOOKUP($C191,'Master File June-26'!$C$3:$L$670,10,0)</f>
        <v>0</v>
      </c>
      <c r="M191" s="24">
        <f t="shared" si="8"/>
        <v>0</v>
      </c>
      <c r="N191" s="25" t="str">
        <f t="shared" si="9"/>
        <v>ORDER NOW</v>
      </c>
      <c r="O191" s="25" t="str">
        <f t="shared" si="10"/>
        <v>CRITICAL</v>
      </c>
      <c r="S191" s="79">
        <f t="shared" si="11"/>
        <v>0</v>
      </c>
    </row>
    <row r="192" spans="1:19" ht="18.75" x14ac:dyDescent="0.25">
      <c r="A192" s="41">
        <v>529</v>
      </c>
      <c r="B192" s="41" t="s">
        <v>38</v>
      </c>
      <c r="C192" s="41" t="s">
        <v>514</v>
      </c>
      <c r="D192" s="40" t="s">
        <v>515</v>
      </c>
      <c r="E192" s="31" t="s">
        <v>22</v>
      </c>
      <c r="F192" s="5" t="s">
        <v>22</v>
      </c>
      <c r="G192" s="21">
        <v>1</v>
      </c>
      <c r="H192" s="22">
        <f>VLOOKUP($C192,'Master File June-26'!$C$3:$L$670,6,0)</f>
        <v>25</v>
      </c>
      <c r="I192" s="22">
        <f>VLOOKUP($C192,'Master File June-26'!$C$3:$L$670,7,0)</f>
        <v>25</v>
      </c>
      <c r="J192" s="5">
        <f>VLOOKUP($C192,'Master File June-26'!$C$3:$L$670,8,0)</f>
        <v>14</v>
      </c>
      <c r="K192" s="23">
        <f>VLOOKUP($C192,'Master File June-26'!$C$3:$L$670,9,0)</f>
        <v>12.5</v>
      </c>
      <c r="L192" s="58">
        <f>VLOOKUP($C192,'Master File June-26'!$C$3:$L$670,10,0)</f>
        <v>0</v>
      </c>
      <c r="M192" s="24">
        <f t="shared" si="8"/>
        <v>0</v>
      </c>
      <c r="N192" s="25" t="str">
        <f t="shared" si="9"/>
        <v>ORDER NOW</v>
      </c>
      <c r="O192" s="25" t="str">
        <f t="shared" si="10"/>
        <v>CRITICAL</v>
      </c>
      <c r="S192" s="79">
        <f t="shared" si="11"/>
        <v>0</v>
      </c>
    </row>
    <row r="193" spans="1:19" ht="18.75" x14ac:dyDescent="0.25">
      <c r="A193" s="41">
        <v>536</v>
      </c>
      <c r="B193" s="41" t="s">
        <v>38</v>
      </c>
      <c r="C193" s="41" t="s">
        <v>516</v>
      </c>
      <c r="D193" s="40" t="s">
        <v>517</v>
      </c>
      <c r="E193" s="31" t="s">
        <v>64</v>
      </c>
      <c r="F193" s="5" t="s">
        <v>49</v>
      </c>
      <c r="G193" s="21">
        <v>1</v>
      </c>
      <c r="H193" s="22">
        <f>VLOOKUP($C193,'Master File June-26'!$C$3:$L$670,6,0)</f>
        <v>5</v>
      </c>
      <c r="I193" s="22">
        <f>VLOOKUP($C193,'Master File June-26'!$C$3:$L$670,7,0)</f>
        <v>5</v>
      </c>
      <c r="J193" s="5">
        <f>VLOOKUP($C193,'Master File June-26'!$C$3:$L$670,8,0)</f>
        <v>14</v>
      </c>
      <c r="K193" s="23">
        <f>VLOOKUP($C193,'Master File June-26'!$C$3:$L$670,9,0)</f>
        <v>2.5</v>
      </c>
      <c r="L193" s="58">
        <f>VLOOKUP($C193,'Master File June-26'!$C$3:$L$670,10,0)</f>
        <v>0</v>
      </c>
      <c r="M193" s="24">
        <f t="shared" si="8"/>
        <v>0</v>
      </c>
      <c r="N193" s="25" t="str">
        <f t="shared" si="9"/>
        <v>ORDER NOW</v>
      </c>
      <c r="O193" s="25" t="str">
        <f t="shared" si="10"/>
        <v>CRITICAL</v>
      </c>
      <c r="S193" s="79">
        <f t="shared" si="11"/>
        <v>0</v>
      </c>
    </row>
    <row r="194" spans="1:19" ht="18.75" x14ac:dyDescent="0.25">
      <c r="A194" s="41">
        <v>540</v>
      </c>
      <c r="B194" s="41" t="s">
        <v>38</v>
      </c>
      <c r="C194" s="41" t="s">
        <v>518</v>
      </c>
      <c r="D194" s="40" t="s">
        <v>519</v>
      </c>
      <c r="E194" s="31" t="s">
        <v>64</v>
      </c>
      <c r="F194" s="5" t="s">
        <v>49</v>
      </c>
      <c r="G194" s="21">
        <v>1</v>
      </c>
      <c r="H194" s="22">
        <f>VLOOKUP($C194,'Master File June-26'!$C$3:$L$670,6,0)</f>
        <v>1</v>
      </c>
      <c r="I194" s="22">
        <f>VLOOKUP($C194,'Master File June-26'!$C$3:$L$670,7,0)</f>
        <v>1</v>
      </c>
      <c r="J194" s="5">
        <f>VLOOKUP($C194,'Master File June-26'!$C$3:$L$670,8,0)</f>
        <v>14</v>
      </c>
      <c r="K194" s="23">
        <f>VLOOKUP($C194,'Master File June-26'!$C$3:$L$670,9,0)</f>
        <v>0.5</v>
      </c>
      <c r="L194" s="58">
        <f>VLOOKUP($C194,'Master File June-26'!$C$3:$L$670,10,0)</f>
        <v>0</v>
      </c>
      <c r="M194" s="24">
        <f t="shared" si="8"/>
        <v>0</v>
      </c>
      <c r="N194" s="25" t="str">
        <f t="shared" si="9"/>
        <v>ORDER NOW</v>
      </c>
      <c r="O194" s="25" t="str">
        <f t="shared" si="10"/>
        <v>CRITICAL</v>
      </c>
      <c r="S194" s="79">
        <f t="shared" si="11"/>
        <v>0</v>
      </c>
    </row>
    <row r="195" spans="1:19" ht="18.75" x14ac:dyDescent="0.25">
      <c r="A195" s="41">
        <v>544</v>
      </c>
      <c r="B195" s="41" t="s">
        <v>61</v>
      </c>
      <c r="C195" s="41" t="s">
        <v>520</v>
      </c>
      <c r="D195" s="40" t="s">
        <v>521</v>
      </c>
      <c r="E195" s="31" t="s">
        <v>64</v>
      </c>
      <c r="F195" s="5" t="s">
        <v>49</v>
      </c>
      <c r="G195" s="21">
        <v>1</v>
      </c>
      <c r="H195" s="22">
        <f>VLOOKUP($C195,'Master File June-26'!$C$3:$L$670,6,0)</f>
        <v>10</v>
      </c>
      <c r="I195" s="22">
        <f>VLOOKUP($C195,'Master File June-26'!$C$3:$L$670,7,0)</f>
        <v>10</v>
      </c>
      <c r="J195" s="5">
        <f>VLOOKUP($C195,'Master File June-26'!$C$3:$L$670,8,0)</f>
        <v>14</v>
      </c>
      <c r="K195" s="23">
        <f>VLOOKUP($C195,'Master File June-26'!$C$3:$L$670,9,0)</f>
        <v>5</v>
      </c>
      <c r="L195" s="58">
        <f>VLOOKUP($C195,'Master File June-26'!$C$3:$L$670,10,0)</f>
        <v>0</v>
      </c>
      <c r="M195" s="24">
        <f t="shared" ref="M195:M258" si="12">IFERROR((L195/I195*30),0)</f>
        <v>0</v>
      </c>
      <c r="N195" s="25" t="str">
        <f t="shared" ref="N195:N258" si="13">IF(M195&lt;J195,"ORDER NOW","IN STOCK")</f>
        <v>ORDER NOW</v>
      </c>
      <c r="O195" s="25" t="str">
        <f t="shared" ref="O195:O258" si="14">IF(M195&lt;J195,"CRITICAL","FOLLOW UP DELIVERY")</f>
        <v>CRITICAL</v>
      </c>
      <c r="S195" s="79">
        <f t="shared" ref="S195:S258" si="15">IF(L195&lt;K195,0,1)</f>
        <v>0</v>
      </c>
    </row>
    <row r="196" spans="1:19" ht="18.75" x14ac:dyDescent="0.25">
      <c r="A196" s="41">
        <v>545</v>
      </c>
      <c r="B196" s="41" t="s">
        <v>61</v>
      </c>
      <c r="C196" s="41" t="s">
        <v>522</v>
      </c>
      <c r="D196" s="46" t="s">
        <v>523</v>
      </c>
      <c r="E196" s="31" t="s">
        <v>64</v>
      </c>
      <c r="F196" s="5" t="s">
        <v>49</v>
      </c>
      <c r="G196" s="21">
        <v>1</v>
      </c>
      <c r="H196" s="22">
        <f>VLOOKUP($C196,'Master File June-26'!$C$3:$L$670,6,0)</f>
        <v>15</v>
      </c>
      <c r="I196" s="22">
        <f>VLOOKUP($C196,'Master File June-26'!$C$3:$L$670,7,0)</f>
        <v>15</v>
      </c>
      <c r="J196" s="5">
        <f>VLOOKUP($C196,'Master File June-26'!$C$3:$L$670,8,0)</f>
        <v>14</v>
      </c>
      <c r="K196" s="23">
        <f>VLOOKUP($C196,'Master File June-26'!$C$3:$L$670,9,0)</f>
        <v>7.5</v>
      </c>
      <c r="L196" s="58">
        <f>VLOOKUP($C196,'Master File June-26'!$C$3:$L$670,10,0)</f>
        <v>0</v>
      </c>
      <c r="M196" s="24">
        <f t="shared" si="12"/>
        <v>0</v>
      </c>
      <c r="N196" s="25" t="str">
        <f t="shared" si="13"/>
        <v>ORDER NOW</v>
      </c>
      <c r="O196" s="25" t="str">
        <f t="shared" si="14"/>
        <v>CRITICAL</v>
      </c>
      <c r="S196" s="79">
        <f t="shared" si="15"/>
        <v>0</v>
      </c>
    </row>
    <row r="197" spans="1:19" ht="18.75" x14ac:dyDescent="0.25">
      <c r="A197" s="41">
        <v>549</v>
      </c>
      <c r="B197" s="41" t="s">
        <v>61</v>
      </c>
      <c r="C197" s="41" t="s">
        <v>524</v>
      </c>
      <c r="D197" s="40" t="s">
        <v>525</v>
      </c>
      <c r="E197" s="31" t="s">
        <v>22</v>
      </c>
      <c r="F197" s="5" t="s">
        <v>22</v>
      </c>
      <c r="G197" s="21">
        <v>1</v>
      </c>
      <c r="H197" s="22">
        <f>VLOOKUP($C197,'Master File June-26'!$C$3:$L$670,6,0)</f>
        <v>20</v>
      </c>
      <c r="I197" s="22">
        <f>VLOOKUP($C197,'Master File June-26'!$C$3:$L$670,7,0)</f>
        <v>20</v>
      </c>
      <c r="J197" s="5">
        <f>VLOOKUP($C197,'Master File June-26'!$C$3:$L$670,8,0)</f>
        <v>14</v>
      </c>
      <c r="K197" s="23">
        <f>VLOOKUP($C197,'Master File June-26'!$C$3:$L$670,9,0)</f>
        <v>10</v>
      </c>
      <c r="L197" s="58">
        <f>VLOOKUP($C197,'Master File June-26'!$C$3:$L$670,10,0)</f>
        <v>0</v>
      </c>
      <c r="M197" s="24">
        <f t="shared" si="12"/>
        <v>0</v>
      </c>
      <c r="N197" s="25" t="str">
        <f t="shared" si="13"/>
        <v>ORDER NOW</v>
      </c>
      <c r="O197" s="25" t="str">
        <f t="shared" si="14"/>
        <v>CRITICAL</v>
      </c>
      <c r="S197" s="79">
        <f t="shared" si="15"/>
        <v>0</v>
      </c>
    </row>
    <row r="198" spans="1:19" ht="18.75" x14ac:dyDescent="0.25">
      <c r="A198" s="41">
        <v>564</v>
      </c>
      <c r="B198" s="41" t="s">
        <v>38</v>
      </c>
      <c r="C198" s="41" t="s">
        <v>526</v>
      </c>
      <c r="D198" s="40" t="s">
        <v>527</v>
      </c>
      <c r="E198" s="31" t="s">
        <v>22</v>
      </c>
      <c r="F198" s="5" t="s">
        <v>22</v>
      </c>
      <c r="G198" s="21">
        <v>1</v>
      </c>
      <c r="H198" s="22">
        <f>VLOOKUP($C198,'Master File June-26'!$C$3:$L$670,6,0)</f>
        <v>1</v>
      </c>
      <c r="I198" s="22">
        <f>VLOOKUP($C198,'Master File June-26'!$C$3:$L$670,7,0)</f>
        <v>1</v>
      </c>
      <c r="J198" s="5">
        <f>VLOOKUP($C198,'Master File June-26'!$C$3:$L$670,8,0)</f>
        <v>14</v>
      </c>
      <c r="K198" s="23">
        <f>VLOOKUP($C198,'Master File June-26'!$C$3:$L$670,9,0)</f>
        <v>0.5</v>
      </c>
      <c r="L198" s="58">
        <f>VLOOKUP($C198,'Master File June-26'!$C$3:$L$670,10,0)</f>
        <v>0</v>
      </c>
      <c r="M198" s="24">
        <f t="shared" si="12"/>
        <v>0</v>
      </c>
      <c r="N198" s="25" t="str">
        <f t="shared" si="13"/>
        <v>ORDER NOW</v>
      </c>
      <c r="O198" s="25" t="str">
        <f t="shared" si="14"/>
        <v>CRITICAL</v>
      </c>
      <c r="S198" s="79">
        <f t="shared" si="15"/>
        <v>0</v>
      </c>
    </row>
    <row r="199" spans="1:19" ht="18.75" x14ac:dyDescent="0.25">
      <c r="A199" s="41">
        <v>566</v>
      </c>
      <c r="B199" s="41" t="s">
        <v>38</v>
      </c>
      <c r="C199" s="41" t="s">
        <v>528</v>
      </c>
      <c r="D199" s="40" t="s">
        <v>529</v>
      </c>
      <c r="E199" s="31" t="s">
        <v>49</v>
      </c>
      <c r="F199" s="5" t="s">
        <v>22</v>
      </c>
      <c r="G199" s="21">
        <v>1</v>
      </c>
      <c r="H199" s="22">
        <f>VLOOKUP($C199,'Master File June-26'!$C$3:$L$670,6,0)</f>
        <v>1</v>
      </c>
      <c r="I199" s="22">
        <f>VLOOKUP($C199,'Master File June-26'!$C$3:$L$670,7,0)</f>
        <v>1</v>
      </c>
      <c r="J199" s="5">
        <f>VLOOKUP($C199,'Master File June-26'!$C$3:$L$670,8,0)</f>
        <v>14</v>
      </c>
      <c r="K199" s="23">
        <f>VLOOKUP($C199,'Master File June-26'!$C$3:$L$670,9,0)</f>
        <v>0.5</v>
      </c>
      <c r="L199" s="58">
        <f>VLOOKUP($C199,'Master File June-26'!$C$3:$L$670,10,0)</f>
        <v>0</v>
      </c>
      <c r="M199" s="24">
        <f t="shared" si="12"/>
        <v>0</v>
      </c>
      <c r="N199" s="25" t="str">
        <f t="shared" si="13"/>
        <v>ORDER NOW</v>
      </c>
      <c r="O199" s="25" t="str">
        <f t="shared" si="14"/>
        <v>CRITICAL</v>
      </c>
      <c r="S199" s="79">
        <f t="shared" si="15"/>
        <v>0</v>
      </c>
    </row>
    <row r="200" spans="1:19" ht="18.75" x14ac:dyDescent="0.25">
      <c r="A200" s="41">
        <v>569</v>
      </c>
      <c r="B200" s="41" t="s">
        <v>61</v>
      </c>
      <c r="C200" s="41" t="s">
        <v>530</v>
      </c>
      <c r="D200" s="28" t="s">
        <v>531</v>
      </c>
      <c r="E200" s="27" t="s">
        <v>22</v>
      </c>
      <c r="F200" s="5" t="s">
        <v>22</v>
      </c>
      <c r="G200" s="21">
        <v>1</v>
      </c>
      <c r="H200" s="22">
        <f>VLOOKUP($C200,'Master File June-26'!$C$3:$L$670,6,0)</f>
        <v>5</v>
      </c>
      <c r="I200" s="22">
        <f>VLOOKUP($C200,'Master File June-26'!$C$3:$L$670,7,0)</f>
        <v>5</v>
      </c>
      <c r="J200" s="5">
        <f>VLOOKUP($C200,'Master File June-26'!$C$3:$L$670,8,0)</f>
        <v>14</v>
      </c>
      <c r="K200" s="23">
        <f>VLOOKUP($C200,'Master File June-26'!$C$3:$L$670,9,0)</f>
        <v>2.5</v>
      </c>
      <c r="L200" s="58">
        <f>VLOOKUP($C200,'Master File June-26'!$C$3:$L$670,10,0)</f>
        <v>0</v>
      </c>
      <c r="M200" s="24">
        <f t="shared" si="12"/>
        <v>0</v>
      </c>
      <c r="N200" s="25" t="str">
        <f t="shared" si="13"/>
        <v>ORDER NOW</v>
      </c>
      <c r="O200" s="25" t="str">
        <f t="shared" si="14"/>
        <v>CRITICAL</v>
      </c>
      <c r="S200" s="79">
        <f t="shared" si="15"/>
        <v>0</v>
      </c>
    </row>
    <row r="201" spans="1:19" ht="18.75" x14ac:dyDescent="0.25">
      <c r="A201" s="41">
        <v>570</v>
      </c>
      <c r="B201" s="41" t="s">
        <v>85</v>
      </c>
      <c r="C201" s="41" t="s">
        <v>532</v>
      </c>
      <c r="D201" s="28" t="s">
        <v>533</v>
      </c>
      <c r="E201" s="27" t="s">
        <v>22</v>
      </c>
      <c r="F201" s="5" t="s">
        <v>22</v>
      </c>
      <c r="G201" s="21">
        <v>1</v>
      </c>
      <c r="H201" s="22">
        <f>VLOOKUP($C201,'Master File June-26'!$C$3:$L$670,6,0)</f>
        <v>10</v>
      </c>
      <c r="I201" s="22">
        <f>VLOOKUP($C201,'Master File June-26'!$C$3:$L$670,7,0)</f>
        <v>10</v>
      </c>
      <c r="J201" s="5">
        <f>VLOOKUP($C201,'Master File June-26'!$C$3:$L$670,8,0)</f>
        <v>14</v>
      </c>
      <c r="K201" s="23">
        <f>VLOOKUP($C201,'Master File June-26'!$C$3:$L$670,9,0)</f>
        <v>5</v>
      </c>
      <c r="L201" s="58">
        <f>VLOOKUP($C201,'Master File June-26'!$C$3:$L$670,10,0)</f>
        <v>0</v>
      </c>
      <c r="M201" s="24">
        <f t="shared" si="12"/>
        <v>0</v>
      </c>
      <c r="N201" s="25" t="str">
        <f t="shared" si="13"/>
        <v>ORDER NOW</v>
      </c>
      <c r="O201" s="25" t="str">
        <f t="shared" si="14"/>
        <v>CRITICAL</v>
      </c>
      <c r="S201" s="79">
        <f t="shared" si="15"/>
        <v>0</v>
      </c>
    </row>
    <row r="202" spans="1:19" ht="18.75" x14ac:dyDescent="0.25">
      <c r="A202" s="41">
        <v>571</v>
      </c>
      <c r="B202" s="41" t="s">
        <v>61</v>
      </c>
      <c r="C202" s="41" t="s">
        <v>534</v>
      </c>
      <c r="D202" s="20" t="s">
        <v>535</v>
      </c>
      <c r="E202" s="31" t="s">
        <v>64</v>
      </c>
      <c r="F202" s="5" t="s">
        <v>49</v>
      </c>
      <c r="G202" s="21">
        <v>1</v>
      </c>
      <c r="H202" s="22">
        <f>VLOOKUP($C202,'Master File June-26'!$C$3:$L$670,6,0)</f>
        <v>25</v>
      </c>
      <c r="I202" s="22">
        <f>VLOOKUP($C202,'Master File June-26'!$C$3:$L$670,7,0)</f>
        <v>25</v>
      </c>
      <c r="J202" s="5">
        <f>VLOOKUP($C202,'Master File June-26'!$C$3:$L$670,8,0)</f>
        <v>14</v>
      </c>
      <c r="K202" s="23">
        <f>VLOOKUP($C202,'Master File June-26'!$C$3:$L$670,9,0)</f>
        <v>12.5</v>
      </c>
      <c r="L202" s="58">
        <f>VLOOKUP($C202,'Master File June-26'!$C$3:$L$670,10,0)</f>
        <v>0</v>
      </c>
      <c r="M202" s="24">
        <f t="shared" si="12"/>
        <v>0</v>
      </c>
      <c r="N202" s="25" t="str">
        <f t="shared" si="13"/>
        <v>ORDER NOW</v>
      </c>
      <c r="O202" s="25" t="str">
        <f t="shared" si="14"/>
        <v>CRITICAL</v>
      </c>
      <c r="S202" s="79">
        <f t="shared" si="15"/>
        <v>0</v>
      </c>
    </row>
    <row r="203" spans="1:19" ht="18.75" x14ac:dyDescent="0.25">
      <c r="A203" s="41">
        <v>573</v>
      </c>
      <c r="B203" s="41" t="s">
        <v>38</v>
      </c>
      <c r="C203" s="41" t="s">
        <v>536</v>
      </c>
      <c r="D203" s="20" t="s">
        <v>537</v>
      </c>
      <c r="E203" s="31" t="s">
        <v>64</v>
      </c>
      <c r="F203" s="5" t="s">
        <v>49</v>
      </c>
      <c r="G203" s="21">
        <v>1</v>
      </c>
      <c r="H203" s="22">
        <f>VLOOKUP($C203,'Master File June-26'!$C$3:$L$670,6,0)</f>
        <v>1</v>
      </c>
      <c r="I203" s="22">
        <f>VLOOKUP($C203,'Master File June-26'!$C$3:$L$670,7,0)</f>
        <v>1</v>
      </c>
      <c r="J203" s="5">
        <f>VLOOKUP($C203,'Master File June-26'!$C$3:$L$670,8,0)</f>
        <v>14</v>
      </c>
      <c r="K203" s="23">
        <f>VLOOKUP($C203,'Master File June-26'!$C$3:$L$670,9,0)</f>
        <v>0.5</v>
      </c>
      <c r="L203" s="58">
        <f>VLOOKUP($C203,'Master File June-26'!$C$3:$L$670,10,0)</f>
        <v>6</v>
      </c>
      <c r="M203" s="24">
        <f t="shared" si="12"/>
        <v>180</v>
      </c>
      <c r="N203" s="25" t="str">
        <f t="shared" si="13"/>
        <v>IN STOCK</v>
      </c>
      <c r="O203" s="25" t="str">
        <f t="shared" si="14"/>
        <v>FOLLOW UP DELIVERY</v>
      </c>
      <c r="S203" s="79">
        <f t="shared" si="15"/>
        <v>1</v>
      </c>
    </row>
    <row r="204" spans="1:19" ht="18.75" x14ac:dyDescent="0.25">
      <c r="A204" s="41">
        <v>575</v>
      </c>
      <c r="B204" s="41" t="s">
        <v>38</v>
      </c>
      <c r="C204" s="41" t="s">
        <v>538</v>
      </c>
      <c r="D204" s="20" t="s">
        <v>539</v>
      </c>
      <c r="E204" s="31" t="s">
        <v>64</v>
      </c>
      <c r="F204" s="5" t="s">
        <v>49</v>
      </c>
      <c r="G204" s="21">
        <v>1</v>
      </c>
      <c r="H204" s="22">
        <f>VLOOKUP($C204,'Master File June-26'!$C$3:$L$670,6,0)</f>
        <v>4</v>
      </c>
      <c r="I204" s="22">
        <f>VLOOKUP($C204,'Master File June-26'!$C$3:$L$670,7,0)</f>
        <v>4</v>
      </c>
      <c r="J204" s="5">
        <f>VLOOKUP($C204,'Master File June-26'!$C$3:$L$670,8,0)</f>
        <v>14</v>
      </c>
      <c r="K204" s="23">
        <f>VLOOKUP($C204,'Master File June-26'!$C$3:$L$670,9,0)</f>
        <v>2</v>
      </c>
      <c r="L204" s="58">
        <f>VLOOKUP($C204,'Master File June-26'!$C$3:$L$670,10,0)</f>
        <v>10</v>
      </c>
      <c r="M204" s="24">
        <f t="shared" si="12"/>
        <v>75</v>
      </c>
      <c r="N204" s="25" t="str">
        <f t="shared" si="13"/>
        <v>IN STOCK</v>
      </c>
      <c r="O204" s="25" t="str">
        <f t="shared" si="14"/>
        <v>FOLLOW UP DELIVERY</v>
      </c>
      <c r="S204" s="79">
        <f t="shared" si="15"/>
        <v>1</v>
      </c>
    </row>
    <row r="205" spans="1:19" ht="18.75" x14ac:dyDescent="0.25">
      <c r="A205" s="41">
        <v>576</v>
      </c>
      <c r="B205" s="41" t="s">
        <v>38</v>
      </c>
      <c r="C205" s="41" t="s">
        <v>540</v>
      </c>
      <c r="D205" s="20" t="s">
        <v>541</v>
      </c>
      <c r="E205" s="31" t="s">
        <v>64</v>
      </c>
      <c r="F205" s="5" t="s">
        <v>49</v>
      </c>
      <c r="G205" s="21">
        <v>1</v>
      </c>
      <c r="H205" s="22">
        <f>VLOOKUP($C205,'Master File June-26'!$C$3:$L$670,6,0)</f>
        <v>1</v>
      </c>
      <c r="I205" s="22">
        <f>VLOOKUP($C205,'Master File June-26'!$C$3:$L$670,7,0)</f>
        <v>1</v>
      </c>
      <c r="J205" s="5">
        <f>VLOOKUP($C205,'Master File June-26'!$C$3:$L$670,8,0)</f>
        <v>14</v>
      </c>
      <c r="K205" s="23">
        <f>VLOOKUP($C205,'Master File June-26'!$C$3:$L$670,9,0)</f>
        <v>0.5</v>
      </c>
      <c r="L205" s="58">
        <f>VLOOKUP($C205,'Master File June-26'!$C$3:$L$670,10,0)</f>
        <v>0</v>
      </c>
      <c r="M205" s="24">
        <f t="shared" si="12"/>
        <v>0</v>
      </c>
      <c r="N205" s="25" t="str">
        <f t="shared" si="13"/>
        <v>ORDER NOW</v>
      </c>
      <c r="O205" s="25" t="str">
        <f t="shared" si="14"/>
        <v>CRITICAL</v>
      </c>
      <c r="S205" s="79">
        <f t="shared" si="15"/>
        <v>0</v>
      </c>
    </row>
    <row r="206" spans="1:19" ht="18.75" x14ac:dyDescent="0.25">
      <c r="A206" s="41">
        <v>577</v>
      </c>
      <c r="B206" s="41" t="s">
        <v>38</v>
      </c>
      <c r="C206" s="41" t="s">
        <v>542</v>
      </c>
      <c r="D206" s="20" t="s">
        <v>543</v>
      </c>
      <c r="E206" s="31" t="s">
        <v>64</v>
      </c>
      <c r="F206" s="5" t="s">
        <v>49</v>
      </c>
      <c r="G206" s="21">
        <v>1</v>
      </c>
      <c r="H206" s="22">
        <f>VLOOKUP($C206,'Master File June-26'!$C$3:$L$670,6,0)</f>
        <v>8</v>
      </c>
      <c r="I206" s="22">
        <f>VLOOKUP($C206,'Master File June-26'!$C$3:$L$670,7,0)</f>
        <v>8</v>
      </c>
      <c r="J206" s="5">
        <f>VLOOKUP($C206,'Master File June-26'!$C$3:$L$670,8,0)</f>
        <v>14</v>
      </c>
      <c r="K206" s="23">
        <f>VLOOKUP($C206,'Master File June-26'!$C$3:$L$670,9,0)</f>
        <v>4</v>
      </c>
      <c r="L206" s="58">
        <f>VLOOKUP($C206,'Master File June-26'!$C$3:$L$670,10,0)</f>
        <v>0</v>
      </c>
      <c r="M206" s="24">
        <f t="shared" si="12"/>
        <v>0</v>
      </c>
      <c r="N206" s="25" t="str">
        <f t="shared" si="13"/>
        <v>ORDER NOW</v>
      </c>
      <c r="O206" s="25" t="str">
        <f t="shared" si="14"/>
        <v>CRITICAL</v>
      </c>
      <c r="S206" s="79">
        <f t="shared" si="15"/>
        <v>0</v>
      </c>
    </row>
    <row r="207" spans="1:19" ht="18.75" x14ac:dyDescent="0.25">
      <c r="A207" s="41">
        <v>578</v>
      </c>
      <c r="B207" s="41" t="s">
        <v>38</v>
      </c>
      <c r="C207" s="41" t="s">
        <v>544</v>
      </c>
      <c r="D207" s="20" t="s">
        <v>545</v>
      </c>
      <c r="E207" s="31" t="s">
        <v>64</v>
      </c>
      <c r="F207" s="5" t="s">
        <v>49</v>
      </c>
      <c r="G207" s="21">
        <v>1</v>
      </c>
      <c r="H207" s="22">
        <f>VLOOKUP($C207,'Master File June-26'!$C$3:$L$670,6,0)</f>
        <v>3</v>
      </c>
      <c r="I207" s="22">
        <f>VLOOKUP($C207,'Master File June-26'!$C$3:$L$670,7,0)</f>
        <v>3</v>
      </c>
      <c r="J207" s="5">
        <f>VLOOKUP($C207,'Master File June-26'!$C$3:$L$670,8,0)</f>
        <v>14</v>
      </c>
      <c r="K207" s="23">
        <f>VLOOKUP($C207,'Master File June-26'!$C$3:$L$670,9,0)</f>
        <v>1.5</v>
      </c>
      <c r="L207" s="58">
        <f>VLOOKUP($C207,'Master File June-26'!$C$3:$L$670,10,0)</f>
        <v>0</v>
      </c>
      <c r="M207" s="24">
        <f t="shared" si="12"/>
        <v>0</v>
      </c>
      <c r="N207" s="25" t="str">
        <f t="shared" si="13"/>
        <v>ORDER NOW</v>
      </c>
      <c r="O207" s="25" t="str">
        <f t="shared" si="14"/>
        <v>CRITICAL</v>
      </c>
      <c r="S207" s="79">
        <f t="shared" si="15"/>
        <v>0</v>
      </c>
    </row>
    <row r="208" spans="1:19" ht="18.75" x14ac:dyDescent="0.25">
      <c r="A208" s="49">
        <v>579</v>
      </c>
      <c r="B208" s="49" t="s">
        <v>298</v>
      </c>
      <c r="C208" s="49" t="s">
        <v>546</v>
      </c>
      <c r="D208" s="20" t="s">
        <v>547</v>
      </c>
      <c r="E208" s="4" t="s">
        <v>49</v>
      </c>
      <c r="F208" s="5" t="s">
        <v>49</v>
      </c>
      <c r="G208" s="21">
        <v>1</v>
      </c>
      <c r="H208" s="22">
        <f>VLOOKUP($C208,'Master File June-26'!$C$3:$L$670,6,0)</f>
        <v>49.5</v>
      </c>
      <c r="I208" s="22">
        <f>VLOOKUP($C208,'Master File June-26'!$C$3:$L$670,7,0)</f>
        <v>49.5</v>
      </c>
      <c r="J208" s="5">
        <f>VLOOKUP($C208,'Master File June-26'!$C$3:$L$670,8,0)</f>
        <v>14</v>
      </c>
      <c r="K208" s="23">
        <f>VLOOKUP($C208,'Master File June-26'!$C$3:$L$670,9,0)</f>
        <v>24.75</v>
      </c>
      <c r="L208" s="58">
        <f>VLOOKUP($C208,'Master File June-26'!$C$3:$L$670,10,0)</f>
        <v>0</v>
      </c>
      <c r="M208" s="24">
        <f t="shared" si="12"/>
        <v>0</v>
      </c>
      <c r="N208" s="25" t="str">
        <f t="shared" si="13"/>
        <v>ORDER NOW</v>
      </c>
      <c r="O208" s="25" t="str">
        <f t="shared" si="14"/>
        <v>CRITICAL</v>
      </c>
      <c r="S208" s="79">
        <f t="shared" si="15"/>
        <v>0</v>
      </c>
    </row>
    <row r="209" spans="1:19" ht="18.75" x14ac:dyDescent="0.25">
      <c r="A209" s="49">
        <v>580</v>
      </c>
      <c r="B209" s="49" t="s">
        <v>298</v>
      </c>
      <c r="C209" s="49" t="s">
        <v>548</v>
      </c>
      <c r="D209" s="20" t="s">
        <v>549</v>
      </c>
      <c r="E209" s="4" t="s">
        <v>49</v>
      </c>
      <c r="F209" s="5" t="s">
        <v>49</v>
      </c>
      <c r="G209" s="21">
        <v>1</v>
      </c>
      <c r="H209" s="22">
        <f>VLOOKUP($C209,'Master File June-26'!$C$3:$L$670,6,0)</f>
        <v>5.5</v>
      </c>
      <c r="I209" s="22">
        <f>VLOOKUP($C209,'Master File June-26'!$C$3:$L$670,7,0)</f>
        <v>5.5</v>
      </c>
      <c r="J209" s="5">
        <f>VLOOKUP($C209,'Master File June-26'!$C$3:$L$670,8,0)</f>
        <v>14</v>
      </c>
      <c r="K209" s="23">
        <f>VLOOKUP($C209,'Master File June-26'!$C$3:$L$670,9,0)</f>
        <v>2.75</v>
      </c>
      <c r="L209" s="58">
        <f>VLOOKUP($C209,'Master File June-26'!$C$3:$L$670,10,0)</f>
        <v>0</v>
      </c>
      <c r="M209" s="24">
        <f t="shared" si="12"/>
        <v>0</v>
      </c>
      <c r="N209" s="25" t="str">
        <f t="shared" si="13"/>
        <v>ORDER NOW</v>
      </c>
      <c r="O209" s="25" t="str">
        <f t="shared" si="14"/>
        <v>CRITICAL</v>
      </c>
      <c r="S209" s="79">
        <f t="shared" si="15"/>
        <v>0</v>
      </c>
    </row>
    <row r="210" spans="1:19" ht="18.75" x14ac:dyDescent="0.25">
      <c r="A210" s="49">
        <v>582</v>
      </c>
      <c r="B210" s="49" t="s">
        <v>298</v>
      </c>
      <c r="C210" s="49" t="s">
        <v>550</v>
      </c>
      <c r="D210" s="28" t="s">
        <v>551</v>
      </c>
      <c r="E210" s="27" t="s">
        <v>49</v>
      </c>
      <c r="F210" s="5" t="s">
        <v>49</v>
      </c>
      <c r="G210" s="21">
        <v>1</v>
      </c>
      <c r="H210" s="22">
        <f>VLOOKUP($C210,'Master File June-26'!$C$3:$L$670,6,0)</f>
        <v>22</v>
      </c>
      <c r="I210" s="22">
        <f>VLOOKUP($C210,'Master File June-26'!$C$3:$L$670,7,0)</f>
        <v>22</v>
      </c>
      <c r="J210" s="5">
        <f>VLOOKUP($C210,'Master File June-26'!$C$3:$L$670,8,0)</f>
        <v>14</v>
      </c>
      <c r="K210" s="23">
        <f>VLOOKUP($C210,'Master File June-26'!$C$3:$L$670,9,0)</f>
        <v>11</v>
      </c>
      <c r="L210" s="58">
        <f>VLOOKUP($C210,'Master File June-26'!$C$3:$L$670,10,0)</f>
        <v>0</v>
      </c>
      <c r="M210" s="24">
        <f t="shared" si="12"/>
        <v>0</v>
      </c>
      <c r="N210" s="25" t="str">
        <f t="shared" si="13"/>
        <v>ORDER NOW</v>
      </c>
      <c r="O210" s="25" t="str">
        <f t="shared" si="14"/>
        <v>CRITICAL</v>
      </c>
      <c r="S210" s="79">
        <f t="shared" si="15"/>
        <v>0</v>
      </c>
    </row>
    <row r="211" spans="1:19" ht="18.75" x14ac:dyDescent="0.25">
      <c r="A211" s="49">
        <v>583</v>
      </c>
      <c r="B211" s="49" t="s">
        <v>242</v>
      </c>
      <c r="C211" s="49" t="s">
        <v>552</v>
      </c>
      <c r="D211" s="28" t="s">
        <v>553</v>
      </c>
      <c r="E211" s="27" t="s">
        <v>49</v>
      </c>
      <c r="F211" s="5" t="s">
        <v>49</v>
      </c>
      <c r="G211" s="21">
        <v>1</v>
      </c>
      <c r="H211" s="22">
        <f>VLOOKUP($C211,'Master File June-26'!$C$3:$L$670,6,0)</f>
        <v>67.5</v>
      </c>
      <c r="I211" s="22">
        <f>VLOOKUP($C211,'Master File June-26'!$C$3:$L$670,7,0)</f>
        <v>67.5</v>
      </c>
      <c r="J211" s="5">
        <f>VLOOKUP($C211,'Master File June-26'!$C$3:$L$670,8,0)</f>
        <v>14</v>
      </c>
      <c r="K211" s="23">
        <f>VLOOKUP($C211,'Master File June-26'!$C$3:$L$670,9,0)</f>
        <v>33.75</v>
      </c>
      <c r="L211" s="58">
        <f>VLOOKUP($C211,'Master File June-26'!$C$3:$L$670,10,0)</f>
        <v>0</v>
      </c>
      <c r="M211" s="24">
        <f t="shared" si="12"/>
        <v>0</v>
      </c>
      <c r="N211" s="25" t="str">
        <f t="shared" si="13"/>
        <v>ORDER NOW</v>
      </c>
      <c r="O211" s="25" t="str">
        <f t="shared" si="14"/>
        <v>CRITICAL</v>
      </c>
      <c r="S211" s="79">
        <f t="shared" si="15"/>
        <v>0</v>
      </c>
    </row>
    <row r="212" spans="1:19" ht="18.75" x14ac:dyDescent="0.25">
      <c r="A212" s="49">
        <v>587</v>
      </c>
      <c r="B212" s="49" t="s">
        <v>298</v>
      </c>
      <c r="C212" s="49" t="s">
        <v>554</v>
      </c>
      <c r="D212" s="28" t="s">
        <v>555</v>
      </c>
      <c r="E212" s="27" t="s">
        <v>49</v>
      </c>
      <c r="F212" s="5" t="s">
        <v>49</v>
      </c>
      <c r="G212" s="21">
        <v>1</v>
      </c>
      <c r="H212" s="22">
        <f>VLOOKUP($C212,'Master File June-26'!$C$3:$L$670,6,0)</f>
        <v>0</v>
      </c>
      <c r="I212" s="22">
        <f>VLOOKUP($C212,'Master File June-26'!$C$3:$L$670,7,0)</f>
        <v>0</v>
      </c>
      <c r="J212" s="5">
        <f>VLOOKUP($C212,'Master File June-26'!$C$3:$L$670,8,0)</f>
        <v>14</v>
      </c>
      <c r="K212" s="23">
        <f>VLOOKUP($C212,'Master File June-26'!$C$3:$L$670,9,0)</f>
        <v>0</v>
      </c>
      <c r="L212" s="58">
        <f>VLOOKUP($C212,'Master File June-26'!$C$3:$L$670,10,0)</f>
        <v>0</v>
      </c>
      <c r="M212" s="24">
        <f t="shared" si="12"/>
        <v>0</v>
      </c>
      <c r="N212" s="25" t="str">
        <f t="shared" si="13"/>
        <v>ORDER NOW</v>
      </c>
      <c r="O212" s="25" t="str">
        <f t="shared" si="14"/>
        <v>CRITICAL</v>
      </c>
      <c r="S212" s="79">
        <f t="shared" si="15"/>
        <v>1</v>
      </c>
    </row>
    <row r="213" spans="1:19" ht="18.75" x14ac:dyDescent="0.25">
      <c r="A213" s="49">
        <v>588</v>
      </c>
      <c r="B213" s="49" t="s">
        <v>239</v>
      </c>
      <c r="C213" s="49" t="s">
        <v>556</v>
      </c>
      <c r="D213" s="20" t="s">
        <v>557</v>
      </c>
      <c r="E213" s="4" t="s">
        <v>49</v>
      </c>
      <c r="F213" s="5" t="s">
        <v>49</v>
      </c>
      <c r="G213" s="21">
        <v>1</v>
      </c>
      <c r="H213" s="22">
        <f>VLOOKUP($C213,'Master File June-26'!$C$3:$L$670,6,0)</f>
        <v>54.5</v>
      </c>
      <c r="I213" s="22">
        <f>VLOOKUP($C213,'Master File June-26'!$C$3:$L$670,7,0)</f>
        <v>54.5</v>
      </c>
      <c r="J213" s="5">
        <f>VLOOKUP($C213,'Master File June-26'!$C$3:$L$670,8,0)</f>
        <v>14</v>
      </c>
      <c r="K213" s="23">
        <f>VLOOKUP($C213,'Master File June-26'!$C$3:$L$670,9,0)</f>
        <v>27.25</v>
      </c>
      <c r="L213" s="58">
        <f>VLOOKUP($C213,'Master File June-26'!$C$3:$L$670,10,0)</f>
        <v>0</v>
      </c>
      <c r="M213" s="24">
        <f t="shared" si="12"/>
        <v>0</v>
      </c>
      <c r="N213" s="25" t="str">
        <f t="shared" si="13"/>
        <v>ORDER NOW</v>
      </c>
      <c r="O213" s="25" t="str">
        <f t="shared" si="14"/>
        <v>CRITICAL</v>
      </c>
      <c r="S213" s="79">
        <f t="shared" si="15"/>
        <v>0</v>
      </c>
    </row>
    <row r="214" spans="1:19" ht="18.75" x14ac:dyDescent="0.25">
      <c r="A214" s="49">
        <v>589</v>
      </c>
      <c r="B214" s="49" t="s">
        <v>239</v>
      </c>
      <c r="C214" s="49" t="s">
        <v>558</v>
      </c>
      <c r="D214" s="20" t="s">
        <v>559</v>
      </c>
      <c r="E214" s="4" t="s">
        <v>49</v>
      </c>
      <c r="F214" s="5" t="s">
        <v>49</v>
      </c>
      <c r="G214" s="21">
        <v>1</v>
      </c>
      <c r="H214" s="22">
        <f>VLOOKUP($C214,'Master File June-26'!$C$3:$L$670,6,0)</f>
        <v>5.5</v>
      </c>
      <c r="I214" s="22">
        <f>VLOOKUP($C214,'Master File June-26'!$C$3:$L$670,7,0)</f>
        <v>5.5</v>
      </c>
      <c r="J214" s="5">
        <f>VLOOKUP($C214,'Master File June-26'!$C$3:$L$670,8,0)</f>
        <v>14</v>
      </c>
      <c r="K214" s="23">
        <f>VLOOKUP($C214,'Master File June-26'!$C$3:$L$670,9,0)</f>
        <v>2.75</v>
      </c>
      <c r="L214" s="58">
        <f>VLOOKUP($C214,'Master File June-26'!$C$3:$L$670,10,0)</f>
        <v>0</v>
      </c>
      <c r="M214" s="24">
        <f t="shared" si="12"/>
        <v>0</v>
      </c>
      <c r="N214" s="25" t="str">
        <f t="shared" si="13"/>
        <v>ORDER NOW</v>
      </c>
      <c r="O214" s="25" t="str">
        <f t="shared" si="14"/>
        <v>CRITICAL</v>
      </c>
      <c r="S214" s="79">
        <f t="shared" si="15"/>
        <v>0</v>
      </c>
    </row>
    <row r="215" spans="1:19" ht="18.75" x14ac:dyDescent="0.25">
      <c r="A215" s="49">
        <v>591</v>
      </c>
      <c r="B215" s="49" t="s">
        <v>239</v>
      </c>
      <c r="C215" s="49" t="s">
        <v>560</v>
      </c>
      <c r="D215" s="38" t="s">
        <v>561</v>
      </c>
      <c r="E215" s="36" t="s">
        <v>49</v>
      </c>
      <c r="F215" s="5" t="s">
        <v>49</v>
      </c>
      <c r="G215" s="21">
        <v>1</v>
      </c>
      <c r="H215" s="22">
        <f>VLOOKUP($C215,'Master File June-26'!$C$3:$L$670,6,0)</f>
        <v>0</v>
      </c>
      <c r="I215" s="22">
        <f>VLOOKUP($C215,'Master File June-26'!$C$3:$L$670,7,0)</f>
        <v>0</v>
      </c>
      <c r="J215" s="5">
        <f>VLOOKUP($C215,'Master File June-26'!$C$3:$L$670,8,0)</f>
        <v>14</v>
      </c>
      <c r="K215" s="23">
        <f>VLOOKUP($C215,'Master File June-26'!$C$3:$L$670,9,0)</f>
        <v>0</v>
      </c>
      <c r="L215" s="58">
        <f>VLOOKUP($C215,'Master File June-26'!$C$3:$L$670,10,0)</f>
        <v>0</v>
      </c>
      <c r="M215" s="24">
        <f t="shared" si="12"/>
        <v>0</v>
      </c>
      <c r="N215" s="25" t="str">
        <f t="shared" si="13"/>
        <v>ORDER NOW</v>
      </c>
      <c r="O215" s="25" t="str">
        <f t="shared" si="14"/>
        <v>CRITICAL</v>
      </c>
      <c r="S215" s="79">
        <f t="shared" si="15"/>
        <v>1</v>
      </c>
    </row>
    <row r="216" spans="1:19" ht="18.75" x14ac:dyDescent="0.25">
      <c r="A216" s="49">
        <v>592</v>
      </c>
      <c r="B216" s="49" t="s">
        <v>239</v>
      </c>
      <c r="C216" s="49" t="s">
        <v>562</v>
      </c>
      <c r="D216" s="35" t="s">
        <v>563</v>
      </c>
      <c r="E216" s="27" t="s">
        <v>49</v>
      </c>
      <c r="F216" s="5" t="s">
        <v>49</v>
      </c>
      <c r="G216" s="21">
        <v>1</v>
      </c>
      <c r="H216" s="22">
        <f>VLOOKUP($C216,'Master File June-26'!$C$3:$L$670,6,0)</f>
        <v>0</v>
      </c>
      <c r="I216" s="22">
        <f>VLOOKUP($C216,'Master File June-26'!$C$3:$L$670,7,0)</f>
        <v>0</v>
      </c>
      <c r="J216" s="5">
        <f>VLOOKUP($C216,'Master File June-26'!$C$3:$L$670,8,0)</f>
        <v>14</v>
      </c>
      <c r="K216" s="23">
        <f>VLOOKUP($C216,'Master File June-26'!$C$3:$L$670,9,0)</f>
        <v>0</v>
      </c>
      <c r="L216" s="58">
        <f>VLOOKUP($C216,'Master File June-26'!$C$3:$L$670,10,0)</f>
        <v>0</v>
      </c>
      <c r="M216" s="24">
        <f t="shared" si="12"/>
        <v>0</v>
      </c>
      <c r="N216" s="25" t="str">
        <f t="shared" si="13"/>
        <v>ORDER NOW</v>
      </c>
      <c r="O216" s="25" t="str">
        <f t="shared" si="14"/>
        <v>CRITICAL</v>
      </c>
      <c r="S216" s="79">
        <f t="shared" si="15"/>
        <v>1</v>
      </c>
    </row>
    <row r="217" spans="1:19" ht="18.75" x14ac:dyDescent="0.25">
      <c r="A217" s="49">
        <v>593</v>
      </c>
      <c r="B217" s="49" t="s">
        <v>298</v>
      </c>
      <c r="C217" s="49" t="s">
        <v>564</v>
      </c>
      <c r="D217" s="28" t="s">
        <v>565</v>
      </c>
      <c r="E217" s="27" t="s">
        <v>49</v>
      </c>
      <c r="F217" s="5" t="s">
        <v>49</v>
      </c>
      <c r="G217" s="21">
        <v>1</v>
      </c>
      <c r="H217" s="22">
        <f>VLOOKUP($C217,'Master File June-26'!$C$3:$L$670,6,0)</f>
        <v>0</v>
      </c>
      <c r="I217" s="22">
        <f>VLOOKUP($C217,'Master File June-26'!$C$3:$L$670,7,0)</f>
        <v>0</v>
      </c>
      <c r="J217" s="5">
        <f>VLOOKUP($C217,'Master File June-26'!$C$3:$L$670,8,0)</f>
        <v>14</v>
      </c>
      <c r="K217" s="23">
        <f>VLOOKUP($C217,'Master File June-26'!$C$3:$L$670,9,0)</f>
        <v>0</v>
      </c>
      <c r="L217" s="58">
        <f>VLOOKUP($C217,'Master File June-26'!$C$3:$L$670,10,0)</f>
        <v>0</v>
      </c>
      <c r="M217" s="24">
        <f t="shared" si="12"/>
        <v>0</v>
      </c>
      <c r="N217" s="25" t="str">
        <f t="shared" si="13"/>
        <v>ORDER NOW</v>
      </c>
      <c r="O217" s="25" t="str">
        <f t="shared" si="14"/>
        <v>CRITICAL</v>
      </c>
      <c r="S217" s="79">
        <f t="shared" si="15"/>
        <v>1</v>
      </c>
    </row>
    <row r="218" spans="1:19" ht="18.75" x14ac:dyDescent="0.25">
      <c r="A218" s="49">
        <v>594</v>
      </c>
      <c r="B218" s="49" t="s">
        <v>242</v>
      </c>
      <c r="C218" s="49" t="s">
        <v>566</v>
      </c>
      <c r="D218" s="40" t="s">
        <v>567</v>
      </c>
      <c r="E218" s="31" t="s">
        <v>49</v>
      </c>
      <c r="F218" s="5" t="s">
        <v>49</v>
      </c>
      <c r="G218" s="21">
        <v>1</v>
      </c>
      <c r="H218" s="22">
        <f>VLOOKUP($C218,'Master File June-26'!$C$3:$L$670,6,0)</f>
        <v>0</v>
      </c>
      <c r="I218" s="22">
        <f>VLOOKUP($C218,'Master File June-26'!$C$3:$L$670,7,0)</f>
        <v>0</v>
      </c>
      <c r="J218" s="5">
        <f>VLOOKUP($C218,'Master File June-26'!$C$3:$L$670,8,0)</f>
        <v>14</v>
      </c>
      <c r="K218" s="23">
        <f>VLOOKUP($C218,'Master File June-26'!$C$3:$L$670,9,0)</f>
        <v>0</v>
      </c>
      <c r="L218" s="58">
        <f>VLOOKUP($C218,'Master File June-26'!$C$3:$L$670,10,0)</f>
        <v>0</v>
      </c>
      <c r="M218" s="24">
        <f t="shared" si="12"/>
        <v>0</v>
      </c>
      <c r="N218" s="25" t="str">
        <f t="shared" si="13"/>
        <v>ORDER NOW</v>
      </c>
      <c r="O218" s="25" t="str">
        <f t="shared" si="14"/>
        <v>CRITICAL</v>
      </c>
      <c r="S218" s="79">
        <f t="shared" si="15"/>
        <v>1</v>
      </c>
    </row>
    <row r="219" spans="1:19" ht="18.75" x14ac:dyDescent="0.25">
      <c r="A219" s="49">
        <v>595</v>
      </c>
      <c r="B219" s="49" t="s">
        <v>239</v>
      </c>
      <c r="C219" s="49" t="s">
        <v>568</v>
      </c>
      <c r="D219" s="40" t="s">
        <v>569</v>
      </c>
      <c r="E219" s="31" t="s">
        <v>49</v>
      </c>
      <c r="F219" s="5" t="s">
        <v>49</v>
      </c>
      <c r="G219" s="21">
        <v>1</v>
      </c>
      <c r="H219" s="22">
        <f>VLOOKUP($C219,'Master File June-26'!$C$3:$L$670,6,0)</f>
        <v>1</v>
      </c>
      <c r="I219" s="22">
        <f>VLOOKUP($C219,'Master File June-26'!$C$3:$L$670,7,0)</f>
        <v>1</v>
      </c>
      <c r="J219" s="5">
        <f>VLOOKUP($C219,'Master File June-26'!$C$3:$L$670,8,0)</f>
        <v>14</v>
      </c>
      <c r="K219" s="23">
        <f>VLOOKUP($C219,'Master File June-26'!$C$3:$L$670,9,0)</f>
        <v>0.5</v>
      </c>
      <c r="L219" s="58">
        <f>VLOOKUP($C219,'Master File June-26'!$C$3:$L$670,10,0)</f>
        <v>0</v>
      </c>
      <c r="M219" s="24">
        <f t="shared" si="12"/>
        <v>0</v>
      </c>
      <c r="N219" s="25" t="str">
        <f t="shared" si="13"/>
        <v>ORDER NOW</v>
      </c>
      <c r="O219" s="25" t="str">
        <f t="shared" si="14"/>
        <v>CRITICAL</v>
      </c>
      <c r="S219" s="79">
        <f t="shared" si="15"/>
        <v>0</v>
      </c>
    </row>
    <row r="220" spans="1:19" ht="18.75" x14ac:dyDescent="0.25">
      <c r="A220" s="49">
        <v>596</v>
      </c>
      <c r="B220" s="49" t="s">
        <v>239</v>
      </c>
      <c r="C220" s="49" t="s">
        <v>570</v>
      </c>
      <c r="D220" s="40" t="s">
        <v>571</v>
      </c>
      <c r="E220" s="31" t="s">
        <v>49</v>
      </c>
      <c r="F220" s="5" t="s">
        <v>49</v>
      </c>
      <c r="G220" s="21">
        <v>1</v>
      </c>
      <c r="H220" s="22">
        <f>VLOOKUP($C220,'Master File June-26'!$C$3:$L$670,6,0)</f>
        <v>2</v>
      </c>
      <c r="I220" s="22">
        <f>VLOOKUP($C220,'Master File June-26'!$C$3:$L$670,7,0)</f>
        <v>2</v>
      </c>
      <c r="J220" s="5">
        <f>VLOOKUP($C220,'Master File June-26'!$C$3:$L$670,8,0)</f>
        <v>14</v>
      </c>
      <c r="K220" s="23">
        <f>VLOOKUP($C220,'Master File June-26'!$C$3:$L$670,9,0)</f>
        <v>1</v>
      </c>
      <c r="L220" s="58">
        <f>VLOOKUP($C220,'Master File June-26'!$C$3:$L$670,10,0)</f>
        <v>0</v>
      </c>
      <c r="M220" s="24">
        <f t="shared" si="12"/>
        <v>0</v>
      </c>
      <c r="N220" s="25" t="str">
        <f t="shared" si="13"/>
        <v>ORDER NOW</v>
      </c>
      <c r="O220" s="25" t="str">
        <f t="shared" si="14"/>
        <v>CRITICAL</v>
      </c>
      <c r="S220" s="79">
        <f t="shared" si="15"/>
        <v>0</v>
      </c>
    </row>
    <row r="221" spans="1:19" ht="18.75" x14ac:dyDescent="0.25">
      <c r="A221" s="49">
        <v>597</v>
      </c>
      <c r="B221" s="49" t="s">
        <v>239</v>
      </c>
      <c r="C221" s="49" t="s">
        <v>572</v>
      </c>
      <c r="D221" s="40" t="s">
        <v>573</v>
      </c>
      <c r="E221" s="31" t="s">
        <v>49</v>
      </c>
      <c r="F221" s="5" t="s">
        <v>49</v>
      </c>
      <c r="G221" s="21">
        <v>1</v>
      </c>
      <c r="H221" s="22">
        <f>VLOOKUP($C221,'Master File June-26'!$C$3:$L$670,6,0)</f>
        <v>25</v>
      </c>
      <c r="I221" s="22">
        <f>VLOOKUP($C221,'Master File June-26'!$C$3:$L$670,7,0)</f>
        <v>25</v>
      </c>
      <c r="J221" s="5">
        <f>VLOOKUP($C221,'Master File June-26'!$C$3:$L$670,8,0)</f>
        <v>14</v>
      </c>
      <c r="K221" s="23">
        <f>VLOOKUP($C221,'Master File June-26'!$C$3:$L$670,9,0)</f>
        <v>12.5</v>
      </c>
      <c r="L221" s="58">
        <f>VLOOKUP($C221,'Master File June-26'!$C$3:$L$670,10,0)</f>
        <v>0</v>
      </c>
      <c r="M221" s="24">
        <f t="shared" si="12"/>
        <v>0</v>
      </c>
      <c r="N221" s="25" t="str">
        <f t="shared" si="13"/>
        <v>ORDER NOW</v>
      </c>
      <c r="O221" s="25" t="str">
        <f t="shared" si="14"/>
        <v>CRITICAL</v>
      </c>
      <c r="S221" s="79">
        <f t="shared" si="15"/>
        <v>0</v>
      </c>
    </row>
    <row r="222" spans="1:19" ht="18.75" x14ac:dyDescent="0.25">
      <c r="A222" s="49">
        <v>598</v>
      </c>
      <c r="B222" s="49" t="s">
        <v>239</v>
      </c>
      <c r="C222" s="49" t="s">
        <v>574</v>
      </c>
      <c r="D222" s="40" t="s">
        <v>575</v>
      </c>
      <c r="E222" s="31" t="s">
        <v>49</v>
      </c>
      <c r="F222" s="5" t="s">
        <v>49</v>
      </c>
      <c r="G222" s="21">
        <v>1</v>
      </c>
      <c r="H222" s="22">
        <f>VLOOKUP($C222,'Master File June-26'!$C$3:$L$670,6,0)</f>
        <v>6</v>
      </c>
      <c r="I222" s="22">
        <f>VLOOKUP($C222,'Master File June-26'!$C$3:$L$670,7,0)</f>
        <v>6</v>
      </c>
      <c r="J222" s="5">
        <f>VLOOKUP($C222,'Master File June-26'!$C$3:$L$670,8,0)</f>
        <v>14</v>
      </c>
      <c r="K222" s="23">
        <f>VLOOKUP($C222,'Master File June-26'!$C$3:$L$670,9,0)</f>
        <v>3</v>
      </c>
      <c r="L222" s="58">
        <f>VLOOKUP($C222,'Master File June-26'!$C$3:$L$670,10,0)</f>
        <v>0</v>
      </c>
      <c r="M222" s="24">
        <f t="shared" si="12"/>
        <v>0</v>
      </c>
      <c r="N222" s="25" t="str">
        <f t="shared" si="13"/>
        <v>ORDER NOW</v>
      </c>
      <c r="O222" s="25" t="str">
        <f t="shared" si="14"/>
        <v>CRITICAL</v>
      </c>
      <c r="S222" s="79">
        <f t="shared" si="15"/>
        <v>0</v>
      </c>
    </row>
    <row r="223" spans="1:19" ht="18.75" x14ac:dyDescent="0.25">
      <c r="A223" s="4">
        <v>603</v>
      </c>
      <c r="B223" s="4" t="s">
        <v>85</v>
      </c>
      <c r="C223" s="4" t="s">
        <v>576</v>
      </c>
      <c r="D223" s="28" t="s">
        <v>577</v>
      </c>
      <c r="E223" s="27" t="s">
        <v>101</v>
      </c>
      <c r="F223" s="5" t="s">
        <v>22</v>
      </c>
      <c r="G223" s="21">
        <f>1/6</f>
        <v>0.16666666666666666</v>
      </c>
      <c r="H223" s="22">
        <f>VLOOKUP($C223,'Master File June-26'!$C$3:$L$670,6,0)</f>
        <v>5.5</v>
      </c>
      <c r="I223" s="22">
        <f>VLOOKUP($C223,'Master File June-26'!$C$3:$L$670,7,0)</f>
        <v>33</v>
      </c>
      <c r="J223" s="5">
        <f>VLOOKUP($C223,'Master File June-26'!$C$3:$L$670,8,0)</f>
        <v>14</v>
      </c>
      <c r="K223" s="23">
        <f>VLOOKUP($C223,'Master File June-26'!$C$3:$L$670,9,0)</f>
        <v>16.5</v>
      </c>
      <c r="L223" s="58">
        <f>VLOOKUP($C223,'Master File June-26'!$C$3:$L$670,10,0)</f>
        <v>0</v>
      </c>
      <c r="M223" s="24">
        <f t="shared" si="12"/>
        <v>0</v>
      </c>
      <c r="N223" s="25" t="str">
        <f t="shared" si="13"/>
        <v>ORDER NOW</v>
      </c>
      <c r="O223" s="25" t="str">
        <f t="shared" si="14"/>
        <v>CRITICAL</v>
      </c>
      <c r="S223" s="79">
        <f t="shared" si="15"/>
        <v>0</v>
      </c>
    </row>
    <row r="224" spans="1:19" ht="18.75" x14ac:dyDescent="0.25">
      <c r="A224" s="4">
        <v>604</v>
      </c>
      <c r="B224" s="4" t="s">
        <v>85</v>
      </c>
      <c r="C224" s="4" t="s">
        <v>578</v>
      </c>
      <c r="D224" s="50" t="s">
        <v>579</v>
      </c>
      <c r="E224" s="31" t="s">
        <v>22</v>
      </c>
      <c r="F224" s="5" t="s">
        <v>22</v>
      </c>
      <c r="G224" s="21">
        <v>1</v>
      </c>
      <c r="H224" s="22">
        <f>VLOOKUP($C224,'Master File June-26'!$C$3:$L$670,6,0)</f>
        <v>25</v>
      </c>
      <c r="I224" s="22">
        <f>VLOOKUP($C224,'Master File June-26'!$C$3:$L$670,7,0)</f>
        <v>25</v>
      </c>
      <c r="J224" s="5">
        <f>VLOOKUP($C224,'Master File June-26'!$C$3:$L$670,8,0)</f>
        <v>14</v>
      </c>
      <c r="K224" s="23">
        <f>VLOOKUP($C224,'Master File June-26'!$C$3:$L$670,9,0)</f>
        <v>12.5</v>
      </c>
      <c r="L224" s="58">
        <f>VLOOKUP($C224,'Master File June-26'!$C$3:$L$670,10,0)</f>
        <v>0</v>
      </c>
      <c r="M224" s="24">
        <f t="shared" si="12"/>
        <v>0</v>
      </c>
      <c r="N224" s="25" t="str">
        <f t="shared" si="13"/>
        <v>ORDER NOW</v>
      </c>
      <c r="O224" s="25" t="str">
        <f t="shared" si="14"/>
        <v>CRITICAL</v>
      </c>
      <c r="S224" s="79">
        <f t="shared" si="15"/>
        <v>0</v>
      </c>
    </row>
    <row r="225" spans="1:19" ht="18.75" x14ac:dyDescent="0.25">
      <c r="A225" s="4">
        <v>605</v>
      </c>
      <c r="B225" s="4" t="s">
        <v>85</v>
      </c>
      <c r="C225" s="4" t="s">
        <v>580</v>
      </c>
      <c r="D225" s="50" t="s">
        <v>581</v>
      </c>
      <c r="E225" s="31" t="s">
        <v>22</v>
      </c>
      <c r="F225" s="5" t="s">
        <v>22</v>
      </c>
      <c r="G225" s="21">
        <v>1</v>
      </c>
      <c r="H225" s="22">
        <f>VLOOKUP($C225,'Master File June-26'!$C$3:$L$670,6,0)</f>
        <v>25</v>
      </c>
      <c r="I225" s="22">
        <f>VLOOKUP($C225,'Master File June-26'!$C$3:$L$670,7,0)</f>
        <v>25</v>
      </c>
      <c r="J225" s="5">
        <f>VLOOKUP($C225,'Master File June-26'!$C$3:$L$670,8,0)</f>
        <v>14</v>
      </c>
      <c r="K225" s="23">
        <f>VLOOKUP($C225,'Master File June-26'!$C$3:$L$670,9,0)</f>
        <v>12.5</v>
      </c>
      <c r="L225" s="58">
        <f>VLOOKUP($C225,'Master File June-26'!$C$3:$L$670,10,0)</f>
        <v>0</v>
      </c>
      <c r="M225" s="24">
        <f t="shared" si="12"/>
        <v>0</v>
      </c>
      <c r="N225" s="25" t="str">
        <f t="shared" si="13"/>
        <v>ORDER NOW</v>
      </c>
      <c r="O225" s="25" t="str">
        <f t="shared" si="14"/>
        <v>CRITICAL</v>
      </c>
      <c r="S225" s="79">
        <f t="shared" si="15"/>
        <v>0</v>
      </c>
    </row>
    <row r="226" spans="1:19" ht="18.75" x14ac:dyDescent="0.25">
      <c r="A226" s="4">
        <v>608</v>
      </c>
      <c r="B226" s="4" t="s">
        <v>133</v>
      </c>
      <c r="C226" s="4" t="s">
        <v>582</v>
      </c>
      <c r="D226" s="28" t="s">
        <v>583</v>
      </c>
      <c r="E226" s="27" t="s">
        <v>64</v>
      </c>
      <c r="F226" s="5" t="s">
        <v>49</v>
      </c>
      <c r="G226" s="21">
        <v>1</v>
      </c>
      <c r="H226" s="22">
        <f>VLOOKUP($C226,'Master File June-26'!$C$3:$L$670,6,0)</f>
        <v>5940</v>
      </c>
      <c r="I226" s="22">
        <f>VLOOKUP($C226,'Master File June-26'!$C$3:$L$670,7,0)</f>
        <v>5940</v>
      </c>
      <c r="J226" s="5">
        <f>VLOOKUP($C226,'Master File June-26'!$C$3:$L$670,8,0)</f>
        <v>14</v>
      </c>
      <c r="K226" s="23">
        <f>VLOOKUP($C226,'Master File June-26'!$C$3:$L$670,9,0)</f>
        <v>2970</v>
      </c>
      <c r="L226" s="58">
        <f>VLOOKUP($C226,'Master File June-26'!$C$3:$L$670,10,0)</f>
        <v>0</v>
      </c>
      <c r="M226" s="24">
        <f t="shared" si="12"/>
        <v>0</v>
      </c>
      <c r="N226" s="25" t="str">
        <f t="shared" si="13"/>
        <v>ORDER NOW</v>
      </c>
      <c r="O226" s="25" t="str">
        <f t="shared" si="14"/>
        <v>CRITICAL</v>
      </c>
      <c r="S226" s="79">
        <f t="shared" si="15"/>
        <v>0</v>
      </c>
    </row>
    <row r="227" spans="1:19" ht="18.75" x14ac:dyDescent="0.25">
      <c r="A227" s="4">
        <v>609</v>
      </c>
      <c r="B227" s="4" t="s">
        <v>133</v>
      </c>
      <c r="C227" s="4" t="s">
        <v>584</v>
      </c>
      <c r="D227" s="28" t="s">
        <v>585</v>
      </c>
      <c r="E227" s="27" t="s">
        <v>64</v>
      </c>
      <c r="F227" s="5" t="s">
        <v>49</v>
      </c>
      <c r="G227" s="21">
        <v>1</v>
      </c>
      <c r="H227" s="22">
        <f>VLOOKUP($C227,'Master File June-26'!$C$3:$L$670,6,0)</f>
        <v>4870</v>
      </c>
      <c r="I227" s="22">
        <f>VLOOKUP($C227,'Master File June-26'!$C$3:$L$670,7,0)</f>
        <v>4870</v>
      </c>
      <c r="J227" s="5">
        <f>VLOOKUP($C227,'Master File June-26'!$C$3:$L$670,8,0)</f>
        <v>14</v>
      </c>
      <c r="K227" s="23">
        <f>VLOOKUP($C227,'Master File June-26'!$C$3:$L$670,9,0)</f>
        <v>2435</v>
      </c>
      <c r="L227" s="58">
        <f>VLOOKUP($C227,'Master File June-26'!$C$3:$L$670,10,0)</f>
        <v>0</v>
      </c>
      <c r="M227" s="24">
        <f t="shared" si="12"/>
        <v>0</v>
      </c>
      <c r="N227" s="25" t="str">
        <f t="shared" si="13"/>
        <v>ORDER NOW</v>
      </c>
      <c r="O227" s="25" t="str">
        <f t="shared" si="14"/>
        <v>CRITICAL</v>
      </c>
      <c r="S227" s="79">
        <f t="shared" si="15"/>
        <v>0</v>
      </c>
    </row>
    <row r="228" spans="1:19" ht="18.75" x14ac:dyDescent="0.25">
      <c r="A228" s="4">
        <v>610</v>
      </c>
      <c r="B228" s="4" t="s">
        <v>133</v>
      </c>
      <c r="C228" s="4" t="s">
        <v>586</v>
      </c>
      <c r="D228" s="28" t="s">
        <v>587</v>
      </c>
      <c r="E228" s="27" t="s">
        <v>64</v>
      </c>
      <c r="F228" s="5" t="s">
        <v>49</v>
      </c>
      <c r="G228" s="21">
        <v>1</v>
      </c>
      <c r="H228" s="22">
        <f>VLOOKUP($C228,'Master File June-26'!$C$3:$L$670,6,0)</f>
        <v>0</v>
      </c>
      <c r="I228" s="22">
        <f>VLOOKUP($C228,'Master File June-26'!$C$3:$L$670,7,0)</f>
        <v>0</v>
      </c>
      <c r="J228" s="5">
        <f>VLOOKUP($C228,'Master File June-26'!$C$3:$L$670,8,0)</f>
        <v>14</v>
      </c>
      <c r="K228" s="23">
        <f>VLOOKUP($C228,'Master File June-26'!$C$3:$L$670,9,0)</f>
        <v>0</v>
      </c>
      <c r="L228" s="58">
        <f>VLOOKUP($C228,'Master File June-26'!$C$3:$L$670,10,0)</f>
        <v>0</v>
      </c>
      <c r="M228" s="24">
        <f t="shared" si="12"/>
        <v>0</v>
      </c>
      <c r="N228" s="25" t="str">
        <f t="shared" si="13"/>
        <v>ORDER NOW</v>
      </c>
      <c r="O228" s="25" t="str">
        <f t="shared" si="14"/>
        <v>CRITICAL</v>
      </c>
      <c r="S228" s="79">
        <f t="shared" si="15"/>
        <v>1</v>
      </c>
    </row>
    <row r="229" spans="1:19" ht="18.75" x14ac:dyDescent="0.25">
      <c r="A229" s="4">
        <v>612</v>
      </c>
      <c r="B229" s="4" t="s">
        <v>133</v>
      </c>
      <c r="C229" s="4" t="s">
        <v>588</v>
      </c>
      <c r="D229" s="20" t="s">
        <v>589</v>
      </c>
      <c r="E229" s="4" t="s">
        <v>64</v>
      </c>
      <c r="F229" s="5" t="s">
        <v>49</v>
      </c>
      <c r="G229" s="21">
        <v>1</v>
      </c>
      <c r="H229" s="22">
        <f>VLOOKUP($C229,'Master File June-26'!$C$3:$L$670,6,0)</f>
        <v>0</v>
      </c>
      <c r="I229" s="22">
        <f>VLOOKUP($C229,'Master File June-26'!$C$3:$L$670,7,0)</f>
        <v>0</v>
      </c>
      <c r="J229" s="5">
        <f>VLOOKUP($C229,'Master File June-26'!$C$3:$L$670,8,0)</f>
        <v>14</v>
      </c>
      <c r="K229" s="23">
        <f>VLOOKUP($C229,'Master File June-26'!$C$3:$L$670,9,0)</f>
        <v>0</v>
      </c>
      <c r="L229" s="58">
        <f>VLOOKUP($C229,'Master File June-26'!$C$3:$L$670,10,0)</f>
        <v>0</v>
      </c>
      <c r="M229" s="24">
        <f t="shared" si="12"/>
        <v>0</v>
      </c>
      <c r="N229" s="25" t="str">
        <f t="shared" si="13"/>
        <v>ORDER NOW</v>
      </c>
      <c r="O229" s="25" t="str">
        <f t="shared" si="14"/>
        <v>CRITICAL</v>
      </c>
      <c r="S229" s="79">
        <f t="shared" si="15"/>
        <v>1</v>
      </c>
    </row>
    <row r="230" spans="1:19" ht="18.75" x14ac:dyDescent="0.25">
      <c r="A230" s="4">
        <v>614</v>
      </c>
      <c r="B230" s="4" t="s">
        <v>133</v>
      </c>
      <c r="C230" s="4" t="s">
        <v>590</v>
      </c>
      <c r="D230" s="30" t="s">
        <v>591</v>
      </c>
      <c r="E230" s="29" t="s">
        <v>49</v>
      </c>
      <c r="F230" s="5" t="s">
        <v>49</v>
      </c>
      <c r="G230" s="21">
        <v>1</v>
      </c>
      <c r="H230" s="22">
        <f>VLOOKUP($C230,'Master File June-26'!$C$3:$L$670,6,0)</f>
        <v>0</v>
      </c>
      <c r="I230" s="22">
        <f>VLOOKUP($C230,'Master File June-26'!$C$3:$L$670,7,0)</f>
        <v>0</v>
      </c>
      <c r="J230" s="5">
        <f>VLOOKUP($C230,'Master File June-26'!$C$3:$L$670,8,0)</f>
        <v>14</v>
      </c>
      <c r="K230" s="23">
        <f>VLOOKUP($C230,'Master File June-26'!$C$3:$L$670,9,0)</f>
        <v>0</v>
      </c>
      <c r="L230" s="58">
        <f>VLOOKUP($C230,'Master File June-26'!$C$3:$L$670,10,0)</f>
        <v>0</v>
      </c>
      <c r="M230" s="24">
        <f t="shared" si="12"/>
        <v>0</v>
      </c>
      <c r="N230" s="25" t="str">
        <f t="shared" si="13"/>
        <v>ORDER NOW</v>
      </c>
      <c r="O230" s="25" t="str">
        <f t="shared" si="14"/>
        <v>CRITICAL</v>
      </c>
      <c r="S230" s="79">
        <f t="shared" si="15"/>
        <v>1</v>
      </c>
    </row>
    <row r="231" spans="1:19" ht="18.75" x14ac:dyDescent="0.25">
      <c r="A231" s="4">
        <v>615</v>
      </c>
      <c r="B231" s="4" t="s">
        <v>133</v>
      </c>
      <c r="C231" s="4" t="s">
        <v>592</v>
      </c>
      <c r="D231" s="30" t="s">
        <v>593</v>
      </c>
      <c r="E231" s="29" t="s">
        <v>49</v>
      </c>
      <c r="F231" s="5" t="s">
        <v>49</v>
      </c>
      <c r="G231" s="21">
        <v>1</v>
      </c>
      <c r="H231" s="22">
        <f>VLOOKUP($C231,'Master File June-26'!$C$3:$L$670,6,0)</f>
        <v>0</v>
      </c>
      <c r="I231" s="22">
        <f>VLOOKUP($C231,'Master File June-26'!$C$3:$L$670,7,0)</f>
        <v>0</v>
      </c>
      <c r="J231" s="5">
        <f>VLOOKUP($C231,'Master File June-26'!$C$3:$L$670,8,0)</f>
        <v>14</v>
      </c>
      <c r="K231" s="23">
        <f>VLOOKUP($C231,'Master File June-26'!$C$3:$L$670,9,0)</f>
        <v>0</v>
      </c>
      <c r="L231" s="58">
        <f>VLOOKUP($C231,'Master File June-26'!$C$3:$L$670,10,0)</f>
        <v>0</v>
      </c>
      <c r="M231" s="24">
        <f t="shared" si="12"/>
        <v>0</v>
      </c>
      <c r="N231" s="25" t="str">
        <f t="shared" si="13"/>
        <v>ORDER NOW</v>
      </c>
      <c r="O231" s="25" t="str">
        <f t="shared" si="14"/>
        <v>CRITICAL</v>
      </c>
      <c r="S231" s="79">
        <f t="shared" si="15"/>
        <v>1</v>
      </c>
    </row>
    <row r="232" spans="1:19" ht="18.75" x14ac:dyDescent="0.25">
      <c r="A232" s="4">
        <v>616</v>
      </c>
      <c r="B232" s="4" t="s">
        <v>18</v>
      </c>
      <c r="C232" s="4"/>
      <c r="D232" s="28" t="s">
        <v>594</v>
      </c>
      <c r="E232" s="27" t="s">
        <v>49</v>
      </c>
      <c r="F232" s="5" t="s">
        <v>49</v>
      </c>
      <c r="G232" s="21">
        <v>1</v>
      </c>
      <c r="H232" s="22">
        <f>VLOOKUP($D232,'Master File June-26'!$D$3:$O$670,5,0)</f>
        <v>0</v>
      </c>
      <c r="I232" s="22">
        <f>VLOOKUP($D232,'Master File June-26'!$D$3:$O$670,6,0)</f>
        <v>0</v>
      </c>
      <c r="J232" s="5">
        <f>VLOOKUP($D232,'Master File June-26'!$D$3:$O$670,7,0)</f>
        <v>14</v>
      </c>
      <c r="K232" s="23">
        <f>VLOOKUP($D232,'Master File June-26'!$D$3:$O$670,8,0)</f>
        <v>0</v>
      </c>
      <c r="L232" s="58">
        <f>VLOOKUP($D232,'Master File June-26'!$D$3:$O$670,9,0)</f>
        <v>0</v>
      </c>
      <c r="M232" s="24">
        <f t="shared" si="12"/>
        <v>0</v>
      </c>
      <c r="N232" s="25" t="str">
        <f t="shared" si="13"/>
        <v>ORDER NOW</v>
      </c>
      <c r="O232" s="25" t="str">
        <f t="shared" si="14"/>
        <v>CRITICAL</v>
      </c>
      <c r="S232" s="79">
        <f t="shared" si="15"/>
        <v>1</v>
      </c>
    </row>
    <row r="233" spans="1:19" ht="18.75" x14ac:dyDescent="0.25">
      <c r="A233" s="4">
        <v>617</v>
      </c>
      <c r="B233" s="4" t="s">
        <v>18</v>
      </c>
      <c r="C233" s="4"/>
      <c r="D233" s="28" t="s">
        <v>595</v>
      </c>
      <c r="E233" s="27"/>
      <c r="F233" s="5"/>
      <c r="G233" s="21">
        <v>1</v>
      </c>
      <c r="H233" s="22">
        <f>VLOOKUP($D233,'Master File June-26'!$D$3:$O$670,5,0)</f>
        <v>0</v>
      </c>
      <c r="I233" s="22">
        <f>VLOOKUP($D233,'Master File June-26'!$D$3:$O$670,6,0)</f>
        <v>0</v>
      </c>
      <c r="J233" s="5">
        <f>VLOOKUP($D233,'Master File June-26'!$D$3:$O$670,7,0)</f>
        <v>14</v>
      </c>
      <c r="K233" s="23">
        <f>VLOOKUP($D233,'Master File June-26'!$D$3:$O$670,8,0)</f>
        <v>0</v>
      </c>
      <c r="L233" s="58">
        <f>VLOOKUP($D233,'Master File June-26'!$D$3:$O$670,9,0)</f>
        <v>0</v>
      </c>
      <c r="M233" s="24">
        <f t="shared" si="12"/>
        <v>0</v>
      </c>
      <c r="N233" s="25" t="str">
        <f t="shared" si="13"/>
        <v>ORDER NOW</v>
      </c>
      <c r="O233" s="25" t="str">
        <f t="shared" si="14"/>
        <v>CRITICAL</v>
      </c>
      <c r="S233" s="79">
        <f t="shared" si="15"/>
        <v>1</v>
      </c>
    </row>
    <row r="234" spans="1:19" ht="18.75" x14ac:dyDescent="0.25">
      <c r="A234" s="4">
        <v>618</v>
      </c>
      <c r="B234" s="4" t="s">
        <v>18</v>
      </c>
      <c r="C234" s="4"/>
      <c r="D234" s="28" t="s">
        <v>596</v>
      </c>
      <c r="E234" s="27" t="s">
        <v>22</v>
      </c>
      <c r="F234" s="5" t="s">
        <v>22</v>
      </c>
      <c r="G234" s="21">
        <v>1</v>
      </c>
      <c r="H234" s="22">
        <f>VLOOKUP($D234,'Master File June-26'!$D$3:$O$670,5,0)</f>
        <v>0</v>
      </c>
      <c r="I234" s="22">
        <f>VLOOKUP($D234,'Master File June-26'!$D$3:$O$670,6,0)</f>
        <v>0</v>
      </c>
      <c r="J234" s="5">
        <f>VLOOKUP($D234,'Master File June-26'!$D$3:$O$670,7,0)</f>
        <v>14</v>
      </c>
      <c r="K234" s="23">
        <f>VLOOKUP($D234,'Master File June-26'!$D$3:$O$670,8,0)</f>
        <v>0</v>
      </c>
      <c r="L234" s="58">
        <f>VLOOKUP($D234,'Master File June-26'!$D$3:$O$670,9,0)</f>
        <v>0</v>
      </c>
      <c r="M234" s="24">
        <f t="shared" si="12"/>
        <v>0</v>
      </c>
      <c r="N234" s="25" t="str">
        <f t="shared" si="13"/>
        <v>ORDER NOW</v>
      </c>
      <c r="O234" s="25" t="str">
        <f t="shared" si="14"/>
        <v>CRITICAL</v>
      </c>
      <c r="S234" s="79">
        <f t="shared" si="15"/>
        <v>1</v>
      </c>
    </row>
    <row r="235" spans="1:19" ht="18.75" x14ac:dyDescent="0.25">
      <c r="A235" s="4">
        <v>619</v>
      </c>
      <c r="B235" s="4" t="s">
        <v>18</v>
      </c>
      <c r="C235" s="4"/>
      <c r="D235" s="28" t="s">
        <v>597</v>
      </c>
      <c r="E235" s="27" t="s">
        <v>598</v>
      </c>
      <c r="F235" s="5" t="s">
        <v>49</v>
      </c>
      <c r="G235" s="21">
        <v>1</v>
      </c>
      <c r="H235" s="22">
        <f>VLOOKUP($D235,'Master File June-26'!$D$3:$O$670,5,0)</f>
        <v>0</v>
      </c>
      <c r="I235" s="22">
        <f>VLOOKUP($D235,'Master File June-26'!$D$3:$O$670,6,0)</f>
        <v>0</v>
      </c>
      <c r="J235" s="5">
        <f>VLOOKUP($D235,'Master File June-26'!$D$3:$O$670,7,0)</f>
        <v>14</v>
      </c>
      <c r="K235" s="23">
        <f>VLOOKUP($D235,'Master File June-26'!$D$3:$O$670,8,0)</f>
        <v>0</v>
      </c>
      <c r="L235" s="58">
        <f>VLOOKUP($D235,'Master File June-26'!$D$3:$O$670,9,0)</f>
        <v>0</v>
      </c>
      <c r="M235" s="24">
        <f t="shared" si="12"/>
        <v>0</v>
      </c>
      <c r="N235" s="25" t="str">
        <f t="shared" si="13"/>
        <v>ORDER NOW</v>
      </c>
      <c r="O235" s="25" t="str">
        <f t="shared" si="14"/>
        <v>CRITICAL</v>
      </c>
      <c r="S235" s="79">
        <f t="shared" si="15"/>
        <v>1</v>
      </c>
    </row>
    <row r="236" spans="1:19" ht="18.75" x14ac:dyDescent="0.25">
      <c r="A236" s="4">
        <v>620</v>
      </c>
      <c r="B236" s="4" t="s">
        <v>18</v>
      </c>
      <c r="C236" s="4"/>
      <c r="D236" s="28" t="s">
        <v>599</v>
      </c>
      <c r="E236" s="31" t="s">
        <v>49</v>
      </c>
      <c r="F236" s="5" t="s">
        <v>49</v>
      </c>
      <c r="G236" s="21">
        <v>1</v>
      </c>
      <c r="H236" s="22">
        <f>VLOOKUP($D236,'Master File June-26'!$D$3:$O$670,5,0)</f>
        <v>0</v>
      </c>
      <c r="I236" s="22">
        <f>VLOOKUP($D236,'Master File June-26'!$D$3:$O$670,6,0)</f>
        <v>0</v>
      </c>
      <c r="J236" s="5">
        <f>VLOOKUP($D236,'Master File June-26'!$D$3:$O$670,7,0)</f>
        <v>14</v>
      </c>
      <c r="K236" s="23">
        <f>VLOOKUP($D236,'Master File June-26'!$D$3:$O$670,8,0)</f>
        <v>0</v>
      </c>
      <c r="L236" s="58">
        <f>VLOOKUP($D236,'Master File June-26'!$D$3:$O$670,9,0)</f>
        <v>0</v>
      </c>
      <c r="M236" s="24">
        <f t="shared" si="12"/>
        <v>0</v>
      </c>
      <c r="N236" s="25" t="str">
        <f t="shared" si="13"/>
        <v>ORDER NOW</v>
      </c>
      <c r="O236" s="25" t="str">
        <f t="shared" si="14"/>
        <v>CRITICAL</v>
      </c>
      <c r="S236" s="79">
        <f t="shared" si="15"/>
        <v>1</v>
      </c>
    </row>
    <row r="237" spans="1:19" ht="18.75" x14ac:dyDescent="0.25">
      <c r="A237" s="4">
        <v>621</v>
      </c>
      <c r="B237" s="4" t="s">
        <v>18</v>
      </c>
      <c r="C237" s="4"/>
      <c r="D237" s="28" t="s">
        <v>600</v>
      </c>
      <c r="E237" s="31" t="s">
        <v>49</v>
      </c>
      <c r="F237" s="5" t="s">
        <v>49</v>
      </c>
      <c r="G237" s="21">
        <v>1</v>
      </c>
      <c r="H237" s="22">
        <f>VLOOKUP($D237,'Master File June-26'!$D$3:$O$670,5,0)</f>
        <v>0</v>
      </c>
      <c r="I237" s="22">
        <f>VLOOKUP($D237,'Master File June-26'!$D$3:$O$670,6,0)</f>
        <v>0</v>
      </c>
      <c r="J237" s="5">
        <f>VLOOKUP($D237,'Master File June-26'!$D$3:$O$670,7,0)</f>
        <v>14</v>
      </c>
      <c r="K237" s="23">
        <f>VLOOKUP($D237,'Master File June-26'!$D$3:$O$670,8,0)</f>
        <v>0</v>
      </c>
      <c r="L237" s="58">
        <f>VLOOKUP($D237,'Master File June-26'!$D$3:$O$670,9,0)</f>
        <v>0</v>
      </c>
      <c r="M237" s="24">
        <f t="shared" si="12"/>
        <v>0</v>
      </c>
      <c r="N237" s="25" t="str">
        <f t="shared" si="13"/>
        <v>ORDER NOW</v>
      </c>
      <c r="O237" s="25" t="str">
        <f t="shared" si="14"/>
        <v>CRITICAL</v>
      </c>
      <c r="S237" s="79">
        <f t="shared" si="15"/>
        <v>1</v>
      </c>
    </row>
    <row r="238" spans="1:19" ht="18.75" x14ac:dyDescent="0.25">
      <c r="A238" s="4">
        <v>622</v>
      </c>
      <c r="B238" s="4" t="s">
        <v>18</v>
      </c>
      <c r="C238" s="4"/>
      <c r="D238" s="28" t="s">
        <v>601</v>
      </c>
      <c r="E238" s="31" t="s">
        <v>49</v>
      </c>
      <c r="F238" s="5" t="s">
        <v>49</v>
      </c>
      <c r="G238" s="21">
        <v>1</v>
      </c>
      <c r="H238" s="22">
        <f>VLOOKUP($D238,'Master File June-26'!$D$3:$O$670,5,0)</f>
        <v>0</v>
      </c>
      <c r="I238" s="22">
        <f>VLOOKUP($D238,'Master File June-26'!$D$3:$O$670,6,0)</f>
        <v>0</v>
      </c>
      <c r="J238" s="5">
        <f>VLOOKUP($D238,'Master File June-26'!$D$3:$O$670,7,0)</f>
        <v>14</v>
      </c>
      <c r="K238" s="23">
        <f>VLOOKUP($D238,'Master File June-26'!$D$3:$O$670,8,0)</f>
        <v>0</v>
      </c>
      <c r="L238" s="58">
        <f>VLOOKUP($D238,'Master File June-26'!$D$3:$O$670,9,0)</f>
        <v>0</v>
      </c>
      <c r="M238" s="24">
        <f t="shared" si="12"/>
        <v>0</v>
      </c>
      <c r="N238" s="25" t="str">
        <f t="shared" si="13"/>
        <v>ORDER NOW</v>
      </c>
      <c r="O238" s="25" t="str">
        <f t="shared" si="14"/>
        <v>CRITICAL</v>
      </c>
      <c r="S238" s="79">
        <f t="shared" si="15"/>
        <v>1</v>
      </c>
    </row>
    <row r="239" spans="1:19" ht="18.75" x14ac:dyDescent="0.25">
      <c r="A239" s="4">
        <v>623</v>
      </c>
      <c r="B239" s="4" t="s">
        <v>18</v>
      </c>
      <c r="C239" s="4"/>
      <c r="D239" s="28" t="s">
        <v>602</v>
      </c>
      <c r="E239" s="31" t="s">
        <v>49</v>
      </c>
      <c r="F239" s="5" t="s">
        <v>49</v>
      </c>
      <c r="G239" s="21">
        <v>1</v>
      </c>
      <c r="H239" s="22">
        <f>VLOOKUP($D239,'Master File June-26'!$D$3:$O$670,5,0)</f>
        <v>0</v>
      </c>
      <c r="I239" s="22">
        <f>VLOOKUP($D239,'Master File June-26'!$D$3:$O$670,6,0)</f>
        <v>0</v>
      </c>
      <c r="J239" s="5">
        <f>VLOOKUP($D239,'Master File June-26'!$D$3:$O$670,7,0)</f>
        <v>14</v>
      </c>
      <c r="K239" s="23">
        <f>VLOOKUP($D239,'Master File June-26'!$D$3:$O$670,8,0)</f>
        <v>0</v>
      </c>
      <c r="L239" s="58">
        <f>VLOOKUP($D239,'Master File June-26'!$D$3:$O$670,9,0)</f>
        <v>0</v>
      </c>
      <c r="M239" s="24">
        <f t="shared" si="12"/>
        <v>0</v>
      </c>
      <c r="N239" s="25" t="str">
        <f t="shared" si="13"/>
        <v>ORDER NOW</v>
      </c>
      <c r="O239" s="25" t="str">
        <f t="shared" si="14"/>
        <v>CRITICAL</v>
      </c>
      <c r="S239" s="79">
        <f t="shared" si="15"/>
        <v>1</v>
      </c>
    </row>
    <row r="240" spans="1:19" ht="18.75" x14ac:dyDescent="0.25">
      <c r="A240" s="4">
        <v>624</v>
      </c>
      <c r="B240" s="4" t="s">
        <v>61</v>
      </c>
      <c r="C240" s="4"/>
      <c r="D240" s="40" t="s">
        <v>603</v>
      </c>
      <c r="E240" s="31" t="s">
        <v>604</v>
      </c>
      <c r="F240" s="5" t="s">
        <v>49</v>
      </c>
      <c r="G240" s="21">
        <v>1</v>
      </c>
      <c r="H240" s="22">
        <f>VLOOKUP($D240,'Master File June-26'!$D$3:$O$670,5,0)</f>
        <v>0</v>
      </c>
      <c r="I240" s="22">
        <f>VLOOKUP($D240,'Master File June-26'!$D$3:$O$670,6,0)</f>
        <v>0</v>
      </c>
      <c r="J240" s="5">
        <f>VLOOKUP($D240,'Master File June-26'!$D$3:$O$670,7,0)</f>
        <v>14</v>
      </c>
      <c r="K240" s="23">
        <f>VLOOKUP($D240,'Master File June-26'!$D$3:$O$670,8,0)</f>
        <v>0</v>
      </c>
      <c r="L240" s="58">
        <f>VLOOKUP($D240,'Master File June-26'!$D$3:$O$670,9,0)</f>
        <v>0</v>
      </c>
      <c r="M240" s="24">
        <f t="shared" si="12"/>
        <v>0</v>
      </c>
      <c r="N240" s="25" t="str">
        <f t="shared" si="13"/>
        <v>ORDER NOW</v>
      </c>
      <c r="O240" s="25" t="str">
        <f t="shared" si="14"/>
        <v>CRITICAL</v>
      </c>
      <c r="S240" s="79">
        <f t="shared" si="15"/>
        <v>1</v>
      </c>
    </row>
    <row r="241" spans="1:19" ht="18.75" x14ac:dyDescent="0.25">
      <c r="A241" s="4">
        <v>625</v>
      </c>
      <c r="B241" s="4" t="s">
        <v>38</v>
      </c>
      <c r="C241" s="4"/>
      <c r="D241" s="40" t="s">
        <v>605</v>
      </c>
      <c r="E241" s="31" t="s">
        <v>606</v>
      </c>
      <c r="F241" s="5" t="s">
        <v>22</v>
      </c>
      <c r="G241" s="21">
        <v>1</v>
      </c>
      <c r="H241" s="22">
        <f>VLOOKUP($D241,'Master File June-26'!$D$3:$O$670,5,0)</f>
        <v>0</v>
      </c>
      <c r="I241" s="22">
        <f>VLOOKUP($D241,'Master File June-26'!$D$3:$O$670,6,0)</f>
        <v>0</v>
      </c>
      <c r="J241" s="5">
        <f>VLOOKUP($D241,'Master File June-26'!$D$3:$O$670,7,0)</f>
        <v>14</v>
      </c>
      <c r="K241" s="23">
        <f>VLOOKUP($D241,'Master File June-26'!$D$3:$O$670,8,0)</f>
        <v>0</v>
      </c>
      <c r="L241" s="58">
        <f>VLOOKUP($D241,'Master File June-26'!$D$3:$O$670,9,0)</f>
        <v>0</v>
      </c>
      <c r="M241" s="24">
        <f t="shared" si="12"/>
        <v>0</v>
      </c>
      <c r="N241" s="25" t="str">
        <f t="shared" si="13"/>
        <v>ORDER NOW</v>
      </c>
      <c r="O241" s="25" t="str">
        <f t="shared" si="14"/>
        <v>CRITICAL</v>
      </c>
      <c r="S241" s="79">
        <f t="shared" si="15"/>
        <v>1</v>
      </c>
    </row>
    <row r="242" spans="1:19" ht="18.75" x14ac:dyDescent="0.25">
      <c r="A242" s="4">
        <v>626</v>
      </c>
      <c r="B242" s="4" t="s">
        <v>38</v>
      </c>
      <c r="C242" s="4"/>
      <c r="D242" s="28" t="s">
        <v>607</v>
      </c>
      <c r="E242" s="31" t="s">
        <v>22</v>
      </c>
      <c r="F242" s="5" t="s">
        <v>22</v>
      </c>
      <c r="G242" s="21">
        <v>1</v>
      </c>
      <c r="H242" s="22">
        <f>VLOOKUP($D242,'Master File June-26'!$D$3:$O$670,5,0)</f>
        <v>0</v>
      </c>
      <c r="I242" s="22">
        <f>VLOOKUP($D242,'Master File June-26'!$D$3:$O$670,6,0)</f>
        <v>0</v>
      </c>
      <c r="J242" s="5">
        <f>VLOOKUP($D242,'Master File June-26'!$D$3:$O$670,7,0)</f>
        <v>14</v>
      </c>
      <c r="K242" s="23">
        <f>VLOOKUP($D242,'Master File June-26'!$D$3:$O$670,8,0)</f>
        <v>0</v>
      </c>
      <c r="L242" s="58">
        <f>VLOOKUP($D242,'Master File June-26'!$D$3:$O$670,9,0)</f>
        <v>0</v>
      </c>
      <c r="M242" s="24">
        <f t="shared" si="12"/>
        <v>0</v>
      </c>
      <c r="N242" s="25" t="str">
        <f t="shared" si="13"/>
        <v>ORDER NOW</v>
      </c>
      <c r="O242" s="25" t="str">
        <f t="shared" si="14"/>
        <v>CRITICAL</v>
      </c>
      <c r="S242" s="79">
        <f t="shared" si="15"/>
        <v>1</v>
      </c>
    </row>
    <row r="243" spans="1:19" ht="18.75" x14ac:dyDescent="0.25">
      <c r="A243" s="4">
        <v>627</v>
      </c>
      <c r="B243" s="4" t="s">
        <v>157</v>
      </c>
      <c r="C243" s="4"/>
      <c r="D243" s="40" t="s">
        <v>608</v>
      </c>
      <c r="E243" s="31" t="s">
        <v>49</v>
      </c>
      <c r="F243" s="5" t="s">
        <v>49</v>
      </c>
      <c r="G243" s="21">
        <v>1</v>
      </c>
      <c r="H243" s="22">
        <f>VLOOKUP($D243,'Master File June-26'!$D$3:$O$670,5,0)</f>
        <v>0</v>
      </c>
      <c r="I243" s="22">
        <f>VLOOKUP($D243,'Master File June-26'!$D$3:$O$670,6,0)</f>
        <v>0</v>
      </c>
      <c r="J243" s="5">
        <f>VLOOKUP($D243,'Master File June-26'!$D$3:$O$670,7,0)</f>
        <v>14</v>
      </c>
      <c r="K243" s="23">
        <f>VLOOKUP($D243,'Master File June-26'!$D$3:$O$670,8,0)</f>
        <v>0</v>
      </c>
      <c r="L243" s="58">
        <f>VLOOKUP($D243,'Master File June-26'!$D$3:$O$670,9,0)</f>
        <v>0</v>
      </c>
      <c r="M243" s="24">
        <f t="shared" si="12"/>
        <v>0</v>
      </c>
      <c r="N243" s="25" t="str">
        <f t="shared" si="13"/>
        <v>ORDER NOW</v>
      </c>
      <c r="O243" s="25" t="str">
        <f t="shared" si="14"/>
        <v>CRITICAL</v>
      </c>
      <c r="S243" s="79">
        <f t="shared" si="15"/>
        <v>1</v>
      </c>
    </row>
    <row r="244" spans="1:19" ht="18.75" x14ac:dyDescent="0.25">
      <c r="A244" s="4">
        <v>628</v>
      </c>
      <c r="B244" s="4" t="s">
        <v>157</v>
      </c>
      <c r="C244" s="4"/>
      <c r="D244" s="40" t="s">
        <v>609</v>
      </c>
      <c r="E244" s="31" t="s">
        <v>49</v>
      </c>
      <c r="F244" s="5" t="s">
        <v>49</v>
      </c>
      <c r="G244" s="21">
        <v>1</v>
      </c>
      <c r="H244" s="22">
        <f>VLOOKUP($D244,'Master File June-26'!$D$3:$O$670,5,0)</f>
        <v>0</v>
      </c>
      <c r="I244" s="22">
        <f>VLOOKUP($D244,'Master File June-26'!$D$3:$O$670,6,0)</f>
        <v>0</v>
      </c>
      <c r="J244" s="5">
        <f>VLOOKUP($D244,'Master File June-26'!$D$3:$O$670,7,0)</f>
        <v>14</v>
      </c>
      <c r="K244" s="23">
        <f>VLOOKUP($D244,'Master File June-26'!$D$3:$O$670,8,0)</f>
        <v>0</v>
      </c>
      <c r="L244" s="58">
        <f>VLOOKUP($D244,'Master File June-26'!$D$3:$O$670,9,0)</f>
        <v>0</v>
      </c>
      <c r="M244" s="24">
        <f t="shared" si="12"/>
        <v>0</v>
      </c>
      <c r="N244" s="25" t="str">
        <f t="shared" si="13"/>
        <v>ORDER NOW</v>
      </c>
      <c r="O244" s="25" t="str">
        <f t="shared" si="14"/>
        <v>CRITICAL</v>
      </c>
      <c r="S244" s="79">
        <f t="shared" si="15"/>
        <v>1</v>
      </c>
    </row>
    <row r="245" spans="1:19" ht="18.75" x14ac:dyDescent="0.25">
      <c r="A245" s="4">
        <v>629</v>
      </c>
      <c r="B245" s="4"/>
      <c r="C245" s="37"/>
      <c r="D245" s="40" t="s">
        <v>610</v>
      </c>
      <c r="E245" s="31" t="s">
        <v>49</v>
      </c>
      <c r="F245" s="5" t="s">
        <v>49</v>
      </c>
      <c r="G245" s="21">
        <v>1</v>
      </c>
      <c r="H245" s="22">
        <f>VLOOKUP($D245,'Master File June-26'!$D$3:$O$670,5,0)</f>
        <v>0</v>
      </c>
      <c r="I245" s="22">
        <f>VLOOKUP($D245,'Master File June-26'!$D$3:$O$670,6,0)</f>
        <v>0</v>
      </c>
      <c r="J245" s="5">
        <f>VLOOKUP($D245,'Master File June-26'!$D$3:$O$670,7,0)</f>
        <v>14</v>
      </c>
      <c r="K245" s="23">
        <f>VLOOKUP($D245,'Master File June-26'!$D$3:$O$670,8,0)</f>
        <v>0</v>
      </c>
      <c r="L245" s="58">
        <f>VLOOKUP($D245,'Master File June-26'!$D$3:$O$670,9,0)</f>
        <v>0</v>
      </c>
      <c r="M245" s="24">
        <f t="shared" si="12"/>
        <v>0</v>
      </c>
      <c r="N245" s="25" t="str">
        <f t="shared" si="13"/>
        <v>ORDER NOW</v>
      </c>
      <c r="O245" s="25" t="str">
        <f t="shared" si="14"/>
        <v>CRITICAL</v>
      </c>
      <c r="S245" s="79">
        <f t="shared" si="15"/>
        <v>1</v>
      </c>
    </row>
    <row r="246" spans="1:19" ht="18.75" x14ac:dyDescent="0.25">
      <c r="A246" s="4">
        <v>630</v>
      </c>
      <c r="B246" s="4"/>
      <c r="C246" s="37"/>
      <c r="D246" s="40" t="s">
        <v>611</v>
      </c>
      <c r="E246" s="31" t="s">
        <v>606</v>
      </c>
      <c r="F246" s="5" t="s">
        <v>22</v>
      </c>
      <c r="G246" s="21">
        <v>1</v>
      </c>
      <c r="H246" s="22">
        <f>VLOOKUP($D246,'Master File June-26'!$D$3:$O$670,5,0)</f>
        <v>0</v>
      </c>
      <c r="I246" s="22">
        <f>VLOOKUP($D246,'Master File June-26'!$D$3:$O$670,6,0)</f>
        <v>0</v>
      </c>
      <c r="J246" s="5">
        <f>VLOOKUP($D246,'Master File June-26'!$D$3:$O$670,7,0)</f>
        <v>14</v>
      </c>
      <c r="K246" s="23">
        <f>VLOOKUP($D246,'Master File June-26'!$D$3:$O$670,8,0)</f>
        <v>0</v>
      </c>
      <c r="L246" s="58">
        <f>VLOOKUP($D246,'Master File June-26'!$D$3:$O$670,9,0)</f>
        <v>0</v>
      </c>
      <c r="M246" s="24">
        <f t="shared" si="12"/>
        <v>0</v>
      </c>
      <c r="N246" s="25" t="str">
        <f t="shared" si="13"/>
        <v>ORDER NOW</v>
      </c>
      <c r="O246" s="25" t="str">
        <f t="shared" si="14"/>
        <v>CRITICAL</v>
      </c>
      <c r="S246" s="79">
        <f t="shared" si="15"/>
        <v>1</v>
      </c>
    </row>
    <row r="247" spans="1:19" ht="18.75" x14ac:dyDescent="0.25">
      <c r="A247" s="4">
        <v>631</v>
      </c>
      <c r="B247" s="4" t="s">
        <v>157</v>
      </c>
      <c r="C247" s="37"/>
      <c r="D247" s="40" t="s">
        <v>612</v>
      </c>
      <c r="E247" s="31" t="s">
        <v>613</v>
      </c>
      <c r="F247" s="5" t="s">
        <v>49</v>
      </c>
      <c r="G247" s="21">
        <v>1</v>
      </c>
      <c r="H247" s="22">
        <f>VLOOKUP($D247,'Master File June-26'!$D$3:$O$670,5,0)</f>
        <v>0</v>
      </c>
      <c r="I247" s="22">
        <f>VLOOKUP($D247,'Master File June-26'!$D$3:$O$670,6,0)</f>
        <v>0</v>
      </c>
      <c r="J247" s="5">
        <f>VLOOKUP($D247,'Master File June-26'!$D$3:$O$670,7,0)</f>
        <v>14</v>
      </c>
      <c r="K247" s="23">
        <f>VLOOKUP($D247,'Master File June-26'!$D$3:$O$670,8,0)</f>
        <v>0</v>
      </c>
      <c r="L247" s="58">
        <f>VLOOKUP($D247,'Master File June-26'!$D$3:$O$670,9,0)</f>
        <v>0</v>
      </c>
      <c r="M247" s="24">
        <f t="shared" si="12"/>
        <v>0</v>
      </c>
      <c r="N247" s="25" t="str">
        <f t="shared" si="13"/>
        <v>ORDER NOW</v>
      </c>
      <c r="O247" s="25" t="str">
        <f t="shared" si="14"/>
        <v>CRITICAL</v>
      </c>
      <c r="S247" s="79">
        <f t="shared" si="15"/>
        <v>1</v>
      </c>
    </row>
    <row r="248" spans="1:19" ht="18.75" x14ac:dyDescent="0.25">
      <c r="A248" s="4">
        <v>632</v>
      </c>
      <c r="B248" s="4"/>
      <c r="C248" s="37"/>
      <c r="D248" s="40" t="s">
        <v>614</v>
      </c>
      <c r="E248" s="31"/>
      <c r="F248" s="5"/>
      <c r="G248" s="21">
        <v>1</v>
      </c>
      <c r="H248" s="22">
        <f>VLOOKUP($D248,'Master File June-26'!$D$3:$O$670,5,0)</f>
        <v>0</v>
      </c>
      <c r="I248" s="22">
        <f>VLOOKUP($D248,'Master File June-26'!$D$3:$O$670,6,0)</f>
        <v>0</v>
      </c>
      <c r="J248" s="5">
        <f>VLOOKUP($D248,'Master File June-26'!$D$3:$O$670,7,0)</f>
        <v>14</v>
      </c>
      <c r="K248" s="23">
        <f>VLOOKUP($D248,'Master File June-26'!$D$3:$O$670,8,0)</f>
        <v>0</v>
      </c>
      <c r="L248" s="58">
        <f>VLOOKUP($D248,'Master File June-26'!$D$3:$O$670,9,0)</f>
        <v>0</v>
      </c>
      <c r="M248" s="24">
        <f t="shared" si="12"/>
        <v>0</v>
      </c>
      <c r="N248" s="25" t="str">
        <f t="shared" si="13"/>
        <v>ORDER NOW</v>
      </c>
      <c r="O248" s="25" t="str">
        <f t="shared" si="14"/>
        <v>CRITICAL</v>
      </c>
      <c r="S248" s="79">
        <f t="shared" si="15"/>
        <v>1</v>
      </c>
    </row>
    <row r="249" spans="1:19" ht="18.75" x14ac:dyDescent="0.25">
      <c r="A249" s="4">
        <v>633</v>
      </c>
      <c r="B249" s="4"/>
      <c r="C249" s="71"/>
      <c r="D249" s="40" t="s">
        <v>615</v>
      </c>
      <c r="E249" s="31" t="s">
        <v>49</v>
      </c>
      <c r="F249" s="5" t="s">
        <v>49</v>
      </c>
      <c r="G249" s="21">
        <v>1</v>
      </c>
      <c r="H249" s="22">
        <f>VLOOKUP($D249,'Master File June-26'!$D$3:$O$670,5,0)</f>
        <v>0</v>
      </c>
      <c r="I249" s="22">
        <f>VLOOKUP($D249,'Master File June-26'!$D$3:$O$670,6,0)</f>
        <v>0</v>
      </c>
      <c r="J249" s="5">
        <f>VLOOKUP($D249,'Master File June-26'!$D$3:$O$670,7,0)</f>
        <v>14</v>
      </c>
      <c r="K249" s="23">
        <f>VLOOKUP($D249,'Master File June-26'!$D$3:$O$670,8,0)</f>
        <v>0</v>
      </c>
      <c r="L249" s="58">
        <f>VLOOKUP($D249,'Master File June-26'!$D$3:$O$670,9,0)</f>
        <v>0</v>
      </c>
      <c r="M249" s="24">
        <f t="shared" si="12"/>
        <v>0</v>
      </c>
      <c r="N249" s="25" t="str">
        <f t="shared" si="13"/>
        <v>ORDER NOW</v>
      </c>
      <c r="O249" s="25" t="str">
        <f t="shared" si="14"/>
        <v>CRITICAL</v>
      </c>
      <c r="S249" s="79">
        <f t="shared" si="15"/>
        <v>1</v>
      </c>
    </row>
    <row r="250" spans="1:19" ht="18.75" x14ac:dyDescent="0.25">
      <c r="A250" s="4">
        <v>634</v>
      </c>
      <c r="B250" s="4"/>
      <c r="C250" s="71"/>
      <c r="D250" s="40" t="s">
        <v>616</v>
      </c>
      <c r="E250" s="31" t="s">
        <v>22</v>
      </c>
      <c r="F250" s="5" t="s">
        <v>22</v>
      </c>
      <c r="G250" s="21">
        <v>1</v>
      </c>
      <c r="H250" s="22">
        <f>VLOOKUP($D250,'Master File June-26'!$D$3:$O$670,5,0)</f>
        <v>0</v>
      </c>
      <c r="I250" s="22">
        <f>VLOOKUP($D250,'Master File June-26'!$D$3:$O$670,6,0)</f>
        <v>0</v>
      </c>
      <c r="J250" s="5">
        <f>VLOOKUP($D250,'Master File June-26'!$D$3:$O$670,7,0)</f>
        <v>14</v>
      </c>
      <c r="K250" s="23">
        <f>VLOOKUP($D250,'Master File June-26'!$D$3:$O$670,8,0)</f>
        <v>0</v>
      </c>
      <c r="L250" s="58">
        <f>VLOOKUP($D250,'Master File June-26'!$D$3:$O$670,9,0)</f>
        <v>0</v>
      </c>
      <c r="M250" s="24">
        <f t="shared" si="12"/>
        <v>0</v>
      </c>
      <c r="N250" s="25" t="str">
        <f t="shared" si="13"/>
        <v>ORDER NOW</v>
      </c>
      <c r="O250" s="25" t="str">
        <f t="shared" si="14"/>
        <v>CRITICAL</v>
      </c>
      <c r="S250" s="79">
        <f t="shared" si="15"/>
        <v>1</v>
      </c>
    </row>
    <row r="251" spans="1:19" ht="18.75" x14ac:dyDescent="0.25">
      <c r="A251" s="4">
        <v>635</v>
      </c>
      <c r="B251" s="4" t="s">
        <v>157</v>
      </c>
      <c r="C251" s="71"/>
      <c r="D251" s="40" t="s">
        <v>617</v>
      </c>
      <c r="E251" s="31" t="s">
        <v>22</v>
      </c>
      <c r="F251" s="5" t="s">
        <v>22</v>
      </c>
      <c r="G251" s="21">
        <v>1</v>
      </c>
      <c r="H251" s="22">
        <f>VLOOKUP($D251,'Master File June-26'!$D$3:$O$670,5,0)</f>
        <v>0</v>
      </c>
      <c r="I251" s="22">
        <f>VLOOKUP($D251,'Master File June-26'!$D$3:$O$670,6,0)</f>
        <v>0</v>
      </c>
      <c r="J251" s="5">
        <f>VLOOKUP($D251,'Master File June-26'!$D$3:$O$670,7,0)</f>
        <v>14</v>
      </c>
      <c r="K251" s="23">
        <f>VLOOKUP($D251,'Master File June-26'!$D$3:$O$670,8,0)</f>
        <v>0</v>
      </c>
      <c r="L251" s="58">
        <f>VLOOKUP($D251,'Master File June-26'!$D$3:$O$670,9,0)</f>
        <v>0</v>
      </c>
      <c r="M251" s="24">
        <f t="shared" si="12"/>
        <v>0</v>
      </c>
      <c r="N251" s="25" t="str">
        <f t="shared" si="13"/>
        <v>ORDER NOW</v>
      </c>
      <c r="O251" s="25" t="str">
        <f t="shared" si="14"/>
        <v>CRITICAL</v>
      </c>
      <c r="S251" s="79">
        <f t="shared" si="15"/>
        <v>1</v>
      </c>
    </row>
    <row r="252" spans="1:19" ht="18.75" x14ac:dyDescent="0.25">
      <c r="A252" s="4">
        <v>636</v>
      </c>
      <c r="B252" s="4" t="s">
        <v>157</v>
      </c>
      <c r="C252" s="71"/>
      <c r="D252" s="40" t="s">
        <v>618</v>
      </c>
      <c r="E252" s="31" t="s">
        <v>22</v>
      </c>
      <c r="F252" s="5" t="s">
        <v>22</v>
      </c>
      <c r="G252" s="21">
        <v>1</v>
      </c>
      <c r="H252" s="22">
        <f>VLOOKUP($D252,'Master File June-26'!$D$3:$O$670,5,0)</f>
        <v>0</v>
      </c>
      <c r="I252" s="22">
        <f>VLOOKUP($D252,'Master File June-26'!$D$3:$O$670,6,0)</f>
        <v>0</v>
      </c>
      <c r="J252" s="5">
        <f>VLOOKUP($D252,'Master File June-26'!$D$3:$O$670,7,0)</f>
        <v>14</v>
      </c>
      <c r="K252" s="23">
        <f>VLOOKUP($D252,'Master File June-26'!$D$3:$O$670,8,0)</f>
        <v>0</v>
      </c>
      <c r="L252" s="58">
        <f>VLOOKUP($D252,'Master File June-26'!$D$3:$O$670,9,0)</f>
        <v>0</v>
      </c>
      <c r="M252" s="24">
        <f t="shared" si="12"/>
        <v>0</v>
      </c>
      <c r="N252" s="25" t="str">
        <f t="shared" si="13"/>
        <v>ORDER NOW</v>
      </c>
      <c r="O252" s="25" t="str">
        <f t="shared" si="14"/>
        <v>CRITICAL</v>
      </c>
      <c r="S252" s="79">
        <f t="shared" si="15"/>
        <v>1</v>
      </c>
    </row>
    <row r="253" spans="1:19" ht="18.75" x14ac:dyDescent="0.25">
      <c r="A253" s="4">
        <v>637</v>
      </c>
      <c r="B253" s="4" t="s">
        <v>157</v>
      </c>
      <c r="C253" s="71"/>
      <c r="D253" s="40" t="s">
        <v>619</v>
      </c>
      <c r="E253" s="31" t="s">
        <v>22</v>
      </c>
      <c r="F253" s="5" t="s">
        <v>22</v>
      </c>
      <c r="G253" s="21">
        <v>1</v>
      </c>
      <c r="H253" s="22">
        <f>VLOOKUP($D253,'Master File June-26'!$D$3:$O$670,5,0)</f>
        <v>0</v>
      </c>
      <c r="I253" s="22">
        <f>VLOOKUP($D253,'Master File June-26'!$D$3:$O$670,6,0)</f>
        <v>0</v>
      </c>
      <c r="J253" s="5">
        <f>VLOOKUP($D253,'Master File June-26'!$D$3:$O$670,7,0)</f>
        <v>14</v>
      </c>
      <c r="K253" s="23">
        <f>VLOOKUP($D253,'Master File June-26'!$D$3:$O$670,8,0)</f>
        <v>0</v>
      </c>
      <c r="L253" s="58">
        <f>VLOOKUP($D253,'Master File June-26'!$D$3:$O$670,9,0)</f>
        <v>0</v>
      </c>
      <c r="M253" s="24">
        <f t="shared" si="12"/>
        <v>0</v>
      </c>
      <c r="N253" s="25" t="str">
        <f t="shared" si="13"/>
        <v>ORDER NOW</v>
      </c>
      <c r="O253" s="25" t="str">
        <f t="shared" si="14"/>
        <v>CRITICAL</v>
      </c>
      <c r="S253" s="79">
        <f t="shared" si="15"/>
        <v>1</v>
      </c>
    </row>
    <row r="254" spans="1:19" ht="18.75" x14ac:dyDescent="0.25">
      <c r="A254" s="4">
        <v>638</v>
      </c>
      <c r="B254" s="4" t="s">
        <v>157</v>
      </c>
      <c r="C254" s="71"/>
      <c r="D254" s="40" t="s">
        <v>620</v>
      </c>
      <c r="E254" s="31" t="s">
        <v>22</v>
      </c>
      <c r="F254" s="5" t="s">
        <v>22</v>
      </c>
      <c r="G254" s="21">
        <v>1</v>
      </c>
      <c r="H254" s="22">
        <f>VLOOKUP($D254,'Master File June-26'!$D$3:$O$670,5,0)</f>
        <v>0</v>
      </c>
      <c r="I254" s="22">
        <f>VLOOKUP($D254,'Master File June-26'!$D$3:$O$670,6,0)</f>
        <v>0</v>
      </c>
      <c r="J254" s="5">
        <f>VLOOKUP($D254,'Master File June-26'!$D$3:$O$670,7,0)</f>
        <v>14</v>
      </c>
      <c r="K254" s="23">
        <f>VLOOKUP($D254,'Master File June-26'!$D$3:$O$670,8,0)</f>
        <v>0</v>
      </c>
      <c r="L254" s="58">
        <f>VLOOKUP($D254,'Master File June-26'!$D$3:$O$670,9,0)</f>
        <v>0</v>
      </c>
      <c r="M254" s="24">
        <f t="shared" si="12"/>
        <v>0</v>
      </c>
      <c r="N254" s="25" t="str">
        <f t="shared" si="13"/>
        <v>ORDER NOW</v>
      </c>
      <c r="O254" s="25" t="str">
        <f t="shared" si="14"/>
        <v>CRITICAL</v>
      </c>
      <c r="S254" s="79">
        <f t="shared" si="15"/>
        <v>1</v>
      </c>
    </row>
    <row r="255" spans="1:19" ht="18.75" x14ac:dyDescent="0.25">
      <c r="A255" s="4">
        <v>639</v>
      </c>
      <c r="B255" s="4" t="s">
        <v>239</v>
      </c>
      <c r="C255" s="71"/>
      <c r="D255" s="40" t="s">
        <v>621</v>
      </c>
      <c r="E255" s="31" t="s">
        <v>49</v>
      </c>
      <c r="F255" s="5" t="s">
        <v>49</v>
      </c>
      <c r="G255" s="21">
        <v>1</v>
      </c>
      <c r="H255" s="22">
        <f>VLOOKUP($D255,'Master File June-26'!$D$3:$O$670,5,0)</f>
        <v>0</v>
      </c>
      <c r="I255" s="22">
        <f>VLOOKUP($D255,'Master File June-26'!$D$3:$O$670,6,0)</f>
        <v>0</v>
      </c>
      <c r="J255" s="5">
        <f>VLOOKUP($D255,'Master File June-26'!$D$3:$O$670,7,0)</f>
        <v>14</v>
      </c>
      <c r="K255" s="23">
        <f>VLOOKUP($D255,'Master File June-26'!$D$3:$O$670,8,0)</f>
        <v>0</v>
      </c>
      <c r="L255" s="58">
        <f>VLOOKUP($D255,'Master File June-26'!$D$3:$O$670,9,0)</f>
        <v>0</v>
      </c>
      <c r="M255" s="24">
        <f t="shared" si="12"/>
        <v>0</v>
      </c>
      <c r="N255" s="25" t="str">
        <f t="shared" si="13"/>
        <v>ORDER NOW</v>
      </c>
      <c r="O255" s="25" t="str">
        <f t="shared" si="14"/>
        <v>CRITICAL</v>
      </c>
      <c r="S255" s="79">
        <f t="shared" si="15"/>
        <v>1</v>
      </c>
    </row>
    <row r="256" spans="1:19" ht="18.75" x14ac:dyDescent="0.25">
      <c r="A256" s="4">
        <v>640</v>
      </c>
      <c r="B256" s="4" t="s">
        <v>239</v>
      </c>
      <c r="C256" s="71"/>
      <c r="D256" s="40" t="s">
        <v>622</v>
      </c>
      <c r="E256" s="31" t="s">
        <v>49</v>
      </c>
      <c r="F256" s="5" t="s">
        <v>49</v>
      </c>
      <c r="G256" s="21">
        <v>1</v>
      </c>
      <c r="H256" s="22">
        <f>VLOOKUP($D256,'Master File June-26'!$D$3:$O$670,5,0)</f>
        <v>0</v>
      </c>
      <c r="I256" s="22">
        <f>VLOOKUP($D256,'Master File June-26'!$D$3:$O$670,6,0)</f>
        <v>0</v>
      </c>
      <c r="J256" s="5">
        <f>VLOOKUP($D256,'Master File June-26'!$D$3:$O$670,7,0)</f>
        <v>14</v>
      </c>
      <c r="K256" s="23">
        <f>VLOOKUP($D256,'Master File June-26'!$D$3:$O$670,8,0)</f>
        <v>0</v>
      </c>
      <c r="L256" s="58">
        <f>VLOOKUP($D256,'Master File June-26'!$D$3:$O$670,9,0)</f>
        <v>0</v>
      </c>
      <c r="M256" s="24">
        <f t="shared" si="12"/>
        <v>0</v>
      </c>
      <c r="N256" s="25" t="str">
        <f t="shared" si="13"/>
        <v>ORDER NOW</v>
      </c>
      <c r="O256" s="25" t="str">
        <f t="shared" si="14"/>
        <v>CRITICAL</v>
      </c>
      <c r="S256" s="79">
        <f t="shared" si="15"/>
        <v>1</v>
      </c>
    </row>
    <row r="257" spans="1:19" ht="18.75" x14ac:dyDescent="0.25">
      <c r="A257" s="4">
        <v>641</v>
      </c>
      <c r="B257" s="4" t="s">
        <v>239</v>
      </c>
      <c r="C257" s="71"/>
      <c r="D257" s="40" t="s">
        <v>623</v>
      </c>
      <c r="E257" s="31" t="s">
        <v>49</v>
      </c>
      <c r="F257" s="5" t="s">
        <v>49</v>
      </c>
      <c r="G257" s="21">
        <v>1</v>
      </c>
      <c r="H257" s="22">
        <f>VLOOKUP($D257,'Master File June-26'!$D$3:$O$670,5,0)</f>
        <v>0</v>
      </c>
      <c r="I257" s="22">
        <f>VLOOKUP($D257,'Master File June-26'!$D$3:$O$670,6,0)</f>
        <v>0</v>
      </c>
      <c r="J257" s="5">
        <f>VLOOKUP($D257,'Master File June-26'!$D$3:$O$670,7,0)</f>
        <v>14</v>
      </c>
      <c r="K257" s="23">
        <f>VLOOKUP($D257,'Master File June-26'!$D$3:$O$670,8,0)</f>
        <v>0</v>
      </c>
      <c r="L257" s="58">
        <f>VLOOKUP($D257,'Master File June-26'!$D$3:$O$670,9,0)</f>
        <v>0</v>
      </c>
      <c r="M257" s="24">
        <f t="shared" si="12"/>
        <v>0</v>
      </c>
      <c r="N257" s="25" t="str">
        <f t="shared" si="13"/>
        <v>ORDER NOW</v>
      </c>
      <c r="O257" s="25" t="str">
        <f t="shared" si="14"/>
        <v>CRITICAL</v>
      </c>
      <c r="S257" s="79">
        <f t="shared" si="15"/>
        <v>1</v>
      </c>
    </row>
    <row r="258" spans="1:19" ht="18.75" x14ac:dyDescent="0.25">
      <c r="A258" s="4">
        <v>642</v>
      </c>
      <c r="B258" s="4" t="s">
        <v>239</v>
      </c>
      <c r="C258" s="71"/>
      <c r="D258" s="40" t="s">
        <v>624</v>
      </c>
      <c r="E258" s="31" t="s">
        <v>49</v>
      </c>
      <c r="F258" s="5" t="s">
        <v>49</v>
      </c>
      <c r="G258" s="21">
        <v>1</v>
      </c>
      <c r="H258" s="22">
        <f>VLOOKUP($D258,'Master File June-26'!$D$3:$O$670,5,0)</f>
        <v>0</v>
      </c>
      <c r="I258" s="22">
        <f>VLOOKUP($D258,'Master File June-26'!$D$3:$O$670,6,0)</f>
        <v>0</v>
      </c>
      <c r="J258" s="5">
        <f>VLOOKUP($D258,'Master File June-26'!$D$3:$O$670,7,0)</f>
        <v>14</v>
      </c>
      <c r="K258" s="23">
        <f>VLOOKUP($D258,'Master File June-26'!$D$3:$O$670,8,0)</f>
        <v>0</v>
      </c>
      <c r="L258" s="58">
        <f>VLOOKUP($D258,'Master File June-26'!$D$3:$O$670,9,0)</f>
        <v>0</v>
      </c>
      <c r="M258" s="24">
        <f t="shared" si="12"/>
        <v>0</v>
      </c>
      <c r="N258" s="25" t="str">
        <f t="shared" si="13"/>
        <v>ORDER NOW</v>
      </c>
      <c r="O258" s="25" t="str">
        <f t="shared" si="14"/>
        <v>CRITICAL</v>
      </c>
      <c r="S258" s="79">
        <f t="shared" si="15"/>
        <v>1</v>
      </c>
    </row>
    <row r="259" spans="1:19" ht="18.75" x14ac:dyDescent="0.25">
      <c r="A259" s="4">
        <v>643</v>
      </c>
      <c r="B259" s="4" t="s">
        <v>38</v>
      </c>
      <c r="C259" s="4"/>
      <c r="D259" s="20" t="s">
        <v>625</v>
      </c>
      <c r="E259" s="31" t="s">
        <v>49</v>
      </c>
      <c r="F259" s="5" t="s">
        <v>49</v>
      </c>
      <c r="G259" s="21">
        <v>1</v>
      </c>
      <c r="H259" s="22">
        <f>VLOOKUP($D259,'Master File June-26'!$D$3:$O$670,5,0)</f>
        <v>0</v>
      </c>
      <c r="I259" s="22">
        <f>VLOOKUP($D259,'Master File June-26'!$D$3:$O$670,6,0)</f>
        <v>0</v>
      </c>
      <c r="J259" s="5">
        <f>VLOOKUP($D259,'Master File June-26'!$D$3:$O$670,7,0)</f>
        <v>14</v>
      </c>
      <c r="K259" s="23">
        <f>VLOOKUP($D259,'Master File June-26'!$D$3:$O$670,8,0)</f>
        <v>0</v>
      </c>
      <c r="L259" s="58">
        <f>VLOOKUP($D259,'Master File June-26'!$D$3:$O$670,9,0)</f>
        <v>0</v>
      </c>
      <c r="M259" s="24">
        <f t="shared" ref="M259:M322" si="16">IFERROR((L259/I259*30),0)</f>
        <v>0</v>
      </c>
      <c r="N259" s="25" t="str">
        <f t="shared" ref="N259:N322" si="17">IF(M259&lt;J259,"ORDER NOW","IN STOCK")</f>
        <v>ORDER NOW</v>
      </c>
      <c r="O259" s="25" t="str">
        <f t="shared" ref="O259:O322" si="18">IF(M259&lt;J259,"CRITICAL","FOLLOW UP DELIVERY")</f>
        <v>CRITICAL</v>
      </c>
      <c r="S259" s="79">
        <f t="shared" ref="S259:S322" si="19">IF(L259&lt;K259,0,1)</f>
        <v>1</v>
      </c>
    </row>
    <row r="260" spans="1:19" ht="18.75" x14ac:dyDescent="0.25">
      <c r="A260" s="4">
        <v>644</v>
      </c>
      <c r="B260" s="4" t="s">
        <v>38</v>
      </c>
      <c r="C260" s="4"/>
      <c r="D260" s="20" t="s">
        <v>626</v>
      </c>
      <c r="E260" s="31" t="s">
        <v>49</v>
      </c>
      <c r="F260" s="5" t="s">
        <v>49</v>
      </c>
      <c r="G260" s="21">
        <v>1</v>
      </c>
      <c r="H260" s="22">
        <f>VLOOKUP($D260,'Master File June-26'!$D$3:$O$670,5,0)</f>
        <v>0</v>
      </c>
      <c r="I260" s="22">
        <f>VLOOKUP($D260,'Master File June-26'!$D$3:$O$670,6,0)</f>
        <v>0</v>
      </c>
      <c r="J260" s="5">
        <f>VLOOKUP($D260,'Master File June-26'!$D$3:$O$670,7,0)</f>
        <v>14</v>
      </c>
      <c r="K260" s="23">
        <f>VLOOKUP($D260,'Master File June-26'!$D$3:$O$670,8,0)</f>
        <v>0</v>
      </c>
      <c r="L260" s="58">
        <f>VLOOKUP($D260,'Master File June-26'!$D$3:$O$670,9,0)</f>
        <v>0</v>
      </c>
      <c r="M260" s="24">
        <f t="shared" si="16"/>
        <v>0</v>
      </c>
      <c r="N260" s="25" t="str">
        <f t="shared" si="17"/>
        <v>ORDER NOW</v>
      </c>
      <c r="O260" s="25" t="str">
        <f t="shared" si="18"/>
        <v>CRITICAL</v>
      </c>
      <c r="S260" s="79">
        <f t="shared" si="19"/>
        <v>1</v>
      </c>
    </row>
    <row r="261" spans="1:19" ht="18.75" x14ac:dyDescent="0.25">
      <c r="A261" s="4">
        <v>645</v>
      </c>
      <c r="B261" s="4" t="s">
        <v>38</v>
      </c>
      <c r="C261" s="4"/>
      <c r="D261" s="20" t="s">
        <v>627</v>
      </c>
      <c r="E261" s="31" t="s">
        <v>49</v>
      </c>
      <c r="F261" s="5" t="s">
        <v>49</v>
      </c>
      <c r="G261" s="21">
        <v>1</v>
      </c>
      <c r="H261" s="22">
        <f>VLOOKUP($D261,'Master File June-26'!$D$3:$O$670,5,0)</f>
        <v>0</v>
      </c>
      <c r="I261" s="22">
        <f>VLOOKUP($D261,'Master File June-26'!$D$3:$O$670,6,0)</f>
        <v>0</v>
      </c>
      <c r="J261" s="5">
        <f>VLOOKUP($D261,'Master File June-26'!$D$3:$O$670,7,0)</f>
        <v>14</v>
      </c>
      <c r="K261" s="23">
        <f>VLOOKUP($D261,'Master File June-26'!$D$3:$O$670,8,0)</f>
        <v>0</v>
      </c>
      <c r="L261" s="58">
        <f>VLOOKUP($D261,'Master File June-26'!$D$3:$O$670,9,0)</f>
        <v>0</v>
      </c>
      <c r="M261" s="24">
        <f t="shared" si="16"/>
        <v>0</v>
      </c>
      <c r="N261" s="25" t="str">
        <f t="shared" si="17"/>
        <v>ORDER NOW</v>
      </c>
      <c r="O261" s="25" t="str">
        <f t="shared" si="18"/>
        <v>CRITICAL</v>
      </c>
      <c r="S261" s="79">
        <f t="shared" si="19"/>
        <v>1</v>
      </c>
    </row>
    <row r="262" spans="1:19" ht="18.75" x14ac:dyDescent="0.25">
      <c r="A262" s="4">
        <v>646</v>
      </c>
      <c r="B262" s="4" t="s">
        <v>38</v>
      </c>
      <c r="C262" s="4"/>
      <c r="D262" s="20" t="s">
        <v>628</v>
      </c>
      <c r="E262" s="31" t="s">
        <v>49</v>
      </c>
      <c r="F262" s="5" t="s">
        <v>49</v>
      </c>
      <c r="G262" s="21">
        <v>1</v>
      </c>
      <c r="H262" s="22">
        <f>VLOOKUP($D262,'Master File June-26'!$D$3:$O$670,5,0)</f>
        <v>0</v>
      </c>
      <c r="I262" s="22">
        <f>VLOOKUP($D262,'Master File June-26'!$D$3:$O$670,6,0)</f>
        <v>0</v>
      </c>
      <c r="J262" s="5">
        <f>VLOOKUP($D262,'Master File June-26'!$D$3:$O$670,7,0)</f>
        <v>14</v>
      </c>
      <c r="K262" s="23">
        <f>VLOOKUP($D262,'Master File June-26'!$D$3:$O$670,8,0)</f>
        <v>0</v>
      </c>
      <c r="L262" s="58">
        <f>VLOOKUP($D262,'Master File June-26'!$D$3:$O$670,9,0)</f>
        <v>0</v>
      </c>
      <c r="M262" s="24">
        <f t="shared" si="16"/>
        <v>0</v>
      </c>
      <c r="N262" s="25" t="str">
        <f t="shared" si="17"/>
        <v>ORDER NOW</v>
      </c>
      <c r="O262" s="25" t="str">
        <f t="shared" si="18"/>
        <v>CRITICAL</v>
      </c>
      <c r="S262" s="79">
        <f t="shared" si="19"/>
        <v>1</v>
      </c>
    </row>
    <row r="263" spans="1:19" ht="18.75" x14ac:dyDescent="0.25">
      <c r="A263" s="4">
        <v>647</v>
      </c>
      <c r="B263" s="4" t="s">
        <v>38</v>
      </c>
      <c r="C263" s="4"/>
      <c r="D263" s="20" t="s">
        <v>629</v>
      </c>
      <c r="E263" s="31" t="s">
        <v>49</v>
      </c>
      <c r="F263" s="5" t="s">
        <v>49</v>
      </c>
      <c r="G263" s="21">
        <v>1</v>
      </c>
      <c r="H263" s="22">
        <f>VLOOKUP($D263,'Master File June-26'!$D$3:$O$670,5,0)</f>
        <v>0</v>
      </c>
      <c r="I263" s="22">
        <f>VLOOKUP($D263,'Master File June-26'!$D$3:$O$670,6,0)</f>
        <v>0</v>
      </c>
      <c r="J263" s="5">
        <f>VLOOKUP($D263,'Master File June-26'!$D$3:$O$670,7,0)</f>
        <v>14</v>
      </c>
      <c r="K263" s="23">
        <f>VLOOKUP($D263,'Master File June-26'!$D$3:$O$670,8,0)</f>
        <v>0</v>
      </c>
      <c r="L263" s="58">
        <f>VLOOKUP($D263,'Master File June-26'!$D$3:$O$670,9,0)</f>
        <v>0</v>
      </c>
      <c r="M263" s="24">
        <f t="shared" si="16"/>
        <v>0</v>
      </c>
      <c r="N263" s="25" t="str">
        <f t="shared" si="17"/>
        <v>ORDER NOW</v>
      </c>
      <c r="O263" s="25" t="str">
        <f t="shared" si="18"/>
        <v>CRITICAL</v>
      </c>
      <c r="S263" s="79">
        <f t="shared" si="19"/>
        <v>1</v>
      </c>
    </row>
    <row r="264" spans="1:19" ht="18.75" x14ac:dyDescent="0.25">
      <c r="A264" s="4">
        <v>648</v>
      </c>
      <c r="B264" s="4" t="s">
        <v>38</v>
      </c>
      <c r="C264" s="4"/>
      <c r="D264" s="20" t="s">
        <v>630</v>
      </c>
      <c r="E264" s="31" t="s">
        <v>49</v>
      </c>
      <c r="F264" s="5" t="s">
        <v>49</v>
      </c>
      <c r="G264" s="21">
        <v>1</v>
      </c>
      <c r="H264" s="22">
        <f>VLOOKUP($D264,'Master File June-26'!$D$3:$O$670,5,0)</f>
        <v>0</v>
      </c>
      <c r="I264" s="22">
        <f>VLOOKUP($D264,'Master File June-26'!$D$3:$O$670,6,0)</f>
        <v>0</v>
      </c>
      <c r="J264" s="5">
        <f>VLOOKUP($D264,'Master File June-26'!$D$3:$O$670,7,0)</f>
        <v>14</v>
      </c>
      <c r="K264" s="23">
        <f>VLOOKUP($D264,'Master File June-26'!$D$3:$O$670,8,0)</f>
        <v>0</v>
      </c>
      <c r="L264" s="58">
        <f>VLOOKUP($D264,'Master File June-26'!$D$3:$O$670,9,0)</f>
        <v>0</v>
      </c>
      <c r="M264" s="24">
        <f t="shared" si="16"/>
        <v>0</v>
      </c>
      <c r="N264" s="25" t="str">
        <f t="shared" si="17"/>
        <v>ORDER NOW</v>
      </c>
      <c r="O264" s="25" t="str">
        <f t="shared" si="18"/>
        <v>CRITICAL</v>
      </c>
      <c r="S264" s="79">
        <f t="shared" si="19"/>
        <v>1</v>
      </c>
    </row>
    <row r="265" spans="1:19" ht="18.75" x14ac:dyDescent="0.25">
      <c r="A265" s="4">
        <v>649</v>
      </c>
      <c r="B265" s="4" t="s">
        <v>61</v>
      </c>
      <c r="C265" s="51"/>
      <c r="D265" s="74" t="s">
        <v>631</v>
      </c>
      <c r="E265" s="31" t="s">
        <v>49</v>
      </c>
      <c r="F265" s="5" t="s">
        <v>49</v>
      </c>
      <c r="G265" s="21">
        <v>1</v>
      </c>
      <c r="H265" s="22">
        <f>VLOOKUP($D265,'Master File June-26'!$D$3:$O$670,5,0)</f>
        <v>0</v>
      </c>
      <c r="I265" s="22">
        <f>VLOOKUP($D265,'Master File June-26'!$D$3:$O$670,6,0)</f>
        <v>0</v>
      </c>
      <c r="J265" s="5">
        <f>VLOOKUP($D265,'Master File June-26'!$D$3:$O$670,7,0)</f>
        <v>14</v>
      </c>
      <c r="K265" s="23">
        <f>VLOOKUP($D265,'Master File June-26'!$D$3:$O$670,8,0)</f>
        <v>0</v>
      </c>
      <c r="L265" s="58">
        <f>VLOOKUP($D265,'Master File June-26'!$D$3:$O$670,9,0)</f>
        <v>0</v>
      </c>
      <c r="M265" s="24">
        <f t="shared" si="16"/>
        <v>0</v>
      </c>
      <c r="N265" s="25" t="str">
        <f t="shared" si="17"/>
        <v>ORDER NOW</v>
      </c>
      <c r="O265" s="25" t="str">
        <f t="shared" si="18"/>
        <v>CRITICAL</v>
      </c>
      <c r="S265" s="79">
        <f t="shared" si="19"/>
        <v>1</v>
      </c>
    </row>
    <row r="266" spans="1:19" ht="18.75" x14ac:dyDescent="0.25">
      <c r="A266" s="4">
        <v>650</v>
      </c>
      <c r="B266" s="4" t="s">
        <v>61</v>
      </c>
      <c r="C266" s="4"/>
      <c r="D266" s="20" t="s">
        <v>632</v>
      </c>
      <c r="E266" s="31" t="s">
        <v>49</v>
      </c>
      <c r="F266" s="5" t="s">
        <v>49</v>
      </c>
      <c r="G266" s="21">
        <v>1</v>
      </c>
      <c r="H266" s="22">
        <f>VLOOKUP($D266,'Master File June-26'!$D$3:$O$670,5,0)</f>
        <v>0</v>
      </c>
      <c r="I266" s="22">
        <f>VLOOKUP($D266,'Master File June-26'!$D$3:$O$670,6,0)</f>
        <v>0</v>
      </c>
      <c r="J266" s="5">
        <f>VLOOKUP($D266,'Master File June-26'!$D$3:$O$670,7,0)</f>
        <v>14</v>
      </c>
      <c r="K266" s="23">
        <f>VLOOKUP($D266,'Master File June-26'!$D$3:$O$670,8,0)</f>
        <v>0</v>
      </c>
      <c r="L266" s="58">
        <f>VLOOKUP($D266,'Master File June-26'!$D$3:$O$670,9,0)</f>
        <v>0</v>
      </c>
      <c r="M266" s="24">
        <f t="shared" si="16"/>
        <v>0</v>
      </c>
      <c r="N266" s="25" t="str">
        <f t="shared" si="17"/>
        <v>ORDER NOW</v>
      </c>
      <c r="O266" s="25" t="str">
        <f t="shared" si="18"/>
        <v>CRITICAL</v>
      </c>
      <c r="S266" s="79">
        <f t="shared" si="19"/>
        <v>1</v>
      </c>
    </row>
    <row r="267" spans="1:19" ht="18.75" x14ac:dyDescent="0.25">
      <c r="A267" s="4">
        <v>651</v>
      </c>
      <c r="B267" s="4" t="s">
        <v>61</v>
      </c>
      <c r="C267" s="52"/>
      <c r="D267" s="73" t="s">
        <v>633</v>
      </c>
      <c r="E267" s="31" t="s">
        <v>49</v>
      </c>
      <c r="F267" s="5" t="s">
        <v>49</v>
      </c>
      <c r="G267" s="21">
        <v>1</v>
      </c>
      <c r="H267" s="22">
        <f>VLOOKUP($D267,'Master File June-26'!$D$3:$O$670,5,0)</f>
        <v>0</v>
      </c>
      <c r="I267" s="22">
        <f>VLOOKUP($D267,'Master File June-26'!$D$3:$O$670,6,0)</f>
        <v>0</v>
      </c>
      <c r="J267" s="5">
        <f>VLOOKUP($D267,'Master File June-26'!$D$3:$O$670,7,0)</f>
        <v>14</v>
      </c>
      <c r="K267" s="23">
        <f>VLOOKUP($D267,'Master File June-26'!$D$3:$O$670,8,0)</f>
        <v>0</v>
      </c>
      <c r="L267" s="58">
        <f>VLOOKUP($D267,'Master File June-26'!$D$3:$O$670,9,0)</f>
        <v>0</v>
      </c>
      <c r="M267" s="24">
        <f t="shared" si="16"/>
        <v>0</v>
      </c>
      <c r="N267" s="25" t="str">
        <f t="shared" si="17"/>
        <v>ORDER NOW</v>
      </c>
      <c r="O267" s="25" t="str">
        <f t="shared" si="18"/>
        <v>CRITICAL</v>
      </c>
      <c r="S267" s="79">
        <f t="shared" si="19"/>
        <v>1</v>
      </c>
    </row>
    <row r="268" spans="1:19" ht="18.75" x14ac:dyDescent="0.25">
      <c r="A268" s="4">
        <v>651</v>
      </c>
      <c r="B268" s="5"/>
      <c r="C268" s="41" t="s">
        <v>511</v>
      </c>
      <c r="D268" s="73" t="s">
        <v>512</v>
      </c>
      <c r="E268" s="6" t="s">
        <v>634</v>
      </c>
      <c r="F268" s="5" t="s">
        <v>64</v>
      </c>
      <c r="G268" s="21">
        <f>1/12</f>
        <v>8.3333333333333329E-2</v>
      </c>
      <c r="H268" s="22">
        <f>VLOOKUP($C268,'Master File June-26'!$C$3:$L$670,6,0)</f>
        <v>0</v>
      </c>
      <c r="I268" s="22">
        <f>VLOOKUP($C268,'Master File June-26'!$C$3:$L$670,7,0)</f>
        <v>10</v>
      </c>
      <c r="J268" s="5">
        <f>VLOOKUP($C268,'Master File June-26'!$C$3:$L$670,8,0)</f>
        <v>14</v>
      </c>
      <c r="K268" s="23">
        <f>VLOOKUP($C268,'Master File June-26'!$C$3:$L$670,9,0)</f>
        <v>5</v>
      </c>
      <c r="L268" s="58">
        <f>VLOOKUP($C268,'Master File June-26'!$C$3:$L$670,10,0)</f>
        <v>0</v>
      </c>
      <c r="M268" s="24">
        <f t="shared" si="16"/>
        <v>0</v>
      </c>
      <c r="N268" s="25" t="str">
        <f t="shared" si="17"/>
        <v>ORDER NOW</v>
      </c>
      <c r="O268" s="25" t="str">
        <f t="shared" si="18"/>
        <v>CRITICAL</v>
      </c>
      <c r="S268" s="79">
        <f t="shared" si="19"/>
        <v>0</v>
      </c>
    </row>
    <row r="269" spans="1:19" ht="18.75" x14ac:dyDescent="0.25">
      <c r="A269" s="4">
        <v>651</v>
      </c>
      <c r="B269" s="5"/>
      <c r="C269" s="41" t="s">
        <v>635</v>
      </c>
      <c r="D269" s="73" t="s">
        <v>636</v>
      </c>
      <c r="E269" s="6" t="s">
        <v>637</v>
      </c>
      <c r="F269" s="5" t="s">
        <v>64</v>
      </c>
      <c r="G269" s="21">
        <f>1/(25*0.25)</f>
        <v>0.16</v>
      </c>
      <c r="H269" s="22">
        <f>VLOOKUP($C269,'Master File June-26'!$C$3:$L$670,6,0)</f>
        <v>5</v>
      </c>
      <c r="I269" s="22">
        <f>VLOOKUP($C269,'Master File June-26'!$C$3:$L$670,7,0)</f>
        <v>31.25</v>
      </c>
      <c r="J269" s="5">
        <f>VLOOKUP($C269,'Master File June-26'!$C$3:$L$670,8,0)</f>
        <v>14</v>
      </c>
      <c r="K269" s="23">
        <f>VLOOKUP($C269,'Master File June-26'!$C$3:$L$670,9,0)</f>
        <v>15.625</v>
      </c>
      <c r="L269" s="58">
        <f>VLOOKUP($C269,'Master File June-26'!$C$3:$L$670,10,0)</f>
        <v>0</v>
      </c>
      <c r="M269" s="24">
        <f t="shared" si="16"/>
        <v>0</v>
      </c>
      <c r="N269" s="25" t="str">
        <f t="shared" si="17"/>
        <v>ORDER NOW</v>
      </c>
      <c r="O269" s="25" t="str">
        <f t="shared" si="18"/>
        <v>CRITICAL</v>
      </c>
      <c r="S269" s="79">
        <f t="shared" si="19"/>
        <v>0</v>
      </c>
    </row>
    <row r="270" spans="1:19" ht="18.75" x14ac:dyDescent="0.25">
      <c r="A270" s="4">
        <v>651</v>
      </c>
      <c r="B270" s="5"/>
      <c r="C270" s="41" t="s">
        <v>638</v>
      </c>
      <c r="D270" s="73" t="s">
        <v>639</v>
      </c>
      <c r="E270" s="31" t="s">
        <v>49</v>
      </c>
      <c r="F270" s="5"/>
      <c r="G270" s="21">
        <v>1</v>
      </c>
      <c r="H270" s="22">
        <f>VLOOKUP($C270,'Master File June-26'!$C$3:$L$670,6,0)</f>
        <v>0</v>
      </c>
      <c r="I270" s="22">
        <f>VLOOKUP($C270,'Master File June-26'!$C$3:$L$670,7,0)</f>
        <v>2</v>
      </c>
      <c r="J270" s="5">
        <f>VLOOKUP($C270,'Master File June-26'!$C$3:$L$670,8,0)</f>
        <v>14</v>
      </c>
      <c r="K270" s="23">
        <f>VLOOKUP($C270,'Master File June-26'!$C$3:$L$670,9,0)</f>
        <v>1</v>
      </c>
      <c r="L270" s="58">
        <f>VLOOKUP($C270,'Master File June-26'!$C$3:$L$670,10,0)</f>
        <v>0</v>
      </c>
      <c r="M270" s="24">
        <f t="shared" si="16"/>
        <v>0</v>
      </c>
      <c r="N270" s="25" t="str">
        <f t="shared" si="17"/>
        <v>ORDER NOW</v>
      </c>
      <c r="O270" s="25" t="str">
        <f t="shared" si="18"/>
        <v>CRITICAL</v>
      </c>
      <c r="S270" s="79">
        <f t="shared" si="19"/>
        <v>0</v>
      </c>
    </row>
    <row r="271" spans="1:19" ht="18.75" x14ac:dyDescent="0.25">
      <c r="A271" s="4">
        <v>651</v>
      </c>
      <c r="B271" s="5"/>
      <c r="C271" s="41" t="s">
        <v>640</v>
      </c>
      <c r="D271" s="73" t="s">
        <v>641</v>
      </c>
      <c r="E271" s="31" t="s">
        <v>49</v>
      </c>
      <c r="F271" s="5"/>
      <c r="G271" s="21">
        <v>1</v>
      </c>
      <c r="H271" s="22">
        <f>VLOOKUP($C271,'Master File June-26'!$C$3:$L$670,6,0)</f>
        <v>0</v>
      </c>
      <c r="I271" s="22">
        <f>VLOOKUP($C271,'Master File June-26'!$C$3:$L$670,7,0)</f>
        <v>30</v>
      </c>
      <c r="J271" s="5">
        <f>VLOOKUP($C271,'Master File June-26'!$C$3:$L$670,8,0)</f>
        <v>14</v>
      </c>
      <c r="K271" s="23">
        <f>VLOOKUP($C271,'Master File June-26'!$C$3:$L$670,9,0)</f>
        <v>15</v>
      </c>
      <c r="L271" s="58">
        <f>VLOOKUP($C271,'Master File June-26'!$C$3:$L$670,10,0)</f>
        <v>0</v>
      </c>
      <c r="M271" s="24">
        <f t="shared" si="16"/>
        <v>0</v>
      </c>
      <c r="N271" s="25" t="str">
        <f t="shared" si="17"/>
        <v>ORDER NOW</v>
      </c>
      <c r="O271" s="25" t="str">
        <f t="shared" si="18"/>
        <v>CRITICAL</v>
      </c>
      <c r="S271" s="79">
        <f t="shared" si="19"/>
        <v>0</v>
      </c>
    </row>
    <row r="272" spans="1:19" ht="18.75" x14ac:dyDescent="0.25">
      <c r="A272" s="4">
        <v>651</v>
      </c>
      <c r="B272" s="5"/>
      <c r="C272" s="41" t="s">
        <v>642</v>
      </c>
      <c r="D272" s="73" t="s">
        <v>643</v>
      </c>
      <c r="E272" s="31" t="s">
        <v>49</v>
      </c>
      <c r="F272" s="5"/>
      <c r="G272" s="21">
        <v>1</v>
      </c>
      <c r="H272" s="22">
        <f>VLOOKUP($C272,'Master File June-26'!$C$3:$L$670,6,0)</f>
        <v>0</v>
      </c>
      <c r="I272" s="22">
        <f>VLOOKUP($C272,'Master File June-26'!$C$3:$L$670,7,0)</f>
        <v>20</v>
      </c>
      <c r="J272" s="5">
        <f>VLOOKUP($C272,'Master File June-26'!$C$3:$L$670,8,0)</f>
        <v>14</v>
      </c>
      <c r="K272" s="23">
        <f>VLOOKUP($C272,'Master File June-26'!$C$3:$L$670,9,0)</f>
        <v>10</v>
      </c>
      <c r="L272" s="58">
        <f>VLOOKUP($C272,'Master File June-26'!$C$3:$L$670,10,0)</f>
        <v>0</v>
      </c>
      <c r="M272" s="24">
        <f t="shared" si="16"/>
        <v>0</v>
      </c>
      <c r="N272" s="25" t="str">
        <f t="shared" si="17"/>
        <v>ORDER NOW</v>
      </c>
      <c r="O272" s="25" t="str">
        <f t="shared" si="18"/>
        <v>CRITICAL</v>
      </c>
      <c r="S272" s="79">
        <f t="shared" si="19"/>
        <v>0</v>
      </c>
    </row>
    <row r="273" spans="1:19" ht="18.75" x14ac:dyDescent="0.25">
      <c r="A273" s="4">
        <v>651</v>
      </c>
      <c r="B273" s="5"/>
      <c r="C273" s="41" t="s">
        <v>644</v>
      </c>
      <c r="D273" s="73" t="s">
        <v>645</v>
      </c>
      <c r="E273" s="31" t="s">
        <v>49</v>
      </c>
      <c r="F273" s="5"/>
      <c r="G273" s="21">
        <v>1</v>
      </c>
      <c r="H273" s="22">
        <f>VLOOKUP($C273,'Master File June-26'!$C$3:$L$670,6,0)</f>
        <v>0</v>
      </c>
      <c r="I273" s="22">
        <f>VLOOKUP($C273,'Master File June-26'!$C$3:$L$670,7,0)</f>
        <v>60</v>
      </c>
      <c r="J273" s="5">
        <f>VLOOKUP($C273,'Master File June-26'!$C$3:$L$670,8,0)</f>
        <v>14</v>
      </c>
      <c r="K273" s="23">
        <f>VLOOKUP($C273,'Master File June-26'!$C$3:$L$670,9,0)</f>
        <v>30</v>
      </c>
      <c r="L273" s="58">
        <f>VLOOKUP($C273,'Master File June-26'!$C$3:$L$670,10,0)</f>
        <v>0</v>
      </c>
      <c r="M273" s="24">
        <f t="shared" si="16"/>
        <v>0</v>
      </c>
      <c r="N273" s="25" t="str">
        <f t="shared" si="17"/>
        <v>ORDER NOW</v>
      </c>
      <c r="O273" s="25" t="str">
        <f t="shared" si="18"/>
        <v>CRITICAL</v>
      </c>
      <c r="S273" s="79">
        <f t="shared" si="19"/>
        <v>0</v>
      </c>
    </row>
    <row r="274" spans="1:19" ht="18.75" x14ac:dyDescent="0.25">
      <c r="A274" s="4">
        <v>651</v>
      </c>
      <c r="B274" s="5"/>
      <c r="C274" s="41" t="s">
        <v>646</v>
      </c>
      <c r="D274" s="73" t="s">
        <v>647</v>
      </c>
      <c r="E274" s="31" t="s">
        <v>49</v>
      </c>
      <c r="F274" s="5"/>
      <c r="G274" s="21">
        <v>1</v>
      </c>
      <c r="H274" s="22">
        <f>VLOOKUP($C274,'Master File June-26'!$C$3:$L$670,6,0)</f>
        <v>0</v>
      </c>
      <c r="I274" s="22">
        <f>VLOOKUP($C274,'Master File June-26'!$C$3:$L$670,7,0)</f>
        <v>10</v>
      </c>
      <c r="J274" s="5">
        <f>VLOOKUP($C274,'Master File June-26'!$C$3:$L$670,8,0)</f>
        <v>14</v>
      </c>
      <c r="K274" s="23">
        <f>VLOOKUP($C274,'Master File June-26'!$C$3:$L$670,9,0)</f>
        <v>5</v>
      </c>
      <c r="L274" s="58">
        <f>VLOOKUP($C274,'Master File June-26'!$C$3:$L$670,10,0)</f>
        <v>0</v>
      </c>
      <c r="M274" s="24">
        <f t="shared" si="16"/>
        <v>0</v>
      </c>
      <c r="N274" s="25" t="str">
        <f t="shared" si="17"/>
        <v>ORDER NOW</v>
      </c>
      <c r="O274" s="25" t="str">
        <f t="shared" si="18"/>
        <v>CRITICAL</v>
      </c>
      <c r="S274" s="79">
        <f t="shared" si="19"/>
        <v>0</v>
      </c>
    </row>
    <row r="275" spans="1:19" ht="18.75" x14ac:dyDescent="0.25">
      <c r="A275" s="4">
        <v>651</v>
      </c>
      <c r="B275" s="5"/>
      <c r="C275" s="41" t="s">
        <v>648</v>
      </c>
      <c r="D275" s="73" t="s">
        <v>649</v>
      </c>
      <c r="E275" s="31" t="s">
        <v>49</v>
      </c>
      <c r="F275" s="5"/>
      <c r="G275" s="21">
        <v>1</v>
      </c>
      <c r="H275" s="22">
        <f>VLOOKUP($C275,'Master File June-26'!$C$3:$L$670,6,0)</f>
        <v>0</v>
      </c>
      <c r="I275" s="22">
        <f>VLOOKUP($C275,'Master File June-26'!$C$3:$L$670,7,0)</f>
        <v>10</v>
      </c>
      <c r="J275" s="5">
        <f>VLOOKUP($C275,'Master File June-26'!$C$3:$L$670,8,0)</f>
        <v>14</v>
      </c>
      <c r="K275" s="23">
        <f>VLOOKUP($C275,'Master File June-26'!$C$3:$L$670,9,0)</f>
        <v>5</v>
      </c>
      <c r="L275" s="58">
        <f>VLOOKUP($C275,'Master File June-26'!$C$3:$L$670,10,0)</f>
        <v>0</v>
      </c>
      <c r="M275" s="24">
        <f t="shared" si="16"/>
        <v>0</v>
      </c>
      <c r="N275" s="25" t="str">
        <f t="shared" si="17"/>
        <v>ORDER NOW</v>
      </c>
      <c r="O275" s="25" t="str">
        <f t="shared" si="18"/>
        <v>CRITICAL</v>
      </c>
      <c r="S275" s="79">
        <f t="shared" si="19"/>
        <v>0</v>
      </c>
    </row>
    <row r="276" spans="1:19" ht="18.75" x14ac:dyDescent="0.25">
      <c r="A276" s="4">
        <v>651</v>
      </c>
      <c r="B276" s="5"/>
      <c r="C276" s="41" t="s">
        <v>650</v>
      </c>
      <c r="D276" s="73" t="s">
        <v>651</v>
      </c>
      <c r="E276" s="31" t="s">
        <v>49</v>
      </c>
      <c r="F276" s="5"/>
      <c r="G276" s="21">
        <v>1</v>
      </c>
      <c r="H276" s="22">
        <f>VLOOKUP($C276,'Master File June-26'!$C$3:$L$670,6,0)</f>
        <v>0</v>
      </c>
      <c r="I276" s="22">
        <f>VLOOKUP($C276,'Master File June-26'!$C$3:$L$670,7,0)</f>
        <v>10</v>
      </c>
      <c r="J276" s="5">
        <f>VLOOKUP($C276,'Master File June-26'!$C$3:$L$670,8,0)</f>
        <v>14</v>
      </c>
      <c r="K276" s="23">
        <f>VLOOKUP($C276,'Master File June-26'!$C$3:$L$670,9,0)</f>
        <v>5</v>
      </c>
      <c r="L276" s="58">
        <f>VLOOKUP($C276,'Master File June-26'!$C$3:$L$670,10,0)</f>
        <v>0</v>
      </c>
      <c r="M276" s="24">
        <f t="shared" si="16"/>
        <v>0</v>
      </c>
      <c r="N276" s="25" t="str">
        <f t="shared" si="17"/>
        <v>ORDER NOW</v>
      </c>
      <c r="O276" s="25" t="str">
        <f t="shared" si="18"/>
        <v>CRITICAL</v>
      </c>
      <c r="S276" s="79">
        <f t="shared" si="19"/>
        <v>0</v>
      </c>
    </row>
    <row r="277" spans="1:19" ht="18.75" x14ac:dyDescent="0.25">
      <c r="A277" s="4">
        <v>651</v>
      </c>
      <c r="B277" s="5"/>
      <c r="C277" s="41" t="s">
        <v>652</v>
      </c>
      <c r="D277" s="73" t="s">
        <v>653</v>
      </c>
      <c r="E277" s="31" t="s">
        <v>49</v>
      </c>
      <c r="F277" s="5"/>
      <c r="G277" s="21">
        <v>1</v>
      </c>
      <c r="H277" s="22">
        <f>VLOOKUP($C277,'Master File June-26'!$C$3:$L$670,6,0)</f>
        <v>0</v>
      </c>
      <c r="I277" s="22">
        <f>VLOOKUP($C277,'Master File June-26'!$C$3:$L$670,7,0)</f>
        <v>10</v>
      </c>
      <c r="J277" s="5">
        <f>VLOOKUP($C277,'Master File June-26'!$C$3:$L$670,8,0)</f>
        <v>14</v>
      </c>
      <c r="K277" s="23">
        <f>VLOOKUP($C277,'Master File June-26'!$C$3:$L$670,9,0)</f>
        <v>5</v>
      </c>
      <c r="L277" s="58">
        <f>VLOOKUP($C277,'Master File June-26'!$C$3:$L$670,10,0)</f>
        <v>3.1999999999999997</v>
      </c>
      <c r="M277" s="24">
        <f t="shared" si="16"/>
        <v>9.5999999999999979</v>
      </c>
      <c r="N277" s="25" t="str">
        <f t="shared" si="17"/>
        <v>ORDER NOW</v>
      </c>
      <c r="O277" s="25" t="str">
        <f t="shared" si="18"/>
        <v>CRITICAL</v>
      </c>
      <c r="S277" s="79">
        <f t="shared" si="19"/>
        <v>0</v>
      </c>
    </row>
    <row r="278" spans="1:19" ht="18.75" x14ac:dyDescent="0.25">
      <c r="A278" s="4">
        <v>651</v>
      </c>
      <c r="B278" s="5"/>
      <c r="C278" s="41" t="s">
        <v>654</v>
      </c>
      <c r="D278" s="73" t="s">
        <v>655</v>
      </c>
      <c r="E278" s="31" t="s">
        <v>49</v>
      </c>
      <c r="F278" s="5"/>
      <c r="G278" s="21">
        <v>1</v>
      </c>
      <c r="H278" s="22">
        <f>VLOOKUP($C278,'Master File June-26'!$C$3:$L$670,6,0)</f>
        <v>0</v>
      </c>
      <c r="I278" s="22">
        <f>VLOOKUP($C278,'Master File June-26'!$C$3:$L$670,7,0)</f>
        <v>10</v>
      </c>
      <c r="J278" s="5">
        <f>VLOOKUP($C278,'Master File June-26'!$C$3:$L$670,8,0)</f>
        <v>14</v>
      </c>
      <c r="K278" s="23">
        <f>VLOOKUP($C278,'Master File June-26'!$C$3:$L$670,9,0)</f>
        <v>5</v>
      </c>
      <c r="L278" s="58">
        <f>VLOOKUP($C278,'Master File June-26'!$C$3:$L$670,10,0)</f>
        <v>0</v>
      </c>
      <c r="M278" s="24">
        <f t="shared" si="16"/>
        <v>0</v>
      </c>
      <c r="N278" s="25" t="str">
        <f t="shared" si="17"/>
        <v>ORDER NOW</v>
      </c>
      <c r="O278" s="25" t="str">
        <f t="shared" si="18"/>
        <v>CRITICAL</v>
      </c>
      <c r="S278" s="79">
        <f t="shared" si="19"/>
        <v>0</v>
      </c>
    </row>
    <row r="279" spans="1:19" ht="18.75" x14ac:dyDescent="0.25">
      <c r="A279" s="4">
        <v>651</v>
      </c>
      <c r="B279" s="5"/>
      <c r="C279" s="41" t="s">
        <v>656</v>
      </c>
      <c r="D279" s="73" t="s">
        <v>657</v>
      </c>
      <c r="E279" s="31" t="s">
        <v>49</v>
      </c>
      <c r="F279" s="5"/>
      <c r="G279" s="21">
        <v>1</v>
      </c>
      <c r="H279" s="22">
        <f>VLOOKUP($C279,'Master File June-26'!$C$3:$L$670,6,0)</f>
        <v>0</v>
      </c>
      <c r="I279" s="22">
        <f>VLOOKUP($C279,'Master File June-26'!$C$3:$L$670,7,0)</f>
        <v>5</v>
      </c>
      <c r="J279" s="5">
        <f>VLOOKUP($C279,'Master File June-26'!$C$3:$L$670,8,0)</f>
        <v>14</v>
      </c>
      <c r="K279" s="23">
        <f>VLOOKUP($C279,'Master File June-26'!$C$3:$L$670,9,0)</f>
        <v>2.5</v>
      </c>
      <c r="L279" s="58">
        <f>VLOOKUP($C279,'Master File June-26'!$C$3:$L$670,10,0)</f>
        <v>0</v>
      </c>
      <c r="M279" s="24">
        <f t="shared" si="16"/>
        <v>0</v>
      </c>
      <c r="N279" s="25" t="str">
        <f t="shared" si="17"/>
        <v>ORDER NOW</v>
      </c>
      <c r="O279" s="25" t="str">
        <f t="shared" si="18"/>
        <v>CRITICAL</v>
      </c>
      <c r="S279" s="79">
        <f t="shared" si="19"/>
        <v>0</v>
      </c>
    </row>
    <row r="280" spans="1:19" ht="18.75" x14ac:dyDescent="0.25">
      <c r="A280" s="4">
        <v>651</v>
      </c>
      <c r="B280" s="5"/>
      <c r="C280" s="41" t="s">
        <v>658</v>
      </c>
      <c r="D280" s="73" t="s">
        <v>659</v>
      </c>
      <c r="E280" s="31" t="s">
        <v>49</v>
      </c>
      <c r="F280" s="5"/>
      <c r="G280" s="21">
        <v>1</v>
      </c>
      <c r="H280" s="22">
        <f>VLOOKUP($C280,'Master File June-26'!$C$3:$L$670,6,0)</f>
        <v>0</v>
      </c>
      <c r="I280" s="22">
        <f>VLOOKUP($C280,'Master File June-26'!$C$3:$L$670,7,0)</f>
        <v>5</v>
      </c>
      <c r="J280" s="5">
        <f>VLOOKUP($C280,'Master File June-26'!$C$3:$L$670,8,0)</f>
        <v>14</v>
      </c>
      <c r="K280" s="23">
        <f>VLOOKUP($C280,'Master File June-26'!$C$3:$L$670,9,0)</f>
        <v>2.5</v>
      </c>
      <c r="L280" s="58">
        <f>VLOOKUP($C280,'Master File June-26'!$C$3:$L$670,10,0)</f>
        <v>0</v>
      </c>
      <c r="M280" s="24">
        <f t="shared" si="16"/>
        <v>0</v>
      </c>
      <c r="N280" s="25" t="str">
        <f t="shared" si="17"/>
        <v>ORDER NOW</v>
      </c>
      <c r="O280" s="25" t="str">
        <f t="shared" si="18"/>
        <v>CRITICAL</v>
      </c>
      <c r="S280" s="79">
        <f t="shared" si="19"/>
        <v>0</v>
      </c>
    </row>
    <row r="281" spans="1:19" ht="18.75" x14ac:dyDescent="0.25">
      <c r="A281" s="4">
        <v>651</v>
      </c>
      <c r="B281" s="5"/>
      <c r="C281" s="41" t="s">
        <v>660</v>
      </c>
      <c r="D281" s="73" t="s">
        <v>661</v>
      </c>
      <c r="E281" s="31" t="s">
        <v>49</v>
      </c>
      <c r="F281" s="5"/>
      <c r="G281" s="21">
        <v>1</v>
      </c>
      <c r="H281" s="22">
        <f>VLOOKUP($C281,'Master File June-26'!$C$3:$L$670,6,0)</f>
        <v>0</v>
      </c>
      <c r="I281" s="22">
        <f>VLOOKUP($C281,'Master File June-26'!$C$3:$L$670,7,0)</f>
        <v>10</v>
      </c>
      <c r="J281" s="5">
        <f>VLOOKUP($C281,'Master File June-26'!$C$3:$L$670,8,0)</f>
        <v>14</v>
      </c>
      <c r="K281" s="23">
        <f>VLOOKUP($C281,'Master File June-26'!$C$3:$L$670,9,0)</f>
        <v>5</v>
      </c>
      <c r="L281" s="58">
        <f>VLOOKUP($C281,'Master File June-26'!$C$3:$L$670,10,0)</f>
        <v>0</v>
      </c>
      <c r="M281" s="24">
        <f t="shared" si="16"/>
        <v>0</v>
      </c>
      <c r="N281" s="25" t="str">
        <f t="shared" si="17"/>
        <v>ORDER NOW</v>
      </c>
      <c r="O281" s="25" t="str">
        <f t="shared" si="18"/>
        <v>CRITICAL</v>
      </c>
      <c r="S281" s="79">
        <f t="shared" si="19"/>
        <v>0</v>
      </c>
    </row>
    <row r="282" spans="1:19" ht="18.75" x14ac:dyDescent="0.25">
      <c r="A282" s="4">
        <v>651</v>
      </c>
      <c r="B282" s="5"/>
      <c r="C282" s="41"/>
      <c r="D282" s="73" t="s">
        <v>662</v>
      </c>
      <c r="E282" s="31" t="s">
        <v>49</v>
      </c>
      <c r="F282" s="5"/>
      <c r="G282" s="21">
        <v>1</v>
      </c>
      <c r="H282" s="22">
        <f>VLOOKUP($D282,'Master File June-26'!$D$3:$O$670,5,0)</f>
        <v>0</v>
      </c>
      <c r="I282" s="22">
        <f>VLOOKUP($D282,'Master File June-26'!$D$3:$O$670,6,0)</f>
        <v>5</v>
      </c>
      <c r="J282" s="5">
        <f>VLOOKUP($D282,'Master File June-26'!$D$3:$O$670,7,0)</f>
        <v>14</v>
      </c>
      <c r="K282" s="23">
        <f>VLOOKUP($D282,'Master File June-26'!$D$3:$O$670,8,0)</f>
        <v>2.5</v>
      </c>
      <c r="L282" s="58">
        <f>VLOOKUP($D282,'Master File June-26'!$D$3:$O$670,9,0)</f>
        <v>0</v>
      </c>
      <c r="M282" s="24">
        <f t="shared" si="16"/>
        <v>0</v>
      </c>
      <c r="N282" s="25" t="str">
        <f t="shared" si="17"/>
        <v>ORDER NOW</v>
      </c>
      <c r="O282" s="25" t="str">
        <f t="shared" si="18"/>
        <v>CRITICAL</v>
      </c>
      <c r="S282" s="79">
        <f t="shared" si="19"/>
        <v>0</v>
      </c>
    </row>
    <row r="283" spans="1:19" ht="18.75" x14ac:dyDescent="0.25">
      <c r="A283" s="4">
        <v>651</v>
      </c>
      <c r="B283" s="5"/>
      <c r="C283" s="41"/>
      <c r="D283" s="73" t="s">
        <v>663</v>
      </c>
      <c r="E283" s="31" t="s">
        <v>49</v>
      </c>
      <c r="F283" s="5"/>
      <c r="G283" s="21">
        <v>1</v>
      </c>
      <c r="H283" s="22">
        <f>VLOOKUP($D283,'Master File June-26'!$D$3:$O$670,5,0)</f>
        <v>0</v>
      </c>
      <c r="I283" s="22">
        <f>VLOOKUP($D283,'Master File June-26'!$D$3:$O$670,6,0)</f>
        <v>5</v>
      </c>
      <c r="J283" s="5">
        <f>VLOOKUP($D283,'Master File June-26'!$D$3:$O$670,7,0)</f>
        <v>14</v>
      </c>
      <c r="K283" s="23">
        <f>VLOOKUP($D283,'Master File June-26'!$D$3:$O$670,8,0)</f>
        <v>2.5</v>
      </c>
      <c r="L283" s="58">
        <f>VLOOKUP($D283,'Master File June-26'!$D$3:$O$670,9,0)</f>
        <v>0</v>
      </c>
      <c r="M283" s="24">
        <f t="shared" si="16"/>
        <v>0</v>
      </c>
      <c r="N283" s="25" t="str">
        <f t="shared" si="17"/>
        <v>ORDER NOW</v>
      </c>
      <c r="O283" s="25" t="str">
        <f t="shared" si="18"/>
        <v>CRITICAL</v>
      </c>
      <c r="S283" s="79">
        <f t="shared" si="19"/>
        <v>0</v>
      </c>
    </row>
    <row r="284" spans="1:19" ht="18.75" x14ac:dyDescent="0.25">
      <c r="A284" s="4">
        <v>651</v>
      </c>
      <c r="B284" s="5"/>
      <c r="C284" s="41"/>
      <c r="D284" s="73" t="s">
        <v>664</v>
      </c>
      <c r="E284" s="31" t="s">
        <v>49</v>
      </c>
      <c r="F284" s="5"/>
      <c r="G284" s="21">
        <v>1</v>
      </c>
      <c r="H284" s="22">
        <f>VLOOKUP($D284,'Master File June-26'!$D$3:$O$670,5,0)</f>
        <v>0</v>
      </c>
      <c r="I284" s="22">
        <f>VLOOKUP($D284,'Master File June-26'!$D$3:$O$670,6,0)</f>
        <v>2.9999999999999996</v>
      </c>
      <c r="J284" s="5">
        <f>VLOOKUP($D284,'Master File June-26'!$D$3:$O$670,7,0)</f>
        <v>14</v>
      </c>
      <c r="K284" s="23">
        <f>VLOOKUP($D284,'Master File June-26'!$D$3:$O$670,8,0)</f>
        <v>1.4999999999999998</v>
      </c>
      <c r="L284" s="58">
        <f>VLOOKUP($D284,'Master File June-26'!$D$3:$O$670,9,0)</f>
        <v>0</v>
      </c>
      <c r="M284" s="24">
        <f t="shared" si="16"/>
        <v>0</v>
      </c>
      <c r="N284" s="25" t="str">
        <f t="shared" si="17"/>
        <v>ORDER NOW</v>
      </c>
      <c r="O284" s="25" t="str">
        <f t="shared" si="18"/>
        <v>CRITICAL</v>
      </c>
      <c r="S284" s="79">
        <f t="shared" si="19"/>
        <v>0</v>
      </c>
    </row>
    <row r="285" spans="1:19" ht="18.75" x14ac:dyDescent="0.25">
      <c r="A285" s="41">
        <v>391</v>
      </c>
      <c r="B285" s="41" t="s">
        <v>104</v>
      </c>
      <c r="C285" s="41" t="s">
        <v>665</v>
      </c>
      <c r="D285" s="28" t="s">
        <v>666</v>
      </c>
      <c r="E285" s="27" t="s">
        <v>67</v>
      </c>
      <c r="F285" s="5" t="s">
        <v>49</v>
      </c>
      <c r="G285" s="21">
        <v>2</v>
      </c>
      <c r="H285" s="22">
        <f>VLOOKUP($C285,'Master File June-26'!$C$3:$L$670,6,0)</f>
        <v>44</v>
      </c>
      <c r="I285" s="22">
        <f>VLOOKUP($C285,'Master File June-26'!$C$3:$L$670,7,0)</f>
        <v>22</v>
      </c>
      <c r="J285" s="5">
        <f>VLOOKUP($C285,'Master File June-26'!$C$3:$L$670,8,0)</f>
        <v>14</v>
      </c>
      <c r="K285" s="23">
        <f>VLOOKUP($C285,'Master File June-26'!$C$3:$L$670,9,0)</f>
        <v>11</v>
      </c>
      <c r="L285" s="58">
        <f>VLOOKUP($C285,'Master File June-26'!$C$3:$L$670,10,0)</f>
        <v>0</v>
      </c>
      <c r="M285" s="24">
        <f t="shared" si="16"/>
        <v>0</v>
      </c>
      <c r="N285" s="25" t="str">
        <f t="shared" si="17"/>
        <v>ORDER NOW</v>
      </c>
      <c r="O285" s="25" t="str">
        <f t="shared" si="18"/>
        <v>CRITICAL</v>
      </c>
      <c r="S285" s="79">
        <f t="shared" si="19"/>
        <v>0</v>
      </c>
    </row>
    <row r="286" spans="1:19" ht="18.75" x14ac:dyDescent="0.25">
      <c r="A286" s="39">
        <v>206</v>
      </c>
      <c r="B286" s="39" t="s">
        <v>239</v>
      </c>
      <c r="C286" s="39" t="s">
        <v>667</v>
      </c>
      <c r="D286" s="28" t="s">
        <v>668</v>
      </c>
      <c r="E286" s="27" t="s">
        <v>78</v>
      </c>
      <c r="F286" s="5" t="s">
        <v>49</v>
      </c>
      <c r="G286" s="21">
        <v>1</v>
      </c>
      <c r="H286" s="22">
        <f>VLOOKUP($C286,'Master File June-26'!$C$3:$L$670,6,0)</f>
        <v>282.5</v>
      </c>
      <c r="I286" s="22">
        <f>VLOOKUP($C286,'Master File June-26'!$C$3:$L$670,7,0)</f>
        <v>282.5</v>
      </c>
      <c r="J286" s="5">
        <f>VLOOKUP($C286,'Master File June-26'!$C$3:$L$670,8,0)</f>
        <v>14</v>
      </c>
      <c r="K286" s="23">
        <f>VLOOKUP($C286,'Master File June-26'!$C$3:$L$670,9,0)</f>
        <v>141.25</v>
      </c>
      <c r="L286" s="58">
        <f>VLOOKUP($C286,'Master File June-26'!$C$3:$L$670,10,0)</f>
        <v>0</v>
      </c>
      <c r="M286" s="24">
        <f t="shared" si="16"/>
        <v>0</v>
      </c>
      <c r="N286" s="25" t="str">
        <f t="shared" si="17"/>
        <v>ORDER NOW</v>
      </c>
      <c r="O286" s="25" t="str">
        <f t="shared" si="18"/>
        <v>CRITICAL</v>
      </c>
      <c r="S286" s="79">
        <f t="shared" si="19"/>
        <v>0</v>
      </c>
    </row>
    <row r="287" spans="1:19" ht="18.75" x14ac:dyDescent="0.25">
      <c r="A287" s="39">
        <v>234</v>
      </c>
      <c r="B287" s="39" t="s">
        <v>123</v>
      </c>
      <c r="C287" s="39" t="s">
        <v>669</v>
      </c>
      <c r="D287" s="28" t="s">
        <v>670</v>
      </c>
      <c r="E287" s="27" t="s">
        <v>126</v>
      </c>
      <c r="F287" s="5" t="s">
        <v>49</v>
      </c>
      <c r="G287" s="21">
        <v>1</v>
      </c>
      <c r="H287" s="22">
        <f>VLOOKUP($C287,'Master File June-26'!$C$3:$L$670,6,0)</f>
        <v>16.5</v>
      </c>
      <c r="I287" s="22">
        <f>VLOOKUP($C287,'Master File June-26'!$C$3:$L$670,7,0)</f>
        <v>16.5</v>
      </c>
      <c r="J287" s="5">
        <f>VLOOKUP($C287,'Master File June-26'!$C$3:$L$670,8,0)</f>
        <v>14</v>
      </c>
      <c r="K287" s="23">
        <f>VLOOKUP($C287,'Master File June-26'!$C$3:$L$670,9,0)</f>
        <v>8.25</v>
      </c>
      <c r="L287" s="58">
        <f>VLOOKUP($C287,'Master File June-26'!$C$3:$L$670,10,0)</f>
        <v>0</v>
      </c>
      <c r="M287" s="24">
        <f t="shared" si="16"/>
        <v>0</v>
      </c>
      <c r="N287" s="25" t="str">
        <f t="shared" si="17"/>
        <v>ORDER NOW</v>
      </c>
      <c r="O287" s="25" t="str">
        <f t="shared" si="18"/>
        <v>CRITICAL</v>
      </c>
      <c r="S287" s="79">
        <f t="shared" si="19"/>
        <v>0</v>
      </c>
    </row>
    <row r="288" spans="1:19" ht="18.75" x14ac:dyDescent="0.25">
      <c r="A288" s="39">
        <v>277</v>
      </c>
      <c r="B288" s="39" t="s">
        <v>157</v>
      </c>
      <c r="C288" s="39" t="s">
        <v>671</v>
      </c>
      <c r="D288" s="34" t="s">
        <v>672</v>
      </c>
      <c r="E288" s="31" t="s">
        <v>78</v>
      </c>
      <c r="F288" s="5" t="s">
        <v>49</v>
      </c>
      <c r="G288" s="21">
        <v>1</v>
      </c>
      <c r="H288" s="22">
        <f>VLOOKUP($C288,'Master File June-26'!$C$3:$L$670,6,0)</f>
        <v>158.5</v>
      </c>
      <c r="I288" s="22">
        <f>VLOOKUP($C288,'Master File June-26'!$C$3:$L$670,7,0)</f>
        <v>158.5</v>
      </c>
      <c r="J288" s="5">
        <f>VLOOKUP($C288,'Master File June-26'!$C$3:$L$670,8,0)</f>
        <v>14</v>
      </c>
      <c r="K288" s="23">
        <f>VLOOKUP($C288,'Master File June-26'!$C$3:$L$670,9,0)</f>
        <v>79.25</v>
      </c>
      <c r="L288" s="58">
        <f>VLOOKUP($C288,'Master File June-26'!$C$3:$L$670,10,0)</f>
        <v>0</v>
      </c>
      <c r="M288" s="24">
        <f t="shared" si="16"/>
        <v>0</v>
      </c>
      <c r="N288" s="25" t="str">
        <f t="shared" si="17"/>
        <v>ORDER NOW</v>
      </c>
      <c r="O288" s="25" t="str">
        <f t="shared" si="18"/>
        <v>CRITICAL</v>
      </c>
      <c r="S288" s="79">
        <f t="shared" si="19"/>
        <v>0</v>
      </c>
    </row>
    <row r="289" spans="1:19" ht="18.75" x14ac:dyDescent="0.25">
      <c r="A289" s="39">
        <v>194</v>
      </c>
      <c r="B289" s="39" t="s">
        <v>157</v>
      </c>
      <c r="C289" s="39" t="s">
        <v>673</v>
      </c>
      <c r="D289" s="28" t="s">
        <v>674</v>
      </c>
      <c r="E289" s="27" t="s">
        <v>675</v>
      </c>
      <c r="F289" s="5" t="s">
        <v>22</v>
      </c>
      <c r="G289" s="21">
        <v>0.1</v>
      </c>
      <c r="H289" s="22">
        <f>VLOOKUP($C289,'Master File June-26'!$C$3:$L$670,6,0)</f>
        <v>33</v>
      </c>
      <c r="I289" s="22">
        <f>VLOOKUP($C289,'Master File June-26'!$C$3:$L$670,7,0)</f>
        <v>330</v>
      </c>
      <c r="J289" s="5">
        <f>VLOOKUP($C289,'Master File June-26'!$C$3:$L$670,8,0)</f>
        <v>14</v>
      </c>
      <c r="K289" s="23">
        <f>VLOOKUP($C289,'Master File June-26'!$C$3:$L$670,9,0)</f>
        <v>165</v>
      </c>
      <c r="L289" s="58">
        <f>VLOOKUP($C289,'Master File June-26'!$C$3:$L$670,10,0)</f>
        <v>0</v>
      </c>
      <c r="M289" s="24">
        <f t="shared" si="16"/>
        <v>0</v>
      </c>
      <c r="N289" s="25" t="str">
        <f t="shared" si="17"/>
        <v>ORDER NOW</v>
      </c>
      <c r="O289" s="25" t="str">
        <f t="shared" si="18"/>
        <v>CRITICAL</v>
      </c>
      <c r="S289" s="79">
        <f t="shared" si="19"/>
        <v>0</v>
      </c>
    </row>
    <row r="290" spans="1:19" ht="18.75" x14ac:dyDescent="0.25">
      <c r="A290" s="39">
        <v>202</v>
      </c>
      <c r="B290" s="39" t="s">
        <v>239</v>
      </c>
      <c r="C290" s="39" t="s">
        <v>676</v>
      </c>
      <c r="D290" s="28" t="s">
        <v>677</v>
      </c>
      <c r="E290" s="27" t="s">
        <v>160</v>
      </c>
      <c r="F290" s="5" t="s">
        <v>49</v>
      </c>
      <c r="G290" s="21">
        <v>1</v>
      </c>
      <c r="H290" s="22">
        <f>VLOOKUP($C290,'Master File June-26'!$C$3:$L$670,6,0)</f>
        <v>104.5</v>
      </c>
      <c r="I290" s="22">
        <f>VLOOKUP($C290,'Master File June-26'!$C$3:$L$670,7,0)</f>
        <v>104.5</v>
      </c>
      <c r="J290" s="5">
        <f>VLOOKUP($C290,'Master File June-26'!$C$3:$L$670,8,0)</f>
        <v>14</v>
      </c>
      <c r="K290" s="23">
        <f>VLOOKUP($C290,'Master File June-26'!$C$3:$L$670,9,0)</f>
        <v>52.25</v>
      </c>
      <c r="L290" s="58">
        <f>VLOOKUP($C290,'Master File June-26'!$C$3:$L$670,10,0)</f>
        <v>0</v>
      </c>
      <c r="M290" s="24">
        <f t="shared" si="16"/>
        <v>0</v>
      </c>
      <c r="N290" s="25" t="str">
        <f t="shared" si="17"/>
        <v>ORDER NOW</v>
      </c>
      <c r="O290" s="25" t="str">
        <f t="shared" si="18"/>
        <v>CRITICAL</v>
      </c>
      <c r="S290" s="79">
        <f t="shared" si="19"/>
        <v>0</v>
      </c>
    </row>
    <row r="291" spans="1:19" ht="18.75" x14ac:dyDescent="0.25">
      <c r="A291" s="39">
        <v>193</v>
      </c>
      <c r="B291" s="39" t="s">
        <v>298</v>
      </c>
      <c r="C291" s="39" t="s">
        <v>678</v>
      </c>
      <c r="D291" s="28" t="s">
        <v>679</v>
      </c>
      <c r="E291" s="27" t="s">
        <v>160</v>
      </c>
      <c r="F291" s="5" t="s">
        <v>49</v>
      </c>
      <c r="G291" s="21">
        <v>1</v>
      </c>
      <c r="H291" s="22">
        <f>VLOOKUP($C291,'Master File June-26'!$C$3:$L$670,6,0)</f>
        <v>55</v>
      </c>
      <c r="I291" s="22">
        <f>VLOOKUP($C291,'Master File June-26'!$C$3:$L$670,7,0)</f>
        <v>55</v>
      </c>
      <c r="J291" s="5">
        <f>VLOOKUP($C291,'Master File June-26'!$C$3:$L$670,8,0)</f>
        <v>14</v>
      </c>
      <c r="K291" s="23">
        <f>VLOOKUP($C291,'Master File June-26'!$C$3:$L$670,9,0)</f>
        <v>27.5</v>
      </c>
      <c r="L291" s="58">
        <f>VLOOKUP($C291,'Master File June-26'!$C$3:$L$670,10,0)</f>
        <v>4</v>
      </c>
      <c r="M291" s="24">
        <f t="shared" si="16"/>
        <v>2.1818181818181817</v>
      </c>
      <c r="N291" s="25" t="str">
        <f t="shared" si="17"/>
        <v>ORDER NOW</v>
      </c>
      <c r="O291" s="25" t="str">
        <f t="shared" si="18"/>
        <v>CRITICAL</v>
      </c>
      <c r="S291" s="79">
        <f t="shared" si="19"/>
        <v>0</v>
      </c>
    </row>
    <row r="292" spans="1:19" ht="18.75" x14ac:dyDescent="0.25">
      <c r="A292" s="39">
        <v>207</v>
      </c>
      <c r="B292" s="39" t="s">
        <v>239</v>
      </c>
      <c r="C292" s="39" t="s">
        <v>680</v>
      </c>
      <c r="D292" s="34" t="s">
        <v>681</v>
      </c>
      <c r="E292" s="31" t="s">
        <v>78</v>
      </c>
      <c r="F292" s="5" t="s">
        <v>49</v>
      </c>
      <c r="G292" s="21">
        <v>1</v>
      </c>
      <c r="H292" s="22">
        <f>VLOOKUP($C292,'Master File June-26'!$C$3:$L$670,6,0)</f>
        <v>110</v>
      </c>
      <c r="I292" s="22">
        <f>VLOOKUP($C292,'Master File June-26'!$C$3:$L$670,7,0)</f>
        <v>110</v>
      </c>
      <c r="J292" s="5">
        <f>VLOOKUP($C292,'Master File June-26'!$C$3:$L$670,8,0)</f>
        <v>14</v>
      </c>
      <c r="K292" s="23">
        <f>VLOOKUP($C292,'Master File June-26'!$C$3:$L$670,9,0)</f>
        <v>55</v>
      </c>
      <c r="L292" s="58">
        <f>VLOOKUP($C292,'Master File June-26'!$C$3:$L$670,10,0)</f>
        <v>0</v>
      </c>
      <c r="M292" s="24">
        <f t="shared" si="16"/>
        <v>0</v>
      </c>
      <c r="N292" s="25" t="str">
        <f t="shared" si="17"/>
        <v>ORDER NOW</v>
      </c>
      <c r="O292" s="25" t="str">
        <f t="shared" si="18"/>
        <v>CRITICAL</v>
      </c>
      <c r="S292" s="79">
        <f t="shared" si="19"/>
        <v>0</v>
      </c>
    </row>
    <row r="293" spans="1:19" ht="18.75" x14ac:dyDescent="0.25">
      <c r="A293" s="41">
        <v>508</v>
      </c>
      <c r="B293" s="41" t="s">
        <v>38</v>
      </c>
      <c r="C293" s="41" t="s">
        <v>682</v>
      </c>
      <c r="D293" s="28" t="s">
        <v>683</v>
      </c>
      <c r="E293" s="27" t="s">
        <v>684</v>
      </c>
      <c r="F293" s="5" t="s">
        <v>22</v>
      </c>
      <c r="G293" s="21">
        <v>0.10416666666666666</v>
      </c>
      <c r="H293" s="22">
        <f>VLOOKUP($C293,'Master File June-26'!$C$3:$L$670,6,0)</f>
        <v>70</v>
      </c>
      <c r="I293" s="22">
        <f>VLOOKUP($C293,'Master File June-26'!$C$3:$L$670,7,0)</f>
        <v>672.00000000000011</v>
      </c>
      <c r="J293" s="5">
        <f>VLOOKUP($C293,'Master File June-26'!$C$3:$L$670,8,0)</f>
        <v>14</v>
      </c>
      <c r="K293" s="23">
        <f>VLOOKUP($C293,'Master File June-26'!$C$3:$L$670,9,0)</f>
        <v>336.00000000000006</v>
      </c>
      <c r="L293" s="58">
        <f>VLOOKUP($C293,'Master File June-26'!$C$3:$L$670,10,0)</f>
        <v>0</v>
      </c>
      <c r="M293" s="24">
        <f t="shared" si="16"/>
        <v>0</v>
      </c>
      <c r="N293" s="25" t="str">
        <f t="shared" si="17"/>
        <v>ORDER NOW</v>
      </c>
      <c r="O293" s="25" t="str">
        <f t="shared" si="18"/>
        <v>CRITICAL</v>
      </c>
      <c r="S293" s="79">
        <f t="shared" si="19"/>
        <v>0</v>
      </c>
    </row>
    <row r="294" spans="1:19" ht="18.75" x14ac:dyDescent="0.25">
      <c r="A294" s="19">
        <v>119</v>
      </c>
      <c r="B294" s="19" t="s">
        <v>18</v>
      </c>
      <c r="C294" s="19" t="s">
        <v>685</v>
      </c>
      <c r="D294" s="28" t="s">
        <v>686</v>
      </c>
      <c r="E294" s="27" t="s">
        <v>191</v>
      </c>
      <c r="F294" s="5" t="s">
        <v>687</v>
      </c>
      <c r="G294" s="21">
        <v>1E-3</v>
      </c>
      <c r="H294" s="22">
        <f>VLOOKUP($C294,'Master File June-26'!$C$3:$L$670,6,0)</f>
        <v>15</v>
      </c>
      <c r="I294" s="22">
        <f>VLOOKUP($C294,'Master File June-26'!$C$3:$L$670,7,0)</f>
        <v>15000</v>
      </c>
      <c r="J294" s="5">
        <f>VLOOKUP($C294,'Master File June-26'!$C$3:$L$670,8,0)</f>
        <v>14</v>
      </c>
      <c r="K294" s="23">
        <f>VLOOKUP($C294,'Master File June-26'!$C$3:$L$670,9,0)</f>
        <v>7500</v>
      </c>
      <c r="L294" s="58">
        <f>VLOOKUP($C294,'Master File June-26'!$C$3:$L$670,10,0)</f>
        <v>0</v>
      </c>
      <c r="M294" s="24">
        <f t="shared" si="16"/>
        <v>0</v>
      </c>
      <c r="N294" s="25" t="str">
        <f t="shared" si="17"/>
        <v>ORDER NOW</v>
      </c>
      <c r="O294" s="25" t="str">
        <f t="shared" si="18"/>
        <v>CRITICAL</v>
      </c>
      <c r="R294" t="s">
        <v>30</v>
      </c>
      <c r="S294" s="79">
        <f t="shared" si="19"/>
        <v>0</v>
      </c>
    </row>
    <row r="295" spans="1:19" ht="18.75" x14ac:dyDescent="0.25">
      <c r="A295" s="41">
        <v>532</v>
      </c>
      <c r="B295" s="41" t="s">
        <v>104</v>
      </c>
      <c r="C295" s="41" t="s">
        <v>688</v>
      </c>
      <c r="D295" s="40" t="s">
        <v>689</v>
      </c>
      <c r="E295" s="31" t="s">
        <v>690</v>
      </c>
      <c r="F295" s="5" t="s">
        <v>22</v>
      </c>
      <c r="G295" s="21">
        <v>5.7803468208092484E-2</v>
      </c>
      <c r="H295" s="22">
        <f>VLOOKUP($C295,'Master File June-26'!$C$3:$L$670,6,0)</f>
        <v>25</v>
      </c>
      <c r="I295" s="22">
        <f>VLOOKUP($C295,'Master File June-26'!$C$3:$L$670,7,0)</f>
        <v>432.5</v>
      </c>
      <c r="J295" s="5">
        <f>VLOOKUP($C295,'Master File June-26'!$C$3:$L$670,8,0)</f>
        <v>14</v>
      </c>
      <c r="K295" s="23">
        <f>VLOOKUP($C295,'Master File June-26'!$C$3:$L$670,9,0)</f>
        <v>216.25</v>
      </c>
      <c r="L295" s="58">
        <f>VLOOKUP($C295,'Master File June-26'!$C$3:$L$670,10,0)</f>
        <v>208.8</v>
      </c>
      <c r="M295" s="24">
        <f t="shared" si="16"/>
        <v>14.483236994219654</v>
      </c>
      <c r="N295" s="25" t="str">
        <f t="shared" si="17"/>
        <v>IN STOCK</v>
      </c>
      <c r="O295" s="25" t="str">
        <f t="shared" si="18"/>
        <v>FOLLOW UP DELIVERY</v>
      </c>
      <c r="S295" s="79">
        <f t="shared" si="19"/>
        <v>0</v>
      </c>
    </row>
    <row r="296" spans="1:19" ht="18.75" x14ac:dyDescent="0.25">
      <c r="A296" s="41">
        <v>561</v>
      </c>
      <c r="B296" s="41" t="s">
        <v>38</v>
      </c>
      <c r="C296" s="41" t="s">
        <v>691</v>
      </c>
      <c r="D296" s="40" t="s">
        <v>692</v>
      </c>
      <c r="E296" s="31" t="s">
        <v>22</v>
      </c>
      <c r="F296" s="5" t="s">
        <v>22</v>
      </c>
      <c r="G296" s="21">
        <v>1</v>
      </c>
      <c r="H296" s="22">
        <f>VLOOKUP($C296,'Master File June-26'!$C$3:$L$670,6,0)</f>
        <v>5</v>
      </c>
      <c r="I296" s="22">
        <f>VLOOKUP($C296,'Master File June-26'!$C$3:$L$670,7,0)</f>
        <v>5</v>
      </c>
      <c r="J296" s="5">
        <f>VLOOKUP($C296,'Master File June-26'!$C$3:$L$670,8,0)</f>
        <v>14</v>
      </c>
      <c r="K296" s="23">
        <f>VLOOKUP($C296,'Master File June-26'!$C$3:$L$670,9,0)</f>
        <v>2.5</v>
      </c>
      <c r="L296" s="58">
        <f>VLOOKUP($C296,'Master File June-26'!$C$3:$L$670,10,0)</f>
        <v>0</v>
      </c>
      <c r="M296" s="24">
        <f t="shared" si="16"/>
        <v>0</v>
      </c>
      <c r="N296" s="25" t="str">
        <f t="shared" si="17"/>
        <v>ORDER NOW</v>
      </c>
      <c r="O296" s="25" t="str">
        <f t="shared" si="18"/>
        <v>CRITICAL</v>
      </c>
      <c r="S296" s="79">
        <f t="shared" si="19"/>
        <v>0</v>
      </c>
    </row>
    <row r="297" spans="1:19" ht="18.75" x14ac:dyDescent="0.25">
      <c r="A297" s="19">
        <v>175</v>
      </c>
      <c r="B297" s="19" t="s">
        <v>18</v>
      </c>
      <c r="C297" s="19" t="s">
        <v>693</v>
      </c>
      <c r="D297" s="40" t="s">
        <v>694</v>
      </c>
      <c r="E297" s="31" t="s">
        <v>22</v>
      </c>
      <c r="F297" s="5" t="s">
        <v>22</v>
      </c>
      <c r="G297" s="21">
        <v>4.1666666666666669E-4</v>
      </c>
      <c r="H297" s="22">
        <f>VLOOKUP($C297,'Master File June-26'!$C$3:$L$670,6,0)</f>
        <v>10</v>
      </c>
      <c r="I297" s="22">
        <f>VLOOKUP($C297,'Master File June-26'!$C$3:$L$670,7,0)</f>
        <v>24000</v>
      </c>
      <c r="J297" s="5">
        <f>VLOOKUP($C297,'Master File June-26'!$C$3:$L$670,8,0)</f>
        <v>14</v>
      </c>
      <c r="K297" s="23">
        <f>VLOOKUP($C297,'Master File June-26'!$C$3:$L$670,9,0)</f>
        <v>12000</v>
      </c>
      <c r="L297" s="58">
        <f>VLOOKUP($C297,'Master File June-26'!$C$3:$L$670,10,0)</f>
        <v>4800</v>
      </c>
      <c r="M297" s="24">
        <f t="shared" si="16"/>
        <v>6</v>
      </c>
      <c r="N297" s="25" t="str">
        <f t="shared" si="17"/>
        <v>ORDER NOW</v>
      </c>
      <c r="O297" s="25" t="str">
        <f t="shared" si="18"/>
        <v>CRITICAL</v>
      </c>
      <c r="S297" s="79">
        <f t="shared" si="19"/>
        <v>0</v>
      </c>
    </row>
    <row r="298" spans="1:19" ht="18.75" x14ac:dyDescent="0.25">
      <c r="A298" s="19">
        <v>62</v>
      </c>
      <c r="B298" s="19" t="s">
        <v>157</v>
      </c>
      <c r="C298" s="19" t="s">
        <v>695</v>
      </c>
      <c r="D298" s="28" t="s">
        <v>696</v>
      </c>
      <c r="E298" s="27" t="s">
        <v>697</v>
      </c>
      <c r="F298" s="5" t="s">
        <v>22</v>
      </c>
      <c r="G298" s="21">
        <v>1E-3</v>
      </c>
      <c r="H298" s="22">
        <f>VLOOKUP($C298,'Master File June-26'!$C$3:$L$670,6,0)</f>
        <v>92</v>
      </c>
      <c r="I298" s="22">
        <f>VLOOKUP($C298,'Master File June-26'!$C$3:$L$670,7,0)</f>
        <v>92000</v>
      </c>
      <c r="J298" s="5">
        <f>VLOOKUP($C298,'Master File June-26'!$C$3:$L$670,8,0)</f>
        <v>14</v>
      </c>
      <c r="K298" s="23">
        <f>VLOOKUP($C298,'Master File June-26'!$C$3:$L$670,9,0)</f>
        <v>46000</v>
      </c>
      <c r="L298" s="58">
        <f>VLOOKUP($C298,'Master File June-26'!$C$3:$L$670,10,0)</f>
        <v>655</v>
      </c>
      <c r="M298" s="24">
        <f t="shared" si="16"/>
        <v>0.21358695652173912</v>
      </c>
      <c r="N298" s="25" t="str">
        <f t="shared" si="17"/>
        <v>ORDER NOW</v>
      </c>
      <c r="O298" s="25" t="str">
        <f t="shared" si="18"/>
        <v>CRITICAL</v>
      </c>
      <c r="R298" t="s">
        <v>30</v>
      </c>
      <c r="S298" s="79">
        <f t="shared" si="19"/>
        <v>0</v>
      </c>
    </row>
    <row r="299" spans="1:19" ht="18.75" x14ac:dyDescent="0.25">
      <c r="A299" s="19">
        <v>100</v>
      </c>
      <c r="B299" s="19" t="s">
        <v>18</v>
      </c>
      <c r="C299" s="19" t="s">
        <v>698</v>
      </c>
      <c r="D299" s="30" t="s">
        <v>699</v>
      </c>
      <c r="E299" s="27" t="s">
        <v>186</v>
      </c>
      <c r="F299" s="5" t="s">
        <v>22</v>
      </c>
      <c r="G299" s="21">
        <v>2E-3</v>
      </c>
      <c r="H299" s="22">
        <f>VLOOKUP($C299,'Master File June-26'!$C$3:$L$670,6,0)</f>
        <v>10</v>
      </c>
      <c r="I299" s="22">
        <f>VLOOKUP($C299,'Master File June-26'!$C$3:$L$670,7,0)</f>
        <v>5000</v>
      </c>
      <c r="J299" s="5">
        <f>VLOOKUP($C299,'Master File June-26'!$C$3:$L$670,8,0)</f>
        <v>14</v>
      </c>
      <c r="K299" s="23">
        <f>VLOOKUP($C299,'Master File June-26'!$C$3:$L$670,9,0)</f>
        <v>2500</v>
      </c>
      <c r="L299" s="58">
        <f>VLOOKUP($C299,'Master File June-26'!$C$3:$L$670,10,0)</f>
        <v>2500</v>
      </c>
      <c r="M299" s="24">
        <f t="shared" si="16"/>
        <v>15</v>
      </c>
      <c r="N299" s="25" t="str">
        <f t="shared" si="17"/>
        <v>IN STOCK</v>
      </c>
      <c r="O299" s="25" t="str">
        <f t="shared" si="18"/>
        <v>FOLLOW UP DELIVERY</v>
      </c>
      <c r="R299" t="s">
        <v>30</v>
      </c>
      <c r="S299" s="79">
        <f t="shared" si="19"/>
        <v>1</v>
      </c>
    </row>
    <row r="300" spans="1:19" ht="18.75" x14ac:dyDescent="0.25">
      <c r="A300" s="41">
        <v>550</v>
      </c>
      <c r="B300" s="41" t="s">
        <v>61</v>
      </c>
      <c r="C300" s="41" t="s">
        <v>700</v>
      </c>
      <c r="D300" s="40" t="s">
        <v>701</v>
      </c>
      <c r="E300" s="31" t="s">
        <v>22</v>
      </c>
      <c r="F300" s="5" t="s">
        <v>22</v>
      </c>
      <c r="G300" s="21">
        <v>1</v>
      </c>
      <c r="H300" s="22">
        <f>VLOOKUP($C300,'Master File June-26'!$C$3:$L$670,6,0)</f>
        <v>10</v>
      </c>
      <c r="I300" s="22">
        <f>VLOOKUP($C300,'Master File June-26'!$C$3:$L$670,7,0)</f>
        <v>10</v>
      </c>
      <c r="J300" s="5">
        <f>VLOOKUP($C300,'Master File June-26'!$C$3:$L$670,8,0)</f>
        <v>14</v>
      </c>
      <c r="K300" s="23">
        <f>VLOOKUP($C300,'Master File June-26'!$C$3:$L$670,9,0)</f>
        <v>5</v>
      </c>
      <c r="L300" s="58">
        <f>VLOOKUP($C300,'Master File June-26'!$C$3:$L$670,10,0)</f>
        <v>0</v>
      </c>
      <c r="M300" s="24">
        <f t="shared" si="16"/>
        <v>0</v>
      </c>
      <c r="N300" s="25" t="str">
        <f t="shared" si="17"/>
        <v>ORDER NOW</v>
      </c>
      <c r="O300" s="25" t="str">
        <f t="shared" si="18"/>
        <v>CRITICAL</v>
      </c>
      <c r="S300" s="79">
        <f t="shared" si="19"/>
        <v>0</v>
      </c>
    </row>
    <row r="301" spans="1:19" ht="18.75" x14ac:dyDescent="0.25">
      <c r="A301" s="41">
        <v>530</v>
      </c>
      <c r="B301" s="41" t="s">
        <v>38</v>
      </c>
      <c r="C301" s="41" t="s">
        <v>702</v>
      </c>
      <c r="D301" s="40" t="s">
        <v>703</v>
      </c>
      <c r="E301" s="31" t="s">
        <v>64</v>
      </c>
      <c r="F301" s="5" t="s">
        <v>22</v>
      </c>
      <c r="G301" s="21">
        <v>0.1</v>
      </c>
      <c r="H301" s="22">
        <f>VLOOKUP($C301,'Master File June-26'!$C$3:$L$670,6,0)</f>
        <v>100</v>
      </c>
      <c r="I301" s="22">
        <f>VLOOKUP($C301,'Master File June-26'!$C$3:$L$670,7,0)</f>
        <v>1000</v>
      </c>
      <c r="J301" s="5">
        <f>VLOOKUP($C301,'Master File June-26'!$C$3:$L$670,8,0)</f>
        <v>14</v>
      </c>
      <c r="K301" s="23">
        <f>VLOOKUP($C301,'Master File June-26'!$C$3:$L$670,9,0)</f>
        <v>500</v>
      </c>
      <c r="L301" s="58">
        <f>VLOOKUP($C301,'Master File June-26'!$C$3:$L$670,10,0)</f>
        <v>80</v>
      </c>
      <c r="M301" s="24">
        <f t="shared" si="16"/>
        <v>2.4</v>
      </c>
      <c r="N301" s="25" t="str">
        <f t="shared" si="17"/>
        <v>ORDER NOW</v>
      </c>
      <c r="O301" s="25" t="str">
        <f t="shared" si="18"/>
        <v>CRITICAL</v>
      </c>
      <c r="S301" s="79">
        <f t="shared" si="19"/>
        <v>0</v>
      </c>
    </row>
    <row r="302" spans="1:19" ht="18.75" x14ac:dyDescent="0.25">
      <c r="A302" s="39">
        <v>243</v>
      </c>
      <c r="B302" s="39" t="s">
        <v>123</v>
      </c>
      <c r="C302" s="39" t="s">
        <v>704</v>
      </c>
      <c r="D302" s="28" t="s">
        <v>705</v>
      </c>
      <c r="E302" s="27" t="s">
        <v>706</v>
      </c>
      <c r="F302" s="5" t="s">
        <v>49</v>
      </c>
      <c r="G302" s="21">
        <v>1</v>
      </c>
      <c r="H302" s="22">
        <f>VLOOKUP($C302,'Master File June-26'!$C$3:$L$670,6,0)</f>
        <v>35</v>
      </c>
      <c r="I302" s="22">
        <f>VLOOKUP($C302,'Master File June-26'!$C$3:$L$670,7,0)</f>
        <v>35</v>
      </c>
      <c r="J302" s="5">
        <f>VLOOKUP($C302,'Master File June-26'!$C$3:$L$670,8,0)</f>
        <v>14</v>
      </c>
      <c r="K302" s="23">
        <f>VLOOKUP($C302,'Master File June-26'!$C$3:$L$670,9,0)</f>
        <v>17.5</v>
      </c>
      <c r="L302" s="58">
        <f>VLOOKUP($C302,'Master File June-26'!$C$3:$L$670,10,0)</f>
        <v>24.96</v>
      </c>
      <c r="M302" s="24">
        <f t="shared" si="16"/>
        <v>21.394285714285715</v>
      </c>
      <c r="N302" s="25" t="str">
        <f t="shared" si="17"/>
        <v>IN STOCK</v>
      </c>
      <c r="O302" s="25" t="str">
        <f t="shared" si="18"/>
        <v>FOLLOW UP DELIVERY</v>
      </c>
      <c r="S302" s="79">
        <f t="shared" si="19"/>
        <v>1</v>
      </c>
    </row>
    <row r="303" spans="1:19" ht="18.75" x14ac:dyDescent="0.25">
      <c r="A303" s="39">
        <v>208</v>
      </c>
      <c r="B303" s="39" t="s">
        <v>298</v>
      </c>
      <c r="C303" s="39" t="s">
        <v>707</v>
      </c>
      <c r="D303" s="28" t="s">
        <v>708</v>
      </c>
      <c r="E303" s="27" t="s">
        <v>160</v>
      </c>
      <c r="F303" s="5" t="s">
        <v>49</v>
      </c>
      <c r="G303" s="21">
        <v>1</v>
      </c>
      <c r="H303" s="22">
        <f>VLOOKUP($C303,'Master File June-26'!$C$3:$L$670,6,0)</f>
        <v>55</v>
      </c>
      <c r="I303" s="22">
        <f>VLOOKUP($C303,'Master File June-26'!$C$3:$L$670,7,0)</f>
        <v>55</v>
      </c>
      <c r="J303" s="5">
        <f>VLOOKUP($C303,'Master File June-26'!$C$3:$L$670,8,0)</f>
        <v>14</v>
      </c>
      <c r="K303" s="23">
        <f>VLOOKUP($C303,'Master File June-26'!$C$3:$L$670,9,0)</f>
        <v>27.5</v>
      </c>
      <c r="L303" s="58">
        <f>VLOOKUP($C303,'Master File June-26'!$C$3:$L$670,10,0)</f>
        <v>0</v>
      </c>
      <c r="M303" s="24">
        <f t="shared" si="16"/>
        <v>0</v>
      </c>
      <c r="N303" s="25" t="str">
        <f t="shared" si="17"/>
        <v>ORDER NOW</v>
      </c>
      <c r="O303" s="25" t="str">
        <f t="shared" si="18"/>
        <v>CRITICAL</v>
      </c>
      <c r="S303" s="79">
        <f t="shared" si="19"/>
        <v>0</v>
      </c>
    </row>
    <row r="304" spans="1:19" ht="18.75" x14ac:dyDescent="0.25">
      <c r="A304" s="39">
        <v>257</v>
      </c>
      <c r="B304" s="39" t="s">
        <v>123</v>
      </c>
      <c r="C304" s="39" t="s">
        <v>709</v>
      </c>
      <c r="D304" s="28" t="s">
        <v>710</v>
      </c>
      <c r="E304" s="27" t="s">
        <v>180</v>
      </c>
      <c r="F304" s="5" t="s">
        <v>22</v>
      </c>
      <c r="G304" s="21">
        <v>1E-3</v>
      </c>
      <c r="H304" s="22">
        <f>VLOOKUP($C304,'Master File June-26'!$C$3:$L$670,6,0)</f>
        <v>46</v>
      </c>
      <c r="I304" s="22">
        <f>VLOOKUP($C304,'Master File June-26'!$C$3:$L$670,7,0)</f>
        <v>46000</v>
      </c>
      <c r="J304" s="5">
        <f>VLOOKUP($C304,'Master File June-26'!$C$3:$L$670,8,0)</f>
        <v>14</v>
      </c>
      <c r="K304" s="23">
        <f>VLOOKUP($C304,'Master File June-26'!$C$3:$L$670,9,0)</f>
        <v>23000</v>
      </c>
      <c r="L304" s="58">
        <f>VLOOKUP($C304,'Master File June-26'!$C$3:$L$670,10,0)</f>
        <v>1050</v>
      </c>
      <c r="M304" s="24">
        <f t="shared" si="16"/>
        <v>0.68478260869565222</v>
      </c>
      <c r="N304" s="25" t="str">
        <f t="shared" si="17"/>
        <v>ORDER NOW</v>
      </c>
      <c r="O304" s="25" t="str">
        <f t="shared" si="18"/>
        <v>CRITICAL</v>
      </c>
      <c r="S304" s="79">
        <f t="shared" si="19"/>
        <v>0</v>
      </c>
    </row>
    <row r="305" spans="1:19" ht="18.75" x14ac:dyDescent="0.25">
      <c r="A305" s="39">
        <v>242</v>
      </c>
      <c r="B305" s="39" t="s">
        <v>123</v>
      </c>
      <c r="C305" s="39" t="s">
        <v>711</v>
      </c>
      <c r="D305" s="28" t="s">
        <v>712</v>
      </c>
      <c r="E305" s="27" t="s">
        <v>706</v>
      </c>
      <c r="F305" s="5" t="s">
        <v>49</v>
      </c>
      <c r="G305" s="21">
        <v>1</v>
      </c>
      <c r="H305" s="22">
        <f>VLOOKUP($C305,'Master File June-26'!$C$3:$L$670,6,0)</f>
        <v>11</v>
      </c>
      <c r="I305" s="22">
        <f>VLOOKUP($C305,'Master File June-26'!$C$3:$L$670,7,0)</f>
        <v>11</v>
      </c>
      <c r="J305" s="5">
        <f>VLOOKUP($C305,'Master File June-26'!$C$3:$L$670,8,0)</f>
        <v>14</v>
      </c>
      <c r="K305" s="23">
        <f>VLOOKUP($C305,'Master File June-26'!$C$3:$L$670,9,0)</f>
        <v>5.5</v>
      </c>
      <c r="L305" s="58">
        <f>VLOOKUP($C305,'Master File June-26'!$C$3:$L$670,10,0)</f>
        <v>12</v>
      </c>
      <c r="M305" s="24">
        <f t="shared" si="16"/>
        <v>32.727272727272727</v>
      </c>
      <c r="N305" s="25" t="str">
        <f t="shared" si="17"/>
        <v>IN STOCK</v>
      </c>
      <c r="O305" s="25" t="str">
        <f t="shared" si="18"/>
        <v>FOLLOW UP DELIVERY</v>
      </c>
      <c r="S305" s="79">
        <f t="shared" si="19"/>
        <v>1</v>
      </c>
    </row>
    <row r="306" spans="1:19" ht="18.75" x14ac:dyDescent="0.25">
      <c r="A306" s="41">
        <v>517</v>
      </c>
      <c r="B306" s="41" t="s">
        <v>85</v>
      </c>
      <c r="C306" s="41" t="s">
        <v>713</v>
      </c>
      <c r="D306" s="28" t="s">
        <v>714</v>
      </c>
      <c r="E306" s="27" t="s">
        <v>715</v>
      </c>
      <c r="F306" s="5" t="s">
        <v>54</v>
      </c>
      <c r="G306" s="21">
        <v>2.5000000000000001E-2</v>
      </c>
      <c r="H306" s="22">
        <f>VLOOKUP($C306,'Master File June-26'!$C$3:$L$670,6,0)</f>
        <v>149</v>
      </c>
      <c r="I306" s="22">
        <f>VLOOKUP($C306,'Master File June-26'!$C$3:$L$670,7,0)</f>
        <v>5960</v>
      </c>
      <c r="J306" s="5">
        <f>VLOOKUP($C306,'Master File June-26'!$C$3:$L$670,8,0)</f>
        <v>14</v>
      </c>
      <c r="K306" s="23">
        <f>VLOOKUP($C306,'Master File June-26'!$C$3:$L$670,9,0)</f>
        <v>2980</v>
      </c>
      <c r="L306" s="58">
        <f>VLOOKUP($C306,'Master File June-26'!$C$3:$L$670,10,0)</f>
        <v>0</v>
      </c>
      <c r="M306" s="24">
        <f t="shared" si="16"/>
        <v>0</v>
      </c>
      <c r="N306" s="25" t="str">
        <f t="shared" si="17"/>
        <v>ORDER NOW</v>
      </c>
      <c r="O306" s="25" t="str">
        <f t="shared" si="18"/>
        <v>CRITICAL</v>
      </c>
      <c r="S306" s="79">
        <f t="shared" si="19"/>
        <v>0</v>
      </c>
    </row>
    <row r="307" spans="1:19" ht="18.75" x14ac:dyDescent="0.25">
      <c r="A307" s="41">
        <v>474</v>
      </c>
      <c r="B307" s="41" t="s">
        <v>38</v>
      </c>
      <c r="C307" s="41" t="s">
        <v>716</v>
      </c>
      <c r="D307" s="28" t="s">
        <v>717</v>
      </c>
      <c r="E307" s="27" t="s">
        <v>718</v>
      </c>
      <c r="F307" s="5" t="s">
        <v>22</v>
      </c>
      <c r="G307" s="21">
        <v>0.1</v>
      </c>
      <c r="H307" s="22">
        <f>VLOOKUP($C307,'Master File June-26'!$C$3:$L$670,6,0)</f>
        <v>160</v>
      </c>
      <c r="I307" s="22">
        <f>VLOOKUP($C307,'Master File June-26'!$C$3:$L$670,7,0)</f>
        <v>1600</v>
      </c>
      <c r="J307" s="5">
        <f>VLOOKUP($C307,'Master File June-26'!$C$3:$L$670,8,0)</f>
        <v>14</v>
      </c>
      <c r="K307" s="23">
        <f>VLOOKUP($C307,'Master File June-26'!$C$3:$L$670,9,0)</f>
        <v>800</v>
      </c>
      <c r="L307" s="58">
        <f>VLOOKUP($C307,'Master File June-26'!$C$3:$L$670,10,0)</f>
        <v>0</v>
      </c>
      <c r="M307" s="24">
        <f t="shared" si="16"/>
        <v>0</v>
      </c>
      <c r="N307" s="25" t="str">
        <f t="shared" si="17"/>
        <v>ORDER NOW</v>
      </c>
      <c r="O307" s="25" t="str">
        <f t="shared" si="18"/>
        <v>CRITICAL</v>
      </c>
      <c r="S307" s="79">
        <f t="shared" si="19"/>
        <v>0</v>
      </c>
    </row>
    <row r="308" spans="1:19" ht="18.75" x14ac:dyDescent="0.25">
      <c r="A308" s="41">
        <v>527</v>
      </c>
      <c r="B308" s="41" t="s">
        <v>104</v>
      </c>
      <c r="C308" s="41" t="s">
        <v>719</v>
      </c>
      <c r="D308" s="40" t="s">
        <v>720</v>
      </c>
      <c r="E308" s="31" t="s">
        <v>22</v>
      </c>
      <c r="F308" s="5" t="s">
        <v>22</v>
      </c>
      <c r="G308" s="21">
        <v>3.3333333333333333E-2</v>
      </c>
      <c r="H308" s="22">
        <f>VLOOKUP($C308,'Master File June-26'!$C$3:$L$670,6,0)</f>
        <v>10</v>
      </c>
      <c r="I308" s="22">
        <f>VLOOKUP($C308,'Master File June-26'!$C$3:$L$670,7,0)</f>
        <v>300</v>
      </c>
      <c r="J308" s="5">
        <f>VLOOKUP($C308,'Master File June-26'!$C$3:$L$670,8,0)</f>
        <v>14</v>
      </c>
      <c r="K308" s="23">
        <f>VLOOKUP($C308,'Master File June-26'!$C$3:$L$670,9,0)</f>
        <v>150</v>
      </c>
      <c r="L308" s="58">
        <f>VLOOKUP($C308,'Master File June-26'!$C$3:$L$670,10,0)</f>
        <v>120</v>
      </c>
      <c r="M308" s="24">
        <f t="shared" si="16"/>
        <v>12</v>
      </c>
      <c r="N308" s="25" t="str">
        <f t="shared" si="17"/>
        <v>ORDER NOW</v>
      </c>
      <c r="O308" s="25" t="str">
        <f t="shared" si="18"/>
        <v>CRITICAL</v>
      </c>
      <c r="S308" s="79">
        <f t="shared" si="19"/>
        <v>0</v>
      </c>
    </row>
    <row r="309" spans="1:19" ht="18.75" x14ac:dyDescent="0.25">
      <c r="A309" s="39">
        <v>210</v>
      </c>
      <c r="B309" s="39" t="s">
        <v>123</v>
      </c>
      <c r="C309" s="39" t="s">
        <v>721</v>
      </c>
      <c r="D309" s="28" t="s">
        <v>722</v>
      </c>
      <c r="E309" s="27" t="s">
        <v>254</v>
      </c>
      <c r="F309" s="5" t="s">
        <v>49</v>
      </c>
      <c r="G309" s="21">
        <v>1</v>
      </c>
      <c r="H309" s="22">
        <f>VLOOKUP($C309,'Master File June-26'!$C$3:$L$670,6,0)</f>
        <v>437.5</v>
      </c>
      <c r="I309" s="22">
        <f>VLOOKUP($C309,'Master File June-26'!$C$3:$L$670,7,0)</f>
        <v>437.5</v>
      </c>
      <c r="J309" s="5">
        <f>VLOOKUP($C309,'Master File June-26'!$C$3:$L$670,8,0)</f>
        <v>14</v>
      </c>
      <c r="K309" s="23">
        <f>VLOOKUP($C309,'Master File June-26'!$C$3:$L$670,9,0)</f>
        <v>218.75</v>
      </c>
      <c r="L309" s="58">
        <f>VLOOKUP($C309,'Master File June-26'!$C$3:$L$670,10,0)</f>
        <v>104</v>
      </c>
      <c r="M309" s="24">
        <f t="shared" si="16"/>
        <v>7.1314285714285717</v>
      </c>
      <c r="N309" s="25" t="str">
        <f t="shared" si="17"/>
        <v>ORDER NOW</v>
      </c>
      <c r="O309" s="25" t="str">
        <f t="shared" si="18"/>
        <v>CRITICAL</v>
      </c>
      <c r="S309" s="79">
        <f t="shared" si="19"/>
        <v>0</v>
      </c>
    </row>
    <row r="310" spans="1:19" ht="18.75" x14ac:dyDescent="0.25">
      <c r="A310" s="19">
        <v>148</v>
      </c>
      <c r="B310" s="19" t="s">
        <v>18</v>
      </c>
      <c r="C310" s="19" t="s">
        <v>723</v>
      </c>
      <c r="D310" s="62" t="s">
        <v>724</v>
      </c>
      <c r="E310" s="32" t="s">
        <v>49</v>
      </c>
      <c r="F310" s="5" t="s">
        <v>49</v>
      </c>
      <c r="G310" s="21">
        <v>1</v>
      </c>
      <c r="H310" s="22">
        <f>VLOOKUP($C310,'Master File June-26'!$C$3:$L$670,6,0)</f>
        <v>0</v>
      </c>
      <c r="I310" s="22">
        <f>VLOOKUP($C310,'Master File June-26'!$C$3:$L$670,7,0)</f>
        <v>200</v>
      </c>
      <c r="J310" s="5">
        <f>VLOOKUP($C310,'Master File June-26'!$C$3:$L$670,8,0)</f>
        <v>14</v>
      </c>
      <c r="K310" s="23">
        <f>VLOOKUP($C310,'Master File June-26'!$C$3:$L$670,9,0)</f>
        <v>100</v>
      </c>
      <c r="L310" s="58">
        <f>VLOOKUP($C310,'Master File June-26'!$C$3:$L$670,10,0)</f>
        <v>5</v>
      </c>
      <c r="M310" s="24">
        <f t="shared" si="16"/>
        <v>0.75</v>
      </c>
      <c r="N310" s="25" t="str">
        <f t="shared" si="17"/>
        <v>ORDER NOW</v>
      </c>
      <c r="O310" s="25" t="str">
        <f t="shared" si="18"/>
        <v>CRITICAL</v>
      </c>
      <c r="R310" t="s">
        <v>30</v>
      </c>
      <c r="S310" s="79">
        <f t="shared" si="19"/>
        <v>0</v>
      </c>
    </row>
    <row r="311" spans="1:19" ht="18.75" x14ac:dyDescent="0.25">
      <c r="A311" s="19">
        <v>169</v>
      </c>
      <c r="B311" s="19" t="s">
        <v>18</v>
      </c>
      <c r="C311" s="19" t="s">
        <v>725</v>
      </c>
      <c r="D311" s="30" t="s">
        <v>726</v>
      </c>
      <c r="E311" s="27" t="s">
        <v>78</v>
      </c>
      <c r="F311" s="5" t="s">
        <v>49</v>
      </c>
      <c r="G311" s="21">
        <v>1</v>
      </c>
      <c r="H311" s="22">
        <f>VLOOKUP($C311,'Master File June-26'!$C$3:$L$670,6,0)</f>
        <v>4000</v>
      </c>
      <c r="I311" s="22">
        <f>VLOOKUP($C311,'Master File June-26'!$C$3:$L$670,7,0)</f>
        <v>4000</v>
      </c>
      <c r="J311" s="5">
        <f>VLOOKUP($C311,'Master File June-26'!$C$3:$L$670,8,0)</f>
        <v>14</v>
      </c>
      <c r="K311" s="23">
        <f>VLOOKUP($C311,'Master File June-26'!$C$3:$L$670,9,0)</f>
        <v>2000</v>
      </c>
      <c r="L311" s="58">
        <f>VLOOKUP($C311,'Master File June-26'!$C$3:$L$670,10,0)</f>
        <v>0</v>
      </c>
      <c r="M311" s="24">
        <f t="shared" si="16"/>
        <v>0</v>
      </c>
      <c r="N311" s="25" t="str">
        <f t="shared" si="17"/>
        <v>ORDER NOW</v>
      </c>
      <c r="O311" s="25" t="str">
        <f t="shared" si="18"/>
        <v>CRITICAL</v>
      </c>
      <c r="S311" s="79">
        <f t="shared" si="19"/>
        <v>0</v>
      </c>
    </row>
    <row r="312" spans="1:19" ht="18.75" x14ac:dyDescent="0.25">
      <c r="A312" s="19">
        <v>179</v>
      </c>
      <c r="B312" s="19" t="s">
        <v>18</v>
      </c>
      <c r="C312" s="19" t="s">
        <v>727</v>
      </c>
      <c r="D312" s="30" t="s">
        <v>728</v>
      </c>
      <c r="E312" s="31" t="s">
        <v>49</v>
      </c>
      <c r="F312" s="5" t="s">
        <v>49</v>
      </c>
      <c r="G312" s="21">
        <v>1</v>
      </c>
      <c r="H312" s="22">
        <f>VLOOKUP($C312,'Master File June-26'!$C$3:$L$670,6,0)</f>
        <v>25000</v>
      </c>
      <c r="I312" s="22">
        <f>VLOOKUP($C312,'Master File June-26'!$C$3:$L$670,7,0)</f>
        <v>25000</v>
      </c>
      <c r="J312" s="5">
        <f>VLOOKUP($C312,'Master File June-26'!$C$3:$L$670,8,0)</f>
        <v>14</v>
      </c>
      <c r="K312" s="23">
        <f>VLOOKUP($C312,'Master File June-26'!$C$3:$L$670,9,0)</f>
        <v>12500</v>
      </c>
      <c r="L312" s="58">
        <f>VLOOKUP($C312,'Master File June-26'!$C$3:$L$670,10,0)</f>
        <v>2400</v>
      </c>
      <c r="M312" s="24">
        <f t="shared" si="16"/>
        <v>2.88</v>
      </c>
      <c r="N312" s="25" t="str">
        <f t="shared" si="17"/>
        <v>ORDER NOW</v>
      </c>
      <c r="O312" s="25" t="str">
        <f t="shared" si="18"/>
        <v>CRITICAL</v>
      </c>
      <c r="S312" s="79">
        <f t="shared" si="19"/>
        <v>0</v>
      </c>
    </row>
    <row r="313" spans="1:19" ht="18.75" x14ac:dyDescent="0.25">
      <c r="A313" s="19">
        <v>181</v>
      </c>
      <c r="B313" s="19" t="s">
        <v>18</v>
      </c>
      <c r="C313" s="19" t="s">
        <v>729</v>
      </c>
      <c r="D313" s="38" t="s">
        <v>730</v>
      </c>
      <c r="E313" s="31" t="s">
        <v>49</v>
      </c>
      <c r="F313" s="5" t="s">
        <v>49</v>
      </c>
      <c r="G313" s="21">
        <v>1</v>
      </c>
      <c r="H313" s="22">
        <f>VLOOKUP($C313,'Master File June-26'!$C$3:$L$670,6,0)</f>
        <v>5000</v>
      </c>
      <c r="I313" s="22">
        <f>VLOOKUP($C313,'Master File June-26'!$C$3:$L$670,7,0)</f>
        <v>5000</v>
      </c>
      <c r="J313" s="5">
        <f>VLOOKUP($C313,'Master File June-26'!$C$3:$L$670,8,0)</f>
        <v>14</v>
      </c>
      <c r="K313" s="23">
        <f>VLOOKUP($C313,'Master File June-26'!$C$3:$L$670,9,0)</f>
        <v>2500</v>
      </c>
      <c r="L313" s="58">
        <f>VLOOKUP($C313,'Master File June-26'!$C$3:$L$670,10,0)</f>
        <v>0</v>
      </c>
      <c r="M313" s="24">
        <f t="shared" si="16"/>
        <v>0</v>
      </c>
      <c r="N313" s="25" t="str">
        <f t="shared" si="17"/>
        <v>ORDER NOW</v>
      </c>
      <c r="O313" s="25" t="str">
        <f t="shared" si="18"/>
        <v>CRITICAL</v>
      </c>
      <c r="S313" s="79">
        <f t="shared" si="19"/>
        <v>0</v>
      </c>
    </row>
    <row r="314" spans="1:19" ht="18.75" x14ac:dyDescent="0.25">
      <c r="A314" s="19">
        <v>182</v>
      </c>
      <c r="B314" s="19" t="s">
        <v>18</v>
      </c>
      <c r="C314" s="19" t="s">
        <v>731</v>
      </c>
      <c r="D314" s="38" t="s">
        <v>732</v>
      </c>
      <c r="E314" s="31" t="s">
        <v>49</v>
      </c>
      <c r="F314" s="5" t="s">
        <v>49</v>
      </c>
      <c r="G314" s="21">
        <v>1</v>
      </c>
      <c r="H314" s="22">
        <f>VLOOKUP($C314,'Master File June-26'!$C$3:$L$670,6,0)</f>
        <v>5000</v>
      </c>
      <c r="I314" s="22">
        <f>VLOOKUP($C314,'Master File June-26'!$C$3:$L$670,7,0)</f>
        <v>5000</v>
      </c>
      <c r="J314" s="5">
        <f>VLOOKUP($C314,'Master File June-26'!$C$3:$L$670,8,0)</f>
        <v>14</v>
      </c>
      <c r="K314" s="23">
        <f>VLOOKUP($C314,'Master File June-26'!$C$3:$L$670,9,0)</f>
        <v>2500</v>
      </c>
      <c r="L314" s="58">
        <f>VLOOKUP($C314,'Master File June-26'!$C$3:$L$670,10,0)</f>
        <v>0</v>
      </c>
      <c r="M314" s="24">
        <f t="shared" si="16"/>
        <v>0</v>
      </c>
      <c r="N314" s="25" t="str">
        <f t="shared" si="17"/>
        <v>ORDER NOW</v>
      </c>
      <c r="O314" s="25" t="str">
        <f t="shared" si="18"/>
        <v>CRITICAL</v>
      </c>
      <c r="S314" s="79">
        <f t="shared" si="19"/>
        <v>0</v>
      </c>
    </row>
    <row r="315" spans="1:19" ht="18.75" x14ac:dyDescent="0.25">
      <c r="A315" s="39">
        <v>211</v>
      </c>
      <c r="B315" s="39" t="s">
        <v>123</v>
      </c>
      <c r="C315" s="39" t="s">
        <v>733</v>
      </c>
      <c r="D315" s="28" t="s">
        <v>734</v>
      </c>
      <c r="E315" s="27" t="s">
        <v>160</v>
      </c>
      <c r="F315" s="5" t="s">
        <v>49</v>
      </c>
      <c r="G315" s="21">
        <v>2.2222222222222223</v>
      </c>
      <c r="H315" s="22">
        <f>VLOOKUP($C315,'Master File June-26'!$C$3:$L$670,6,0)</f>
        <v>155.5</v>
      </c>
      <c r="I315" s="22">
        <f>VLOOKUP($C315,'Master File June-26'!$C$3:$L$670,7,0)</f>
        <v>69.974999999999994</v>
      </c>
      <c r="J315" s="5">
        <f>VLOOKUP($C315,'Master File June-26'!$C$3:$L$670,8,0)</f>
        <v>14</v>
      </c>
      <c r="K315" s="23">
        <f>VLOOKUP($C315,'Master File June-26'!$C$3:$L$670,9,0)</f>
        <v>34.987499999999997</v>
      </c>
      <c r="L315" s="58">
        <f>VLOOKUP($C315,'Master File June-26'!$C$3:$L$670,10,0)</f>
        <v>0</v>
      </c>
      <c r="M315" s="24">
        <f t="shared" si="16"/>
        <v>0</v>
      </c>
      <c r="N315" s="25" t="str">
        <f t="shared" si="17"/>
        <v>ORDER NOW</v>
      </c>
      <c r="O315" s="25" t="str">
        <f t="shared" si="18"/>
        <v>CRITICAL</v>
      </c>
      <c r="S315" s="79">
        <f t="shared" si="19"/>
        <v>0</v>
      </c>
    </row>
    <row r="316" spans="1:19" ht="18.75" x14ac:dyDescent="0.25">
      <c r="A316" s="19">
        <v>139</v>
      </c>
      <c r="B316" s="19" t="s">
        <v>18</v>
      </c>
      <c r="C316" s="19" t="s">
        <v>735</v>
      </c>
      <c r="D316" s="33" t="s">
        <v>736</v>
      </c>
      <c r="E316" s="32" t="s">
        <v>49</v>
      </c>
      <c r="F316" s="5" t="s">
        <v>49</v>
      </c>
      <c r="G316" s="21">
        <v>1</v>
      </c>
      <c r="H316" s="22">
        <f>VLOOKUP($C316,'Master File June-26'!$C$3:$L$670,6,0)</f>
        <v>5000</v>
      </c>
      <c r="I316" s="22">
        <f>VLOOKUP($C316,'Master File June-26'!$C$3:$L$670,7,0)</f>
        <v>5000</v>
      </c>
      <c r="J316" s="5">
        <f>VLOOKUP($C316,'Master File June-26'!$C$3:$L$670,8,0)</f>
        <v>14</v>
      </c>
      <c r="K316" s="23">
        <f>VLOOKUP($C316,'Master File June-26'!$C$3:$L$670,9,0)</f>
        <v>2500</v>
      </c>
      <c r="L316" s="58">
        <f>VLOOKUP($C316,'Master File June-26'!$C$3:$L$670,10,0)</f>
        <v>1350</v>
      </c>
      <c r="M316" s="24">
        <f t="shared" si="16"/>
        <v>8.1000000000000014</v>
      </c>
      <c r="N316" s="25" t="str">
        <f t="shared" si="17"/>
        <v>ORDER NOW</v>
      </c>
      <c r="O316" s="25" t="str">
        <f t="shared" si="18"/>
        <v>CRITICAL</v>
      </c>
      <c r="R316" t="s">
        <v>30</v>
      </c>
      <c r="S316" s="79">
        <f t="shared" si="19"/>
        <v>0</v>
      </c>
    </row>
    <row r="317" spans="1:19" ht="18.75" x14ac:dyDescent="0.25">
      <c r="A317" s="4">
        <v>611</v>
      </c>
      <c r="B317" s="4" t="s">
        <v>133</v>
      </c>
      <c r="C317" s="4" t="s">
        <v>737</v>
      </c>
      <c r="D317" s="28" t="s">
        <v>738</v>
      </c>
      <c r="E317" s="27" t="s">
        <v>64</v>
      </c>
      <c r="F317" s="5" t="s">
        <v>49</v>
      </c>
      <c r="G317" s="21">
        <v>1</v>
      </c>
      <c r="H317" s="22">
        <f>VLOOKUP($C317,'Master File June-26'!$C$3:$L$670,6,0)</f>
        <v>1815</v>
      </c>
      <c r="I317" s="22">
        <f>VLOOKUP($C317,'Master File June-26'!$C$3:$L$670,7,0)</f>
        <v>1815</v>
      </c>
      <c r="J317" s="5">
        <f>VLOOKUP($C317,'Master File June-26'!$C$3:$L$670,8,0)</f>
        <v>14</v>
      </c>
      <c r="K317" s="23">
        <f>VLOOKUP($C317,'Master File June-26'!$C$3:$L$670,9,0)</f>
        <v>907.5</v>
      </c>
      <c r="L317" s="58">
        <f>VLOOKUP($C317,'Master File June-26'!$C$3:$L$670,10,0)</f>
        <v>0</v>
      </c>
      <c r="M317" s="24">
        <f t="shared" si="16"/>
        <v>0</v>
      </c>
      <c r="N317" s="25" t="str">
        <f t="shared" si="17"/>
        <v>ORDER NOW</v>
      </c>
      <c r="O317" s="25" t="str">
        <f t="shared" si="18"/>
        <v>CRITICAL</v>
      </c>
      <c r="S317" s="79">
        <f t="shared" si="19"/>
        <v>0</v>
      </c>
    </row>
    <row r="318" spans="1:19" ht="18.75" x14ac:dyDescent="0.25">
      <c r="A318" s="39">
        <v>200</v>
      </c>
      <c r="B318" s="39" t="s">
        <v>239</v>
      </c>
      <c r="C318" s="39" t="s">
        <v>739</v>
      </c>
      <c r="D318" s="28" t="s">
        <v>740</v>
      </c>
      <c r="E318" s="27" t="s">
        <v>78</v>
      </c>
      <c r="F318" s="5" t="s">
        <v>49</v>
      </c>
      <c r="G318" s="21">
        <v>1</v>
      </c>
      <c r="H318" s="22">
        <f>VLOOKUP($C318,'Master File June-26'!$C$3:$L$670,6,0)</f>
        <v>170</v>
      </c>
      <c r="I318" s="22">
        <f>VLOOKUP($C318,'Master File June-26'!$C$3:$L$670,7,0)</f>
        <v>170</v>
      </c>
      <c r="J318" s="5">
        <f>VLOOKUP($C318,'Master File June-26'!$C$3:$L$670,8,0)</f>
        <v>14</v>
      </c>
      <c r="K318" s="23">
        <f>VLOOKUP($C318,'Master File June-26'!$C$3:$L$670,9,0)</f>
        <v>85</v>
      </c>
      <c r="L318" s="58">
        <f>VLOOKUP($C318,'Master File June-26'!$C$3:$L$670,10,0)</f>
        <v>18</v>
      </c>
      <c r="M318" s="24">
        <f t="shared" si="16"/>
        <v>3.1764705882352939</v>
      </c>
      <c r="N318" s="25" t="str">
        <f t="shared" si="17"/>
        <v>ORDER NOW</v>
      </c>
      <c r="O318" s="25" t="str">
        <f t="shared" si="18"/>
        <v>CRITICAL</v>
      </c>
      <c r="S318" s="79">
        <f t="shared" si="19"/>
        <v>0</v>
      </c>
    </row>
    <row r="319" spans="1:19" ht="18.75" x14ac:dyDescent="0.25">
      <c r="A319" s="19">
        <v>147</v>
      </c>
      <c r="B319" s="19" t="s">
        <v>18</v>
      </c>
      <c r="C319" s="19" t="s">
        <v>741</v>
      </c>
      <c r="D319" s="62" t="s">
        <v>742</v>
      </c>
      <c r="E319" s="32" t="s">
        <v>49</v>
      </c>
      <c r="F319" s="5" t="s">
        <v>49</v>
      </c>
      <c r="G319" s="21">
        <v>1</v>
      </c>
      <c r="H319" s="22">
        <f>VLOOKUP($C319,'Master File June-26'!$C$3:$L$670,6,0)</f>
        <v>0</v>
      </c>
      <c r="I319" s="22">
        <f>VLOOKUP($C319,'Master File June-26'!$C$3:$L$670,7,0)</f>
        <v>200</v>
      </c>
      <c r="J319" s="5">
        <f>VLOOKUP($C319,'Master File June-26'!$C$3:$L$670,8,0)</f>
        <v>14</v>
      </c>
      <c r="K319" s="23">
        <f>VLOOKUP($C319,'Master File June-26'!$C$3:$L$670,9,0)</f>
        <v>100</v>
      </c>
      <c r="L319" s="58">
        <f>VLOOKUP($C319,'Master File June-26'!$C$3:$L$670,10,0)</f>
        <v>0</v>
      </c>
      <c r="M319" s="24">
        <f t="shared" si="16"/>
        <v>0</v>
      </c>
      <c r="N319" s="25" t="str">
        <f t="shared" si="17"/>
        <v>ORDER NOW</v>
      </c>
      <c r="O319" s="25" t="str">
        <f t="shared" si="18"/>
        <v>CRITICAL</v>
      </c>
      <c r="R319" t="s">
        <v>30</v>
      </c>
      <c r="S319" s="79">
        <f t="shared" si="19"/>
        <v>0</v>
      </c>
    </row>
    <row r="320" spans="1:19" ht="18.75" x14ac:dyDescent="0.25">
      <c r="A320" s="41">
        <v>403</v>
      </c>
      <c r="B320" s="41" t="s">
        <v>85</v>
      </c>
      <c r="C320" s="41" t="s">
        <v>743</v>
      </c>
      <c r="D320" s="28" t="s">
        <v>744</v>
      </c>
      <c r="E320" s="27" t="s">
        <v>381</v>
      </c>
      <c r="F320" s="5" t="s">
        <v>22</v>
      </c>
      <c r="G320" s="21">
        <v>8.3333333333333329E-2</v>
      </c>
      <c r="H320" s="22">
        <f>VLOOKUP($C320,'Master File June-26'!$C$3:$L$670,6,0)</f>
        <v>608</v>
      </c>
      <c r="I320" s="22">
        <f>VLOOKUP($C320,'Master File June-26'!$C$3:$L$670,7,0)</f>
        <v>7296</v>
      </c>
      <c r="J320" s="5">
        <f>VLOOKUP($C320,'Master File June-26'!$C$3:$L$670,8,0)</f>
        <v>14</v>
      </c>
      <c r="K320" s="23">
        <f>VLOOKUP($C320,'Master File June-26'!$C$3:$L$670,9,0)</f>
        <v>3648</v>
      </c>
      <c r="L320" s="58">
        <f>VLOOKUP($C320,'Master File June-26'!$C$3:$L$670,10,0)</f>
        <v>2400</v>
      </c>
      <c r="M320" s="24">
        <f t="shared" si="16"/>
        <v>9.8684210526315788</v>
      </c>
      <c r="N320" s="25" t="str">
        <f t="shared" si="17"/>
        <v>ORDER NOW</v>
      </c>
      <c r="O320" s="25" t="str">
        <f t="shared" si="18"/>
        <v>CRITICAL</v>
      </c>
      <c r="S320" s="79">
        <f t="shared" si="19"/>
        <v>0</v>
      </c>
    </row>
    <row r="321" spans="1:19" ht="18.75" x14ac:dyDescent="0.25">
      <c r="A321" s="19">
        <v>146</v>
      </c>
      <c r="B321" s="19" t="s">
        <v>18</v>
      </c>
      <c r="C321" s="19" t="s">
        <v>745</v>
      </c>
      <c r="D321" s="62" t="s">
        <v>746</v>
      </c>
      <c r="E321" s="32" t="s">
        <v>49</v>
      </c>
      <c r="F321" s="5" t="s">
        <v>49</v>
      </c>
      <c r="G321" s="21">
        <v>1</v>
      </c>
      <c r="H321" s="22">
        <f>VLOOKUP($C321,'Master File June-26'!$C$3:$L$670,6,0)</f>
        <v>500</v>
      </c>
      <c r="I321" s="22">
        <f>VLOOKUP($C321,'Master File June-26'!$C$3:$L$670,7,0)</f>
        <v>500</v>
      </c>
      <c r="J321" s="5">
        <f>VLOOKUP($C321,'Master File June-26'!$C$3:$L$670,8,0)</f>
        <v>14</v>
      </c>
      <c r="K321" s="23">
        <f>VLOOKUP($C321,'Master File June-26'!$C$3:$L$670,9,0)</f>
        <v>250</v>
      </c>
      <c r="L321" s="58">
        <f>VLOOKUP($C321,'Master File June-26'!$C$3:$L$670,10,0)</f>
        <v>0</v>
      </c>
      <c r="M321" s="24">
        <f t="shared" si="16"/>
        <v>0</v>
      </c>
      <c r="N321" s="25" t="str">
        <f t="shared" si="17"/>
        <v>ORDER NOW</v>
      </c>
      <c r="O321" s="25" t="str">
        <f t="shared" si="18"/>
        <v>CRITICAL</v>
      </c>
      <c r="R321" t="s">
        <v>30</v>
      </c>
      <c r="S321" s="79">
        <f t="shared" si="19"/>
        <v>0</v>
      </c>
    </row>
    <row r="322" spans="1:19" ht="18.75" x14ac:dyDescent="0.25">
      <c r="A322" s="4">
        <v>601</v>
      </c>
      <c r="B322" s="4" t="s">
        <v>85</v>
      </c>
      <c r="C322" s="4" t="s">
        <v>747</v>
      </c>
      <c r="D322" s="28" t="s">
        <v>748</v>
      </c>
      <c r="E322" s="27" t="s">
        <v>78</v>
      </c>
      <c r="F322" s="5" t="s">
        <v>49</v>
      </c>
      <c r="G322" s="21">
        <v>1</v>
      </c>
      <c r="H322" s="22">
        <f>VLOOKUP($C322,'Master File June-26'!$C$3:$L$670,6,0)</f>
        <v>121</v>
      </c>
      <c r="I322" s="22">
        <f>VLOOKUP($C322,'Master File June-26'!$C$3:$L$670,7,0)</f>
        <v>121</v>
      </c>
      <c r="J322" s="5">
        <f>VLOOKUP($C322,'Master File June-26'!$C$3:$L$670,8,0)</f>
        <v>14</v>
      </c>
      <c r="K322" s="23">
        <f>VLOOKUP($C322,'Master File June-26'!$C$3:$L$670,9,0)</f>
        <v>60.5</v>
      </c>
      <c r="L322" s="58">
        <f>VLOOKUP($C322,'Master File June-26'!$C$3:$L$670,10,0)</f>
        <v>0</v>
      </c>
      <c r="M322" s="24">
        <f t="shared" si="16"/>
        <v>0</v>
      </c>
      <c r="N322" s="25" t="str">
        <f t="shared" si="17"/>
        <v>ORDER NOW</v>
      </c>
      <c r="O322" s="25" t="str">
        <f t="shared" si="18"/>
        <v>CRITICAL</v>
      </c>
      <c r="S322" s="79">
        <f t="shared" si="19"/>
        <v>0</v>
      </c>
    </row>
    <row r="323" spans="1:19" ht="18.75" x14ac:dyDescent="0.25">
      <c r="A323" s="41">
        <v>497</v>
      </c>
      <c r="B323" s="41" t="s">
        <v>38</v>
      </c>
      <c r="C323" s="41" t="s">
        <v>749</v>
      </c>
      <c r="D323" s="28" t="s">
        <v>750</v>
      </c>
      <c r="E323" s="27" t="s">
        <v>751</v>
      </c>
      <c r="F323" s="5" t="s">
        <v>49</v>
      </c>
      <c r="G323" s="21">
        <v>0.05</v>
      </c>
      <c r="H323" s="22">
        <f>VLOOKUP($C323,'Master File June-26'!$C$3:$L$670,6,0)</f>
        <v>60</v>
      </c>
      <c r="I323" s="22">
        <f>VLOOKUP($C323,'Master File June-26'!$C$3:$L$670,7,0)</f>
        <v>1200</v>
      </c>
      <c r="J323" s="5">
        <f>VLOOKUP($C323,'Master File June-26'!$C$3:$L$670,8,0)</f>
        <v>14</v>
      </c>
      <c r="K323" s="23">
        <f>VLOOKUP($C323,'Master File June-26'!$C$3:$L$670,9,0)</f>
        <v>600</v>
      </c>
      <c r="L323" s="58">
        <f>VLOOKUP($C323,'Master File June-26'!$C$3:$L$670,10,0)</f>
        <v>0</v>
      </c>
      <c r="M323" s="24">
        <f t="shared" ref="M323:M386" si="20">IFERROR((L323/I323*30),0)</f>
        <v>0</v>
      </c>
      <c r="N323" s="25" t="str">
        <f t="shared" ref="N323:N386" si="21">IF(M323&lt;J323,"ORDER NOW","IN STOCK")</f>
        <v>ORDER NOW</v>
      </c>
      <c r="O323" s="25" t="str">
        <f t="shared" ref="O323:O386" si="22">IF(M323&lt;J323,"CRITICAL","FOLLOW UP DELIVERY")</f>
        <v>CRITICAL</v>
      </c>
      <c r="S323" s="79">
        <f t="shared" ref="S323:S386" si="23">IF(L323&lt;K323,0,1)</f>
        <v>0</v>
      </c>
    </row>
    <row r="324" spans="1:19" ht="18.75" x14ac:dyDescent="0.25">
      <c r="A324" s="39">
        <v>213</v>
      </c>
      <c r="B324" s="39" t="s">
        <v>123</v>
      </c>
      <c r="C324" s="39" t="s">
        <v>752</v>
      </c>
      <c r="D324" s="28" t="s">
        <v>753</v>
      </c>
      <c r="E324" s="27" t="s">
        <v>754</v>
      </c>
      <c r="F324" s="5" t="s">
        <v>49</v>
      </c>
      <c r="G324" s="21">
        <v>1</v>
      </c>
      <c r="H324" s="22">
        <f>VLOOKUP($C324,'Master File June-26'!$C$3:$L$670,6,0)</f>
        <v>175</v>
      </c>
      <c r="I324" s="22">
        <f>VLOOKUP($C324,'Master File June-26'!$C$3:$L$670,7,0)</f>
        <v>175</v>
      </c>
      <c r="J324" s="5">
        <f>VLOOKUP($C324,'Master File June-26'!$C$3:$L$670,8,0)</f>
        <v>14</v>
      </c>
      <c r="K324" s="23">
        <f>VLOOKUP($C324,'Master File June-26'!$C$3:$L$670,9,0)</f>
        <v>87.5</v>
      </c>
      <c r="L324" s="58">
        <f>VLOOKUP($C324,'Master File June-26'!$C$3:$L$670,10,0)</f>
        <v>207</v>
      </c>
      <c r="M324" s="24">
        <f t="shared" si="20"/>
        <v>35.485714285714288</v>
      </c>
      <c r="N324" s="25" t="str">
        <f t="shared" si="21"/>
        <v>IN STOCK</v>
      </c>
      <c r="O324" s="25" t="str">
        <f t="shared" si="22"/>
        <v>FOLLOW UP DELIVERY</v>
      </c>
      <c r="S324" s="79">
        <f t="shared" si="23"/>
        <v>1</v>
      </c>
    </row>
    <row r="325" spans="1:19" ht="18.75" x14ac:dyDescent="0.25">
      <c r="A325" s="39">
        <v>197</v>
      </c>
      <c r="B325" s="39" t="s">
        <v>239</v>
      </c>
      <c r="C325" s="39" t="s">
        <v>755</v>
      </c>
      <c r="D325" s="28" t="s">
        <v>756</v>
      </c>
      <c r="E325" s="27" t="s">
        <v>160</v>
      </c>
      <c r="F325" s="5" t="s">
        <v>49</v>
      </c>
      <c r="G325" s="21">
        <v>1</v>
      </c>
      <c r="H325" s="22">
        <f>VLOOKUP($C325,'Master File June-26'!$C$3:$L$670,6,0)</f>
        <v>220</v>
      </c>
      <c r="I325" s="22">
        <f>VLOOKUP($C325,'Master File June-26'!$C$3:$L$670,7,0)</f>
        <v>220</v>
      </c>
      <c r="J325" s="5">
        <f>VLOOKUP($C325,'Master File June-26'!$C$3:$L$670,8,0)</f>
        <v>14</v>
      </c>
      <c r="K325" s="23">
        <f>VLOOKUP($C325,'Master File June-26'!$C$3:$L$670,9,0)</f>
        <v>110</v>
      </c>
      <c r="L325" s="58">
        <f>VLOOKUP($C325,'Master File June-26'!$C$3:$L$670,10,0)</f>
        <v>0</v>
      </c>
      <c r="M325" s="24">
        <f t="shared" si="20"/>
        <v>0</v>
      </c>
      <c r="N325" s="25" t="str">
        <f t="shared" si="21"/>
        <v>ORDER NOW</v>
      </c>
      <c r="O325" s="25" t="str">
        <f t="shared" si="22"/>
        <v>CRITICAL</v>
      </c>
      <c r="S325" s="79">
        <f t="shared" si="23"/>
        <v>0</v>
      </c>
    </row>
    <row r="326" spans="1:19" ht="18.75" x14ac:dyDescent="0.25">
      <c r="A326" s="39">
        <v>244</v>
      </c>
      <c r="B326" s="39" t="s">
        <v>123</v>
      </c>
      <c r="C326" s="39" t="s">
        <v>757</v>
      </c>
      <c r="D326" s="28" t="s">
        <v>758</v>
      </c>
      <c r="E326" s="27" t="s">
        <v>759</v>
      </c>
      <c r="F326" s="5" t="s">
        <v>49</v>
      </c>
      <c r="G326" s="21">
        <v>1</v>
      </c>
      <c r="H326" s="22">
        <f>VLOOKUP($C326,'Master File June-26'!$C$3:$L$670,6,0)</f>
        <v>55.5</v>
      </c>
      <c r="I326" s="22">
        <f>VLOOKUP($C326,'Master File June-26'!$C$3:$L$670,7,0)</f>
        <v>55.5</v>
      </c>
      <c r="J326" s="5">
        <f>VLOOKUP($C326,'Master File June-26'!$C$3:$L$670,8,0)</f>
        <v>14</v>
      </c>
      <c r="K326" s="23">
        <f>VLOOKUP($C326,'Master File June-26'!$C$3:$L$670,9,0)</f>
        <v>27.75</v>
      </c>
      <c r="L326" s="58">
        <f>VLOOKUP($C326,'Master File June-26'!$C$3:$L$670,10,0)</f>
        <v>48</v>
      </c>
      <c r="M326" s="24">
        <f t="shared" si="20"/>
        <v>25.945945945945947</v>
      </c>
      <c r="N326" s="25" t="str">
        <f t="shared" si="21"/>
        <v>IN STOCK</v>
      </c>
      <c r="O326" s="25" t="str">
        <f t="shared" si="22"/>
        <v>FOLLOW UP DELIVERY</v>
      </c>
      <c r="S326" s="79">
        <f t="shared" si="23"/>
        <v>1</v>
      </c>
    </row>
    <row r="327" spans="1:19" ht="18.75" x14ac:dyDescent="0.25">
      <c r="A327" s="39">
        <v>269</v>
      </c>
      <c r="B327" s="39" t="s">
        <v>239</v>
      </c>
      <c r="C327" s="39" t="s">
        <v>760</v>
      </c>
      <c r="D327" s="28" t="s">
        <v>761</v>
      </c>
      <c r="E327" s="27" t="s">
        <v>78</v>
      </c>
      <c r="F327" s="5" t="s">
        <v>49</v>
      </c>
      <c r="G327" s="21">
        <v>1</v>
      </c>
      <c r="H327" s="22">
        <f>VLOOKUP($C327,'Master File June-26'!$C$3:$L$670,6,0)</f>
        <v>99</v>
      </c>
      <c r="I327" s="22">
        <f>VLOOKUP($C327,'Master File June-26'!$C$3:$L$670,7,0)</f>
        <v>99</v>
      </c>
      <c r="J327" s="5">
        <f>VLOOKUP($C327,'Master File June-26'!$C$3:$L$670,8,0)</f>
        <v>14</v>
      </c>
      <c r="K327" s="23">
        <f>VLOOKUP($C327,'Master File June-26'!$C$3:$L$670,9,0)</f>
        <v>49.5</v>
      </c>
      <c r="L327" s="58">
        <f>VLOOKUP($C327,'Master File June-26'!$C$3:$L$670,10,0)</f>
        <v>0</v>
      </c>
      <c r="M327" s="24">
        <f t="shared" si="20"/>
        <v>0</v>
      </c>
      <c r="N327" s="25" t="str">
        <f t="shared" si="21"/>
        <v>ORDER NOW</v>
      </c>
      <c r="O327" s="25" t="str">
        <f t="shared" si="22"/>
        <v>CRITICAL</v>
      </c>
      <c r="S327" s="79">
        <f t="shared" si="23"/>
        <v>0</v>
      </c>
    </row>
    <row r="328" spans="1:19" ht="18.75" x14ac:dyDescent="0.25">
      <c r="A328" s="19">
        <v>36</v>
      </c>
      <c r="B328" s="19" t="s">
        <v>18</v>
      </c>
      <c r="C328" s="19" t="s">
        <v>762</v>
      </c>
      <c r="D328" s="28" t="s">
        <v>763</v>
      </c>
      <c r="E328" s="27" t="s">
        <v>764</v>
      </c>
      <c r="F328" s="5" t="s">
        <v>22</v>
      </c>
      <c r="G328" s="21">
        <v>3.6363636363636361E-4</v>
      </c>
      <c r="H328" s="22">
        <f>VLOOKUP($C328,'Master File June-26'!$C$3:$L$670,6,0)</f>
        <v>92.5</v>
      </c>
      <c r="I328" s="22">
        <f>VLOOKUP($C328,'Master File June-26'!$C$3:$L$670,7,0)</f>
        <v>254375.00000000003</v>
      </c>
      <c r="J328" s="5">
        <f>VLOOKUP($C328,'Master File June-26'!$C$3:$L$670,8,0)</f>
        <v>14</v>
      </c>
      <c r="K328" s="23">
        <f>VLOOKUP($C328,'Master File June-26'!$C$3:$L$670,9,0)</f>
        <v>127187.50000000001</v>
      </c>
      <c r="L328" s="58">
        <f>VLOOKUP($C328,'Master File June-26'!$C$3:$L$670,10,0)</f>
        <v>75500</v>
      </c>
      <c r="M328" s="24">
        <f t="shared" si="20"/>
        <v>8.9041769041769019</v>
      </c>
      <c r="N328" s="25" t="str">
        <f t="shared" si="21"/>
        <v>ORDER NOW</v>
      </c>
      <c r="O328" s="25" t="str">
        <f t="shared" si="22"/>
        <v>CRITICAL</v>
      </c>
      <c r="R328" t="s">
        <v>30</v>
      </c>
      <c r="S328" s="79">
        <f t="shared" si="23"/>
        <v>0</v>
      </c>
    </row>
    <row r="329" spans="1:19" ht="18.75" x14ac:dyDescent="0.25">
      <c r="A329" s="39">
        <v>240</v>
      </c>
      <c r="B329" s="39" t="s">
        <v>123</v>
      </c>
      <c r="C329" s="39" t="s">
        <v>765</v>
      </c>
      <c r="D329" s="28" t="s">
        <v>766</v>
      </c>
      <c r="E329" s="27" t="s">
        <v>706</v>
      </c>
      <c r="F329" s="5" t="s">
        <v>49</v>
      </c>
      <c r="G329" s="21">
        <v>0.2</v>
      </c>
      <c r="H329" s="22">
        <f>VLOOKUP($C329,'Master File June-26'!$C$3:$L$670,6,0)</f>
        <v>250.5</v>
      </c>
      <c r="I329" s="22">
        <f>VLOOKUP($C329,'Master File June-26'!$C$3:$L$670,7,0)</f>
        <v>1252.5</v>
      </c>
      <c r="J329" s="5">
        <f>VLOOKUP($C329,'Master File June-26'!$C$3:$L$670,8,0)</f>
        <v>14</v>
      </c>
      <c r="K329" s="23">
        <f>VLOOKUP($C329,'Master File June-26'!$C$3:$L$670,9,0)</f>
        <v>626.25</v>
      </c>
      <c r="L329" s="58">
        <f>VLOOKUP($C329,'Master File June-26'!$C$3:$L$670,10,0)</f>
        <v>122</v>
      </c>
      <c r="M329" s="24">
        <f t="shared" si="20"/>
        <v>2.9221556886227549</v>
      </c>
      <c r="N329" s="25" t="str">
        <f t="shared" si="21"/>
        <v>ORDER NOW</v>
      </c>
      <c r="O329" s="25" t="str">
        <f t="shared" si="22"/>
        <v>CRITICAL</v>
      </c>
      <c r="S329" s="79">
        <f t="shared" si="23"/>
        <v>0</v>
      </c>
    </row>
    <row r="330" spans="1:19" ht="18.75" x14ac:dyDescent="0.25">
      <c r="A330" s="39">
        <v>256</v>
      </c>
      <c r="B330" s="39" t="s">
        <v>157</v>
      </c>
      <c r="C330" s="39" t="s">
        <v>767</v>
      </c>
      <c r="D330" s="28" t="s">
        <v>768</v>
      </c>
      <c r="E330" s="27" t="s">
        <v>697</v>
      </c>
      <c r="F330" s="5" t="s">
        <v>22</v>
      </c>
      <c r="G330" s="21">
        <v>1E-3</v>
      </c>
      <c r="H330" s="22">
        <f>VLOOKUP($C330,'Master File June-26'!$C$3:$L$670,6,0)</f>
        <v>673</v>
      </c>
      <c r="I330" s="22">
        <f>VLOOKUP($C330,'Master File June-26'!$C$3:$L$670,7,0)</f>
        <v>673000</v>
      </c>
      <c r="J330" s="5">
        <f>VLOOKUP($C330,'Master File June-26'!$C$3:$L$670,8,0)</f>
        <v>14</v>
      </c>
      <c r="K330" s="23">
        <f>VLOOKUP($C330,'Master File June-26'!$C$3:$L$670,9,0)</f>
        <v>336500</v>
      </c>
      <c r="L330" s="58">
        <f>VLOOKUP($C330,'Master File June-26'!$C$3:$L$670,10,0)</f>
        <v>2931</v>
      </c>
      <c r="M330" s="24">
        <f t="shared" si="20"/>
        <v>0.13065378900445765</v>
      </c>
      <c r="N330" s="25" t="str">
        <f t="shared" si="21"/>
        <v>ORDER NOW</v>
      </c>
      <c r="O330" s="25" t="str">
        <f t="shared" si="22"/>
        <v>CRITICAL</v>
      </c>
      <c r="S330" s="79">
        <f t="shared" si="23"/>
        <v>0</v>
      </c>
    </row>
    <row r="331" spans="1:19" ht="18.75" x14ac:dyDescent="0.25">
      <c r="A331" s="41">
        <v>353</v>
      </c>
      <c r="B331" s="41" t="s">
        <v>38</v>
      </c>
      <c r="C331" s="41" t="s">
        <v>769</v>
      </c>
      <c r="D331" s="28" t="s">
        <v>770</v>
      </c>
      <c r="E331" s="27" t="s">
        <v>70</v>
      </c>
      <c r="F331" s="5" t="s">
        <v>54</v>
      </c>
      <c r="G331" s="21">
        <v>0.1</v>
      </c>
      <c r="H331" s="22">
        <f>VLOOKUP($C331,'Master File June-26'!$C$3:$L$670,6,0)</f>
        <v>30.25</v>
      </c>
      <c r="I331" s="22">
        <f>VLOOKUP($C331,'Master File June-26'!$C$3:$L$670,7,0)</f>
        <v>302.5</v>
      </c>
      <c r="J331" s="5">
        <f>VLOOKUP($C331,'Master File June-26'!$C$3:$L$670,8,0)</f>
        <v>14</v>
      </c>
      <c r="K331" s="23">
        <f>VLOOKUP($C331,'Master File June-26'!$C$3:$L$670,9,0)</f>
        <v>151.25</v>
      </c>
      <c r="L331" s="58">
        <f>VLOOKUP($C331,'Master File June-26'!$C$3:$L$670,10,0)</f>
        <v>10</v>
      </c>
      <c r="M331" s="24">
        <f t="shared" si="20"/>
        <v>0.99173553719008267</v>
      </c>
      <c r="N331" s="25" t="str">
        <f t="shared" si="21"/>
        <v>ORDER NOW</v>
      </c>
      <c r="O331" s="25" t="str">
        <f t="shared" si="22"/>
        <v>CRITICAL</v>
      </c>
      <c r="S331" s="79">
        <f t="shared" si="23"/>
        <v>0</v>
      </c>
    </row>
    <row r="332" spans="1:19" ht="18.75" x14ac:dyDescent="0.25">
      <c r="A332" s="41">
        <v>482</v>
      </c>
      <c r="B332" s="41" t="s">
        <v>38</v>
      </c>
      <c r="C332" s="41" t="s">
        <v>771</v>
      </c>
      <c r="D332" s="28" t="s">
        <v>772</v>
      </c>
      <c r="E332" s="27" t="s">
        <v>773</v>
      </c>
      <c r="F332" s="5" t="s">
        <v>22</v>
      </c>
      <c r="G332" s="21">
        <v>0.33333333333333331</v>
      </c>
      <c r="H332" s="22">
        <f>VLOOKUP($C332,'Master File June-26'!$C$3:$L$670,6,0)</f>
        <v>120</v>
      </c>
      <c r="I332" s="22">
        <f>VLOOKUP($C332,'Master File June-26'!$C$3:$L$670,7,0)</f>
        <v>360</v>
      </c>
      <c r="J332" s="5">
        <f>VLOOKUP($C332,'Master File June-26'!$C$3:$L$670,8,0)</f>
        <v>14</v>
      </c>
      <c r="K332" s="23">
        <f>VLOOKUP($C332,'Master File June-26'!$C$3:$L$670,9,0)</f>
        <v>180</v>
      </c>
      <c r="L332" s="58">
        <f>VLOOKUP($C332,'Master File June-26'!$C$3:$L$670,10,0)</f>
        <v>0</v>
      </c>
      <c r="M332" s="24">
        <f t="shared" si="20"/>
        <v>0</v>
      </c>
      <c r="N332" s="25" t="str">
        <f t="shared" si="21"/>
        <v>ORDER NOW</v>
      </c>
      <c r="O332" s="25" t="str">
        <f t="shared" si="22"/>
        <v>CRITICAL</v>
      </c>
      <c r="S332" s="79">
        <f t="shared" si="23"/>
        <v>0</v>
      </c>
    </row>
    <row r="333" spans="1:19" ht="18.75" x14ac:dyDescent="0.25">
      <c r="A333" s="19">
        <v>131</v>
      </c>
      <c r="B333" s="19" t="s">
        <v>18</v>
      </c>
      <c r="C333" s="19" t="s">
        <v>774</v>
      </c>
      <c r="D333" s="28" t="s">
        <v>775</v>
      </c>
      <c r="E333" s="27" t="s">
        <v>776</v>
      </c>
      <c r="F333" s="5" t="s">
        <v>46</v>
      </c>
      <c r="G333" s="21">
        <v>2E-3</v>
      </c>
      <c r="H333" s="22">
        <f>VLOOKUP($C333,'Master File June-26'!$C$3:$L$670,6,0)</f>
        <v>40</v>
      </c>
      <c r="I333" s="22">
        <f>VLOOKUP($C333,'Master File June-26'!$C$3:$L$670,7,0)</f>
        <v>20000</v>
      </c>
      <c r="J333" s="5">
        <f>VLOOKUP($C333,'Master File June-26'!$C$3:$L$670,8,0)</f>
        <v>14</v>
      </c>
      <c r="K333" s="23">
        <f>VLOOKUP($C333,'Master File June-26'!$C$3:$L$670,9,0)</f>
        <v>10000</v>
      </c>
      <c r="L333" s="58">
        <f>VLOOKUP($C333,'Master File June-26'!$C$3:$L$670,10,0)</f>
        <v>8000</v>
      </c>
      <c r="M333" s="24">
        <f t="shared" si="20"/>
        <v>12</v>
      </c>
      <c r="N333" s="25" t="str">
        <f t="shared" si="21"/>
        <v>ORDER NOW</v>
      </c>
      <c r="O333" s="25" t="str">
        <f t="shared" si="22"/>
        <v>CRITICAL</v>
      </c>
      <c r="R333" t="s">
        <v>30</v>
      </c>
      <c r="S333" s="79">
        <f t="shared" si="23"/>
        <v>0</v>
      </c>
    </row>
    <row r="334" spans="1:19" ht="18.75" x14ac:dyDescent="0.25">
      <c r="A334" s="19">
        <v>51</v>
      </c>
      <c r="B334" s="19" t="s">
        <v>157</v>
      </c>
      <c r="C334" s="19" t="s">
        <v>777</v>
      </c>
      <c r="D334" s="28" t="s">
        <v>778</v>
      </c>
      <c r="E334" s="27" t="s">
        <v>779</v>
      </c>
      <c r="F334" s="5" t="s">
        <v>22</v>
      </c>
      <c r="G334" s="21">
        <v>0.02</v>
      </c>
      <c r="H334" s="22">
        <f>VLOOKUP($C334,'Master File June-26'!$C$3:$L$670,6,0)</f>
        <v>79.5</v>
      </c>
      <c r="I334" s="22">
        <f>VLOOKUP($C334,'Master File June-26'!$C$3:$L$670,7,0)</f>
        <v>3975</v>
      </c>
      <c r="J334" s="5">
        <f>VLOOKUP($C334,'Master File June-26'!$C$3:$L$670,8,0)</f>
        <v>14</v>
      </c>
      <c r="K334" s="23">
        <f>VLOOKUP($C334,'Master File June-26'!$C$3:$L$670,9,0)</f>
        <v>1987.5</v>
      </c>
      <c r="L334" s="58">
        <f>VLOOKUP($C334,'Master File June-26'!$C$3:$L$670,10,0)</f>
        <v>503</v>
      </c>
      <c r="M334" s="24">
        <f t="shared" si="20"/>
        <v>3.7962264150943397</v>
      </c>
      <c r="N334" s="25" t="str">
        <f t="shared" si="21"/>
        <v>ORDER NOW</v>
      </c>
      <c r="O334" s="25" t="str">
        <f t="shared" si="22"/>
        <v>CRITICAL</v>
      </c>
      <c r="R334" t="s">
        <v>30</v>
      </c>
      <c r="S334" s="79">
        <f t="shared" si="23"/>
        <v>0</v>
      </c>
    </row>
    <row r="335" spans="1:19" ht="18.75" x14ac:dyDescent="0.25">
      <c r="A335" s="39">
        <v>238</v>
      </c>
      <c r="B335" s="39" t="s">
        <v>123</v>
      </c>
      <c r="C335" s="39" t="s">
        <v>780</v>
      </c>
      <c r="D335" s="28" t="s">
        <v>781</v>
      </c>
      <c r="E335" s="27" t="s">
        <v>706</v>
      </c>
      <c r="F335" s="5" t="s">
        <v>49</v>
      </c>
      <c r="G335" s="21">
        <v>0.2</v>
      </c>
      <c r="H335" s="22">
        <f>VLOOKUP($C335,'Master File June-26'!$C$3:$L$670,6,0)</f>
        <v>68</v>
      </c>
      <c r="I335" s="22">
        <f>VLOOKUP($C335,'Master File June-26'!$C$3:$L$670,7,0)</f>
        <v>340</v>
      </c>
      <c r="J335" s="5">
        <f>VLOOKUP($C335,'Master File June-26'!$C$3:$L$670,8,0)</f>
        <v>14</v>
      </c>
      <c r="K335" s="23">
        <f>VLOOKUP($C335,'Master File June-26'!$C$3:$L$670,9,0)</f>
        <v>170</v>
      </c>
      <c r="L335" s="58">
        <f>VLOOKUP($C335,'Master File June-26'!$C$3:$L$670,10,0)</f>
        <v>45</v>
      </c>
      <c r="M335" s="24">
        <f t="shared" si="20"/>
        <v>3.9705882352941178</v>
      </c>
      <c r="N335" s="25" t="str">
        <f t="shared" si="21"/>
        <v>ORDER NOW</v>
      </c>
      <c r="O335" s="25" t="str">
        <f t="shared" si="22"/>
        <v>CRITICAL</v>
      </c>
      <c r="S335" s="79">
        <f t="shared" si="23"/>
        <v>0</v>
      </c>
    </row>
    <row r="336" spans="1:19" ht="18.75" x14ac:dyDescent="0.25">
      <c r="A336" s="39">
        <v>212</v>
      </c>
      <c r="B336" s="39" t="s">
        <v>123</v>
      </c>
      <c r="C336" s="39" t="s">
        <v>782</v>
      </c>
      <c r="D336" s="28" t="s">
        <v>783</v>
      </c>
      <c r="E336" s="27" t="s">
        <v>126</v>
      </c>
      <c r="F336" s="5" t="s">
        <v>49</v>
      </c>
      <c r="G336" s="21">
        <v>1</v>
      </c>
      <c r="H336" s="22">
        <f>VLOOKUP($C336,'Master File June-26'!$C$3:$L$670,6,0)</f>
        <v>85</v>
      </c>
      <c r="I336" s="22">
        <f>VLOOKUP($C336,'Master File June-26'!$C$3:$L$670,7,0)</f>
        <v>85</v>
      </c>
      <c r="J336" s="5">
        <f>VLOOKUP($C336,'Master File June-26'!$C$3:$L$670,8,0)</f>
        <v>14</v>
      </c>
      <c r="K336" s="23">
        <f>VLOOKUP($C336,'Master File June-26'!$C$3:$L$670,9,0)</f>
        <v>42.5</v>
      </c>
      <c r="L336" s="58">
        <f>VLOOKUP($C336,'Master File June-26'!$C$3:$L$670,10,0)</f>
        <v>20</v>
      </c>
      <c r="M336" s="24">
        <f t="shared" si="20"/>
        <v>7.0588235294117645</v>
      </c>
      <c r="N336" s="25" t="str">
        <f t="shared" si="21"/>
        <v>ORDER NOW</v>
      </c>
      <c r="O336" s="25" t="str">
        <f t="shared" si="22"/>
        <v>CRITICAL</v>
      </c>
      <c r="S336" s="79">
        <f t="shared" si="23"/>
        <v>0</v>
      </c>
    </row>
    <row r="337" spans="1:19" ht="18.75" x14ac:dyDescent="0.25">
      <c r="A337" s="39">
        <v>192</v>
      </c>
      <c r="B337" s="39" t="s">
        <v>239</v>
      </c>
      <c r="C337" s="39" t="s">
        <v>784</v>
      </c>
      <c r="D337" s="28" t="s">
        <v>785</v>
      </c>
      <c r="E337" s="27" t="s">
        <v>78</v>
      </c>
      <c r="F337" s="5" t="s">
        <v>49</v>
      </c>
      <c r="G337" s="21">
        <v>1</v>
      </c>
      <c r="H337" s="22">
        <f>VLOOKUP($C337,'Master File June-26'!$C$3:$L$670,6,0)</f>
        <v>134</v>
      </c>
      <c r="I337" s="22">
        <f>VLOOKUP($C337,'Master File June-26'!$C$3:$L$670,7,0)</f>
        <v>134</v>
      </c>
      <c r="J337" s="5">
        <f>VLOOKUP($C337,'Master File June-26'!$C$3:$L$670,8,0)</f>
        <v>14</v>
      </c>
      <c r="K337" s="23">
        <f>VLOOKUP($C337,'Master File June-26'!$C$3:$L$670,9,0)</f>
        <v>67</v>
      </c>
      <c r="L337" s="58">
        <f>VLOOKUP($C337,'Master File June-26'!$C$3:$L$670,10,0)</f>
        <v>0</v>
      </c>
      <c r="M337" s="24">
        <f t="shared" si="20"/>
        <v>0</v>
      </c>
      <c r="N337" s="25" t="str">
        <f t="shared" si="21"/>
        <v>ORDER NOW</v>
      </c>
      <c r="O337" s="25" t="str">
        <f t="shared" si="22"/>
        <v>CRITICAL</v>
      </c>
      <c r="S337" s="79">
        <f t="shared" si="23"/>
        <v>0</v>
      </c>
    </row>
    <row r="338" spans="1:19" ht="18.75" x14ac:dyDescent="0.25">
      <c r="A338" s="41">
        <v>361</v>
      </c>
      <c r="B338" s="41" t="s">
        <v>85</v>
      </c>
      <c r="C338" s="41" t="s">
        <v>786</v>
      </c>
      <c r="D338" s="28" t="s">
        <v>787</v>
      </c>
      <c r="E338" s="27" t="s">
        <v>101</v>
      </c>
      <c r="F338" s="5" t="s">
        <v>22</v>
      </c>
      <c r="G338" s="21">
        <v>0.16666666666666666</v>
      </c>
      <c r="H338" s="22">
        <f>VLOOKUP($C338,'Master File June-26'!$C$3:$L$670,6,0)</f>
        <v>55</v>
      </c>
      <c r="I338" s="22">
        <f>VLOOKUP($C338,'Master File June-26'!$C$3:$L$670,7,0)</f>
        <v>330</v>
      </c>
      <c r="J338" s="5">
        <f>VLOOKUP($C338,'Master File June-26'!$C$3:$L$670,8,0)</f>
        <v>14</v>
      </c>
      <c r="K338" s="23">
        <f>VLOOKUP($C338,'Master File June-26'!$C$3:$L$670,9,0)</f>
        <v>165</v>
      </c>
      <c r="L338" s="58">
        <f>VLOOKUP($C338,'Master File June-26'!$C$3:$L$670,10,0)</f>
        <v>48</v>
      </c>
      <c r="M338" s="24">
        <f t="shared" si="20"/>
        <v>4.3636363636363633</v>
      </c>
      <c r="N338" s="25" t="str">
        <f t="shared" si="21"/>
        <v>ORDER NOW</v>
      </c>
      <c r="O338" s="25" t="str">
        <f t="shared" si="22"/>
        <v>CRITICAL</v>
      </c>
      <c r="S338" s="79">
        <f t="shared" si="23"/>
        <v>0</v>
      </c>
    </row>
    <row r="339" spans="1:19" ht="18.75" x14ac:dyDescent="0.25">
      <c r="A339" s="41">
        <v>449</v>
      </c>
      <c r="B339" s="41" t="s">
        <v>85</v>
      </c>
      <c r="C339" s="41" t="s">
        <v>788</v>
      </c>
      <c r="D339" s="28" t="s">
        <v>789</v>
      </c>
      <c r="E339" s="27" t="s">
        <v>790</v>
      </c>
      <c r="F339" s="5" t="s">
        <v>22</v>
      </c>
      <c r="G339" s="21">
        <v>0.20990764063811923</v>
      </c>
      <c r="H339" s="22">
        <f>VLOOKUP($C339,'Master File June-26'!$C$3:$L$670,6,0)</f>
        <v>1500</v>
      </c>
      <c r="I339" s="22">
        <f>VLOOKUP($C339,'Master File June-26'!$C$3:$L$670,7,0)</f>
        <v>7146</v>
      </c>
      <c r="J339" s="5">
        <f>VLOOKUP($C339,'Master File June-26'!$C$3:$L$670,8,0)</f>
        <v>14</v>
      </c>
      <c r="K339" s="23">
        <f>VLOOKUP($C339,'Master File June-26'!$C$3:$L$670,9,0)</f>
        <v>3573</v>
      </c>
      <c r="L339" s="58">
        <f>VLOOKUP($C339,'Master File June-26'!$C$3:$L$670,10,0)</f>
        <v>476.4</v>
      </c>
      <c r="M339" s="24">
        <f t="shared" si="20"/>
        <v>2</v>
      </c>
      <c r="N339" s="25" t="str">
        <f t="shared" si="21"/>
        <v>ORDER NOW</v>
      </c>
      <c r="O339" s="25" t="str">
        <f t="shared" si="22"/>
        <v>CRITICAL</v>
      </c>
      <c r="S339" s="79">
        <f t="shared" si="23"/>
        <v>0</v>
      </c>
    </row>
    <row r="340" spans="1:19" ht="18.75" x14ac:dyDescent="0.25">
      <c r="A340" s="39">
        <v>239</v>
      </c>
      <c r="B340" s="39" t="s">
        <v>123</v>
      </c>
      <c r="C340" s="39" t="s">
        <v>791</v>
      </c>
      <c r="D340" s="28" t="s">
        <v>792</v>
      </c>
      <c r="E340" s="27" t="s">
        <v>793</v>
      </c>
      <c r="F340" s="5" t="s">
        <v>794</v>
      </c>
      <c r="G340" s="21">
        <v>0.04</v>
      </c>
      <c r="H340" s="22">
        <f>VLOOKUP($C340,'Master File June-26'!$C$3:$L$670,6,0)</f>
        <v>69</v>
      </c>
      <c r="I340" s="22">
        <f>VLOOKUP($C340,'Master File June-26'!$C$3:$L$670,7,0)</f>
        <v>1725</v>
      </c>
      <c r="J340" s="5">
        <f>VLOOKUP($C340,'Master File June-26'!$C$3:$L$670,8,0)</f>
        <v>14</v>
      </c>
      <c r="K340" s="23">
        <f>VLOOKUP($C340,'Master File June-26'!$C$3:$L$670,9,0)</f>
        <v>862.5</v>
      </c>
      <c r="L340" s="58">
        <f>VLOOKUP($C340,'Master File June-26'!$C$3:$L$670,10,0)</f>
        <v>386</v>
      </c>
      <c r="M340" s="24">
        <f t="shared" si="20"/>
        <v>6.713043478260869</v>
      </c>
      <c r="N340" s="25" t="str">
        <f t="shared" si="21"/>
        <v>ORDER NOW</v>
      </c>
      <c r="O340" s="25" t="str">
        <f t="shared" si="22"/>
        <v>CRITICAL</v>
      </c>
      <c r="S340" s="79">
        <f t="shared" si="23"/>
        <v>0</v>
      </c>
    </row>
    <row r="341" spans="1:19" ht="18.75" x14ac:dyDescent="0.25">
      <c r="A341" s="19">
        <v>163</v>
      </c>
      <c r="B341" s="19" t="s">
        <v>18</v>
      </c>
      <c r="C341" s="19" t="s">
        <v>795</v>
      </c>
      <c r="D341" s="30" t="s">
        <v>796</v>
      </c>
      <c r="E341" s="27" t="s">
        <v>797</v>
      </c>
      <c r="F341" s="5" t="s">
        <v>22</v>
      </c>
      <c r="G341" s="21">
        <v>0.01</v>
      </c>
      <c r="H341" s="22">
        <f>VLOOKUP($C341,'Master File June-26'!$C$3:$L$670,6,0)</f>
        <v>100</v>
      </c>
      <c r="I341" s="22">
        <f>VLOOKUP($C341,'Master File June-26'!$C$3:$L$670,7,0)</f>
        <v>10000</v>
      </c>
      <c r="J341" s="5">
        <f>VLOOKUP($C341,'Master File June-26'!$C$3:$L$670,8,0)</f>
        <v>14</v>
      </c>
      <c r="K341" s="23">
        <f>VLOOKUP($C341,'Master File June-26'!$C$3:$L$670,9,0)</f>
        <v>5000</v>
      </c>
      <c r="L341" s="58">
        <f>VLOOKUP($C341,'Master File June-26'!$C$3:$L$670,10,0)</f>
        <v>1505</v>
      </c>
      <c r="M341" s="24">
        <f t="shared" si="20"/>
        <v>4.5149999999999997</v>
      </c>
      <c r="N341" s="25" t="str">
        <f t="shared" si="21"/>
        <v>ORDER NOW</v>
      </c>
      <c r="O341" s="25" t="str">
        <f t="shared" si="22"/>
        <v>CRITICAL</v>
      </c>
      <c r="S341" s="79">
        <f t="shared" si="23"/>
        <v>0</v>
      </c>
    </row>
    <row r="342" spans="1:19" ht="18.75" x14ac:dyDescent="0.25">
      <c r="A342" s="19">
        <v>83</v>
      </c>
      <c r="B342" s="19" t="s">
        <v>18</v>
      </c>
      <c r="C342" s="19" t="s">
        <v>798</v>
      </c>
      <c r="D342" s="28" t="s">
        <v>799</v>
      </c>
      <c r="E342" s="27" t="s">
        <v>800</v>
      </c>
      <c r="F342" s="5" t="s">
        <v>801</v>
      </c>
      <c r="G342" s="21">
        <v>1.6666666666666668E-3</v>
      </c>
      <c r="H342" s="22">
        <f>VLOOKUP($C342,'Master File June-26'!$C$3:$L$670,6,0)</f>
        <v>123</v>
      </c>
      <c r="I342" s="22">
        <f>VLOOKUP($C342,'Master File June-26'!$C$3:$L$670,7,0)</f>
        <v>73800</v>
      </c>
      <c r="J342" s="5">
        <f>VLOOKUP($C342,'Master File June-26'!$C$3:$L$670,8,0)</f>
        <v>14</v>
      </c>
      <c r="K342" s="23">
        <f>VLOOKUP($C342,'Master File June-26'!$C$3:$L$670,9,0)</f>
        <v>36900</v>
      </c>
      <c r="L342" s="58">
        <f>VLOOKUP($C342,'Master File June-26'!$C$3:$L$670,10,0)</f>
        <v>15750</v>
      </c>
      <c r="M342" s="24">
        <f t="shared" si="20"/>
        <v>6.4024390243902438</v>
      </c>
      <c r="N342" s="25" t="str">
        <f t="shared" si="21"/>
        <v>ORDER NOW</v>
      </c>
      <c r="O342" s="25" t="str">
        <f t="shared" si="22"/>
        <v>CRITICAL</v>
      </c>
      <c r="R342" t="s">
        <v>30</v>
      </c>
      <c r="S342" s="79">
        <f t="shared" si="23"/>
        <v>0</v>
      </c>
    </row>
    <row r="343" spans="1:19" ht="18.75" x14ac:dyDescent="0.25">
      <c r="A343" s="19">
        <v>12</v>
      </c>
      <c r="B343" s="19" t="s">
        <v>18</v>
      </c>
      <c r="C343" s="19" t="s">
        <v>802</v>
      </c>
      <c r="D343" s="30" t="s">
        <v>803</v>
      </c>
      <c r="E343" s="29" t="s">
        <v>804</v>
      </c>
      <c r="F343" s="5" t="s">
        <v>22</v>
      </c>
      <c r="G343" s="21">
        <v>3.1250000000000002E-3</v>
      </c>
      <c r="H343" s="22">
        <f>VLOOKUP($C343,'Master File June-26'!$C$3:$L$670,6,0)</f>
        <v>825</v>
      </c>
      <c r="I343" s="22">
        <f>VLOOKUP($C343,'Master File June-26'!$C$3:$L$670,7,0)</f>
        <v>264000</v>
      </c>
      <c r="J343" s="5">
        <f>VLOOKUP($C343,'Master File June-26'!$C$3:$L$670,8,0)</f>
        <v>14</v>
      </c>
      <c r="K343" s="23">
        <f>VLOOKUP($C343,'Master File June-26'!$C$3:$L$670,9,0)</f>
        <v>132000</v>
      </c>
      <c r="L343" s="58">
        <f>VLOOKUP($C343,'Master File June-26'!$C$3:$L$670,10,0)</f>
        <v>64780</v>
      </c>
      <c r="M343" s="24">
        <f t="shared" si="20"/>
        <v>7.3613636363636363</v>
      </c>
      <c r="N343" s="25" t="str">
        <f t="shared" si="21"/>
        <v>ORDER NOW</v>
      </c>
      <c r="O343" s="25" t="str">
        <f t="shared" si="22"/>
        <v>CRITICAL</v>
      </c>
      <c r="R343" t="s">
        <v>30</v>
      </c>
      <c r="S343" s="79">
        <f t="shared" si="23"/>
        <v>0</v>
      </c>
    </row>
    <row r="344" spans="1:19" ht="18.75" x14ac:dyDescent="0.25">
      <c r="A344" s="19">
        <v>44</v>
      </c>
      <c r="B344" s="19" t="s">
        <v>18</v>
      </c>
      <c r="C344" s="19" t="s">
        <v>805</v>
      </c>
      <c r="D344" s="28" t="s">
        <v>806</v>
      </c>
      <c r="E344" s="27" t="s">
        <v>78</v>
      </c>
      <c r="F344" s="5" t="s">
        <v>49</v>
      </c>
      <c r="G344" s="21">
        <v>1</v>
      </c>
      <c r="H344" s="22">
        <f>VLOOKUP($C344,'Master File June-26'!$C$3:$L$670,6,0)</f>
        <v>660</v>
      </c>
      <c r="I344" s="22">
        <f>VLOOKUP($C344,'Master File June-26'!$C$3:$L$670,7,0)</f>
        <v>660</v>
      </c>
      <c r="J344" s="5">
        <f>VLOOKUP($C344,'Master File June-26'!$C$3:$L$670,8,0)</f>
        <v>14</v>
      </c>
      <c r="K344" s="23">
        <f>VLOOKUP($C344,'Master File June-26'!$C$3:$L$670,9,0)</f>
        <v>330</v>
      </c>
      <c r="L344" s="58">
        <f>VLOOKUP($C344,'Master File June-26'!$C$3:$L$670,10,0)</f>
        <v>0</v>
      </c>
      <c r="M344" s="24">
        <f t="shared" si="20"/>
        <v>0</v>
      </c>
      <c r="N344" s="25" t="str">
        <f t="shared" si="21"/>
        <v>ORDER NOW</v>
      </c>
      <c r="O344" s="25" t="str">
        <f t="shared" si="22"/>
        <v>CRITICAL</v>
      </c>
      <c r="R344" t="s">
        <v>30</v>
      </c>
      <c r="S344" s="79">
        <f t="shared" si="23"/>
        <v>0</v>
      </c>
    </row>
    <row r="345" spans="1:19" ht="18.75" x14ac:dyDescent="0.25">
      <c r="A345" s="41">
        <v>348</v>
      </c>
      <c r="B345" s="41" t="s">
        <v>38</v>
      </c>
      <c r="C345" s="41" t="s">
        <v>807</v>
      </c>
      <c r="D345" s="28" t="s">
        <v>808</v>
      </c>
      <c r="E345" s="27" t="s">
        <v>809</v>
      </c>
      <c r="F345" s="5" t="s">
        <v>49</v>
      </c>
      <c r="G345" s="21">
        <v>0.16666666666666666</v>
      </c>
      <c r="H345" s="22">
        <f>VLOOKUP($C345,'Master File June-26'!$C$3:$L$670,6,0)</f>
        <v>70</v>
      </c>
      <c r="I345" s="22">
        <f>VLOOKUP($C345,'Master File June-26'!$C$3:$L$670,7,0)</f>
        <v>420</v>
      </c>
      <c r="J345" s="5">
        <f>VLOOKUP($C345,'Master File June-26'!$C$3:$L$670,8,0)</f>
        <v>14</v>
      </c>
      <c r="K345" s="23">
        <f>VLOOKUP($C345,'Master File June-26'!$C$3:$L$670,9,0)</f>
        <v>210</v>
      </c>
      <c r="L345" s="58">
        <f>VLOOKUP($C345,'Master File June-26'!$C$3:$L$670,10,0)</f>
        <v>102</v>
      </c>
      <c r="M345" s="24">
        <f t="shared" si="20"/>
        <v>7.2857142857142856</v>
      </c>
      <c r="N345" s="25" t="str">
        <f t="shared" si="21"/>
        <v>ORDER NOW</v>
      </c>
      <c r="O345" s="25" t="str">
        <f t="shared" si="22"/>
        <v>CRITICAL</v>
      </c>
      <c r="S345" s="79">
        <f t="shared" si="23"/>
        <v>0</v>
      </c>
    </row>
    <row r="346" spans="1:19" ht="18.75" x14ac:dyDescent="0.25">
      <c r="A346" s="41">
        <v>371</v>
      </c>
      <c r="B346" s="41" t="s">
        <v>85</v>
      </c>
      <c r="C346" s="41" t="s">
        <v>810</v>
      </c>
      <c r="D346" s="28" t="s">
        <v>811</v>
      </c>
      <c r="E346" s="27" t="s">
        <v>101</v>
      </c>
      <c r="F346" s="5" t="s">
        <v>22</v>
      </c>
      <c r="G346" s="21">
        <v>0.16666666666666666</v>
      </c>
      <c r="H346" s="22">
        <f>VLOOKUP($C346,'Master File June-26'!$C$3:$L$670,6,0)</f>
        <v>30.5</v>
      </c>
      <c r="I346" s="22">
        <f>VLOOKUP($C346,'Master File June-26'!$C$3:$L$670,7,0)</f>
        <v>183</v>
      </c>
      <c r="J346" s="5">
        <f>VLOOKUP($C346,'Master File June-26'!$C$3:$L$670,8,0)</f>
        <v>14</v>
      </c>
      <c r="K346" s="23">
        <f>VLOOKUP($C346,'Master File June-26'!$C$3:$L$670,9,0)</f>
        <v>91.5</v>
      </c>
      <c r="L346" s="58">
        <f>VLOOKUP($C346,'Master File June-26'!$C$3:$L$670,10,0)</f>
        <v>0</v>
      </c>
      <c r="M346" s="24">
        <f t="shared" si="20"/>
        <v>0</v>
      </c>
      <c r="N346" s="25" t="str">
        <f t="shared" si="21"/>
        <v>ORDER NOW</v>
      </c>
      <c r="O346" s="25" t="str">
        <f t="shared" si="22"/>
        <v>CRITICAL</v>
      </c>
      <c r="S346" s="79">
        <f t="shared" si="23"/>
        <v>0</v>
      </c>
    </row>
    <row r="347" spans="1:19" ht="18.75" x14ac:dyDescent="0.25">
      <c r="A347" s="41">
        <v>455</v>
      </c>
      <c r="B347" s="41" t="s">
        <v>85</v>
      </c>
      <c r="C347" s="41" t="s">
        <v>812</v>
      </c>
      <c r="D347" s="28" t="s">
        <v>813</v>
      </c>
      <c r="E347" s="27" t="s">
        <v>814</v>
      </c>
      <c r="F347" s="5" t="s">
        <v>49</v>
      </c>
      <c r="G347" s="21">
        <v>5.5555555555555552E-2</v>
      </c>
      <c r="H347" s="22">
        <f>VLOOKUP($C347,'Master File June-26'!$C$3:$L$670,6,0)</f>
        <v>190</v>
      </c>
      <c r="I347" s="22">
        <f>VLOOKUP($C347,'Master File June-26'!$C$3:$L$670,7,0)</f>
        <v>3420</v>
      </c>
      <c r="J347" s="5">
        <f>VLOOKUP($C347,'Master File June-26'!$C$3:$L$670,8,0)</f>
        <v>14</v>
      </c>
      <c r="K347" s="23">
        <f>VLOOKUP($C347,'Master File June-26'!$C$3:$L$670,9,0)</f>
        <v>1710</v>
      </c>
      <c r="L347" s="58">
        <f>VLOOKUP($C347,'Master File June-26'!$C$3:$L$670,10,0)</f>
        <v>0</v>
      </c>
      <c r="M347" s="24">
        <f t="shared" si="20"/>
        <v>0</v>
      </c>
      <c r="N347" s="25" t="str">
        <f t="shared" si="21"/>
        <v>ORDER NOW</v>
      </c>
      <c r="O347" s="25" t="str">
        <f t="shared" si="22"/>
        <v>CRITICAL</v>
      </c>
      <c r="S347" s="79">
        <f t="shared" si="23"/>
        <v>0</v>
      </c>
    </row>
    <row r="348" spans="1:19" ht="18.75" x14ac:dyDescent="0.25">
      <c r="A348" s="19">
        <v>120</v>
      </c>
      <c r="B348" s="19" t="s">
        <v>18</v>
      </c>
      <c r="C348" s="19" t="s">
        <v>815</v>
      </c>
      <c r="D348" s="28" t="s">
        <v>816</v>
      </c>
      <c r="E348" s="27" t="s">
        <v>186</v>
      </c>
      <c r="F348" s="5" t="s">
        <v>606</v>
      </c>
      <c r="G348" s="21">
        <f>1/500</f>
        <v>2E-3</v>
      </c>
      <c r="H348" s="22">
        <f>VLOOKUP($C348,'Master File June-26'!$C$3:$L$670,6,0)</f>
        <v>30</v>
      </c>
      <c r="I348" s="22">
        <f>VLOOKUP($C348,'Master File June-26'!$C$3:$L$670,7,0)</f>
        <v>15000</v>
      </c>
      <c r="J348" s="5">
        <f>VLOOKUP($C348,'Master File June-26'!$C$3:$L$670,8,0)</f>
        <v>14</v>
      </c>
      <c r="K348" s="23">
        <f>VLOOKUP($C348,'Master File June-26'!$C$3:$L$670,9,0)</f>
        <v>7500</v>
      </c>
      <c r="L348" s="58">
        <f>VLOOKUP($C348,'Master File June-26'!$C$3:$L$670,10,0)</f>
        <v>0</v>
      </c>
      <c r="M348" s="24">
        <f t="shared" si="20"/>
        <v>0</v>
      </c>
      <c r="N348" s="25" t="str">
        <f t="shared" si="21"/>
        <v>ORDER NOW</v>
      </c>
      <c r="O348" s="25" t="str">
        <f t="shared" si="22"/>
        <v>CRITICAL</v>
      </c>
      <c r="R348" t="s">
        <v>30</v>
      </c>
      <c r="S348" s="79">
        <f t="shared" si="23"/>
        <v>0</v>
      </c>
    </row>
    <row r="349" spans="1:19" ht="18.75" x14ac:dyDescent="0.25">
      <c r="A349" s="41">
        <v>542</v>
      </c>
      <c r="B349" s="41" t="s">
        <v>61</v>
      </c>
      <c r="C349" s="41" t="s">
        <v>817</v>
      </c>
      <c r="D349" s="40" t="s">
        <v>818</v>
      </c>
      <c r="E349" s="31" t="s">
        <v>64</v>
      </c>
      <c r="F349" s="5" t="s">
        <v>49</v>
      </c>
      <c r="G349" s="21">
        <v>1</v>
      </c>
      <c r="H349" s="22">
        <f>VLOOKUP($C349,'Master File June-26'!$C$3:$L$670,6,0)</f>
        <v>15</v>
      </c>
      <c r="I349" s="22">
        <f>VLOOKUP($C349,'Master File June-26'!$C$3:$L$670,7,0)</f>
        <v>15</v>
      </c>
      <c r="J349" s="5">
        <f>VLOOKUP($C349,'Master File June-26'!$C$3:$L$670,8,0)</f>
        <v>14</v>
      </c>
      <c r="K349" s="23">
        <f>VLOOKUP($C349,'Master File June-26'!$C$3:$L$670,9,0)</f>
        <v>7.5</v>
      </c>
      <c r="L349" s="58">
        <f>VLOOKUP($C349,'Master File June-26'!$C$3:$L$670,10,0)</f>
        <v>0</v>
      </c>
      <c r="M349" s="24">
        <f t="shared" si="20"/>
        <v>0</v>
      </c>
      <c r="N349" s="25" t="str">
        <f t="shared" si="21"/>
        <v>ORDER NOW</v>
      </c>
      <c r="O349" s="25" t="str">
        <f t="shared" si="22"/>
        <v>CRITICAL</v>
      </c>
      <c r="S349" s="79">
        <f t="shared" si="23"/>
        <v>0</v>
      </c>
    </row>
    <row r="350" spans="1:19" ht="18.75" x14ac:dyDescent="0.25">
      <c r="A350" s="41">
        <v>427</v>
      </c>
      <c r="B350" s="41" t="s">
        <v>38</v>
      </c>
      <c r="C350" s="41" t="s">
        <v>819</v>
      </c>
      <c r="D350" s="28" t="s">
        <v>820</v>
      </c>
      <c r="E350" s="27" t="s">
        <v>821</v>
      </c>
      <c r="F350" s="5" t="s">
        <v>54</v>
      </c>
      <c r="G350" s="21">
        <v>0.02</v>
      </c>
      <c r="H350" s="22">
        <f>VLOOKUP($C350,'Master File June-26'!$C$3:$L$670,6,0)</f>
        <v>450</v>
      </c>
      <c r="I350" s="22">
        <f>VLOOKUP($C350,'Master File June-26'!$C$3:$L$670,7,0)</f>
        <v>22500</v>
      </c>
      <c r="J350" s="5">
        <f>VLOOKUP($C350,'Master File June-26'!$C$3:$L$670,8,0)</f>
        <v>14</v>
      </c>
      <c r="K350" s="23">
        <f>VLOOKUP($C350,'Master File June-26'!$C$3:$L$670,9,0)</f>
        <v>11250</v>
      </c>
      <c r="L350" s="58">
        <f>VLOOKUP($C350,'Master File June-26'!$C$3:$L$670,10,0)</f>
        <v>6000</v>
      </c>
      <c r="M350" s="24">
        <f t="shared" si="20"/>
        <v>8</v>
      </c>
      <c r="N350" s="25" t="str">
        <f t="shared" si="21"/>
        <v>ORDER NOW</v>
      </c>
      <c r="O350" s="25" t="str">
        <f t="shared" si="22"/>
        <v>CRITICAL</v>
      </c>
      <c r="S350" s="79">
        <f t="shared" si="23"/>
        <v>0</v>
      </c>
    </row>
    <row r="351" spans="1:19" ht="18.75" x14ac:dyDescent="0.25">
      <c r="A351" s="39">
        <v>294</v>
      </c>
      <c r="B351" s="39" t="s">
        <v>18</v>
      </c>
      <c r="C351" s="39" t="s">
        <v>822</v>
      </c>
      <c r="D351" s="28" t="s">
        <v>823</v>
      </c>
      <c r="E351" s="27" t="s">
        <v>160</v>
      </c>
      <c r="F351" s="5" t="s">
        <v>49</v>
      </c>
      <c r="G351" s="21">
        <v>1</v>
      </c>
      <c r="H351" s="22">
        <f>VLOOKUP($C351,'Master File June-26'!$C$3:$L$670,6,0)</f>
        <v>93.5</v>
      </c>
      <c r="I351" s="22">
        <f>VLOOKUP($C351,'Master File June-26'!$C$3:$L$670,7,0)</f>
        <v>93.5</v>
      </c>
      <c r="J351" s="5">
        <f>VLOOKUP($C351,'Master File June-26'!$C$3:$L$670,8,0)</f>
        <v>14</v>
      </c>
      <c r="K351" s="23">
        <f>VLOOKUP($C351,'Master File June-26'!$C$3:$L$670,9,0)</f>
        <v>46.75</v>
      </c>
      <c r="L351" s="58">
        <f>VLOOKUP($C351,'Master File June-26'!$C$3:$L$670,10,0)</f>
        <v>0</v>
      </c>
      <c r="M351" s="24">
        <f t="shared" si="20"/>
        <v>0</v>
      </c>
      <c r="N351" s="25" t="str">
        <f t="shared" si="21"/>
        <v>ORDER NOW</v>
      </c>
      <c r="O351" s="25" t="str">
        <f t="shared" si="22"/>
        <v>CRITICAL</v>
      </c>
      <c r="S351" s="79">
        <f t="shared" si="23"/>
        <v>0</v>
      </c>
    </row>
    <row r="352" spans="1:19" ht="18.75" x14ac:dyDescent="0.25">
      <c r="A352" s="41">
        <v>405</v>
      </c>
      <c r="B352" s="41" t="s">
        <v>38</v>
      </c>
      <c r="C352" s="41" t="s">
        <v>824</v>
      </c>
      <c r="D352" s="28" t="s">
        <v>825</v>
      </c>
      <c r="E352" s="27" t="s">
        <v>826</v>
      </c>
      <c r="F352" s="5" t="s">
        <v>49</v>
      </c>
      <c r="G352" s="21">
        <v>1</v>
      </c>
      <c r="H352" s="22">
        <f>VLOOKUP($C352,'Master File June-26'!$C$3:$L$670,6,0)</f>
        <v>160</v>
      </c>
      <c r="I352" s="22">
        <f>VLOOKUP($C352,'Master File June-26'!$C$3:$L$670,7,0)</f>
        <v>160</v>
      </c>
      <c r="J352" s="5">
        <f>VLOOKUP($C352,'Master File June-26'!$C$3:$L$670,8,0)</f>
        <v>14</v>
      </c>
      <c r="K352" s="23">
        <f>VLOOKUP($C352,'Master File June-26'!$C$3:$L$670,9,0)</f>
        <v>80</v>
      </c>
      <c r="L352" s="58">
        <f>VLOOKUP($C352,'Master File June-26'!$C$3:$L$670,10,0)</f>
        <v>80</v>
      </c>
      <c r="M352" s="24">
        <f t="shared" si="20"/>
        <v>15</v>
      </c>
      <c r="N352" s="25" t="str">
        <f t="shared" si="21"/>
        <v>IN STOCK</v>
      </c>
      <c r="O352" s="25" t="str">
        <f t="shared" si="22"/>
        <v>FOLLOW UP DELIVERY</v>
      </c>
      <c r="S352" s="79">
        <f t="shared" si="23"/>
        <v>1</v>
      </c>
    </row>
    <row r="353" spans="1:19" ht="18.75" x14ac:dyDescent="0.25">
      <c r="A353" s="41">
        <v>351</v>
      </c>
      <c r="B353" s="41" t="s">
        <v>38</v>
      </c>
      <c r="C353" s="41" t="s">
        <v>827</v>
      </c>
      <c r="D353" s="28" t="s">
        <v>828</v>
      </c>
      <c r="E353" s="27" t="s">
        <v>829</v>
      </c>
      <c r="F353" s="5" t="s">
        <v>22</v>
      </c>
      <c r="G353" s="21">
        <f>1/8000</f>
        <v>1.25E-4</v>
      </c>
      <c r="H353" s="22">
        <f>VLOOKUP($C353,'Master File June-26'!$C$3:$L$670,6,0)</f>
        <v>27.5</v>
      </c>
      <c r="I353" s="22">
        <f>VLOOKUP($C353,'Master File June-26'!$C$3:$L$670,7,0)</f>
        <v>220</v>
      </c>
      <c r="J353" s="5">
        <f>VLOOKUP($C353,'Master File June-26'!$C$3:$L$670,8,0)</f>
        <v>14</v>
      </c>
      <c r="K353" s="23">
        <f>VLOOKUP($C353,'Master File June-26'!$C$3:$L$670,9,0)</f>
        <v>110</v>
      </c>
      <c r="L353" s="58">
        <f>VLOOKUP($C353,'Master File June-26'!$C$3:$L$670,10,0)</f>
        <v>0</v>
      </c>
      <c r="M353" s="24">
        <f t="shared" si="20"/>
        <v>0</v>
      </c>
      <c r="N353" s="25" t="str">
        <f t="shared" si="21"/>
        <v>ORDER NOW</v>
      </c>
      <c r="O353" s="25" t="str">
        <f t="shared" si="22"/>
        <v>CRITICAL</v>
      </c>
      <c r="S353" s="79">
        <f t="shared" si="23"/>
        <v>0</v>
      </c>
    </row>
    <row r="354" spans="1:19" ht="18.75" x14ac:dyDescent="0.25">
      <c r="A354" s="39">
        <v>280</v>
      </c>
      <c r="B354" s="39" t="s">
        <v>830</v>
      </c>
      <c r="C354" s="39" t="s">
        <v>831</v>
      </c>
      <c r="D354" s="28" t="s">
        <v>832</v>
      </c>
      <c r="E354" s="27" t="s">
        <v>78</v>
      </c>
      <c r="F354" s="5" t="s">
        <v>49</v>
      </c>
      <c r="G354" s="21">
        <v>1</v>
      </c>
      <c r="H354" s="22">
        <f>VLOOKUP($C354,'Master File June-26'!$C$3:$L$670,6,0)</f>
        <v>279</v>
      </c>
      <c r="I354" s="22">
        <f>VLOOKUP($C354,'Master File June-26'!$C$3:$L$670,7,0)</f>
        <v>279</v>
      </c>
      <c r="J354" s="5">
        <f>VLOOKUP($C354,'Master File June-26'!$C$3:$L$670,8,0)</f>
        <v>14</v>
      </c>
      <c r="K354" s="23">
        <f>VLOOKUP($C354,'Master File June-26'!$C$3:$L$670,9,0)</f>
        <v>139.5</v>
      </c>
      <c r="L354" s="58">
        <f>VLOOKUP($C354,'Master File June-26'!$C$3:$L$670,10,0)</f>
        <v>6</v>
      </c>
      <c r="M354" s="24">
        <f t="shared" si="20"/>
        <v>0.64516129032258074</v>
      </c>
      <c r="N354" s="25" t="str">
        <f t="shared" si="21"/>
        <v>ORDER NOW</v>
      </c>
      <c r="O354" s="25" t="str">
        <f t="shared" si="22"/>
        <v>CRITICAL</v>
      </c>
      <c r="S354" s="79">
        <f t="shared" si="23"/>
        <v>0</v>
      </c>
    </row>
    <row r="355" spans="1:19" ht="18.75" x14ac:dyDescent="0.25">
      <c r="A355" s="19">
        <v>2</v>
      </c>
      <c r="B355" s="19" t="s">
        <v>18</v>
      </c>
      <c r="C355" s="19" t="s">
        <v>833</v>
      </c>
      <c r="D355" s="20" t="s">
        <v>834</v>
      </c>
      <c r="E355" s="4" t="s">
        <v>186</v>
      </c>
      <c r="F355" s="5" t="s">
        <v>22</v>
      </c>
      <c r="G355" s="21">
        <v>2E-3</v>
      </c>
      <c r="H355" s="22">
        <f>VLOOKUP($C355,'Master File June-26'!$C$3:$L$670,6,0)</f>
        <v>2338.5</v>
      </c>
      <c r="I355" s="22">
        <f>VLOOKUP($C355,'Master File June-26'!$C$3:$L$670,7,0)</f>
        <v>1169250</v>
      </c>
      <c r="J355" s="5">
        <f>VLOOKUP($C355,'Master File June-26'!$C$3:$L$670,8,0)</f>
        <v>14</v>
      </c>
      <c r="K355" s="23">
        <f>VLOOKUP($C355,'Master File June-26'!$C$3:$L$670,9,0)</f>
        <v>584625</v>
      </c>
      <c r="L355" s="58">
        <f>VLOOKUP($C355,'Master File June-26'!$C$3:$L$670,10,0)</f>
        <v>500000</v>
      </c>
      <c r="M355" s="24">
        <f t="shared" si="20"/>
        <v>12.828736369467608</v>
      </c>
      <c r="N355" s="25" t="str">
        <f t="shared" si="21"/>
        <v>ORDER NOW</v>
      </c>
      <c r="O355" s="25" t="str">
        <f t="shared" si="22"/>
        <v>CRITICAL</v>
      </c>
      <c r="R355" s="26" t="s">
        <v>30</v>
      </c>
      <c r="S355" s="79">
        <f t="shared" si="23"/>
        <v>0</v>
      </c>
    </row>
    <row r="356" spans="1:19" ht="18.75" x14ac:dyDescent="0.25">
      <c r="A356" s="41">
        <v>477</v>
      </c>
      <c r="B356" s="41" t="s">
        <v>38</v>
      </c>
      <c r="C356" s="41" t="s">
        <v>835</v>
      </c>
      <c r="D356" s="28" t="s">
        <v>836</v>
      </c>
      <c r="E356" s="27" t="s">
        <v>837</v>
      </c>
      <c r="F356" s="5" t="s">
        <v>22</v>
      </c>
      <c r="G356" s="21">
        <v>0.12254901960784313</v>
      </c>
      <c r="H356" s="22">
        <f>VLOOKUP($C356,'Master File June-26'!$C$3:$L$670,6,0)</f>
        <v>290</v>
      </c>
      <c r="I356" s="22">
        <f>VLOOKUP($C356,'Master File June-26'!$C$3:$L$670,7,0)</f>
        <v>2366.4</v>
      </c>
      <c r="J356" s="5">
        <f>VLOOKUP($C356,'Master File June-26'!$C$3:$L$670,8,0)</f>
        <v>14</v>
      </c>
      <c r="K356" s="23">
        <f>VLOOKUP($C356,'Master File June-26'!$C$3:$L$670,9,0)</f>
        <v>1183.2</v>
      </c>
      <c r="L356" s="58">
        <f>VLOOKUP($C356,'Master File June-26'!$C$3:$L$670,10,0)</f>
        <v>0</v>
      </c>
      <c r="M356" s="24">
        <f t="shared" si="20"/>
        <v>0</v>
      </c>
      <c r="N356" s="25" t="str">
        <f t="shared" si="21"/>
        <v>ORDER NOW</v>
      </c>
      <c r="O356" s="25" t="str">
        <f t="shared" si="22"/>
        <v>CRITICAL</v>
      </c>
      <c r="S356" s="79">
        <f t="shared" si="23"/>
        <v>0</v>
      </c>
    </row>
    <row r="357" spans="1:19" ht="18.75" x14ac:dyDescent="0.25">
      <c r="A357" s="19">
        <v>37</v>
      </c>
      <c r="B357" s="19" t="s">
        <v>18</v>
      </c>
      <c r="C357" s="19" t="s">
        <v>838</v>
      </c>
      <c r="D357" s="30" t="s">
        <v>839</v>
      </c>
      <c r="E357" s="29" t="s">
        <v>840</v>
      </c>
      <c r="F357" s="5" t="s">
        <v>22</v>
      </c>
      <c r="G357" s="21">
        <f>1/2750</f>
        <v>3.6363636363636361E-4</v>
      </c>
      <c r="H357" s="22">
        <f>VLOOKUP($C357,'Master File June-26'!$C$3:$L$670,6,0)</f>
        <v>121</v>
      </c>
      <c r="I357" s="22">
        <f>VLOOKUP($C357,'Master File June-26'!$C$3:$L$670,7,0)</f>
        <v>332750</v>
      </c>
      <c r="J357" s="5">
        <f>VLOOKUP($C357,'Master File June-26'!$C$3:$L$670,8,0)</f>
        <v>14</v>
      </c>
      <c r="K357" s="23">
        <f>VLOOKUP($C357,'Master File June-26'!$C$3:$L$670,9,0)</f>
        <v>166375</v>
      </c>
      <c r="L357" s="58">
        <f>VLOOKUP($C357,'Master File June-26'!$C$3:$L$670,10,0)</f>
        <v>76000</v>
      </c>
      <c r="M357" s="24">
        <f t="shared" si="20"/>
        <v>6.8519909842223896</v>
      </c>
      <c r="N357" s="25" t="str">
        <f t="shared" si="21"/>
        <v>ORDER NOW</v>
      </c>
      <c r="O357" s="25" t="str">
        <f t="shared" si="22"/>
        <v>CRITICAL</v>
      </c>
      <c r="R357" t="s">
        <v>30</v>
      </c>
      <c r="S357" s="79">
        <f t="shared" si="23"/>
        <v>0</v>
      </c>
    </row>
    <row r="358" spans="1:19" ht="18.75" x14ac:dyDescent="0.25">
      <c r="A358" s="39">
        <v>236</v>
      </c>
      <c r="B358" s="39" t="s">
        <v>123</v>
      </c>
      <c r="C358" s="39" t="s">
        <v>841</v>
      </c>
      <c r="D358" s="28" t="s">
        <v>842</v>
      </c>
      <c r="E358" s="27" t="s">
        <v>706</v>
      </c>
      <c r="F358" s="5" t="s">
        <v>49</v>
      </c>
      <c r="G358" s="21">
        <v>1</v>
      </c>
      <c r="H358" s="22">
        <f>VLOOKUP($C358,'Master File June-26'!$C$3:$L$670,6,0)</f>
        <v>32.5</v>
      </c>
      <c r="I358" s="22">
        <f>VLOOKUP($C358,'Master File June-26'!$C$3:$L$670,7,0)</f>
        <v>32.5</v>
      </c>
      <c r="J358" s="5">
        <f>VLOOKUP($C358,'Master File June-26'!$C$3:$L$670,8,0)</f>
        <v>14</v>
      </c>
      <c r="K358" s="23">
        <f>VLOOKUP($C358,'Master File June-26'!$C$3:$L$670,9,0)</f>
        <v>16.25</v>
      </c>
      <c r="L358" s="58">
        <f>VLOOKUP($C358,'Master File June-26'!$C$3:$L$670,10,0)</f>
        <v>0</v>
      </c>
      <c r="M358" s="24">
        <f t="shared" si="20"/>
        <v>0</v>
      </c>
      <c r="N358" s="25" t="str">
        <f t="shared" si="21"/>
        <v>ORDER NOW</v>
      </c>
      <c r="O358" s="25" t="str">
        <f t="shared" si="22"/>
        <v>CRITICAL</v>
      </c>
      <c r="S358" s="79">
        <f t="shared" si="23"/>
        <v>0</v>
      </c>
    </row>
    <row r="359" spans="1:19" ht="18.75" x14ac:dyDescent="0.25">
      <c r="A359" s="19">
        <v>53</v>
      </c>
      <c r="B359" s="19" t="s">
        <v>18</v>
      </c>
      <c r="C359" s="19" t="s">
        <v>843</v>
      </c>
      <c r="D359" s="30" t="s">
        <v>844</v>
      </c>
      <c r="E359" s="29" t="s">
        <v>845</v>
      </c>
      <c r="F359" s="5" t="s">
        <v>22</v>
      </c>
      <c r="G359" s="21">
        <f>1/600</f>
        <v>1.6666666666666668E-3</v>
      </c>
      <c r="H359" s="22">
        <f>VLOOKUP($C359,'Master File June-26'!$C$3:$L$670,6,0)</f>
        <v>20</v>
      </c>
      <c r="I359" s="22">
        <f>VLOOKUP($C359,'Master File June-26'!$C$3:$L$670,7,0)</f>
        <v>12000</v>
      </c>
      <c r="J359" s="5">
        <f>VLOOKUP($C359,'Master File June-26'!$C$3:$L$670,8,0)</f>
        <v>14</v>
      </c>
      <c r="K359" s="23">
        <f>VLOOKUP($C359,'Master File June-26'!$C$3:$L$670,9,0)</f>
        <v>6000</v>
      </c>
      <c r="L359" s="58">
        <f>VLOOKUP($C359,'Master File June-26'!$C$3:$L$670,10,0)</f>
        <v>0</v>
      </c>
      <c r="M359" s="24">
        <f t="shared" si="20"/>
        <v>0</v>
      </c>
      <c r="N359" s="25" t="str">
        <f t="shared" si="21"/>
        <v>ORDER NOW</v>
      </c>
      <c r="O359" s="25" t="str">
        <f t="shared" si="22"/>
        <v>CRITICAL</v>
      </c>
      <c r="R359" t="s">
        <v>30</v>
      </c>
      <c r="S359" s="79">
        <f t="shared" si="23"/>
        <v>0</v>
      </c>
    </row>
    <row r="360" spans="1:19" ht="18.75" x14ac:dyDescent="0.25">
      <c r="A360" s="39">
        <v>231</v>
      </c>
      <c r="B360" s="39" t="s">
        <v>123</v>
      </c>
      <c r="C360" s="39" t="s">
        <v>846</v>
      </c>
      <c r="D360" s="28" t="s">
        <v>847</v>
      </c>
      <c r="E360" s="27" t="s">
        <v>254</v>
      </c>
      <c r="F360" s="5" t="s">
        <v>49</v>
      </c>
      <c r="G360" s="21">
        <v>1</v>
      </c>
      <c r="H360" s="22">
        <f>VLOOKUP($C360,'Master File June-26'!$C$3:$L$670,6,0)</f>
        <v>189</v>
      </c>
      <c r="I360" s="22">
        <f>VLOOKUP($C360,'Master File June-26'!$C$3:$L$670,7,0)</f>
        <v>189</v>
      </c>
      <c r="J360" s="5">
        <f>VLOOKUP($C360,'Master File June-26'!$C$3:$L$670,8,0)</f>
        <v>14</v>
      </c>
      <c r="K360" s="23">
        <f>VLOOKUP($C360,'Master File June-26'!$C$3:$L$670,9,0)</f>
        <v>94.5</v>
      </c>
      <c r="L360" s="58">
        <f>VLOOKUP($C360,'Master File June-26'!$C$3:$L$670,10,0)</f>
        <v>42</v>
      </c>
      <c r="M360" s="24">
        <f t="shared" si="20"/>
        <v>6.6666666666666661</v>
      </c>
      <c r="N360" s="25" t="str">
        <f t="shared" si="21"/>
        <v>ORDER NOW</v>
      </c>
      <c r="O360" s="25" t="str">
        <f t="shared" si="22"/>
        <v>CRITICAL</v>
      </c>
      <c r="S360" s="79">
        <f t="shared" si="23"/>
        <v>0</v>
      </c>
    </row>
    <row r="361" spans="1:19" ht="18.75" x14ac:dyDescent="0.25">
      <c r="A361" s="19">
        <v>85</v>
      </c>
      <c r="B361" s="19" t="s">
        <v>18</v>
      </c>
      <c r="C361" s="19" t="s">
        <v>848</v>
      </c>
      <c r="D361" s="28" t="s">
        <v>849</v>
      </c>
      <c r="E361" s="27" t="s">
        <v>850</v>
      </c>
      <c r="F361" s="5" t="s">
        <v>22</v>
      </c>
      <c r="G361" s="21">
        <f>1/100</f>
        <v>0.01</v>
      </c>
      <c r="H361" s="22">
        <f>VLOOKUP($C361,'Master File June-26'!$C$3:$L$670,6,0)</f>
        <v>160</v>
      </c>
      <c r="I361" s="22">
        <f>VLOOKUP($C361,'Master File June-26'!$C$3:$L$670,7,0)</f>
        <v>16000</v>
      </c>
      <c r="J361" s="5">
        <f>VLOOKUP($C361,'Master File June-26'!$C$3:$L$670,8,0)</f>
        <v>14</v>
      </c>
      <c r="K361" s="23">
        <f>VLOOKUP($C361,'Master File June-26'!$C$3:$L$670,9,0)</f>
        <v>8000</v>
      </c>
      <c r="L361" s="58">
        <f>VLOOKUP($C361,'Master File June-26'!$C$3:$L$670,10,0)</f>
        <v>2310</v>
      </c>
      <c r="M361" s="24">
        <f t="shared" si="20"/>
        <v>4.3312499999999998</v>
      </c>
      <c r="N361" s="25" t="str">
        <f t="shared" si="21"/>
        <v>ORDER NOW</v>
      </c>
      <c r="O361" s="25" t="str">
        <f t="shared" si="22"/>
        <v>CRITICAL</v>
      </c>
      <c r="R361" t="s">
        <v>30</v>
      </c>
      <c r="S361" s="79">
        <f t="shared" si="23"/>
        <v>0</v>
      </c>
    </row>
    <row r="362" spans="1:19" ht="18.75" x14ac:dyDescent="0.25">
      <c r="A362" s="41">
        <v>473</v>
      </c>
      <c r="B362" s="41" t="s">
        <v>38</v>
      </c>
      <c r="C362" s="41" t="s">
        <v>851</v>
      </c>
      <c r="D362" s="28" t="s">
        <v>852</v>
      </c>
      <c r="E362" s="27" t="s">
        <v>853</v>
      </c>
      <c r="F362" s="5" t="s">
        <v>22</v>
      </c>
      <c r="G362" s="21">
        <v>0.14285714285714285</v>
      </c>
      <c r="H362" s="22">
        <f>VLOOKUP($C362,'Master File June-26'!$C$3:$L$670,6,0)</f>
        <v>150</v>
      </c>
      <c r="I362" s="22">
        <f>VLOOKUP($C362,'Master File June-26'!$C$3:$L$670,7,0)</f>
        <v>1050</v>
      </c>
      <c r="J362" s="5">
        <f>VLOOKUP($C362,'Master File June-26'!$C$3:$L$670,8,0)</f>
        <v>14</v>
      </c>
      <c r="K362" s="23">
        <f>VLOOKUP($C362,'Master File June-26'!$C$3:$L$670,9,0)</f>
        <v>525</v>
      </c>
      <c r="L362" s="58">
        <f>VLOOKUP($C362,'Master File June-26'!$C$3:$L$670,10,0)</f>
        <v>0</v>
      </c>
      <c r="M362" s="24">
        <f t="shared" si="20"/>
        <v>0</v>
      </c>
      <c r="N362" s="25" t="str">
        <f t="shared" si="21"/>
        <v>ORDER NOW</v>
      </c>
      <c r="O362" s="25" t="str">
        <f t="shared" si="22"/>
        <v>CRITICAL</v>
      </c>
      <c r="S362" s="79">
        <f t="shared" si="23"/>
        <v>0</v>
      </c>
    </row>
    <row r="363" spans="1:19" ht="18.75" x14ac:dyDescent="0.25">
      <c r="A363" s="19">
        <v>52</v>
      </c>
      <c r="B363" s="19" t="s">
        <v>18</v>
      </c>
      <c r="C363" s="19" t="s">
        <v>854</v>
      </c>
      <c r="D363" s="30" t="s">
        <v>855</v>
      </c>
      <c r="E363" s="29" t="s">
        <v>856</v>
      </c>
      <c r="F363" s="5" t="s">
        <v>22</v>
      </c>
      <c r="G363" s="21">
        <f>1/1000</f>
        <v>1E-3</v>
      </c>
      <c r="H363" s="22">
        <f>VLOOKUP($C363,'Master File June-26'!$C$3:$L$670,6,0)</f>
        <v>10</v>
      </c>
      <c r="I363" s="22">
        <f>VLOOKUP($C363,'Master File June-26'!$C$3:$L$670,7,0)</f>
        <v>10000</v>
      </c>
      <c r="J363" s="5">
        <f>VLOOKUP($C363,'Master File June-26'!$C$3:$L$670,8,0)</f>
        <v>14</v>
      </c>
      <c r="K363" s="23">
        <f>VLOOKUP($C363,'Master File June-26'!$C$3:$L$670,9,0)</f>
        <v>5000</v>
      </c>
      <c r="L363" s="58">
        <f>VLOOKUP($C363,'Master File June-26'!$C$3:$L$670,10,0)</f>
        <v>0</v>
      </c>
      <c r="M363" s="24">
        <f t="shared" si="20"/>
        <v>0</v>
      </c>
      <c r="N363" s="25" t="str">
        <f t="shared" si="21"/>
        <v>ORDER NOW</v>
      </c>
      <c r="O363" s="25" t="str">
        <f t="shared" si="22"/>
        <v>CRITICAL</v>
      </c>
      <c r="R363" t="s">
        <v>30</v>
      </c>
      <c r="S363" s="79">
        <f t="shared" si="23"/>
        <v>0</v>
      </c>
    </row>
    <row r="364" spans="1:19" ht="18.75" x14ac:dyDescent="0.25">
      <c r="A364" s="39">
        <v>230</v>
      </c>
      <c r="B364" s="39" t="s">
        <v>123</v>
      </c>
      <c r="C364" s="39" t="s">
        <v>857</v>
      </c>
      <c r="D364" s="28" t="s">
        <v>858</v>
      </c>
      <c r="E364" s="27" t="s">
        <v>859</v>
      </c>
      <c r="F364" s="5" t="s">
        <v>22</v>
      </c>
      <c r="G364" s="21">
        <v>0.16666666666666666</v>
      </c>
      <c r="H364" s="22">
        <f>VLOOKUP($C364,'Master File June-26'!$C$3:$L$670,6,0)</f>
        <v>2036.5</v>
      </c>
      <c r="I364" s="22">
        <f>VLOOKUP($C364,'Master File June-26'!$C$3:$L$670,7,0)</f>
        <v>12219</v>
      </c>
      <c r="J364" s="5">
        <f>VLOOKUP($C364,'Master File June-26'!$C$3:$L$670,8,0)</f>
        <v>14</v>
      </c>
      <c r="K364" s="23">
        <f>VLOOKUP($C364,'Master File June-26'!$C$3:$L$670,9,0)</f>
        <v>6109.5</v>
      </c>
      <c r="L364" s="58">
        <f>VLOOKUP($C364,'Master File June-26'!$C$3:$L$670,10,0)</f>
        <v>3618</v>
      </c>
      <c r="M364" s="24">
        <f t="shared" si="20"/>
        <v>8.8828873066535721</v>
      </c>
      <c r="N364" s="25" t="str">
        <f t="shared" si="21"/>
        <v>ORDER NOW</v>
      </c>
      <c r="O364" s="25" t="str">
        <f t="shared" si="22"/>
        <v>CRITICAL</v>
      </c>
      <c r="S364" s="79">
        <f t="shared" si="23"/>
        <v>0</v>
      </c>
    </row>
    <row r="365" spans="1:19" ht="18.75" x14ac:dyDescent="0.25">
      <c r="A365" s="39">
        <v>222</v>
      </c>
      <c r="B365" s="39" t="s">
        <v>123</v>
      </c>
      <c r="C365" s="39" t="s">
        <v>860</v>
      </c>
      <c r="D365" s="28" t="s">
        <v>861</v>
      </c>
      <c r="E365" s="27" t="s">
        <v>254</v>
      </c>
      <c r="F365" s="5" t="s">
        <v>49</v>
      </c>
      <c r="G365" s="21">
        <v>1</v>
      </c>
      <c r="H365" s="22">
        <f>VLOOKUP($C365,'Master File June-26'!$C$3:$L$670,6,0)</f>
        <v>220</v>
      </c>
      <c r="I365" s="22">
        <f>VLOOKUP($C365,'Master File June-26'!$C$3:$L$670,7,0)</f>
        <v>220</v>
      </c>
      <c r="J365" s="5">
        <f>VLOOKUP($C365,'Master File June-26'!$C$3:$L$670,8,0)</f>
        <v>14</v>
      </c>
      <c r="K365" s="23">
        <f>VLOOKUP($C365,'Master File June-26'!$C$3:$L$670,9,0)</f>
        <v>110</v>
      </c>
      <c r="L365" s="58">
        <f>VLOOKUP($C365,'Master File June-26'!$C$3:$L$670,10,0)</f>
        <v>0</v>
      </c>
      <c r="M365" s="24">
        <f t="shared" si="20"/>
        <v>0</v>
      </c>
      <c r="N365" s="25" t="str">
        <f t="shared" si="21"/>
        <v>ORDER NOW</v>
      </c>
      <c r="O365" s="25" t="str">
        <f t="shared" si="22"/>
        <v>CRITICAL</v>
      </c>
      <c r="S365" s="79">
        <f t="shared" si="23"/>
        <v>0</v>
      </c>
    </row>
    <row r="366" spans="1:19" ht="18.75" x14ac:dyDescent="0.25">
      <c r="A366" s="19">
        <v>152</v>
      </c>
      <c r="B366" s="19" t="s">
        <v>18</v>
      </c>
      <c r="C366" s="19" t="s">
        <v>862</v>
      </c>
      <c r="D366" s="35" t="s">
        <v>863</v>
      </c>
      <c r="E366" s="27" t="s">
        <v>864</v>
      </c>
      <c r="F366" s="5" t="s">
        <v>46</v>
      </c>
      <c r="G366" s="21">
        <v>0.01</v>
      </c>
      <c r="H366" s="22">
        <f>VLOOKUP($C366,'Master File June-26'!$C$3:$L$670,6,0)</f>
        <v>150</v>
      </c>
      <c r="I366" s="22">
        <f>VLOOKUP($C366,'Master File June-26'!$C$3:$L$670,7,0)</f>
        <v>15000</v>
      </c>
      <c r="J366" s="5">
        <f>VLOOKUP($C366,'Master File June-26'!$C$3:$L$670,8,0)</f>
        <v>14</v>
      </c>
      <c r="K366" s="23">
        <f>VLOOKUP($C366,'Master File June-26'!$C$3:$L$670,9,0)</f>
        <v>7500</v>
      </c>
      <c r="L366" s="58">
        <f>VLOOKUP($C366,'Master File June-26'!$C$3:$L$670,10,0)</f>
        <v>0</v>
      </c>
      <c r="M366" s="24">
        <f t="shared" si="20"/>
        <v>0</v>
      </c>
      <c r="N366" s="25" t="str">
        <f t="shared" si="21"/>
        <v>ORDER NOW</v>
      </c>
      <c r="O366" s="25" t="str">
        <f t="shared" si="22"/>
        <v>CRITICAL</v>
      </c>
      <c r="R366" t="s">
        <v>30</v>
      </c>
      <c r="S366" s="79">
        <f t="shared" si="23"/>
        <v>0</v>
      </c>
    </row>
    <row r="367" spans="1:19" ht="18.75" x14ac:dyDescent="0.25">
      <c r="A367" s="41">
        <v>347</v>
      </c>
      <c r="B367" s="41" t="s">
        <v>85</v>
      </c>
      <c r="C367" s="41" t="s">
        <v>865</v>
      </c>
      <c r="D367" s="28" t="s">
        <v>866</v>
      </c>
      <c r="E367" s="27" t="s">
        <v>867</v>
      </c>
      <c r="F367" s="5" t="s">
        <v>22</v>
      </c>
      <c r="G367" s="21">
        <v>8.3333333333333329E-2</v>
      </c>
      <c r="H367" s="22">
        <f>VLOOKUP($C367,'Master File June-26'!$C$3:$L$670,6,0)</f>
        <v>103.5</v>
      </c>
      <c r="I367" s="22">
        <f>VLOOKUP($C367,'Master File June-26'!$C$3:$L$670,7,0)</f>
        <v>1242</v>
      </c>
      <c r="J367" s="5">
        <f>VLOOKUP($C367,'Master File June-26'!$C$3:$L$670,8,0)</f>
        <v>14</v>
      </c>
      <c r="K367" s="23">
        <f>VLOOKUP($C367,'Master File June-26'!$C$3:$L$670,9,0)</f>
        <v>621</v>
      </c>
      <c r="L367" s="58">
        <f>VLOOKUP($C367,'Master File June-26'!$C$3:$L$670,10,0)</f>
        <v>200</v>
      </c>
      <c r="M367" s="24">
        <f t="shared" si="20"/>
        <v>4.8309178743961354</v>
      </c>
      <c r="N367" s="25" t="str">
        <f t="shared" si="21"/>
        <v>ORDER NOW</v>
      </c>
      <c r="O367" s="25" t="str">
        <f t="shared" si="22"/>
        <v>CRITICAL</v>
      </c>
      <c r="S367" s="79">
        <f t="shared" si="23"/>
        <v>0</v>
      </c>
    </row>
    <row r="368" spans="1:19" ht="18.75" x14ac:dyDescent="0.25">
      <c r="A368" s="41">
        <v>400</v>
      </c>
      <c r="B368" s="41" t="s">
        <v>85</v>
      </c>
      <c r="C368" s="41" t="s">
        <v>868</v>
      </c>
      <c r="D368" s="28" t="s">
        <v>869</v>
      </c>
      <c r="E368" s="27" t="s">
        <v>870</v>
      </c>
      <c r="F368" s="5" t="s">
        <v>22</v>
      </c>
      <c r="G368" s="21">
        <v>5.2476910159529801E-2</v>
      </c>
      <c r="H368" s="22">
        <f>VLOOKUP($C368,'Master File June-26'!$C$3:$L$670,6,0)</f>
        <v>300</v>
      </c>
      <c r="I368" s="22">
        <f>VLOOKUP($C368,'Master File June-26'!$C$3:$L$670,7,0)</f>
        <v>5716.8000000000011</v>
      </c>
      <c r="J368" s="5">
        <f>VLOOKUP($C368,'Master File June-26'!$C$3:$L$670,8,0)</f>
        <v>14</v>
      </c>
      <c r="K368" s="23">
        <f>VLOOKUP($C368,'Master File June-26'!$C$3:$L$670,9,0)</f>
        <v>2858.4000000000005</v>
      </c>
      <c r="L368" s="58">
        <f>VLOOKUP($C368,'Master File June-26'!$C$3:$L$670,10,0)</f>
        <v>0</v>
      </c>
      <c r="M368" s="24">
        <f t="shared" si="20"/>
        <v>0</v>
      </c>
      <c r="N368" s="25" t="str">
        <f t="shared" si="21"/>
        <v>ORDER NOW</v>
      </c>
      <c r="O368" s="25" t="str">
        <f t="shared" si="22"/>
        <v>CRITICAL</v>
      </c>
      <c r="S368" s="79">
        <f t="shared" si="23"/>
        <v>0</v>
      </c>
    </row>
    <row r="369" spans="1:19" ht="18.75" x14ac:dyDescent="0.25">
      <c r="A369" s="19">
        <v>34</v>
      </c>
      <c r="B369" s="19" t="s">
        <v>18</v>
      </c>
      <c r="C369" s="19" t="s">
        <v>871</v>
      </c>
      <c r="D369" s="28" t="s">
        <v>872</v>
      </c>
      <c r="E369" s="27" t="s">
        <v>873</v>
      </c>
      <c r="F369" s="5" t="s">
        <v>22</v>
      </c>
      <c r="G369" s="21">
        <v>2E-3</v>
      </c>
      <c r="H369" s="22">
        <f>VLOOKUP($C369,'Master File June-26'!$C$3:$L$670,6,0)</f>
        <v>192.5</v>
      </c>
      <c r="I369" s="22">
        <f>VLOOKUP($C369,'Master File June-26'!$C$3:$L$670,7,0)</f>
        <v>96250</v>
      </c>
      <c r="J369" s="5">
        <f>VLOOKUP($C369,'Master File June-26'!$C$3:$L$670,8,0)</f>
        <v>60</v>
      </c>
      <c r="K369" s="23">
        <f>VLOOKUP($C369,'Master File June-26'!$C$3:$L$670,9,0)</f>
        <v>206250</v>
      </c>
      <c r="L369" s="58">
        <f>VLOOKUP($C369,'Master File June-26'!$C$3:$L$670,10,0)</f>
        <v>0</v>
      </c>
      <c r="M369" s="24">
        <f t="shared" si="20"/>
        <v>0</v>
      </c>
      <c r="N369" s="25" t="str">
        <f t="shared" si="21"/>
        <v>ORDER NOW</v>
      </c>
      <c r="O369" s="25" t="str">
        <f t="shared" si="22"/>
        <v>CRITICAL</v>
      </c>
      <c r="R369" t="s">
        <v>30</v>
      </c>
      <c r="S369" s="79">
        <f t="shared" si="23"/>
        <v>0</v>
      </c>
    </row>
    <row r="370" spans="1:19" ht="18.75" x14ac:dyDescent="0.25">
      <c r="A370" s="41">
        <v>344</v>
      </c>
      <c r="B370" s="41" t="s">
        <v>38</v>
      </c>
      <c r="C370" s="41" t="s">
        <v>874</v>
      </c>
      <c r="D370" s="28" t="s">
        <v>875</v>
      </c>
      <c r="E370" s="27" t="s">
        <v>876</v>
      </c>
      <c r="F370" s="5" t="s">
        <v>49</v>
      </c>
      <c r="G370" s="21">
        <v>1.639344262295082</v>
      </c>
      <c r="H370" s="22">
        <f>VLOOKUP($C370,'Master File June-26'!$C$3:$L$670,6,0)</f>
        <v>82.5</v>
      </c>
      <c r="I370" s="22">
        <f>VLOOKUP($C370,'Master File June-26'!$C$3:$L$670,7,0)</f>
        <v>50.324999999999996</v>
      </c>
      <c r="J370" s="5">
        <f>VLOOKUP($C370,'Master File June-26'!$C$3:$L$670,8,0)</f>
        <v>14</v>
      </c>
      <c r="K370" s="23">
        <f>VLOOKUP($C370,'Master File June-26'!$C$3:$L$670,9,0)</f>
        <v>25.162499999999998</v>
      </c>
      <c r="L370" s="58">
        <f>VLOOKUP($C370,'Master File June-26'!$C$3:$L$670,10,0)</f>
        <v>140</v>
      </c>
      <c r="M370" s="24">
        <f t="shared" si="20"/>
        <v>83.45752608047691</v>
      </c>
      <c r="N370" s="25" t="str">
        <f t="shared" si="21"/>
        <v>IN STOCK</v>
      </c>
      <c r="O370" s="25" t="str">
        <f t="shared" si="22"/>
        <v>FOLLOW UP DELIVERY</v>
      </c>
      <c r="S370" s="79">
        <f t="shared" si="23"/>
        <v>1</v>
      </c>
    </row>
    <row r="371" spans="1:19" ht="18.75" x14ac:dyDescent="0.25">
      <c r="A371" s="39">
        <v>232</v>
      </c>
      <c r="B371" s="39" t="s">
        <v>123</v>
      </c>
      <c r="C371" s="39" t="s">
        <v>877</v>
      </c>
      <c r="D371" s="28" t="s">
        <v>878</v>
      </c>
      <c r="E371" s="27" t="s">
        <v>160</v>
      </c>
      <c r="F371" s="5" t="s">
        <v>49</v>
      </c>
      <c r="G371" s="21">
        <v>1</v>
      </c>
      <c r="H371" s="22">
        <f>VLOOKUP($C371,'Master File June-26'!$C$3:$L$670,6,0)</f>
        <v>164</v>
      </c>
      <c r="I371" s="22">
        <f>VLOOKUP($C371,'Master File June-26'!$C$3:$L$670,7,0)</f>
        <v>164</v>
      </c>
      <c r="J371" s="5">
        <f>VLOOKUP($C371,'Master File June-26'!$C$3:$L$670,8,0)</f>
        <v>14</v>
      </c>
      <c r="K371" s="23">
        <f>VLOOKUP($C371,'Master File June-26'!$C$3:$L$670,9,0)</f>
        <v>82</v>
      </c>
      <c r="L371" s="58">
        <f>VLOOKUP($C371,'Master File June-26'!$C$3:$L$670,10,0)</f>
        <v>12</v>
      </c>
      <c r="M371" s="24">
        <f t="shared" si="20"/>
        <v>2.1951219512195119</v>
      </c>
      <c r="N371" s="25" t="str">
        <f t="shared" si="21"/>
        <v>ORDER NOW</v>
      </c>
      <c r="O371" s="25" t="str">
        <f t="shared" si="22"/>
        <v>CRITICAL</v>
      </c>
      <c r="S371" s="79">
        <f t="shared" si="23"/>
        <v>0</v>
      </c>
    </row>
    <row r="372" spans="1:19" ht="18.75" x14ac:dyDescent="0.25">
      <c r="A372" s="39">
        <v>241</v>
      </c>
      <c r="B372" s="39" t="s">
        <v>123</v>
      </c>
      <c r="C372" s="39" t="s">
        <v>879</v>
      </c>
      <c r="D372" s="28" t="s">
        <v>880</v>
      </c>
      <c r="E372" s="27" t="s">
        <v>706</v>
      </c>
      <c r="F372" s="5" t="s">
        <v>49</v>
      </c>
      <c r="G372" s="21">
        <v>0.2</v>
      </c>
      <c r="H372" s="22">
        <f>VLOOKUP($C372,'Master File June-26'!$C$3:$L$670,6,0)</f>
        <v>24</v>
      </c>
      <c r="I372" s="22">
        <f>VLOOKUP($C372,'Master File June-26'!$C$3:$L$670,7,0)</f>
        <v>120</v>
      </c>
      <c r="J372" s="5">
        <f>VLOOKUP($C372,'Master File June-26'!$C$3:$L$670,8,0)</f>
        <v>14</v>
      </c>
      <c r="K372" s="23">
        <f>VLOOKUP($C372,'Master File June-26'!$C$3:$L$670,9,0)</f>
        <v>60</v>
      </c>
      <c r="L372" s="58">
        <f>VLOOKUP($C372,'Master File June-26'!$C$3:$L$670,10,0)</f>
        <v>18</v>
      </c>
      <c r="M372" s="24">
        <f t="shared" si="20"/>
        <v>4.5</v>
      </c>
      <c r="N372" s="25" t="str">
        <f t="shared" si="21"/>
        <v>ORDER NOW</v>
      </c>
      <c r="O372" s="25" t="str">
        <f t="shared" si="22"/>
        <v>CRITICAL</v>
      </c>
      <c r="S372" s="79">
        <f t="shared" si="23"/>
        <v>0</v>
      </c>
    </row>
    <row r="373" spans="1:19" ht="18.75" x14ac:dyDescent="0.25">
      <c r="A373" s="39">
        <v>285</v>
      </c>
      <c r="B373" s="39" t="s">
        <v>234</v>
      </c>
      <c r="C373" s="39" t="s">
        <v>881</v>
      </c>
      <c r="D373" s="28" t="s">
        <v>882</v>
      </c>
      <c r="E373" s="27" t="s">
        <v>883</v>
      </c>
      <c r="F373" s="5" t="s">
        <v>22</v>
      </c>
      <c r="G373" s="21">
        <v>4.4444444444444444E-3</v>
      </c>
      <c r="H373" s="22">
        <f>VLOOKUP($C373,'Master File June-26'!$C$3:$L$670,6,0)</f>
        <v>27.5</v>
      </c>
      <c r="I373" s="22">
        <f>VLOOKUP($C373,'Master File June-26'!$C$3:$L$670,7,0)</f>
        <v>6187.5</v>
      </c>
      <c r="J373" s="5">
        <f>VLOOKUP($C373,'Master File June-26'!$C$3:$L$670,8,0)</f>
        <v>14</v>
      </c>
      <c r="K373" s="23">
        <f>VLOOKUP($C373,'Master File June-26'!$C$3:$L$670,9,0)</f>
        <v>3093.75</v>
      </c>
      <c r="L373" s="58">
        <f>VLOOKUP($C373,'Master File June-26'!$C$3:$L$670,10,0)</f>
        <v>900</v>
      </c>
      <c r="M373" s="24">
        <f t="shared" si="20"/>
        <v>4.3636363636363633</v>
      </c>
      <c r="N373" s="25" t="str">
        <f t="shared" si="21"/>
        <v>ORDER NOW</v>
      </c>
      <c r="O373" s="25" t="str">
        <f t="shared" si="22"/>
        <v>CRITICAL</v>
      </c>
      <c r="S373" s="79">
        <f t="shared" si="23"/>
        <v>0</v>
      </c>
    </row>
    <row r="374" spans="1:19" ht="18.75" x14ac:dyDescent="0.25">
      <c r="A374" s="19">
        <v>111</v>
      </c>
      <c r="B374" s="19" t="s">
        <v>18</v>
      </c>
      <c r="C374" s="19" t="s">
        <v>884</v>
      </c>
      <c r="D374" s="28" t="s">
        <v>885</v>
      </c>
      <c r="E374" s="27" t="s">
        <v>180</v>
      </c>
      <c r="F374" s="5" t="s">
        <v>22</v>
      </c>
      <c r="G374" s="21">
        <f>1/1000</f>
        <v>1E-3</v>
      </c>
      <c r="H374" s="22">
        <f>VLOOKUP($C374,'Master File June-26'!$C$3:$L$670,6,0)</f>
        <v>15</v>
      </c>
      <c r="I374" s="22">
        <f>VLOOKUP($C374,'Master File June-26'!$C$3:$L$670,7,0)</f>
        <v>15000</v>
      </c>
      <c r="J374" s="5">
        <f>VLOOKUP($C374,'Master File June-26'!$C$3:$L$670,8,0)</f>
        <v>14</v>
      </c>
      <c r="K374" s="23">
        <f>VLOOKUP($C374,'Master File June-26'!$C$3:$L$670,9,0)</f>
        <v>7500</v>
      </c>
      <c r="L374" s="58">
        <f>VLOOKUP($C374,'Master File June-26'!$C$3:$L$670,10,0)</f>
        <v>0</v>
      </c>
      <c r="M374" s="24">
        <f t="shared" si="20"/>
        <v>0</v>
      </c>
      <c r="N374" s="25" t="str">
        <f t="shared" si="21"/>
        <v>ORDER NOW</v>
      </c>
      <c r="O374" s="25" t="str">
        <f t="shared" si="22"/>
        <v>CRITICAL</v>
      </c>
      <c r="R374" t="s">
        <v>30</v>
      </c>
      <c r="S374" s="79">
        <f t="shared" si="23"/>
        <v>0</v>
      </c>
    </row>
    <row r="375" spans="1:19" ht="18.75" x14ac:dyDescent="0.25">
      <c r="A375" s="39">
        <v>217</v>
      </c>
      <c r="B375" s="39" t="s">
        <v>239</v>
      </c>
      <c r="C375" s="39" t="s">
        <v>886</v>
      </c>
      <c r="D375" s="28" t="s">
        <v>887</v>
      </c>
      <c r="E375" s="27" t="s">
        <v>78</v>
      </c>
      <c r="F375" s="5" t="s">
        <v>49</v>
      </c>
      <c r="G375" s="21">
        <v>1</v>
      </c>
      <c r="H375" s="22">
        <f>VLOOKUP($C375,'Master File June-26'!$C$3:$L$670,6,0)</f>
        <v>66</v>
      </c>
      <c r="I375" s="22">
        <f>VLOOKUP($C375,'Master File June-26'!$C$3:$L$670,7,0)</f>
        <v>66</v>
      </c>
      <c r="J375" s="5">
        <f>VLOOKUP($C375,'Master File June-26'!$C$3:$L$670,8,0)</f>
        <v>14</v>
      </c>
      <c r="K375" s="23">
        <f>VLOOKUP($C375,'Master File June-26'!$C$3:$L$670,9,0)</f>
        <v>33</v>
      </c>
      <c r="L375" s="58">
        <f>VLOOKUP($C375,'Master File June-26'!$C$3:$L$670,10,0)</f>
        <v>0</v>
      </c>
      <c r="M375" s="24">
        <f t="shared" si="20"/>
        <v>0</v>
      </c>
      <c r="N375" s="25" t="str">
        <f t="shared" si="21"/>
        <v>ORDER NOW</v>
      </c>
      <c r="O375" s="25" t="str">
        <f t="shared" si="22"/>
        <v>CRITICAL</v>
      </c>
      <c r="S375" s="79">
        <f t="shared" si="23"/>
        <v>0</v>
      </c>
    </row>
    <row r="376" spans="1:19" ht="18.75" x14ac:dyDescent="0.25">
      <c r="A376" s="41">
        <v>362</v>
      </c>
      <c r="B376" s="41" t="s">
        <v>85</v>
      </c>
      <c r="C376" s="41" t="s">
        <v>888</v>
      </c>
      <c r="D376" s="28" t="s">
        <v>889</v>
      </c>
      <c r="E376" s="27" t="s">
        <v>890</v>
      </c>
      <c r="F376" s="5" t="s">
        <v>22</v>
      </c>
      <c r="G376" s="21">
        <v>0.23809523809523814</v>
      </c>
      <c r="H376" s="22">
        <f>VLOOKUP($C376,'Master File June-26'!$C$3:$L$670,6,0)</f>
        <v>90.5</v>
      </c>
      <c r="I376" s="22">
        <f>VLOOKUP($C376,'Master File June-26'!$C$3:$L$670,7,0)</f>
        <v>380.09999999999991</v>
      </c>
      <c r="J376" s="5">
        <f>VLOOKUP($C376,'Master File June-26'!$C$3:$L$670,8,0)</f>
        <v>14</v>
      </c>
      <c r="K376" s="23">
        <f>VLOOKUP($C376,'Master File June-26'!$C$3:$L$670,9,0)</f>
        <v>190.04999999999995</v>
      </c>
      <c r="L376" s="58">
        <f>VLOOKUP($C376,'Master File June-26'!$C$3:$L$670,10,0)</f>
        <v>0</v>
      </c>
      <c r="M376" s="24">
        <f t="shared" si="20"/>
        <v>0</v>
      </c>
      <c r="N376" s="25" t="str">
        <f t="shared" si="21"/>
        <v>ORDER NOW</v>
      </c>
      <c r="O376" s="25" t="str">
        <f t="shared" si="22"/>
        <v>CRITICAL</v>
      </c>
      <c r="S376" s="79">
        <f t="shared" si="23"/>
        <v>0</v>
      </c>
    </row>
    <row r="377" spans="1:19" ht="18.75" x14ac:dyDescent="0.25">
      <c r="A377" s="19">
        <v>5</v>
      </c>
      <c r="B377" s="19" t="s">
        <v>18</v>
      </c>
      <c r="C377" s="19" t="s">
        <v>891</v>
      </c>
      <c r="D377" s="28" t="s">
        <v>892</v>
      </c>
      <c r="E377" s="27" t="s">
        <v>893</v>
      </c>
      <c r="F377" s="5" t="s">
        <v>22</v>
      </c>
      <c r="G377" s="21">
        <v>1.6666666666666668E-3</v>
      </c>
      <c r="H377" s="22">
        <f>VLOOKUP($C377,'Master File June-26'!$C$3:$L$670,6,0)</f>
        <v>565.5</v>
      </c>
      <c r="I377" s="22">
        <f>VLOOKUP($C377,'Master File June-26'!$C$3:$L$670,7,0)</f>
        <v>339300</v>
      </c>
      <c r="J377" s="5">
        <f>VLOOKUP($C377,'Master File June-26'!$C$3:$L$670,8,0)</f>
        <v>14</v>
      </c>
      <c r="K377" s="23">
        <f>VLOOKUP($C377,'Master File June-26'!$C$3:$L$670,9,0)</f>
        <v>169650</v>
      </c>
      <c r="L377" s="58">
        <f>VLOOKUP($C377,'Master File June-26'!$C$3:$L$670,10,0)</f>
        <v>66300</v>
      </c>
      <c r="M377" s="24">
        <f t="shared" si="20"/>
        <v>5.862068965517242</v>
      </c>
      <c r="N377" s="25" t="str">
        <f t="shared" si="21"/>
        <v>ORDER NOW</v>
      </c>
      <c r="O377" s="25" t="str">
        <f t="shared" si="22"/>
        <v>CRITICAL</v>
      </c>
      <c r="R377" t="s">
        <v>30</v>
      </c>
      <c r="S377" s="79">
        <f t="shared" si="23"/>
        <v>0</v>
      </c>
    </row>
    <row r="378" spans="1:19" ht="18.75" x14ac:dyDescent="0.25">
      <c r="A378" s="19">
        <v>98</v>
      </c>
      <c r="B378" s="19" t="s">
        <v>18</v>
      </c>
      <c r="C378" s="19" t="s">
        <v>894</v>
      </c>
      <c r="D378" s="28" t="s">
        <v>895</v>
      </c>
      <c r="E378" s="27" t="s">
        <v>896</v>
      </c>
      <c r="F378" s="5" t="s">
        <v>22</v>
      </c>
      <c r="G378" s="21">
        <v>0.01</v>
      </c>
      <c r="H378" s="22">
        <f>VLOOKUP($C378,'Master File June-26'!$C$3:$L$670,6,0)</f>
        <v>250</v>
      </c>
      <c r="I378" s="22">
        <f>VLOOKUP($C378,'Master File June-26'!$C$3:$L$670,7,0)</f>
        <v>25000</v>
      </c>
      <c r="J378" s="5">
        <f>VLOOKUP($C378,'Master File June-26'!$C$3:$L$670,8,0)</f>
        <v>14</v>
      </c>
      <c r="K378" s="23">
        <f>VLOOKUP($C378,'Master File June-26'!$C$3:$L$670,9,0)</f>
        <v>12500</v>
      </c>
      <c r="L378" s="58">
        <f>VLOOKUP($C378,'Master File June-26'!$C$3:$L$670,10,0)</f>
        <v>550</v>
      </c>
      <c r="M378" s="24">
        <f t="shared" si="20"/>
        <v>0.65999999999999992</v>
      </c>
      <c r="N378" s="25" t="str">
        <f t="shared" si="21"/>
        <v>ORDER NOW</v>
      </c>
      <c r="O378" s="25" t="str">
        <f t="shared" si="22"/>
        <v>CRITICAL</v>
      </c>
      <c r="R378" t="s">
        <v>30</v>
      </c>
      <c r="S378" s="79">
        <f t="shared" si="23"/>
        <v>0</v>
      </c>
    </row>
    <row r="379" spans="1:19" ht="18.75" x14ac:dyDescent="0.25">
      <c r="A379" s="41">
        <v>441</v>
      </c>
      <c r="B379" s="41" t="s">
        <v>61</v>
      </c>
      <c r="C379" s="41" t="s">
        <v>897</v>
      </c>
      <c r="D379" s="28" t="s">
        <v>898</v>
      </c>
      <c r="E379" s="27" t="s">
        <v>899</v>
      </c>
      <c r="F379" s="5" t="s">
        <v>22</v>
      </c>
      <c r="G379" s="21">
        <f>1/(4*1.65)</f>
        <v>0.15151515151515152</v>
      </c>
      <c r="H379" s="22">
        <f>VLOOKUP($C379,'Master File June-26'!$C$3:$L$670,6,0)</f>
        <v>1700</v>
      </c>
      <c r="I379" s="22">
        <f>VLOOKUP($C379,'Master File June-26'!$C$3:$L$670,7,0)</f>
        <v>11220</v>
      </c>
      <c r="J379" s="5">
        <f>VLOOKUP($C379,'Master File June-26'!$C$3:$L$670,8,0)</f>
        <v>14</v>
      </c>
      <c r="K379" s="23">
        <f>VLOOKUP($C379,'Master File June-26'!$C$3:$L$670,9,0)</f>
        <v>5610</v>
      </c>
      <c r="L379" s="58">
        <f>VLOOKUP($C379,'Master File June-26'!$C$3:$L$670,10,0)</f>
        <v>3320</v>
      </c>
      <c r="M379" s="24">
        <f t="shared" si="20"/>
        <v>8.8770053475935828</v>
      </c>
      <c r="N379" s="25" t="str">
        <f t="shared" si="21"/>
        <v>ORDER NOW</v>
      </c>
      <c r="O379" s="25" t="str">
        <f t="shared" si="22"/>
        <v>CRITICAL</v>
      </c>
      <c r="S379" s="79">
        <f t="shared" si="23"/>
        <v>0</v>
      </c>
    </row>
    <row r="380" spans="1:19" ht="18.75" x14ac:dyDescent="0.25">
      <c r="A380" s="19">
        <v>3</v>
      </c>
      <c r="B380" s="19" t="s">
        <v>18</v>
      </c>
      <c r="C380" s="19" t="s">
        <v>900</v>
      </c>
      <c r="D380" s="28" t="s">
        <v>901</v>
      </c>
      <c r="E380" s="27" t="s">
        <v>902</v>
      </c>
      <c r="F380" s="5" t="s">
        <v>22</v>
      </c>
      <c r="G380" s="21">
        <v>3.3333333333333332E-4</v>
      </c>
      <c r="H380" s="22">
        <f>VLOOKUP($C380,'Master File June-26'!$C$3:$L$670,6,0)</f>
        <v>83.5</v>
      </c>
      <c r="I380" s="22">
        <f>VLOOKUP($C380,'Master File June-26'!$C$3:$L$670,7,0)</f>
        <v>250500</v>
      </c>
      <c r="J380" s="5">
        <f>VLOOKUP($C380,'Master File June-26'!$C$3:$L$670,8,0)</f>
        <v>14</v>
      </c>
      <c r="K380" s="23">
        <f>VLOOKUP($C380,'Master File June-26'!$C$3:$L$670,9,0)</f>
        <v>125250</v>
      </c>
      <c r="L380" s="58">
        <f>VLOOKUP($C380,'Master File June-26'!$C$3:$L$670,10,0)</f>
        <v>149000</v>
      </c>
      <c r="M380" s="24">
        <f t="shared" si="20"/>
        <v>17.844311377245507</v>
      </c>
      <c r="N380" s="25" t="str">
        <f t="shared" si="21"/>
        <v>IN STOCK</v>
      </c>
      <c r="O380" s="25" t="str">
        <f t="shared" si="22"/>
        <v>FOLLOW UP DELIVERY</v>
      </c>
      <c r="R380" t="s">
        <v>30</v>
      </c>
      <c r="S380" s="79">
        <f t="shared" si="23"/>
        <v>1</v>
      </c>
    </row>
    <row r="381" spans="1:19" ht="18.75" x14ac:dyDescent="0.25">
      <c r="A381" s="4">
        <v>651</v>
      </c>
      <c r="B381" s="5"/>
      <c r="C381" s="41" t="s">
        <v>903</v>
      </c>
      <c r="D381" s="73" t="s">
        <v>904</v>
      </c>
      <c r="E381" s="31" t="s">
        <v>49</v>
      </c>
      <c r="F381" s="5"/>
      <c r="G381" s="21">
        <v>1</v>
      </c>
      <c r="H381" s="22">
        <f>VLOOKUP($C381,'Master File June-26'!$C$3:$L$670,6,0)</f>
        <v>0</v>
      </c>
      <c r="I381" s="22">
        <f>VLOOKUP($C381,'Master File June-26'!$C$3:$L$670,7,0)</f>
        <v>10</v>
      </c>
      <c r="J381" s="5">
        <f>VLOOKUP($C381,'Master File June-26'!$C$3:$L$670,8,0)</f>
        <v>14</v>
      </c>
      <c r="K381" s="23">
        <f>VLOOKUP($C381,'Master File June-26'!$C$3:$L$670,9,0)</f>
        <v>5</v>
      </c>
      <c r="L381" s="58">
        <f>VLOOKUP($C381,'Master File June-26'!$C$3:$L$670,10,0)</f>
        <v>0</v>
      </c>
      <c r="M381" s="24">
        <f t="shared" si="20"/>
        <v>0</v>
      </c>
      <c r="N381" s="25" t="str">
        <f t="shared" si="21"/>
        <v>ORDER NOW</v>
      </c>
      <c r="O381" s="25" t="str">
        <f t="shared" si="22"/>
        <v>CRITICAL</v>
      </c>
      <c r="S381" s="79">
        <f t="shared" si="23"/>
        <v>0</v>
      </c>
    </row>
    <row r="382" spans="1:19" ht="18.75" x14ac:dyDescent="0.25">
      <c r="A382" s="41">
        <v>471</v>
      </c>
      <c r="B382" s="41" t="s">
        <v>38</v>
      </c>
      <c r="C382" s="41" t="s">
        <v>905</v>
      </c>
      <c r="D382" s="28" t="s">
        <v>906</v>
      </c>
      <c r="E382" s="27" t="s">
        <v>907</v>
      </c>
      <c r="F382" s="5" t="s">
        <v>22</v>
      </c>
      <c r="G382" s="21">
        <v>8.3333333333333329E-2</v>
      </c>
      <c r="H382" s="22">
        <f>VLOOKUP($C382,'Master File June-26'!$C$3:$L$670,6,0)</f>
        <v>2700</v>
      </c>
      <c r="I382" s="22">
        <f>VLOOKUP($C382,'Master File June-26'!$C$3:$L$670,7,0)</f>
        <v>32400</v>
      </c>
      <c r="J382" s="5">
        <f>VLOOKUP($C382,'Master File June-26'!$C$3:$L$670,8,0)</f>
        <v>14</v>
      </c>
      <c r="K382" s="23">
        <f>VLOOKUP($C382,'Master File June-26'!$C$3:$L$670,9,0)</f>
        <v>16200</v>
      </c>
      <c r="L382" s="58">
        <f>VLOOKUP($C382,'Master File June-26'!$C$3:$L$670,10,0)</f>
        <v>9168</v>
      </c>
      <c r="M382" s="24">
        <f t="shared" si="20"/>
        <v>8.4888888888888889</v>
      </c>
      <c r="N382" s="25" t="str">
        <f t="shared" si="21"/>
        <v>ORDER NOW</v>
      </c>
      <c r="O382" s="25" t="str">
        <f t="shared" si="22"/>
        <v>CRITICAL</v>
      </c>
      <c r="S382" s="79">
        <f t="shared" si="23"/>
        <v>0</v>
      </c>
    </row>
    <row r="383" spans="1:19" ht="18.75" x14ac:dyDescent="0.25">
      <c r="A383" s="41">
        <v>332</v>
      </c>
      <c r="B383" s="41" t="s">
        <v>38</v>
      </c>
      <c r="C383" s="41" t="s">
        <v>905</v>
      </c>
      <c r="D383" s="28" t="s">
        <v>908</v>
      </c>
      <c r="E383" s="27" t="s">
        <v>907</v>
      </c>
      <c r="F383" s="5" t="s">
        <v>22</v>
      </c>
      <c r="G383" s="21">
        <v>8.3333333333333329E-2</v>
      </c>
      <c r="H383" s="22">
        <f>VLOOKUP($C383,'Master File June-26'!$C$3:$L$670,6,0)</f>
        <v>2700</v>
      </c>
      <c r="I383" s="22">
        <f>VLOOKUP($C383,'Master File June-26'!$C$3:$L$670,7,0)</f>
        <v>32400</v>
      </c>
      <c r="J383" s="5">
        <f>VLOOKUP($C383,'Master File June-26'!$C$3:$L$670,8,0)</f>
        <v>14</v>
      </c>
      <c r="K383" s="23">
        <f>VLOOKUP($C383,'Master File June-26'!$C$3:$L$670,9,0)</f>
        <v>16200</v>
      </c>
      <c r="L383" s="58">
        <f>VLOOKUP($C383,'Master File June-26'!$C$3:$L$670,10,0)</f>
        <v>9168</v>
      </c>
      <c r="M383" s="24">
        <f t="shared" si="20"/>
        <v>8.4888888888888889</v>
      </c>
      <c r="N383" s="25" t="str">
        <f t="shared" si="21"/>
        <v>ORDER NOW</v>
      </c>
      <c r="O383" s="25" t="str">
        <f t="shared" si="22"/>
        <v>CRITICAL</v>
      </c>
      <c r="S383" s="79">
        <f t="shared" si="23"/>
        <v>0</v>
      </c>
    </row>
    <row r="384" spans="1:19" ht="18.75" x14ac:dyDescent="0.25">
      <c r="A384" s="19">
        <v>88</v>
      </c>
      <c r="B384" s="19" t="s">
        <v>18</v>
      </c>
      <c r="C384" s="19" t="s">
        <v>909</v>
      </c>
      <c r="D384" s="28" t="s">
        <v>910</v>
      </c>
      <c r="E384" s="27" t="s">
        <v>911</v>
      </c>
      <c r="F384" s="5" t="s">
        <v>22</v>
      </c>
      <c r="G384" s="21">
        <v>3.1250000000000002E-3</v>
      </c>
      <c r="H384" s="22">
        <f>VLOOKUP($C384,'Master File June-26'!$C$3:$L$670,6,0)</f>
        <v>40</v>
      </c>
      <c r="I384" s="22">
        <f>VLOOKUP($C384,'Master File June-26'!$C$3:$L$670,7,0)</f>
        <v>12800</v>
      </c>
      <c r="J384" s="5">
        <f>VLOOKUP($C384,'Master File June-26'!$C$3:$L$670,8,0)</f>
        <v>14</v>
      </c>
      <c r="K384" s="23">
        <f>VLOOKUP($C384,'Master File June-26'!$C$3:$L$670,9,0)</f>
        <v>6400</v>
      </c>
      <c r="L384" s="58">
        <f>VLOOKUP($C384,'Master File June-26'!$C$3:$L$670,10,0)</f>
        <v>5000</v>
      </c>
      <c r="M384" s="24">
        <f t="shared" si="20"/>
        <v>11.71875</v>
      </c>
      <c r="N384" s="25" t="str">
        <f t="shared" si="21"/>
        <v>ORDER NOW</v>
      </c>
      <c r="O384" s="25" t="str">
        <f t="shared" si="22"/>
        <v>CRITICAL</v>
      </c>
      <c r="R384" t="s">
        <v>30</v>
      </c>
      <c r="S384" s="79">
        <f t="shared" si="23"/>
        <v>0</v>
      </c>
    </row>
    <row r="385" spans="1:19" ht="18.75" x14ac:dyDescent="0.25">
      <c r="A385" s="41">
        <v>376</v>
      </c>
      <c r="B385" s="41" t="s">
        <v>85</v>
      </c>
      <c r="C385" s="41" t="s">
        <v>912</v>
      </c>
      <c r="D385" s="28" t="s">
        <v>913</v>
      </c>
      <c r="E385" s="27" t="s">
        <v>101</v>
      </c>
      <c r="F385" s="5" t="s">
        <v>22</v>
      </c>
      <c r="G385" s="21">
        <v>0.16666666666666666</v>
      </c>
      <c r="H385" s="22">
        <f>VLOOKUP($C385,'Master File June-26'!$C$3:$L$670,6,0)</f>
        <v>64.5</v>
      </c>
      <c r="I385" s="22">
        <f>VLOOKUP($C385,'Master File June-26'!$C$3:$L$670,7,0)</f>
        <v>387</v>
      </c>
      <c r="J385" s="5">
        <f>VLOOKUP($C385,'Master File June-26'!$C$3:$L$670,8,0)</f>
        <v>14</v>
      </c>
      <c r="K385" s="23">
        <f>VLOOKUP($C385,'Master File June-26'!$C$3:$L$670,9,0)</f>
        <v>193.5</v>
      </c>
      <c r="L385" s="58">
        <f>VLOOKUP($C385,'Master File June-26'!$C$3:$L$670,10,0)</f>
        <v>864</v>
      </c>
      <c r="M385" s="24">
        <f t="shared" si="20"/>
        <v>66.976744186046517</v>
      </c>
      <c r="N385" s="25" t="str">
        <f t="shared" si="21"/>
        <v>IN STOCK</v>
      </c>
      <c r="O385" s="25" t="str">
        <f t="shared" si="22"/>
        <v>FOLLOW UP DELIVERY</v>
      </c>
      <c r="S385" s="79">
        <f t="shared" si="23"/>
        <v>1</v>
      </c>
    </row>
    <row r="386" spans="1:19" ht="18.75" x14ac:dyDescent="0.25">
      <c r="A386" s="19">
        <v>42</v>
      </c>
      <c r="B386" s="19" t="s">
        <v>18</v>
      </c>
      <c r="C386" s="19" t="s">
        <v>914</v>
      </c>
      <c r="D386" s="70" t="s">
        <v>915</v>
      </c>
      <c r="E386" s="29" t="s">
        <v>916</v>
      </c>
      <c r="F386" s="5" t="s">
        <v>49</v>
      </c>
      <c r="G386" s="21">
        <f>1/100</f>
        <v>0.01</v>
      </c>
      <c r="H386" s="22">
        <f>VLOOKUP($C386,'Master File June-26'!$C$3:$L$670,6,0)</f>
        <v>5.5</v>
      </c>
      <c r="I386" s="22">
        <f>VLOOKUP($C386,'Master File June-26'!$C$3:$L$670,7,0)</f>
        <v>550</v>
      </c>
      <c r="J386" s="5">
        <f>VLOOKUP($C386,'Master File June-26'!$C$3:$L$670,8,0)</f>
        <v>14</v>
      </c>
      <c r="K386" s="23">
        <f>VLOOKUP($C386,'Master File June-26'!$C$3:$L$670,9,0)</f>
        <v>275</v>
      </c>
      <c r="L386" s="58">
        <f>VLOOKUP($C386,'Master File June-26'!$C$3:$L$670,10,0)</f>
        <v>0</v>
      </c>
      <c r="M386" s="24">
        <f t="shared" si="20"/>
        <v>0</v>
      </c>
      <c r="N386" s="25" t="str">
        <f t="shared" si="21"/>
        <v>ORDER NOW</v>
      </c>
      <c r="O386" s="25" t="str">
        <f t="shared" si="22"/>
        <v>CRITICAL</v>
      </c>
      <c r="R386" t="s">
        <v>30</v>
      </c>
      <c r="S386" s="79">
        <f t="shared" si="23"/>
        <v>0</v>
      </c>
    </row>
    <row r="387" spans="1:19" ht="18.75" x14ac:dyDescent="0.25">
      <c r="A387" s="49">
        <v>585</v>
      </c>
      <c r="B387" s="49" t="s">
        <v>298</v>
      </c>
      <c r="C387" s="49" t="s">
        <v>917</v>
      </c>
      <c r="D387" s="28" t="s">
        <v>918</v>
      </c>
      <c r="E387" s="27" t="s">
        <v>49</v>
      </c>
      <c r="F387" s="5" t="s">
        <v>49</v>
      </c>
      <c r="G387" s="21">
        <v>1</v>
      </c>
      <c r="H387" s="22">
        <f>VLOOKUP($C387,'Master File June-26'!$C$3:$L$670,6,0)</f>
        <v>5.5</v>
      </c>
      <c r="I387" s="22">
        <f>VLOOKUP($C387,'Master File June-26'!$C$3:$L$670,7,0)</f>
        <v>5.5</v>
      </c>
      <c r="J387" s="5">
        <f>VLOOKUP($C387,'Master File June-26'!$C$3:$L$670,8,0)</f>
        <v>14</v>
      </c>
      <c r="K387" s="23">
        <f>VLOOKUP($C387,'Master File June-26'!$C$3:$L$670,9,0)</f>
        <v>2.75</v>
      </c>
      <c r="L387" s="58">
        <f>VLOOKUP($C387,'Master File June-26'!$C$3:$L$670,10,0)</f>
        <v>0</v>
      </c>
      <c r="M387" s="24">
        <f t="shared" ref="M387:M450" si="24">IFERROR((L387/I387*30),0)</f>
        <v>0</v>
      </c>
      <c r="N387" s="25" t="str">
        <f t="shared" ref="N387:N450" si="25">IF(M387&lt;J387,"ORDER NOW","IN STOCK")</f>
        <v>ORDER NOW</v>
      </c>
      <c r="O387" s="25" t="str">
        <f t="shared" ref="O387:O450" si="26">IF(M387&lt;J387,"CRITICAL","FOLLOW UP DELIVERY")</f>
        <v>CRITICAL</v>
      </c>
      <c r="S387" s="79">
        <f t="shared" ref="S387:S450" si="27">IF(L387&lt;K387,0,1)</f>
        <v>0</v>
      </c>
    </row>
    <row r="388" spans="1:19" ht="18.75" x14ac:dyDescent="0.25">
      <c r="A388" s="41">
        <v>352</v>
      </c>
      <c r="B388" s="41" t="s">
        <v>38</v>
      </c>
      <c r="C388" s="41" t="s">
        <v>919</v>
      </c>
      <c r="D388" s="28" t="s">
        <v>920</v>
      </c>
      <c r="E388" s="27" t="s">
        <v>921</v>
      </c>
      <c r="F388" s="5" t="s">
        <v>22</v>
      </c>
      <c r="G388" s="21">
        <v>4.1666666666666669E-4</v>
      </c>
      <c r="H388" s="22">
        <f>VLOOKUP($C388,'Master File June-26'!$C$3:$L$670,6,0)</f>
        <v>60.5</v>
      </c>
      <c r="I388" s="22">
        <f>VLOOKUP($C388,'Master File June-26'!$C$3:$L$670,7,0)</f>
        <v>1452</v>
      </c>
      <c r="J388" s="5">
        <f>VLOOKUP($C388,'Master File June-26'!$C$3:$L$670,8,0)</f>
        <v>14</v>
      </c>
      <c r="K388" s="23">
        <f>VLOOKUP($C388,'Master File June-26'!$C$3:$L$670,9,0)</f>
        <v>726</v>
      </c>
      <c r="L388" s="58">
        <f>VLOOKUP($C388,'Master File June-26'!$C$3:$L$670,10,0)</f>
        <v>2</v>
      </c>
      <c r="M388" s="24">
        <f t="shared" si="24"/>
        <v>4.1322314049586778E-2</v>
      </c>
      <c r="N388" s="25" t="str">
        <f t="shared" si="25"/>
        <v>ORDER NOW</v>
      </c>
      <c r="O388" s="25" t="str">
        <f t="shared" si="26"/>
        <v>CRITICAL</v>
      </c>
      <c r="S388" s="79">
        <f t="shared" si="27"/>
        <v>0</v>
      </c>
    </row>
    <row r="389" spans="1:19" ht="18.75" x14ac:dyDescent="0.25">
      <c r="A389" s="19">
        <v>80</v>
      </c>
      <c r="B389" s="19" t="s">
        <v>18</v>
      </c>
      <c r="C389" s="19" t="s">
        <v>922</v>
      </c>
      <c r="D389" s="28" t="s">
        <v>923</v>
      </c>
      <c r="E389" s="27" t="s">
        <v>924</v>
      </c>
      <c r="F389" s="5" t="s">
        <v>22</v>
      </c>
      <c r="G389" s="21">
        <v>4.1666666666666669E-4</v>
      </c>
      <c r="H389" s="22">
        <f>VLOOKUP($C389,'Master File June-26'!$C$3:$L$670,6,0)</f>
        <v>200</v>
      </c>
      <c r="I389" s="22">
        <f>VLOOKUP($C389,'Master File June-26'!$C$3:$L$670,7,0)</f>
        <v>479999.99999999994</v>
      </c>
      <c r="J389" s="5">
        <f>VLOOKUP($C389,'Master File June-26'!$C$3:$L$670,8,0)</f>
        <v>14</v>
      </c>
      <c r="K389" s="23">
        <f>VLOOKUP($C389,'Master File June-26'!$C$3:$L$670,9,0)</f>
        <v>239999.99999999997</v>
      </c>
      <c r="L389" s="58">
        <f>VLOOKUP($C389,'Master File June-26'!$C$3:$L$670,10,0)</f>
        <v>100800</v>
      </c>
      <c r="M389" s="24">
        <f t="shared" si="24"/>
        <v>6.3000000000000007</v>
      </c>
      <c r="N389" s="25" t="str">
        <f t="shared" si="25"/>
        <v>ORDER NOW</v>
      </c>
      <c r="O389" s="25" t="str">
        <f t="shared" si="26"/>
        <v>CRITICAL</v>
      </c>
      <c r="R389" t="s">
        <v>30</v>
      </c>
      <c r="S389" s="79">
        <f t="shared" si="27"/>
        <v>0</v>
      </c>
    </row>
    <row r="390" spans="1:19" ht="18.75" x14ac:dyDescent="0.25">
      <c r="A390" s="39">
        <v>248</v>
      </c>
      <c r="B390" s="39" t="s">
        <v>157</v>
      </c>
      <c r="C390" s="39" t="s">
        <v>925</v>
      </c>
      <c r="D390" s="34" t="s">
        <v>926</v>
      </c>
      <c r="E390" s="31" t="s">
        <v>160</v>
      </c>
      <c r="F390" s="5" t="s">
        <v>49</v>
      </c>
      <c r="G390" s="21">
        <v>1</v>
      </c>
      <c r="H390" s="22">
        <f>VLOOKUP($C390,'Master File June-26'!$C$3:$L$670,6,0)</f>
        <v>8</v>
      </c>
      <c r="I390" s="22">
        <f>VLOOKUP($C390,'Master File June-26'!$C$3:$L$670,7,0)</f>
        <v>8</v>
      </c>
      <c r="J390" s="5">
        <f>VLOOKUP($C390,'Master File June-26'!$C$3:$L$670,8,0)</f>
        <v>14</v>
      </c>
      <c r="K390" s="23">
        <f>VLOOKUP($C390,'Master File June-26'!$C$3:$L$670,9,0)</f>
        <v>4</v>
      </c>
      <c r="L390" s="58">
        <f>VLOOKUP($C390,'Master File June-26'!$C$3:$L$670,10,0)</f>
        <v>0</v>
      </c>
      <c r="M390" s="24">
        <f t="shared" si="24"/>
        <v>0</v>
      </c>
      <c r="N390" s="25" t="str">
        <f t="shared" si="25"/>
        <v>ORDER NOW</v>
      </c>
      <c r="O390" s="25" t="str">
        <f t="shared" si="26"/>
        <v>CRITICAL</v>
      </c>
      <c r="S390" s="79">
        <f t="shared" si="27"/>
        <v>0</v>
      </c>
    </row>
    <row r="391" spans="1:19" ht="18.75" x14ac:dyDescent="0.25">
      <c r="A391" s="19">
        <v>101</v>
      </c>
      <c r="B391" s="19" t="s">
        <v>18</v>
      </c>
      <c r="C391" s="19" t="s">
        <v>927</v>
      </c>
      <c r="D391" s="28" t="s">
        <v>928</v>
      </c>
      <c r="E391" s="27" t="s">
        <v>25</v>
      </c>
      <c r="F391" s="5" t="s">
        <v>22</v>
      </c>
      <c r="G391" s="21">
        <v>2E-3</v>
      </c>
      <c r="H391" s="22">
        <f>VLOOKUP($C391,'Master File June-26'!$C$3:$L$670,6,0)</f>
        <v>24</v>
      </c>
      <c r="I391" s="22">
        <f>VLOOKUP($C391,'Master File June-26'!$C$3:$L$670,7,0)</f>
        <v>12000</v>
      </c>
      <c r="J391" s="5">
        <f>VLOOKUP($C391,'Master File June-26'!$C$3:$L$670,8,0)</f>
        <v>14</v>
      </c>
      <c r="K391" s="23">
        <f>VLOOKUP($C391,'Master File June-26'!$C$3:$L$670,9,0)</f>
        <v>6000</v>
      </c>
      <c r="L391" s="58">
        <f>VLOOKUP($C391,'Master File June-26'!$C$3:$L$670,10,0)</f>
        <v>3000</v>
      </c>
      <c r="M391" s="24">
        <f t="shared" si="24"/>
        <v>7.5</v>
      </c>
      <c r="N391" s="25" t="str">
        <f t="shared" si="25"/>
        <v>ORDER NOW</v>
      </c>
      <c r="O391" s="25" t="str">
        <f t="shared" si="26"/>
        <v>CRITICAL</v>
      </c>
      <c r="R391" t="s">
        <v>30</v>
      </c>
      <c r="S391" s="79">
        <f t="shared" si="27"/>
        <v>0</v>
      </c>
    </row>
    <row r="392" spans="1:19" ht="18.75" x14ac:dyDescent="0.25">
      <c r="A392" s="39">
        <v>314</v>
      </c>
      <c r="B392" s="39" t="s">
        <v>123</v>
      </c>
      <c r="C392" s="39" t="s">
        <v>929</v>
      </c>
      <c r="D392" s="30" t="s">
        <v>930</v>
      </c>
      <c r="E392" s="27" t="s">
        <v>931</v>
      </c>
      <c r="F392" s="5" t="s">
        <v>794</v>
      </c>
      <c r="G392" s="21">
        <f>1/5</f>
        <v>0.2</v>
      </c>
      <c r="H392" s="22">
        <f>VLOOKUP($C392,'Master File June-26'!$C$3:$L$670,6,0)</f>
        <v>8</v>
      </c>
      <c r="I392" s="22">
        <f>VLOOKUP($C392,'Master File June-26'!$C$3:$L$670,7,0)</f>
        <v>40</v>
      </c>
      <c r="J392" s="5">
        <f>VLOOKUP($C392,'Master File June-26'!$C$3:$L$670,8,0)</f>
        <v>14</v>
      </c>
      <c r="K392" s="23">
        <f>VLOOKUP($C392,'Master File June-26'!$C$3:$L$670,9,0)</f>
        <v>20</v>
      </c>
      <c r="L392" s="58">
        <f>VLOOKUP($C392,'Master File June-26'!$C$3:$L$670,10,0)</f>
        <v>0</v>
      </c>
      <c r="M392" s="24">
        <f t="shared" si="24"/>
        <v>0</v>
      </c>
      <c r="N392" s="25" t="str">
        <f t="shared" si="25"/>
        <v>ORDER NOW</v>
      </c>
      <c r="O392" s="25" t="str">
        <f t="shared" si="26"/>
        <v>CRITICAL</v>
      </c>
      <c r="S392" s="79">
        <f t="shared" si="27"/>
        <v>0</v>
      </c>
    </row>
    <row r="393" spans="1:19" ht="18.75" x14ac:dyDescent="0.25">
      <c r="A393" s="39">
        <v>226</v>
      </c>
      <c r="B393" s="39" t="s">
        <v>123</v>
      </c>
      <c r="C393" s="39" t="s">
        <v>932</v>
      </c>
      <c r="D393" s="28" t="s">
        <v>933</v>
      </c>
      <c r="E393" s="27" t="s">
        <v>254</v>
      </c>
      <c r="F393" s="5" t="s">
        <v>49</v>
      </c>
      <c r="G393" s="21">
        <v>1</v>
      </c>
      <c r="H393" s="22">
        <f>VLOOKUP($C393,'Master File June-26'!$C$3:$L$670,6,0)</f>
        <v>132</v>
      </c>
      <c r="I393" s="22">
        <f>VLOOKUP($C393,'Master File June-26'!$C$3:$L$670,7,0)</f>
        <v>132</v>
      </c>
      <c r="J393" s="5">
        <f>VLOOKUP($C393,'Master File June-26'!$C$3:$L$670,8,0)</f>
        <v>14</v>
      </c>
      <c r="K393" s="23">
        <f>VLOOKUP($C393,'Master File June-26'!$C$3:$L$670,9,0)</f>
        <v>66</v>
      </c>
      <c r="L393" s="58">
        <f>VLOOKUP($C393,'Master File June-26'!$C$3:$L$670,10,0)</f>
        <v>0</v>
      </c>
      <c r="M393" s="24">
        <f t="shared" si="24"/>
        <v>0</v>
      </c>
      <c r="N393" s="25" t="str">
        <f t="shared" si="25"/>
        <v>ORDER NOW</v>
      </c>
      <c r="O393" s="25" t="str">
        <f t="shared" si="26"/>
        <v>CRITICAL</v>
      </c>
      <c r="S393" s="79">
        <f t="shared" si="27"/>
        <v>0</v>
      </c>
    </row>
    <row r="394" spans="1:19" ht="18.75" x14ac:dyDescent="0.25">
      <c r="A394" s="19">
        <v>20</v>
      </c>
      <c r="B394" s="19" t="s">
        <v>18</v>
      </c>
      <c r="C394" s="19" t="s">
        <v>934</v>
      </c>
      <c r="D394" s="28" t="s">
        <v>935</v>
      </c>
      <c r="E394" s="27" t="s">
        <v>92</v>
      </c>
      <c r="F394" s="5" t="s">
        <v>22</v>
      </c>
      <c r="G394" s="21">
        <v>5.0000000000000001E-4</v>
      </c>
      <c r="H394" s="22">
        <f>VLOOKUP($C394,'Master File June-26'!$C$3:$L$670,6,0)</f>
        <v>100.5</v>
      </c>
      <c r="I394" s="22">
        <f>VLOOKUP($C394,'Master File June-26'!$C$3:$L$670,7,0)</f>
        <v>201000</v>
      </c>
      <c r="J394" s="5">
        <f>VLOOKUP($C394,'Master File June-26'!$C$3:$L$670,8,0)</f>
        <v>14</v>
      </c>
      <c r="K394" s="23">
        <f>VLOOKUP($C394,'Master File June-26'!$C$3:$L$670,9,0)</f>
        <v>100500</v>
      </c>
      <c r="L394" s="58">
        <f>VLOOKUP($C394,'Master File June-26'!$C$3:$L$670,10,0)</f>
        <v>29000</v>
      </c>
      <c r="M394" s="24">
        <f t="shared" si="24"/>
        <v>4.3283582089552244</v>
      </c>
      <c r="N394" s="25" t="str">
        <f t="shared" si="25"/>
        <v>ORDER NOW</v>
      </c>
      <c r="O394" s="25" t="str">
        <f t="shared" si="26"/>
        <v>CRITICAL</v>
      </c>
      <c r="R394" t="s">
        <v>30</v>
      </c>
      <c r="S394" s="79">
        <f t="shared" si="27"/>
        <v>0</v>
      </c>
    </row>
    <row r="395" spans="1:19" ht="18.75" x14ac:dyDescent="0.25">
      <c r="A395" s="41">
        <v>341</v>
      </c>
      <c r="B395" s="41" t="s">
        <v>38</v>
      </c>
      <c r="C395" s="41" t="s">
        <v>936</v>
      </c>
      <c r="D395" s="28" t="s">
        <v>937</v>
      </c>
      <c r="E395" s="27" t="s">
        <v>254</v>
      </c>
      <c r="F395" s="5" t="s">
        <v>49</v>
      </c>
      <c r="G395" s="21">
        <v>2E-3</v>
      </c>
      <c r="H395" s="22">
        <f>VLOOKUP($C395,'Master File June-26'!$C$3:$L$670,6,0)</f>
        <v>180</v>
      </c>
      <c r="I395" s="22">
        <f>VLOOKUP($C395,'Master File June-26'!$C$3:$L$670,7,0)</f>
        <v>8640</v>
      </c>
      <c r="J395" s="5">
        <f>VLOOKUP($C395,'Master File June-26'!$C$3:$L$670,8,0)</f>
        <v>14</v>
      </c>
      <c r="K395" s="23">
        <f>VLOOKUP($C395,'Master File June-26'!$C$3:$L$670,9,0)</f>
        <v>4320</v>
      </c>
      <c r="L395" s="58">
        <f>VLOOKUP($C395,'Master File June-26'!$C$3:$L$670,10,0)</f>
        <v>1014</v>
      </c>
      <c r="M395" s="24">
        <f t="shared" si="24"/>
        <v>3.5208333333333335</v>
      </c>
      <c r="N395" s="25" t="str">
        <f t="shared" si="25"/>
        <v>ORDER NOW</v>
      </c>
      <c r="O395" s="25" t="str">
        <f t="shared" si="26"/>
        <v>CRITICAL</v>
      </c>
      <c r="S395" s="79">
        <f t="shared" si="27"/>
        <v>0</v>
      </c>
    </row>
    <row r="396" spans="1:19" ht="18.75" x14ac:dyDescent="0.25">
      <c r="A396" s="4">
        <v>651</v>
      </c>
      <c r="B396" s="5"/>
      <c r="C396" s="41" t="s">
        <v>938</v>
      </c>
      <c r="D396" s="73" t="s">
        <v>939</v>
      </c>
      <c r="E396" s="31" t="s">
        <v>49</v>
      </c>
      <c r="F396" s="5"/>
      <c r="G396" s="21">
        <v>1</v>
      </c>
      <c r="H396" s="22">
        <f>VLOOKUP($C396,'Master File June-26'!$C$3:$L$670,6,0)</f>
        <v>0</v>
      </c>
      <c r="I396" s="22">
        <f>VLOOKUP($C396,'Master File June-26'!$C$3:$L$670,7,0)</f>
        <v>10</v>
      </c>
      <c r="J396" s="5">
        <f>VLOOKUP($C396,'Master File June-26'!$C$3:$L$670,8,0)</f>
        <v>14</v>
      </c>
      <c r="K396" s="23">
        <f>VLOOKUP($C396,'Master File June-26'!$C$3:$L$670,9,0)</f>
        <v>5</v>
      </c>
      <c r="L396" s="58">
        <f>VLOOKUP($C396,'Master File June-26'!$C$3:$L$670,10,0)</f>
        <v>0</v>
      </c>
      <c r="M396" s="24">
        <f t="shared" si="24"/>
        <v>0</v>
      </c>
      <c r="N396" s="25" t="str">
        <f t="shared" si="25"/>
        <v>ORDER NOW</v>
      </c>
      <c r="O396" s="25" t="str">
        <f t="shared" si="26"/>
        <v>CRITICAL</v>
      </c>
      <c r="S396" s="79">
        <f t="shared" si="27"/>
        <v>0</v>
      </c>
    </row>
    <row r="397" spans="1:19" ht="18.75" x14ac:dyDescent="0.25">
      <c r="A397" s="19">
        <v>138</v>
      </c>
      <c r="B397" s="19" t="s">
        <v>157</v>
      </c>
      <c r="C397" s="19" t="s">
        <v>940</v>
      </c>
      <c r="D397" s="28" t="s">
        <v>941</v>
      </c>
      <c r="E397" s="27" t="s">
        <v>942</v>
      </c>
      <c r="F397" s="5" t="s">
        <v>49</v>
      </c>
      <c r="G397" s="21">
        <f>1/1000</f>
        <v>1E-3</v>
      </c>
      <c r="H397" s="22">
        <f>VLOOKUP($C397,'Master File June-26'!$C$3:$L$670,6,0)</f>
        <v>25</v>
      </c>
      <c r="I397" s="22">
        <f>VLOOKUP($C397,'Master File June-26'!$C$3:$L$670,7,0)</f>
        <v>25000</v>
      </c>
      <c r="J397" s="5">
        <f>VLOOKUP($C397,'Master File June-26'!$C$3:$L$670,8,0)</f>
        <v>14</v>
      </c>
      <c r="K397" s="23">
        <f>VLOOKUP($C397,'Master File June-26'!$C$3:$L$670,9,0)</f>
        <v>12500</v>
      </c>
      <c r="L397" s="58">
        <f>VLOOKUP($C397,'Master File June-26'!$C$3:$L$670,10,0)</f>
        <v>0</v>
      </c>
      <c r="M397" s="24">
        <f t="shared" si="24"/>
        <v>0</v>
      </c>
      <c r="N397" s="25" t="str">
        <f t="shared" si="25"/>
        <v>ORDER NOW</v>
      </c>
      <c r="O397" s="25" t="str">
        <f t="shared" si="26"/>
        <v>CRITICAL</v>
      </c>
      <c r="R397" t="s">
        <v>30</v>
      </c>
      <c r="S397" s="79">
        <f t="shared" si="27"/>
        <v>0</v>
      </c>
    </row>
    <row r="398" spans="1:19" ht="18.75" x14ac:dyDescent="0.25">
      <c r="A398" s="19">
        <v>47</v>
      </c>
      <c r="B398" s="19" t="s">
        <v>239</v>
      </c>
      <c r="C398" s="19" t="s">
        <v>943</v>
      </c>
      <c r="D398" s="28" t="s">
        <v>944</v>
      </c>
      <c r="E398" s="27" t="s">
        <v>945</v>
      </c>
      <c r="F398" s="5" t="s">
        <v>22</v>
      </c>
      <c r="G398" s="21">
        <v>2E-3</v>
      </c>
      <c r="H398" s="22">
        <f>VLOOKUP($C398,'Master File June-26'!$C$3:$L$670,6,0)</f>
        <v>175</v>
      </c>
      <c r="I398" s="22">
        <f>VLOOKUP($C398,'Master File June-26'!$C$3:$L$670,7,0)</f>
        <v>87500</v>
      </c>
      <c r="J398" s="5">
        <f>VLOOKUP($C398,'Master File June-26'!$C$3:$L$670,8,0)</f>
        <v>14</v>
      </c>
      <c r="K398" s="23">
        <f>VLOOKUP($C398,'Master File June-26'!$C$3:$L$670,9,0)</f>
        <v>43750</v>
      </c>
      <c r="L398" s="58">
        <f>VLOOKUP($C398,'Master File June-26'!$C$3:$L$670,10,0)</f>
        <v>31000</v>
      </c>
      <c r="M398" s="24">
        <f t="shared" si="24"/>
        <v>10.628571428571428</v>
      </c>
      <c r="N398" s="25" t="str">
        <f t="shared" si="25"/>
        <v>ORDER NOW</v>
      </c>
      <c r="O398" s="25" t="str">
        <f t="shared" si="26"/>
        <v>CRITICAL</v>
      </c>
      <c r="R398" t="s">
        <v>30</v>
      </c>
      <c r="S398" s="79">
        <f t="shared" si="27"/>
        <v>0</v>
      </c>
    </row>
    <row r="399" spans="1:19" ht="18.75" x14ac:dyDescent="0.25">
      <c r="A399" s="39">
        <v>228</v>
      </c>
      <c r="B399" s="39" t="s">
        <v>123</v>
      </c>
      <c r="C399" s="39" t="s">
        <v>946</v>
      </c>
      <c r="D399" s="28" t="s">
        <v>947</v>
      </c>
      <c r="E399" s="27" t="s">
        <v>160</v>
      </c>
      <c r="F399" s="5" t="s">
        <v>49</v>
      </c>
      <c r="G399" s="21">
        <v>1</v>
      </c>
      <c r="H399" s="22">
        <f>VLOOKUP($C399,'Master File June-26'!$C$3:$L$670,6,0)</f>
        <v>21.5</v>
      </c>
      <c r="I399" s="22">
        <f>VLOOKUP($C399,'Master File June-26'!$C$3:$L$670,7,0)</f>
        <v>21.5</v>
      </c>
      <c r="J399" s="5">
        <f>VLOOKUP($C399,'Master File June-26'!$C$3:$L$670,8,0)</f>
        <v>14</v>
      </c>
      <c r="K399" s="23">
        <f>VLOOKUP($C399,'Master File June-26'!$C$3:$L$670,9,0)</f>
        <v>10.75</v>
      </c>
      <c r="L399" s="58">
        <f>VLOOKUP($C399,'Master File June-26'!$C$3:$L$670,10,0)</f>
        <v>0</v>
      </c>
      <c r="M399" s="24">
        <f t="shared" si="24"/>
        <v>0</v>
      </c>
      <c r="N399" s="25" t="str">
        <f t="shared" si="25"/>
        <v>ORDER NOW</v>
      </c>
      <c r="O399" s="25" t="str">
        <f t="shared" si="26"/>
        <v>CRITICAL</v>
      </c>
      <c r="S399" s="79">
        <f t="shared" si="27"/>
        <v>0</v>
      </c>
    </row>
    <row r="400" spans="1:19" ht="18.75" x14ac:dyDescent="0.25">
      <c r="A400" s="19">
        <v>63</v>
      </c>
      <c r="B400" s="19" t="s">
        <v>18</v>
      </c>
      <c r="C400" s="19" t="s">
        <v>948</v>
      </c>
      <c r="D400" s="30" t="s">
        <v>949</v>
      </c>
      <c r="E400" s="29" t="s">
        <v>180</v>
      </c>
      <c r="F400" s="5" t="s">
        <v>22</v>
      </c>
      <c r="G400" s="21">
        <f>1/1000</f>
        <v>1E-3</v>
      </c>
      <c r="H400" s="22">
        <f>VLOOKUP($C400,'Master File June-26'!$C$3:$L$670,6,0)</f>
        <v>70</v>
      </c>
      <c r="I400" s="22">
        <f>VLOOKUP($C400,'Master File June-26'!$C$3:$L$670,7,0)</f>
        <v>70000</v>
      </c>
      <c r="J400" s="5">
        <f>VLOOKUP($C400,'Master File June-26'!$C$3:$L$670,8,0)</f>
        <v>14</v>
      </c>
      <c r="K400" s="23">
        <f>VLOOKUP($C400,'Master File June-26'!$C$3:$L$670,9,0)</f>
        <v>35000</v>
      </c>
      <c r="L400" s="58">
        <f>VLOOKUP($C400,'Master File June-26'!$C$3:$L$670,10,0)</f>
        <v>0</v>
      </c>
      <c r="M400" s="24">
        <f t="shared" si="24"/>
        <v>0</v>
      </c>
      <c r="N400" s="25" t="str">
        <f t="shared" si="25"/>
        <v>ORDER NOW</v>
      </c>
      <c r="O400" s="25" t="str">
        <f t="shared" si="26"/>
        <v>CRITICAL</v>
      </c>
      <c r="R400" t="s">
        <v>30</v>
      </c>
      <c r="S400" s="79">
        <f t="shared" si="27"/>
        <v>0</v>
      </c>
    </row>
    <row r="401" spans="1:19" ht="18.75" x14ac:dyDescent="0.25">
      <c r="A401" s="39">
        <v>281</v>
      </c>
      <c r="B401" s="39" t="s">
        <v>239</v>
      </c>
      <c r="C401" s="39" t="s">
        <v>950</v>
      </c>
      <c r="D401" s="28" t="s">
        <v>951</v>
      </c>
      <c r="E401" s="27" t="s">
        <v>952</v>
      </c>
      <c r="F401" s="5" t="s">
        <v>46</v>
      </c>
      <c r="G401" s="21">
        <v>0.16666666666666666</v>
      </c>
      <c r="H401" s="22">
        <f>VLOOKUP($C401,'Master File June-26'!$C$3:$L$670,6,0)</f>
        <v>570</v>
      </c>
      <c r="I401" s="22">
        <f>VLOOKUP($C401,'Master File June-26'!$C$3:$L$670,7,0)</f>
        <v>3420</v>
      </c>
      <c r="J401" s="5">
        <f>VLOOKUP($C401,'Master File June-26'!$C$3:$L$670,8,0)</f>
        <v>14</v>
      </c>
      <c r="K401" s="23">
        <f>VLOOKUP($C401,'Master File June-26'!$C$3:$L$670,9,0)</f>
        <v>1710</v>
      </c>
      <c r="L401" s="58">
        <f>VLOOKUP($C401,'Master File June-26'!$C$3:$L$670,10,0)</f>
        <v>12</v>
      </c>
      <c r="M401" s="24">
        <f t="shared" si="24"/>
        <v>0.10526315789473685</v>
      </c>
      <c r="N401" s="25" t="str">
        <f t="shared" si="25"/>
        <v>ORDER NOW</v>
      </c>
      <c r="O401" s="25" t="str">
        <f t="shared" si="26"/>
        <v>CRITICAL</v>
      </c>
      <c r="S401" s="79">
        <f t="shared" si="27"/>
        <v>0</v>
      </c>
    </row>
    <row r="402" spans="1:19" ht="18.75" x14ac:dyDescent="0.25">
      <c r="A402" s="19">
        <v>14</v>
      </c>
      <c r="B402" s="19" t="s">
        <v>18</v>
      </c>
      <c r="C402" s="19" t="s">
        <v>953</v>
      </c>
      <c r="D402" s="20" t="s">
        <v>954</v>
      </c>
      <c r="E402" s="4" t="s">
        <v>955</v>
      </c>
      <c r="F402" s="5" t="s">
        <v>22</v>
      </c>
      <c r="G402" s="21">
        <v>1.6260162601626016E-3</v>
      </c>
      <c r="H402" s="22">
        <f>VLOOKUP($C402,'Master File June-26'!$C$3:$L$670,6,0)</f>
        <v>544.5</v>
      </c>
      <c r="I402" s="22">
        <f>VLOOKUP($C402,'Master File June-26'!$C$3:$L$670,7,0)</f>
        <v>334867.5</v>
      </c>
      <c r="J402" s="5">
        <f>VLOOKUP($C402,'Master File June-26'!$C$3:$L$670,8,0)</f>
        <v>14</v>
      </c>
      <c r="K402" s="23">
        <f>VLOOKUP($C402,'Master File June-26'!$C$3:$L$670,9,0)</f>
        <v>167433.75</v>
      </c>
      <c r="L402" s="58">
        <f>VLOOKUP($C402,'Master File June-26'!$C$3:$L$670,10,0)</f>
        <v>73285</v>
      </c>
      <c r="M402" s="24">
        <f t="shared" si="24"/>
        <v>6.5654325964747251</v>
      </c>
      <c r="N402" s="25" t="str">
        <f t="shared" si="25"/>
        <v>ORDER NOW</v>
      </c>
      <c r="O402" s="25" t="str">
        <f t="shared" si="26"/>
        <v>CRITICAL</v>
      </c>
      <c r="R402" t="s">
        <v>30</v>
      </c>
      <c r="S402" s="79">
        <f t="shared" si="27"/>
        <v>0</v>
      </c>
    </row>
    <row r="403" spans="1:19" ht="18.75" x14ac:dyDescent="0.25">
      <c r="A403" s="19">
        <v>132</v>
      </c>
      <c r="B403" s="19" t="s">
        <v>18</v>
      </c>
      <c r="C403" s="19" t="s">
        <v>956</v>
      </c>
      <c r="D403" s="28" t="s">
        <v>957</v>
      </c>
      <c r="E403" s="27" t="s">
        <v>958</v>
      </c>
      <c r="F403" s="5" t="s">
        <v>22</v>
      </c>
      <c r="G403" s="21">
        <v>4.1666666666666669E-4</v>
      </c>
      <c r="H403" s="22">
        <f>VLOOKUP($C403,'Master File June-26'!$C$3:$L$670,6,0)</f>
        <v>10</v>
      </c>
      <c r="I403" s="22">
        <f>VLOOKUP($C403,'Master File June-26'!$C$3:$L$670,7,0)</f>
        <v>24000</v>
      </c>
      <c r="J403" s="5">
        <f>VLOOKUP($C403,'Master File June-26'!$C$3:$L$670,8,0)</f>
        <v>14</v>
      </c>
      <c r="K403" s="23">
        <f>VLOOKUP($C403,'Master File June-26'!$C$3:$L$670,9,0)</f>
        <v>12000</v>
      </c>
      <c r="L403" s="58">
        <f>VLOOKUP($C403,'Master File June-26'!$C$3:$L$670,10,0)</f>
        <v>5000</v>
      </c>
      <c r="M403" s="24">
        <f t="shared" si="24"/>
        <v>6.25</v>
      </c>
      <c r="N403" s="25" t="str">
        <f t="shared" si="25"/>
        <v>ORDER NOW</v>
      </c>
      <c r="O403" s="25" t="str">
        <f t="shared" si="26"/>
        <v>CRITICAL</v>
      </c>
      <c r="R403" t="s">
        <v>30</v>
      </c>
      <c r="S403" s="79">
        <f t="shared" si="27"/>
        <v>0</v>
      </c>
    </row>
    <row r="404" spans="1:19" ht="18.75" x14ac:dyDescent="0.25">
      <c r="A404" s="19">
        <v>71</v>
      </c>
      <c r="B404" s="19" t="s">
        <v>157</v>
      </c>
      <c r="C404" s="19" t="s">
        <v>959</v>
      </c>
      <c r="D404" s="28" t="s">
        <v>960</v>
      </c>
      <c r="E404" s="27" t="s">
        <v>78</v>
      </c>
      <c r="F404" s="5" t="s">
        <v>49</v>
      </c>
      <c r="G404" s="21">
        <v>1</v>
      </c>
      <c r="H404" s="22">
        <f>VLOOKUP($C404,'Master File June-26'!$C$3:$L$670,6,0)</f>
        <v>400</v>
      </c>
      <c r="I404" s="22">
        <f>VLOOKUP($C404,'Master File June-26'!$C$3:$L$670,7,0)</f>
        <v>400</v>
      </c>
      <c r="J404" s="5">
        <f>VLOOKUP($C404,'Master File June-26'!$C$3:$L$670,8,0)</f>
        <v>14</v>
      </c>
      <c r="K404" s="23">
        <f>VLOOKUP($C404,'Master File June-26'!$C$3:$L$670,9,0)</f>
        <v>200</v>
      </c>
      <c r="L404" s="58">
        <f>VLOOKUP($C404,'Master File June-26'!$C$3:$L$670,10,0)</f>
        <v>58</v>
      </c>
      <c r="M404" s="24">
        <f t="shared" si="24"/>
        <v>4.3499999999999996</v>
      </c>
      <c r="N404" s="25" t="str">
        <f t="shared" si="25"/>
        <v>ORDER NOW</v>
      </c>
      <c r="O404" s="25" t="str">
        <f t="shared" si="26"/>
        <v>CRITICAL</v>
      </c>
      <c r="R404" t="s">
        <v>30</v>
      </c>
      <c r="S404" s="79">
        <f t="shared" si="27"/>
        <v>0</v>
      </c>
    </row>
    <row r="405" spans="1:19" ht="18.75" x14ac:dyDescent="0.25">
      <c r="A405" s="41">
        <v>462</v>
      </c>
      <c r="B405" s="41" t="s">
        <v>38</v>
      </c>
      <c r="C405" s="41" t="s">
        <v>961</v>
      </c>
      <c r="D405" s="28" t="s">
        <v>962</v>
      </c>
      <c r="E405" s="27" t="s">
        <v>963</v>
      </c>
      <c r="F405" s="5" t="s">
        <v>22</v>
      </c>
      <c r="G405" s="21">
        <v>4.1666666666666664E-2</v>
      </c>
      <c r="H405" s="22">
        <f>VLOOKUP($C405,'Master File June-26'!$C$3:$L$670,6,0)</f>
        <v>12</v>
      </c>
      <c r="I405" s="22">
        <f>VLOOKUP($C405,'Master File June-26'!$C$3:$L$670,7,0)</f>
        <v>288</v>
      </c>
      <c r="J405" s="5">
        <f>VLOOKUP($C405,'Master File June-26'!$C$3:$L$670,8,0)</f>
        <v>14</v>
      </c>
      <c r="K405" s="23">
        <f>VLOOKUP($C405,'Master File June-26'!$C$3:$L$670,9,0)</f>
        <v>144</v>
      </c>
      <c r="L405" s="58">
        <f>VLOOKUP($C405,'Master File June-26'!$C$3:$L$670,10,0)</f>
        <v>0</v>
      </c>
      <c r="M405" s="24">
        <f t="shared" si="24"/>
        <v>0</v>
      </c>
      <c r="N405" s="25" t="str">
        <f t="shared" si="25"/>
        <v>ORDER NOW</v>
      </c>
      <c r="O405" s="25" t="str">
        <f t="shared" si="26"/>
        <v>CRITICAL</v>
      </c>
      <c r="S405" s="79">
        <f t="shared" si="27"/>
        <v>0</v>
      </c>
    </row>
    <row r="406" spans="1:19" ht="18.75" x14ac:dyDescent="0.25">
      <c r="A406" s="39">
        <v>250</v>
      </c>
      <c r="B406" s="39" t="s">
        <v>123</v>
      </c>
      <c r="C406" s="39" t="s">
        <v>964</v>
      </c>
      <c r="D406" s="28" t="s">
        <v>965</v>
      </c>
      <c r="E406" s="27" t="s">
        <v>966</v>
      </c>
      <c r="F406" s="5" t="s">
        <v>264</v>
      </c>
      <c r="G406" s="21">
        <v>0.1</v>
      </c>
      <c r="H406" s="22">
        <f>VLOOKUP($C406,'Master File June-26'!$C$3:$L$670,6,0)</f>
        <v>663</v>
      </c>
      <c r="I406" s="22">
        <f>VLOOKUP($C406,'Master File June-26'!$C$3:$L$670,7,0)</f>
        <v>6630</v>
      </c>
      <c r="J406" s="5">
        <f>VLOOKUP($C406,'Master File June-26'!$C$3:$L$670,8,0)</f>
        <v>14</v>
      </c>
      <c r="K406" s="23">
        <f>VLOOKUP($C406,'Master File June-26'!$C$3:$L$670,9,0)</f>
        <v>3315</v>
      </c>
      <c r="L406" s="58">
        <f>VLOOKUP($C406,'Master File June-26'!$C$3:$L$670,10,0)</f>
        <v>1428</v>
      </c>
      <c r="M406" s="24">
        <f t="shared" si="24"/>
        <v>6.4615384615384617</v>
      </c>
      <c r="N406" s="25" t="str">
        <f t="shared" si="25"/>
        <v>ORDER NOW</v>
      </c>
      <c r="O406" s="25" t="str">
        <f t="shared" si="26"/>
        <v>CRITICAL</v>
      </c>
      <c r="S406" s="79">
        <f t="shared" si="27"/>
        <v>0</v>
      </c>
    </row>
    <row r="407" spans="1:19" ht="18.75" x14ac:dyDescent="0.25">
      <c r="A407" s="19">
        <v>82</v>
      </c>
      <c r="B407" s="19" t="s">
        <v>18</v>
      </c>
      <c r="C407" s="19" t="s">
        <v>967</v>
      </c>
      <c r="D407" s="28" t="s">
        <v>968</v>
      </c>
      <c r="E407" s="27" t="s">
        <v>186</v>
      </c>
      <c r="F407" s="5" t="s">
        <v>22</v>
      </c>
      <c r="G407" s="21">
        <v>2E-3</v>
      </c>
      <c r="H407" s="22">
        <f>VLOOKUP($C407,'Master File June-26'!$C$3:$L$670,6,0)</f>
        <v>400</v>
      </c>
      <c r="I407" s="22">
        <f>VLOOKUP($C407,'Master File June-26'!$C$3:$L$670,7,0)</f>
        <v>200000</v>
      </c>
      <c r="J407" s="5">
        <f>VLOOKUP($C407,'Master File June-26'!$C$3:$L$670,8,0)</f>
        <v>14</v>
      </c>
      <c r="K407" s="23">
        <f>VLOOKUP($C407,'Master File June-26'!$C$3:$L$670,9,0)</f>
        <v>100000</v>
      </c>
      <c r="L407" s="58">
        <f>VLOOKUP($C407,'Master File June-26'!$C$3:$L$670,10,0)</f>
        <v>53000</v>
      </c>
      <c r="M407" s="24">
        <f t="shared" si="24"/>
        <v>7.95</v>
      </c>
      <c r="N407" s="25" t="str">
        <f t="shared" si="25"/>
        <v>ORDER NOW</v>
      </c>
      <c r="O407" s="25" t="str">
        <f t="shared" si="26"/>
        <v>CRITICAL</v>
      </c>
      <c r="R407" t="s">
        <v>30</v>
      </c>
      <c r="S407" s="79">
        <f t="shared" si="27"/>
        <v>0</v>
      </c>
    </row>
    <row r="408" spans="1:19" ht="18.75" x14ac:dyDescent="0.25">
      <c r="A408" s="39">
        <v>259</v>
      </c>
      <c r="B408" s="39" t="s">
        <v>123</v>
      </c>
      <c r="C408" s="39" t="s">
        <v>969</v>
      </c>
      <c r="D408" s="28" t="s">
        <v>970</v>
      </c>
      <c r="E408" s="27" t="s">
        <v>971</v>
      </c>
      <c r="F408" s="5" t="s">
        <v>264</v>
      </c>
      <c r="G408" s="21">
        <f>1/140</f>
        <v>7.1428571428571426E-3</v>
      </c>
      <c r="H408" s="22">
        <f>VLOOKUP($C408,'Master File June-26'!$C$3:$L$670,6,0)</f>
        <v>46.5</v>
      </c>
      <c r="I408" s="22">
        <f>VLOOKUP($C408,'Master File June-26'!$C$3:$L$670,7,0)</f>
        <v>6510</v>
      </c>
      <c r="J408" s="5">
        <f>VLOOKUP($C408,'Master File June-26'!$C$3:$L$670,8,0)</f>
        <v>14</v>
      </c>
      <c r="K408" s="23">
        <f>VLOOKUP($C408,'Master File June-26'!$C$3:$L$670,9,0)</f>
        <v>3255</v>
      </c>
      <c r="L408" s="58">
        <f>VLOOKUP($C408,'Master File June-26'!$C$3:$L$670,10,0)</f>
        <v>1120</v>
      </c>
      <c r="M408" s="24">
        <f t="shared" si="24"/>
        <v>5.1612903225806459</v>
      </c>
      <c r="N408" s="25" t="str">
        <f t="shared" si="25"/>
        <v>ORDER NOW</v>
      </c>
      <c r="O408" s="25" t="str">
        <f t="shared" si="26"/>
        <v>CRITICAL</v>
      </c>
      <c r="S408" s="79">
        <f t="shared" si="27"/>
        <v>0</v>
      </c>
    </row>
    <row r="409" spans="1:19" ht="18.75" x14ac:dyDescent="0.25">
      <c r="A409" s="39">
        <v>303</v>
      </c>
      <c r="B409" s="39" t="s">
        <v>18</v>
      </c>
      <c r="C409" s="39" t="s">
        <v>972</v>
      </c>
      <c r="D409" s="34" t="s">
        <v>973</v>
      </c>
      <c r="E409" s="31" t="s">
        <v>78</v>
      </c>
      <c r="F409" s="5" t="s">
        <v>49</v>
      </c>
      <c r="G409" s="21">
        <v>1</v>
      </c>
      <c r="H409" s="22">
        <f>VLOOKUP($C409,'Master File June-26'!$C$3:$L$670,6,0)</f>
        <v>220</v>
      </c>
      <c r="I409" s="22">
        <f>VLOOKUP($C409,'Master File June-26'!$C$3:$L$670,7,0)</f>
        <v>220</v>
      </c>
      <c r="J409" s="5">
        <f>VLOOKUP($C409,'Master File June-26'!$C$3:$L$670,8,0)</f>
        <v>14</v>
      </c>
      <c r="K409" s="23">
        <f>VLOOKUP($C409,'Master File June-26'!$C$3:$L$670,9,0)</f>
        <v>110</v>
      </c>
      <c r="L409" s="58">
        <f>VLOOKUP($C409,'Master File June-26'!$C$3:$L$670,10,0)</f>
        <v>0</v>
      </c>
      <c r="M409" s="24">
        <f t="shared" si="24"/>
        <v>0</v>
      </c>
      <c r="N409" s="25" t="str">
        <f t="shared" si="25"/>
        <v>ORDER NOW</v>
      </c>
      <c r="O409" s="25" t="str">
        <f t="shared" si="26"/>
        <v>CRITICAL</v>
      </c>
      <c r="S409" s="79">
        <f t="shared" si="27"/>
        <v>0</v>
      </c>
    </row>
    <row r="410" spans="1:19" ht="18.75" x14ac:dyDescent="0.25">
      <c r="A410" s="19">
        <v>130</v>
      </c>
      <c r="B410" s="19" t="s">
        <v>18</v>
      </c>
      <c r="C410" s="19" t="s">
        <v>974</v>
      </c>
      <c r="D410" s="28" t="s">
        <v>975</v>
      </c>
      <c r="E410" s="27" t="s">
        <v>98</v>
      </c>
      <c r="F410" s="5" t="s">
        <v>46</v>
      </c>
      <c r="G410" s="21">
        <v>2E-3</v>
      </c>
      <c r="H410" s="22">
        <f>VLOOKUP($C410,'Master File June-26'!$C$3:$L$670,6,0)</f>
        <v>25</v>
      </c>
      <c r="I410" s="22">
        <f>VLOOKUP($C410,'Master File June-26'!$C$3:$L$670,7,0)</f>
        <v>12500</v>
      </c>
      <c r="J410" s="5">
        <f>VLOOKUP($C410,'Master File June-26'!$C$3:$L$670,8,0)</f>
        <v>14</v>
      </c>
      <c r="K410" s="23">
        <f>VLOOKUP($C410,'Master File June-26'!$C$3:$L$670,9,0)</f>
        <v>6250</v>
      </c>
      <c r="L410" s="58">
        <f>VLOOKUP($C410,'Master File June-26'!$C$3:$L$670,10,0)</f>
        <v>0</v>
      </c>
      <c r="M410" s="24">
        <f t="shared" si="24"/>
        <v>0</v>
      </c>
      <c r="N410" s="25" t="str">
        <f t="shared" si="25"/>
        <v>ORDER NOW</v>
      </c>
      <c r="O410" s="25" t="str">
        <f t="shared" si="26"/>
        <v>CRITICAL</v>
      </c>
      <c r="R410" t="s">
        <v>30</v>
      </c>
      <c r="S410" s="79">
        <f t="shared" si="27"/>
        <v>0</v>
      </c>
    </row>
    <row r="411" spans="1:19" ht="18.75" x14ac:dyDescent="0.25">
      <c r="A411" s="19">
        <v>180</v>
      </c>
      <c r="B411" s="19" t="s">
        <v>18</v>
      </c>
      <c r="C411" s="19" t="s">
        <v>976</v>
      </c>
      <c r="D411" s="30" t="s">
        <v>977</v>
      </c>
      <c r="E411" s="31" t="s">
        <v>22</v>
      </c>
      <c r="F411" s="5" t="s">
        <v>22</v>
      </c>
      <c r="G411" s="21">
        <v>1E-3</v>
      </c>
      <c r="H411" s="22">
        <f>VLOOKUP($C411,'Master File June-26'!$C$3:$L$670,6,0)</f>
        <v>6</v>
      </c>
      <c r="I411" s="22">
        <f>VLOOKUP($C411,'Master File June-26'!$C$3:$L$670,7,0)</f>
        <v>6000</v>
      </c>
      <c r="J411" s="5">
        <f>VLOOKUP($C411,'Master File June-26'!$C$3:$L$670,8,0)</f>
        <v>14</v>
      </c>
      <c r="K411" s="23">
        <f>VLOOKUP($C411,'Master File June-26'!$C$3:$L$670,9,0)</f>
        <v>3000</v>
      </c>
      <c r="L411" s="58">
        <f>VLOOKUP($C411,'Master File June-26'!$C$3:$L$670,10,0)</f>
        <v>0</v>
      </c>
      <c r="M411" s="24">
        <f t="shared" si="24"/>
        <v>0</v>
      </c>
      <c r="N411" s="25" t="str">
        <f t="shared" si="25"/>
        <v>ORDER NOW</v>
      </c>
      <c r="O411" s="25" t="str">
        <f t="shared" si="26"/>
        <v>CRITICAL</v>
      </c>
      <c r="S411" s="79">
        <f t="shared" si="27"/>
        <v>0</v>
      </c>
    </row>
    <row r="412" spans="1:19" ht="18.75" x14ac:dyDescent="0.25">
      <c r="A412" s="41">
        <v>478</v>
      </c>
      <c r="B412" s="41" t="s">
        <v>38</v>
      </c>
      <c r="C412" s="41" t="s">
        <v>978</v>
      </c>
      <c r="D412" s="28" t="s">
        <v>979</v>
      </c>
      <c r="E412" s="27" t="s">
        <v>980</v>
      </c>
      <c r="F412" s="5" t="s">
        <v>22</v>
      </c>
      <c r="G412" s="21">
        <v>0.53333333333333333</v>
      </c>
      <c r="H412" s="22">
        <f>VLOOKUP($C412,'Master File June-26'!$C$3:$L$670,6,0)</f>
        <v>300</v>
      </c>
      <c r="I412" s="22">
        <f>VLOOKUP($C412,'Master File June-26'!$C$3:$L$670,7,0)</f>
        <v>562.5</v>
      </c>
      <c r="J412" s="5">
        <f>VLOOKUP($C412,'Master File June-26'!$C$3:$L$670,8,0)</f>
        <v>14</v>
      </c>
      <c r="K412" s="23">
        <f>VLOOKUP($C412,'Master File June-26'!$C$3:$L$670,9,0)</f>
        <v>281.25</v>
      </c>
      <c r="L412" s="58">
        <f>VLOOKUP($C412,'Master File June-26'!$C$3:$L$670,10,0)</f>
        <v>0</v>
      </c>
      <c r="M412" s="24">
        <f t="shared" si="24"/>
        <v>0</v>
      </c>
      <c r="N412" s="25" t="str">
        <f t="shared" si="25"/>
        <v>ORDER NOW</v>
      </c>
      <c r="O412" s="25" t="str">
        <f t="shared" si="26"/>
        <v>CRITICAL</v>
      </c>
      <c r="S412" s="79">
        <f t="shared" si="27"/>
        <v>0</v>
      </c>
    </row>
    <row r="413" spans="1:19" ht="18.75" x14ac:dyDescent="0.25">
      <c r="A413" s="19">
        <v>110</v>
      </c>
      <c r="B413" s="19" t="s">
        <v>18</v>
      </c>
      <c r="C413" s="19" t="s">
        <v>981</v>
      </c>
      <c r="D413" s="28" t="s">
        <v>982</v>
      </c>
      <c r="E413" s="27" t="s">
        <v>186</v>
      </c>
      <c r="F413" s="5" t="s">
        <v>22</v>
      </c>
      <c r="G413" s="21">
        <v>1</v>
      </c>
      <c r="H413" s="22">
        <f>VLOOKUP($C413,'Master File June-26'!$C$3:$L$670,6,0)</f>
        <v>10</v>
      </c>
      <c r="I413" s="22">
        <f>VLOOKUP($C413,'Master File June-26'!$C$3:$L$670,7,0)</f>
        <v>5000</v>
      </c>
      <c r="J413" s="5">
        <f>VLOOKUP($C413,'Master File June-26'!$C$3:$L$670,8,0)</f>
        <v>14</v>
      </c>
      <c r="K413" s="23">
        <f>VLOOKUP($C413,'Master File June-26'!$C$3:$L$670,9,0)</f>
        <v>2500</v>
      </c>
      <c r="L413" s="58">
        <f>VLOOKUP($C413,'Master File June-26'!$C$3:$L$670,10,0)</f>
        <v>0</v>
      </c>
      <c r="M413" s="24">
        <f t="shared" si="24"/>
        <v>0</v>
      </c>
      <c r="N413" s="25" t="str">
        <f t="shared" si="25"/>
        <v>ORDER NOW</v>
      </c>
      <c r="O413" s="25" t="str">
        <f t="shared" si="26"/>
        <v>CRITICAL</v>
      </c>
      <c r="R413" t="s">
        <v>30</v>
      </c>
      <c r="S413" s="79">
        <f t="shared" si="27"/>
        <v>0</v>
      </c>
    </row>
    <row r="414" spans="1:19" ht="18.75" x14ac:dyDescent="0.25">
      <c r="A414" s="41">
        <v>440</v>
      </c>
      <c r="B414" s="41" t="s">
        <v>61</v>
      </c>
      <c r="C414" s="41" t="s">
        <v>983</v>
      </c>
      <c r="D414" s="28" t="s">
        <v>984</v>
      </c>
      <c r="E414" s="27" t="s">
        <v>440</v>
      </c>
      <c r="F414" s="5" t="s">
        <v>22</v>
      </c>
      <c r="G414" s="21">
        <v>0.1</v>
      </c>
      <c r="H414" s="22">
        <f>VLOOKUP($C414,'Master File June-26'!$C$3:$L$670,6,0)</f>
        <v>60</v>
      </c>
      <c r="I414" s="22">
        <f>VLOOKUP($C414,'Master File June-26'!$C$3:$L$670,7,0)</f>
        <v>600</v>
      </c>
      <c r="J414" s="5">
        <f>VLOOKUP($C414,'Master File June-26'!$C$3:$L$670,8,0)</f>
        <v>14</v>
      </c>
      <c r="K414" s="23">
        <f>VLOOKUP($C414,'Master File June-26'!$C$3:$L$670,9,0)</f>
        <v>300</v>
      </c>
      <c r="L414" s="58">
        <f>VLOOKUP($C414,'Master File June-26'!$C$3:$L$670,10,0)</f>
        <v>0</v>
      </c>
      <c r="M414" s="24">
        <f t="shared" si="24"/>
        <v>0</v>
      </c>
      <c r="N414" s="25" t="str">
        <f t="shared" si="25"/>
        <v>ORDER NOW</v>
      </c>
      <c r="O414" s="25" t="str">
        <f t="shared" si="26"/>
        <v>CRITICAL</v>
      </c>
      <c r="S414" s="79">
        <f t="shared" si="27"/>
        <v>0</v>
      </c>
    </row>
    <row r="415" spans="1:19" ht="18.75" x14ac:dyDescent="0.25">
      <c r="A415" s="41">
        <v>546</v>
      </c>
      <c r="B415" s="41" t="s">
        <v>61</v>
      </c>
      <c r="C415" s="41" t="s">
        <v>985</v>
      </c>
      <c r="D415" s="40" t="s">
        <v>986</v>
      </c>
      <c r="E415" s="31" t="s">
        <v>64</v>
      </c>
      <c r="F415" s="5" t="s">
        <v>49</v>
      </c>
      <c r="G415" s="21">
        <v>1</v>
      </c>
      <c r="H415" s="22">
        <f>VLOOKUP($C415,'Master File June-26'!$C$3:$L$670,6,0)</f>
        <v>10</v>
      </c>
      <c r="I415" s="22">
        <f>VLOOKUP($C415,'Master File June-26'!$C$3:$L$670,7,0)</f>
        <v>10</v>
      </c>
      <c r="J415" s="5">
        <f>VLOOKUP($C415,'Master File June-26'!$C$3:$L$670,8,0)</f>
        <v>14</v>
      </c>
      <c r="K415" s="23">
        <f>VLOOKUP($C415,'Master File June-26'!$C$3:$L$670,9,0)</f>
        <v>5</v>
      </c>
      <c r="L415" s="58">
        <f>VLOOKUP($C415,'Master File June-26'!$C$3:$L$670,10,0)</f>
        <v>0</v>
      </c>
      <c r="M415" s="24">
        <f t="shared" si="24"/>
        <v>0</v>
      </c>
      <c r="N415" s="25" t="str">
        <f t="shared" si="25"/>
        <v>ORDER NOW</v>
      </c>
      <c r="O415" s="25" t="str">
        <f t="shared" si="26"/>
        <v>CRITICAL</v>
      </c>
      <c r="S415" s="79">
        <f t="shared" si="27"/>
        <v>0</v>
      </c>
    </row>
    <row r="416" spans="1:19" ht="18.75" x14ac:dyDescent="0.25">
      <c r="A416" s="41">
        <v>346</v>
      </c>
      <c r="B416" s="41" t="s">
        <v>85</v>
      </c>
      <c r="C416" s="41" t="s">
        <v>987</v>
      </c>
      <c r="D416" s="28" t="s">
        <v>988</v>
      </c>
      <c r="E416" s="27" t="s">
        <v>989</v>
      </c>
      <c r="F416" s="5" t="s">
        <v>22</v>
      </c>
      <c r="G416" s="21">
        <v>0.125</v>
      </c>
      <c r="H416" s="22">
        <f>VLOOKUP($C416,'Master File June-26'!$C$3:$L$670,6,0)</f>
        <v>70.5</v>
      </c>
      <c r="I416" s="22">
        <f>VLOOKUP($C416,'Master File June-26'!$C$3:$L$670,7,0)</f>
        <v>564</v>
      </c>
      <c r="J416" s="5">
        <f>VLOOKUP($C416,'Master File June-26'!$C$3:$L$670,8,0)</f>
        <v>14</v>
      </c>
      <c r="K416" s="23">
        <f>VLOOKUP($C416,'Master File June-26'!$C$3:$L$670,9,0)</f>
        <v>282</v>
      </c>
      <c r="L416" s="58">
        <f>VLOOKUP($C416,'Master File June-26'!$C$3:$L$670,10,0)</f>
        <v>120</v>
      </c>
      <c r="M416" s="24">
        <f t="shared" si="24"/>
        <v>6.3829787234042552</v>
      </c>
      <c r="N416" s="25" t="str">
        <f t="shared" si="25"/>
        <v>ORDER NOW</v>
      </c>
      <c r="O416" s="25" t="str">
        <f t="shared" si="26"/>
        <v>CRITICAL</v>
      </c>
      <c r="S416" s="79">
        <f t="shared" si="27"/>
        <v>0</v>
      </c>
    </row>
    <row r="417" spans="1:19" ht="18.75" x14ac:dyDescent="0.25">
      <c r="A417" s="19">
        <v>86</v>
      </c>
      <c r="B417" s="19" t="s">
        <v>18</v>
      </c>
      <c r="C417" s="19" t="s">
        <v>990</v>
      </c>
      <c r="D417" s="28" t="s">
        <v>991</v>
      </c>
      <c r="E417" s="27" t="s">
        <v>196</v>
      </c>
      <c r="F417" s="5" t="s">
        <v>46</v>
      </c>
      <c r="G417" s="21">
        <v>0.01</v>
      </c>
      <c r="H417" s="22">
        <f>VLOOKUP($C417,'Master File June-26'!$C$3:$L$670,6,0)</f>
        <v>96</v>
      </c>
      <c r="I417" s="22">
        <f>VLOOKUP($C417,'Master File June-26'!$C$3:$L$670,7,0)</f>
        <v>9600</v>
      </c>
      <c r="J417" s="5">
        <f>VLOOKUP($C417,'Master File June-26'!$C$3:$L$670,8,0)</f>
        <v>14</v>
      </c>
      <c r="K417" s="23">
        <f>VLOOKUP($C417,'Master File June-26'!$C$3:$L$670,9,0)</f>
        <v>4800</v>
      </c>
      <c r="L417" s="58">
        <f>VLOOKUP($C417,'Master File June-26'!$C$3:$L$670,10,0)</f>
        <v>3100</v>
      </c>
      <c r="M417" s="24">
        <f t="shared" si="24"/>
        <v>9.6875</v>
      </c>
      <c r="N417" s="25" t="str">
        <f t="shared" si="25"/>
        <v>ORDER NOW</v>
      </c>
      <c r="O417" s="25" t="str">
        <f t="shared" si="26"/>
        <v>CRITICAL</v>
      </c>
      <c r="R417" t="s">
        <v>30</v>
      </c>
      <c r="S417" s="79">
        <f t="shared" si="27"/>
        <v>0</v>
      </c>
    </row>
    <row r="418" spans="1:19" ht="18.75" x14ac:dyDescent="0.25">
      <c r="A418" s="41">
        <v>432</v>
      </c>
      <c r="B418" s="41" t="s">
        <v>38</v>
      </c>
      <c r="C418" s="41" t="s">
        <v>992</v>
      </c>
      <c r="D418" s="28" t="s">
        <v>993</v>
      </c>
      <c r="E418" s="27" t="s">
        <v>994</v>
      </c>
      <c r="F418" s="5" t="s">
        <v>22</v>
      </c>
      <c r="G418" s="21">
        <v>5.9523809523809534E-2</v>
      </c>
      <c r="H418" s="22">
        <f>VLOOKUP($C418,'Master File June-26'!$C$3:$L$670,6,0)</f>
        <v>16</v>
      </c>
      <c r="I418" s="22">
        <f>VLOOKUP($C418,'Master File June-26'!$C$3:$L$670,7,0)</f>
        <v>268.79999999999995</v>
      </c>
      <c r="J418" s="5">
        <f>VLOOKUP($C418,'Master File June-26'!$C$3:$L$670,8,0)</f>
        <v>14</v>
      </c>
      <c r="K418" s="23">
        <f>VLOOKUP($C418,'Master File June-26'!$C$3:$L$670,9,0)</f>
        <v>134.39999999999998</v>
      </c>
      <c r="L418" s="58">
        <f>VLOOKUP($C418,'Master File June-26'!$C$3:$L$670,10,0)</f>
        <v>0</v>
      </c>
      <c r="M418" s="24">
        <f t="shared" si="24"/>
        <v>0</v>
      </c>
      <c r="N418" s="25" t="str">
        <f t="shared" si="25"/>
        <v>ORDER NOW</v>
      </c>
      <c r="O418" s="25" t="str">
        <f t="shared" si="26"/>
        <v>CRITICAL</v>
      </c>
      <c r="S418" s="79">
        <f t="shared" si="27"/>
        <v>0</v>
      </c>
    </row>
    <row r="419" spans="1:19" ht="18.75" x14ac:dyDescent="0.25">
      <c r="A419" s="39">
        <v>218</v>
      </c>
      <c r="B419" s="39" t="s">
        <v>239</v>
      </c>
      <c r="C419" s="39" t="s">
        <v>995</v>
      </c>
      <c r="D419" s="28" t="s">
        <v>996</v>
      </c>
      <c r="E419" s="27" t="s">
        <v>160</v>
      </c>
      <c r="F419" s="5" t="s">
        <v>49</v>
      </c>
      <c r="G419" s="21">
        <v>1</v>
      </c>
      <c r="H419" s="22">
        <f>VLOOKUP($C419,'Master File June-26'!$C$3:$L$670,6,0)</f>
        <v>5.5</v>
      </c>
      <c r="I419" s="22">
        <f>VLOOKUP($C419,'Master File June-26'!$C$3:$L$670,7,0)</f>
        <v>5.5</v>
      </c>
      <c r="J419" s="5">
        <f>VLOOKUP($C419,'Master File June-26'!$C$3:$L$670,8,0)</f>
        <v>14</v>
      </c>
      <c r="K419" s="23">
        <f>VLOOKUP($C419,'Master File June-26'!$C$3:$L$670,9,0)</f>
        <v>2.75</v>
      </c>
      <c r="L419" s="58">
        <f>VLOOKUP($C419,'Master File June-26'!$C$3:$L$670,10,0)</f>
        <v>3</v>
      </c>
      <c r="M419" s="24">
        <f t="shared" si="24"/>
        <v>16.363636363636363</v>
      </c>
      <c r="N419" s="25" t="str">
        <f t="shared" si="25"/>
        <v>IN STOCK</v>
      </c>
      <c r="O419" s="25" t="str">
        <f t="shared" si="26"/>
        <v>FOLLOW UP DELIVERY</v>
      </c>
      <c r="S419" s="79">
        <f t="shared" si="27"/>
        <v>1</v>
      </c>
    </row>
    <row r="420" spans="1:19" ht="18.75" x14ac:dyDescent="0.25">
      <c r="A420" s="19">
        <v>4</v>
      </c>
      <c r="B420" s="19" t="s">
        <v>18</v>
      </c>
      <c r="C420" s="19" t="s">
        <v>997</v>
      </c>
      <c r="D420" s="28" t="s">
        <v>998</v>
      </c>
      <c r="E420" s="27" t="s">
        <v>999</v>
      </c>
      <c r="F420" s="5" t="s">
        <v>22</v>
      </c>
      <c r="G420" s="21">
        <v>3.3333333333333335E-3</v>
      </c>
      <c r="H420" s="22">
        <f>VLOOKUP($C420,'Master File June-26'!$C$3:$L$670,6,0)</f>
        <v>240</v>
      </c>
      <c r="I420" s="22">
        <f>VLOOKUP($C420,'Master File June-26'!$C$3:$L$670,7,0)</f>
        <v>72000</v>
      </c>
      <c r="J420" s="5">
        <f>VLOOKUP($C420,'Master File June-26'!$C$3:$L$670,8,0)</f>
        <v>14</v>
      </c>
      <c r="K420" s="23">
        <f>VLOOKUP($C420,'Master File June-26'!$C$3:$L$670,9,0)</f>
        <v>36000</v>
      </c>
      <c r="L420" s="58">
        <f>VLOOKUP($C420,'Master File June-26'!$C$3:$L$670,10,0)</f>
        <v>20500</v>
      </c>
      <c r="M420" s="24">
        <f t="shared" si="24"/>
        <v>8.5416666666666661</v>
      </c>
      <c r="N420" s="25" t="str">
        <f t="shared" si="25"/>
        <v>ORDER NOW</v>
      </c>
      <c r="O420" s="25" t="str">
        <f t="shared" si="26"/>
        <v>CRITICAL</v>
      </c>
      <c r="R420" t="s">
        <v>30</v>
      </c>
      <c r="S420" s="79">
        <f t="shared" si="27"/>
        <v>0</v>
      </c>
    </row>
    <row r="421" spans="1:19" ht="18.75" x14ac:dyDescent="0.25">
      <c r="A421" s="39">
        <v>249</v>
      </c>
      <c r="B421" s="39" t="s">
        <v>239</v>
      </c>
      <c r="C421" s="39" t="s">
        <v>1000</v>
      </c>
      <c r="D421" s="28" t="s">
        <v>1001</v>
      </c>
      <c r="E421" s="27" t="s">
        <v>78</v>
      </c>
      <c r="F421" s="5" t="s">
        <v>49</v>
      </c>
      <c r="G421" s="21">
        <v>1</v>
      </c>
      <c r="H421" s="22">
        <f>VLOOKUP($C421,'Master File June-26'!$C$3:$L$670,6,0)</f>
        <v>71</v>
      </c>
      <c r="I421" s="22">
        <f>VLOOKUP($C421,'Master File June-26'!$C$3:$L$670,7,0)</f>
        <v>71</v>
      </c>
      <c r="J421" s="5">
        <f>VLOOKUP($C421,'Master File June-26'!$C$3:$L$670,8,0)</f>
        <v>14</v>
      </c>
      <c r="K421" s="23">
        <f>VLOOKUP($C421,'Master File June-26'!$C$3:$L$670,9,0)</f>
        <v>35.5</v>
      </c>
      <c r="L421" s="58">
        <f>VLOOKUP($C421,'Master File June-26'!$C$3:$L$670,10,0)</f>
        <v>5</v>
      </c>
      <c r="M421" s="24">
        <f t="shared" si="24"/>
        <v>2.1126760563380285</v>
      </c>
      <c r="N421" s="25" t="str">
        <f t="shared" si="25"/>
        <v>ORDER NOW</v>
      </c>
      <c r="O421" s="25" t="str">
        <f t="shared" si="26"/>
        <v>CRITICAL</v>
      </c>
      <c r="S421" s="79">
        <f t="shared" si="27"/>
        <v>0</v>
      </c>
    </row>
    <row r="422" spans="1:19" ht="18.75" x14ac:dyDescent="0.25">
      <c r="A422" s="19">
        <v>114</v>
      </c>
      <c r="B422" s="19" t="s">
        <v>18</v>
      </c>
      <c r="C422" s="19" t="s">
        <v>1002</v>
      </c>
      <c r="D422" s="28" t="s">
        <v>1003</v>
      </c>
      <c r="E422" s="27" t="s">
        <v>180</v>
      </c>
      <c r="F422" s="5" t="s">
        <v>22</v>
      </c>
      <c r="G422" s="21">
        <f>1/1000</f>
        <v>1E-3</v>
      </c>
      <c r="H422" s="22">
        <f>VLOOKUP($C422,'Master File June-26'!$C$3:$L$670,6,0)</f>
        <v>10</v>
      </c>
      <c r="I422" s="22">
        <f>VLOOKUP($C422,'Master File June-26'!$C$3:$L$670,7,0)</f>
        <v>10000</v>
      </c>
      <c r="J422" s="5">
        <f>VLOOKUP($C422,'Master File June-26'!$C$3:$L$670,8,0)</f>
        <v>14</v>
      </c>
      <c r="K422" s="23">
        <f>VLOOKUP($C422,'Master File June-26'!$C$3:$L$670,9,0)</f>
        <v>5000</v>
      </c>
      <c r="L422" s="58">
        <f>VLOOKUP($C422,'Master File June-26'!$C$3:$L$670,10,0)</f>
        <v>0</v>
      </c>
      <c r="M422" s="24">
        <f t="shared" si="24"/>
        <v>0</v>
      </c>
      <c r="N422" s="25" t="str">
        <f t="shared" si="25"/>
        <v>ORDER NOW</v>
      </c>
      <c r="O422" s="25" t="str">
        <f t="shared" si="26"/>
        <v>CRITICAL</v>
      </c>
      <c r="R422" t="s">
        <v>30</v>
      </c>
      <c r="S422" s="79">
        <f t="shared" si="27"/>
        <v>0</v>
      </c>
    </row>
    <row r="423" spans="1:19" ht="18.75" x14ac:dyDescent="0.25">
      <c r="A423" s="41">
        <v>484</v>
      </c>
      <c r="B423" s="41" t="s">
        <v>38</v>
      </c>
      <c r="C423" s="41" t="s">
        <v>1004</v>
      </c>
      <c r="D423" s="30" t="s">
        <v>1005</v>
      </c>
      <c r="E423" s="27" t="s">
        <v>1006</v>
      </c>
      <c r="F423" s="5" t="s">
        <v>49</v>
      </c>
      <c r="G423" s="21">
        <f>1/0.8</f>
        <v>1.25</v>
      </c>
      <c r="H423" s="22">
        <f>VLOOKUP($C423,'Master File June-26'!$C$3:$L$670,6,0)</f>
        <v>40</v>
      </c>
      <c r="I423" s="22">
        <f>VLOOKUP($C423,'Master File June-26'!$C$3:$L$670,7,0)</f>
        <v>32</v>
      </c>
      <c r="J423" s="5">
        <f>VLOOKUP($C423,'Master File June-26'!$C$3:$L$670,8,0)</f>
        <v>14</v>
      </c>
      <c r="K423" s="23">
        <f>VLOOKUP($C423,'Master File June-26'!$C$3:$L$670,9,0)</f>
        <v>16</v>
      </c>
      <c r="L423" s="58">
        <f>VLOOKUP($C423,'Master File June-26'!$C$3:$L$670,10,0)</f>
        <v>17</v>
      </c>
      <c r="M423" s="24">
        <f t="shared" si="24"/>
        <v>15.9375</v>
      </c>
      <c r="N423" s="25" t="str">
        <f t="shared" si="25"/>
        <v>IN STOCK</v>
      </c>
      <c r="O423" s="25" t="str">
        <f t="shared" si="26"/>
        <v>FOLLOW UP DELIVERY</v>
      </c>
      <c r="S423" s="79">
        <f t="shared" si="27"/>
        <v>1</v>
      </c>
    </row>
    <row r="424" spans="1:19" ht="18.75" x14ac:dyDescent="0.25">
      <c r="A424" s="19">
        <v>121</v>
      </c>
      <c r="B424" s="19" t="s">
        <v>18</v>
      </c>
      <c r="C424" s="19" t="s">
        <v>1007</v>
      </c>
      <c r="D424" s="30" t="s">
        <v>1008</v>
      </c>
      <c r="E424" s="27" t="s">
        <v>186</v>
      </c>
      <c r="F424" s="5" t="s">
        <v>606</v>
      </c>
      <c r="G424" s="21">
        <v>2E-3</v>
      </c>
      <c r="H424" s="22">
        <f>VLOOKUP($C424,'Master File June-26'!$C$3:$L$670,6,0)</f>
        <v>5</v>
      </c>
      <c r="I424" s="22">
        <f>VLOOKUP($C424,'Master File June-26'!$C$3:$L$670,7,0)</f>
        <v>2500</v>
      </c>
      <c r="J424" s="5">
        <f>VLOOKUP($C424,'Master File June-26'!$C$3:$L$670,8,0)</f>
        <v>14</v>
      </c>
      <c r="K424" s="23">
        <f>VLOOKUP($C424,'Master File June-26'!$C$3:$L$670,9,0)</f>
        <v>1250</v>
      </c>
      <c r="L424" s="58">
        <f>VLOOKUP($C424,'Master File June-26'!$C$3:$L$670,10,0)</f>
        <v>0</v>
      </c>
      <c r="M424" s="24">
        <f t="shared" si="24"/>
        <v>0</v>
      </c>
      <c r="N424" s="25" t="str">
        <f t="shared" si="25"/>
        <v>ORDER NOW</v>
      </c>
      <c r="O424" s="25" t="str">
        <f t="shared" si="26"/>
        <v>CRITICAL</v>
      </c>
      <c r="R424" t="s">
        <v>30</v>
      </c>
      <c r="S424" s="79">
        <f t="shared" si="27"/>
        <v>0</v>
      </c>
    </row>
    <row r="425" spans="1:19" ht="18.75" x14ac:dyDescent="0.25">
      <c r="A425" s="19">
        <v>39</v>
      </c>
      <c r="B425" s="19" t="s">
        <v>18</v>
      </c>
      <c r="C425" s="19" t="s">
        <v>1009</v>
      </c>
      <c r="D425" s="28" t="s">
        <v>1010</v>
      </c>
      <c r="E425" s="27" t="s">
        <v>845</v>
      </c>
      <c r="F425" s="5" t="s">
        <v>22</v>
      </c>
      <c r="G425" s="21">
        <f>1/600</f>
        <v>1.6666666666666668E-3</v>
      </c>
      <c r="H425" s="22">
        <f>VLOOKUP($C425,'Master File June-26'!$C$3:$L$670,6,0)</f>
        <v>100</v>
      </c>
      <c r="I425" s="22">
        <f>VLOOKUP($C425,'Master File June-26'!$C$3:$L$670,7,0)</f>
        <v>59999.999999999993</v>
      </c>
      <c r="J425" s="5">
        <f>VLOOKUP($C425,'Master File June-26'!$C$3:$L$670,8,0)</f>
        <v>60</v>
      </c>
      <c r="K425" s="23">
        <f>VLOOKUP($C425,'Master File June-26'!$C$3:$L$670,9,0)</f>
        <v>128571.42857142855</v>
      </c>
      <c r="L425" s="58">
        <f>VLOOKUP($C425,'Master File June-26'!$C$3:$L$670,10,0)</f>
        <v>0</v>
      </c>
      <c r="M425" s="24">
        <f t="shared" si="24"/>
        <v>0</v>
      </c>
      <c r="N425" s="25" t="str">
        <f t="shared" si="25"/>
        <v>ORDER NOW</v>
      </c>
      <c r="O425" s="25" t="str">
        <f t="shared" si="26"/>
        <v>CRITICAL</v>
      </c>
      <c r="R425" t="s">
        <v>30</v>
      </c>
      <c r="S425" s="79">
        <f t="shared" si="27"/>
        <v>0</v>
      </c>
    </row>
    <row r="426" spans="1:19" ht="18.75" x14ac:dyDescent="0.25">
      <c r="A426" s="39">
        <v>186</v>
      </c>
      <c r="B426" s="39" t="s">
        <v>18</v>
      </c>
      <c r="C426" s="39" t="s">
        <v>1011</v>
      </c>
      <c r="D426" s="28" t="s">
        <v>1012</v>
      </c>
      <c r="E426" s="27" t="s">
        <v>160</v>
      </c>
      <c r="F426" s="5" t="s">
        <v>49</v>
      </c>
      <c r="G426" s="21">
        <v>1</v>
      </c>
      <c r="H426" s="22">
        <f>VLOOKUP($C426,'Master File June-26'!$C$3:$L$670,6,0)</f>
        <v>16.5</v>
      </c>
      <c r="I426" s="22">
        <f>VLOOKUP($C426,'Master File June-26'!$C$3:$L$670,7,0)</f>
        <v>16.5</v>
      </c>
      <c r="J426" s="5">
        <f>VLOOKUP($C426,'Master File June-26'!$C$3:$L$670,8,0)</f>
        <v>14</v>
      </c>
      <c r="K426" s="23">
        <f>VLOOKUP($C426,'Master File June-26'!$C$3:$L$670,9,0)</f>
        <v>8.25</v>
      </c>
      <c r="L426" s="58">
        <f>VLOOKUP($C426,'Master File June-26'!$C$3:$L$670,10,0)</f>
        <v>6</v>
      </c>
      <c r="M426" s="24">
        <f t="shared" si="24"/>
        <v>10.90909090909091</v>
      </c>
      <c r="N426" s="25" t="str">
        <f t="shared" si="25"/>
        <v>ORDER NOW</v>
      </c>
      <c r="O426" s="25" t="str">
        <f t="shared" si="26"/>
        <v>CRITICAL</v>
      </c>
      <c r="S426" s="79">
        <f t="shared" si="27"/>
        <v>0</v>
      </c>
    </row>
    <row r="427" spans="1:19" ht="18.75" x14ac:dyDescent="0.25">
      <c r="A427" s="19">
        <v>128</v>
      </c>
      <c r="B427" s="19" t="s">
        <v>18</v>
      </c>
      <c r="C427" s="19" t="s">
        <v>1013</v>
      </c>
      <c r="D427" s="28" t="s">
        <v>1014</v>
      </c>
      <c r="E427" s="27" t="s">
        <v>186</v>
      </c>
      <c r="F427" s="5" t="s">
        <v>22</v>
      </c>
      <c r="G427" s="21">
        <f>1/500</f>
        <v>2E-3</v>
      </c>
      <c r="H427" s="22">
        <f>VLOOKUP($C427,'Master File June-26'!$C$3:$L$670,6,0)</f>
        <v>40</v>
      </c>
      <c r="I427" s="22">
        <f>VLOOKUP($C427,'Master File June-26'!$C$3:$L$670,7,0)</f>
        <v>20000</v>
      </c>
      <c r="J427" s="5">
        <f>VLOOKUP($C427,'Master File June-26'!$C$3:$L$670,8,0)</f>
        <v>14</v>
      </c>
      <c r="K427" s="23">
        <f>VLOOKUP($C427,'Master File June-26'!$C$3:$L$670,9,0)</f>
        <v>10000</v>
      </c>
      <c r="L427" s="58">
        <f>VLOOKUP($C427,'Master File June-26'!$C$3:$L$670,10,0)</f>
        <v>0</v>
      </c>
      <c r="M427" s="24">
        <f t="shared" si="24"/>
        <v>0</v>
      </c>
      <c r="N427" s="25" t="str">
        <f t="shared" si="25"/>
        <v>ORDER NOW</v>
      </c>
      <c r="O427" s="25" t="str">
        <f t="shared" si="26"/>
        <v>CRITICAL</v>
      </c>
      <c r="R427" t="s">
        <v>30</v>
      </c>
      <c r="S427" s="79">
        <f t="shared" si="27"/>
        <v>0</v>
      </c>
    </row>
    <row r="428" spans="1:19" ht="18.75" x14ac:dyDescent="0.25">
      <c r="A428" s="41">
        <v>465</v>
      </c>
      <c r="B428" s="41" t="s">
        <v>38</v>
      </c>
      <c r="C428" s="41" t="s">
        <v>1015</v>
      </c>
      <c r="D428" s="28" t="s">
        <v>1016</v>
      </c>
      <c r="E428" s="27" t="s">
        <v>1017</v>
      </c>
      <c r="F428" s="5" t="s">
        <v>22</v>
      </c>
      <c r="G428" s="21">
        <v>0.1</v>
      </c>
      <c r="H428" s="22">
        <f>VLOOKUP($C428,'Master File June-26'!$C$3:$L$670,6,0)</f>
        <v>80</v>
      </c>
      <c r="I428" s="22">
        <f>VLOOKUP($C428,'Master File June-26'!$C$3:$L$670,7,0)</f>
        <v>800</v>
      </c>
      <c r="J428" s="5">
        <f>VLOOKUP($C428,'Master File June-26'!$C$3:$L$670,8,0)</f>
        <v>14</v>
      </c>
      <c r="K428" s="23">
        <f>VLOOKUP($C428,'Master File June-26'!$C$3:$L$670,9,0)</f>
        <v>400</v>
      </c>
      <c r="L428" s="58">
        <f>VLOOKUP($C428,'Master File June-26'!$C$3:$L$670,10,0)</f>
        <v>0</v>
      </c>
      <c r="M428" s="24">
        <f t="shared" si="24"/>
        <v>0</v>
      </c>
      <c r="N428" s="25" t="str">
        <f t="shared" si="25"/>
        <v>ORDER NOW</v>
      </c>
      <c r="O428" s="25" t="str">
        <f t="shared" si="26"/>
        <v>CRITICAL</v>
      </c>
      <c r="S428" s="79">
        <f t="shared" si="27"/>
        <v>0</v>
      </c>
    </row>
    <row r="429" spans="1:19" ht="18.75" x14ac:dyDescent="0.25">
      <c r="A429" s="19">
        <v>92</v>
      </c>
      <c r="B429" s="19" t="s">
        <v>18</v>
      </c>
      <c r="C429" s="19" t="s">
        <v>1018</v>
      </c>
      <c r="D429" s="28" t="s">
        <v>1019</v>
      </c>
      <c r="E429" s="27" t="s">
        <v>1020</v>
      </c>
      <c r="F429" s="5" t="s">
        <v>22</v>
      </c>
      <c r="G429" s="21">
        <v>2E-3</v>
      </c>
      <c r="H429" s="22">
        <f>VLOOKUP($C429,'Master File June-26'!$C$3:$L$670,6,0)</f>
        <v>600</v>
      </c>
      <c r="I429" s="22">
        <f>VLOOKUP($C429,'Master File June-26'!$C$3:$L$670,7,0)</f>
        <v>300000</v>
      </c>
      <c r="J429" s="5">
        <f>VLOOKUP($C429,'Master File June-26'!$C$3:$L$670,8,0)</f>
        <v>14</v>
      </c>
      <c r="K429" s="23">
        <f>VLOOKUP($C429,'Master File June-26'!$C$3:$L$670,9,0)</f>
        <v>168000.00000000003</v>
      </c>
      <c r="L429" s="58">
        <f>VLOOKUP($C429,'Master File June-26'!$C$3:$L$670,10,0)</f>
        <v>62500</v>
      </c>
      <c r="M429" s="24">
        <f t="shared" si="24"/>
        <v>6.25</v>
      </c>
      <c r="N429" s="25" t="str">
        <f t="shared" si="25"/>
        <v>ORDER NOW</v>
      </c>
      <c r="O429" s="25" t="str">
        <f t="shared" si="26"/>
        <v>CRITICAL</v>
      </c>
      <c r="R429" t="s">
        <v>30</v>
      </c>
      <c r="S429" s="79">
        <f t="shared" si="27"/>
        <v>0</v>
      </c>
    </row>
    <row r="430" spans="1:19" ht="18.75" x14ac:dyDescent="0.25">
      <c r="A430" s="41">
        <v>337</v>
      </c>
      <c r="B430" s="41" t="s">
        <v>38</v>
      </c>
      <c r="C430" s="41" t="s">
        <v>1021</v>
      </c>
      <c r="D430" s="28" t="s">
        <v>1022</v>
      </c>
      <c r="E430" s="27" t="s">
        <v>1023</v>
      </c>
      <c r="F430" s="5" t="s">
        <v>22</v>
      </c>
      <c r="G430" s="21">
        <v>8.3333333333333339E-4</v>
      </c>
      <c r="H430" s="22">
        <f>VLOOKUP($C430,'Master File June-26'!$C$3:$L$670,6,0)</f>
        <v>22</v>
      </c>
      <c r="I430" s="22">
        <f>VLOOKUP($C430,'Master File June-26'!$C$3:$L$670,7,0)</f>
        <v>528</v>
      </c>
      <c r="J430" s="5">
        <f>VLOOKUP($C430,'Master File June-26'!$C$3:$L$670,8,0)</f>
        <v>14</v>
      </c>
      <c r="K430" s="23">
        <f>VLOOKUP($C430,'Master File June-26'!$C$3:$L$670,9,0)</f>
        <v>264</v>
      </c>
      <c r="L430" s="58">
        <f>VLOOKUP($C430,'Master File June-26'!$C$3:$L$670,10,0)</f>
        <v>0</v>
      </c>
      <c r="M430" s="24">
        <f t="shared" si="24"/>
        <v>0</v>
      </c>
      <c r="N430" s="25" t="str">
        <f t="shared" si="25"/>
        <v>ORDER NOW</v>
      </c>
      <c r="O430" s="25" t="str">
        <f t="shared" si="26"/>
        <v>CRITICAL</v>
      </c>
      <c r="S430" s="79">
        <f t="shared" si="27"/>
        <v>0</v>
      </c>
    </row>
    <row r="431" spans="1:19" ht="18.75" x14ac:dyDescent="0.25">
      <c r="A431" s="19">
        <v>45</v>
      </c>
      <c r="B431" s="19" t="s">
        <v>18</v>
      </c>
      <c r="C431" s="19" t="s">
        <v>1024</v>
      </c>
      <c r="D431" s="34" t="s">
        <v>1025</v>
      </c>
      <c r="E431" s="29" t="s">
        <v>1026</v>
      </c>
      <c r="F431" s="5" t="s">
        <v>22</v>
      </c>
      <c r="G431" s="21">
        <f>1/1200</f>
        <v>8.3333333333333339E-4</v>
      </c>
      <c r="H431" s="22">
        <f>VLOOKUP($C431,'Master File June-26'!$C$3:$L$670,6,0)</f>
        <v>38.5</v>
      </c>
      <c r="I431" s="22">
        <f>VLOOKUP($C431,'Master File June-26'!$C$3:$L$670,7,0)</f>
        <v>46200</v>
      </c>
      <c r="J431" s="5">
        <f>VLOOKUP($C431,'Master File June-26'!$C$3:$L$670,8,0)</f>
        <v>14</v>
      </c>
      <c r="K431" s="23">
        <f>VLOOKUP($C431,'Master File June-26'!$C$3:$L$670,9,0)</f>
        <v>23100</v>
      </c>
      <c r="L431" s="58">
        <f>VLOOKUP($C431,'Master File June-26'!$C$3:$L$670,10,0)</f>
        <v>0</v>
      </c>
      <c r="M431" s="24">
        <f t="shared" si="24"/>
        <v>0</v>
      </c>
      <c r="N431" s="25" t="str">
        <f t="shared" si="25"/>
        <v>ORDER NOW</v>
      </c>
      <c r="O431" s="25" t="str">
        <f t="shared" si="26"/>
        <v>CRITICAL</v>
      </c>
      <c r="R431" t="s">
        <v>30</v>
      </c>
      <c r="S431" s="79">
        <f t="shared" si="27"/>
        <v>0</v>
      </c>
    </row>
    <row r="432" spans="1:19" ht="18.75" x14ac:dyDescent="0.25">
      <c r="A432" s="41">
        <v>406</v>
      </c>
      <c r="B432" s="41" t="s">
        <v>38</v>
      </c>
      <c r="C432" s="41" t="s">
        <v>1027</v>
      </c>
      <c r="D432" s="28" t="s">
        <v>1028</v>
      </c>
      <c r="E432" s="27" t="s">
        <v>1029</v>
      </c>
      <c r="F432" s="5" t="s">
        <v>22</v>
      </c>
      <c r="G432" s="21">
        <v>1E-3</v>
      </c>
      <c r="H432" s="22">
        <f>VLOOKUP($C432,'Master File June-26'!$C$3:$L$670,6,0)</f>
        <v>24</v>
      </c>
      <c r="I432" s="22">
        <f>VLOOKUP($C432,'Master File June-26'!$C$3:$L$670,7,0)</f>
        <v>24000</v>
      </c>
      <c r="J432" s="5">
        <f>VLOOKUP($C432,'Master File June-26'!$C$3:$L$670,8,0)</f>
        <v>14</v>
      </c>
      <c r="K432" s="23">
        <f>VLOOKUP($C432,'Master File June-26'!$C$3:$L$670,9,0)</f>
        <v>12000</v>
      </c>
      <c r="L432" s="58">
        <f>VLOOKUP($C432,'Master File June-26'!$C$3:$L$670,10,0)</f>
        <v>0</v>
      </c>
      <c r="M432" s="24">
        <f t="shared" si="24"/>
        <v>0</v>
      </c>
      <c r="N432" s="25" t="str">
        <f t="shared" si="25"/>
        <v>ORDER NOW</v>
      </c>
      <c r="O432" s="25" t="str">
        <f t="shared" si="26"/>
        <v>CRITICAL</v>
      </c>
      <c r="S432" s="79">
        <f t="shared" si="27"/>
        <v>0</v>
      </c>
    </row>
    <row r="433" spans="1:19" ht="18.75" x14ac:dyDescent="0.25">
      <c r="A433" s="39">
        <v>246</v>
      </c>
      <c r="B433" s="39" t="s">
        <v>123</v>
      </c>
      <c r="C433" s="39" t="s">
        <v>1030</v>
      </c>
      <c r="D433" s="28" t="s">
        <v>1031</v>
      </c>
      <c r="E433" s="27" t="s">
        <v>1032</v>
      </c>
      <c r="F433" s="5" t="s">
        <v>49</v>
      </c>
      <c r="G433" s="21">
        <v>0.5</v>
      </c>
      <c r="H433" s="22">
        <f>VLOOKUP($C433,'Master File June-26'!$C$3:$L$670,6,0)</f>
        <v>69.5</v>
      </c>
      <c r="I433" s="22">
        <f>VLOOKUP($C433,'Master File June-26'!$C$3:$L$670,7,0)</f>
        <v>139</v>
      </c>
      <c r="J433" s="5">
        <f>VLOOKUP($C433,'Master File June-26'!$C$3:$L$670,8,0)</f>
        <v>14</v>
      </c>
      <c r="K433" s="23">
        <f>VLOOKUP($C433,'Master File June-26'!$C$3:$L$670,9,0)</f>
        <v>69.5</v>
      </c>
      <c r="L433" s="58">
        <f>VLOOKUP($C433,'Master File June-26'!$C$3:$L$670,10,0)</f>
        <v>45</v>
      </c>
      <c r="M433" s="24">
        <f t="shared" si="24"/>
        <v>9.7122302158273381</v>
      </c>
      <c r="N433" s="25" t="str">
        <f t="shared" si="25"/>
        <v>ORDER NOW</v>
      </c>
      <c r="O433" s="25" t="str">
        <f t="shared" si="26"/>
        <v>CRITICAL</v>
      </c>
      <c r="S433" s="79">
        <f t="shared" si="27"/>
        <v>0</v>
      </c>
    </row>
    <row r="434" spans="1:19" ht="18.75" x14ac:dyDescent="0.25">
      <c r="A434" s="19">
        <v>105</v>
      </c>
      <c r="B434" s="19" t="s">
        <v>18</v>
      </c>
      <c r="C434" s="19" t="s">
        <v>1033</v>
      </c>
      <c r="D434" s="28" t="s">
        <v>1034</v>
      </c>
      <c r="E434" s="27" t="s">
        <v>175</v>
      </c>
      <c r="F434" s="5" t="s">
        <v>22</v>
      </c>
      <c r="G434" s="21">
        <v>0.01</v>
      </c>
      <c r="H434" s="22">
        <f>VLOOKUP($C434,'Master File June-26'!$C$3:$L$670,6,0)</f>
        <v>75</v>
      </c>
      <c r="I434" s="22">
        <f>VLOOKUP($C434,'Master File June-26'!$C$3:$L$670,7,0)</f>
        <v>7500</v>
      </c>
      <c r="J434" s="5">
        <f>VLOOKUP($C434,'Master File June-26'!$C$3:$L$670,8,0)</f>
        <v>14</v>
      </c>
      <c r="K434" s="23">
        <f>VLOOKUP($C434,'Master File June-26'!$C$3:$L$670,9,0)</f>
        <v>3750</v>
      </c>
      <c r="L434" s="58">
        <f>VLOOKUP($C434,'Master File June-26'!$C$3:$L$670,10,0)</f>
        <v>601</v>
      </c>
      <c r="M434" s="24">
        <f t="shared" si="24"/>
        <v>2.4039999999999999</v>
      </c>
      <c r="N434" s="25" t="str">
        <f t="shared" si="25"/>
        <v>ORDER NOW</v>
      </c>
      <c r="O434" s="25" t="str">
        <f t="shared" si="26"/>
        <v>CRITICAL</v>
      </c>
      <c r="R434" t="s">
        <v>30</v>
      </c>
      <c r="S434" s="79">
        <f t="shared" si="27"/>
        <v>0</v>
      </c>
    </row>
    <row r="435" spans="1:19" ht="18.75" x14ac:dyDescent="0.25">
      <c r="A435" s="19">
        <v>89</v>
      </c>
      <c r="B435" s="19" t="s">
        <v>18</v>
      </c>
      <c r="C435" s="19" t="s">
        <v>1035</v>
      </c>
      <c r="D435" s="28" t="s">
        <v>1036</v>
      </c>
      <c r="E435" s="27" t="s">
        <v>119</v>
      </c>
      <c r="F435" s="5" t="s">
        <v>22</v>
      </c>
      <c r="G435" s="21">
        <v>1E-3</v>
      </c>
      <c r="H435" s="22">
        <f>VLOOKUP($C435,'Master File June-26'!$C$3:$L$670,6,0)</f>
        <v>22</v>
      </c>
      <c r="I435" s="22">
        <f>VLOOKUP($C435,'Master File June-26'!$C$3:$L$670,7,0)</f>
        <v>22000</v>
      </c>
      <c r="J435" s="5">
        <f>VLOOKUP($C435,'Master File June-26'!$C$3:$L$670,8,0)</f>
        <v>14</v>
      </c>
      <c r="K435" s="23">
        <f>VLOOKUP($C435,'Master File June-26'!$C$3:$L$670,9,0)</f>
        <v>11000</v>
      </c>
      <c r="L435" s="58">
        <f>VLOOKUP($C435,'Master File June-26'!$C$3:$L$670,10,0)</f>
        <v>5500</v>
      </c>
      <c r="M435" s="24">
        <f t="shared" si="24"/>
        <v>7.5</v>
      </c>
      <c r="N435" s="25" t="str">
        <f t="shared" si="25"/>
        <v>ORDER NOW</v>
      </c>
      <c r="O435" s="25" t="str">
        <f t="shared" si="26"/>
        <v>CRITICAL</v>
      </c>
      <c r="R435" t="s">
        <v>30</v>
      </c>
      <c r="S435" s="79">
        <f t="shared" si="27"/>
        <v>0</v>
      </c>
    </row>
    <row r="436" spans="1:19" ht="18.75" x14ac:dyDescent="0.25">
      <c r="A436" s="39">
        <v>187</v>
      </c>
      <c r="B436" s="39" t="s">
        <v>361</v>
      </c>
      <c r="C436" s="39" t="s">
        <v>1037</v>
      </c>
      <c r="D436" s="28" t="s">
        <v>1038</v>
      </c>
      <c r="E436" s="27" t="s">
        <v>78</v>
      </c>
      <c r="F436" s="5" t="s">
        <v>49</v>
      </c>
      <c r="G436" s="21">
        <v>1</v>
      </c>
      <c r="H436" s="22">
        <f>VLOOKUP($C436,'Master File June-26'!$C$3:$L$670,6,0)</f>
        <v>62.5</v>
      </c>
      <c r="I436" s="22">
        <f>VLOOKUP($C436,'Master File June-26'!$C$3:$L$670,7,0)</f>
        <v>62.5</v>
      </c>
      <c r="J436" s="5">
        <f>VLOOKUP($C436,'Master File June-26'!$C$3:$L$670,8,0)</f>
        <v>14</v>
      </c>
      <c r="K436" s="23">
        <f>VLOOKUP($C436,'Master File June-26'!$C$3:$L$670,9,0)</f>
        <v>31.25</v>
      </c>
      <c r="L436" s="58">
        <f>VLOOKUP($C436,'Master File June-26'!$C$3:$L$670,10,0)</f>
        <v>0</v>
      </c>
      <c r="M436" s="24">
        <f t="shared" si="24"/>
        <v>0</v>
      </c>
      <c r="N436" s="25" t="str">
        <f t="shared" si="25"/>
        <v>ORDER NOW</v>
      </c>
      <c r="O436" s="25" t="str">
        <f t="shared" si="26"/>
        <v>CRITICAL</v>
      </c>
      <c r="S436" s="79">
        <f t="shared" si="27"/>
        <v>0</v>
      </c>
    </row>
    <row r="437" spans="1:19" ht="18.75" x14ac:dyDescent="0.25">
      <c r="A437" s="39">
        <v>255</v>
      </c>
      <c r="B437" s="39" t="s">
        <v>157</v>
      </c>
      <c r="C437" s="39" t="s">
        <v>1039</v>
      </c>
      <c r="D437" s="28" t="s">
        <v>1040</v>
      </c>
      <c r="E437" s="27" t="s">
        <v>1041</v>
      </c>
      <c r="F437" s="5" t="s">
        <v>22</v>
      </c>
      <c r="G437" s="21">
        <v>5.0000000000000001E-4</v>
      </c>
      <c r="H437" s="22">
        <f>VLOOKUP($C437,'Master File June-26'!$C$3:$L$670,6,0)</f>
        <v>125</v>
      </c>
      <c r="I437" s="22">
        <f>VLOOKUP($C437,'Master File June-26'!$C$3:$L$670,7,0)</f>
        <v>250000</v>
      </c>
      <c r="J437" s="5">
        <f>VLOOKUP($C437,'Master File June-26'!$C$3:$L$670,8,0)</f>
        <v>14</v>
      </c>
      <c r="K437" s="23">
        <f>VLOOKUP($C437,'Master File June-26'!$C$3:$L$670,9,0)</f>
        <v>125000</v>
      </c>
      <c r="L437" s="58">
        <f>VLOOKUP($C437,'Master File June-26'!$C$3:$L$670,10,0)</f>
        <v>180</v>
      </c>
      <c r="M437" s="24">
        <f t="shared" si="24"/>
        <v>2.1600000000000001E-2</v>
      </c>
      <c r="N437" s="25" t="str">
        <f t="shared" si="25"/>
        <v>ORDER NOW</v>
      </c>
      <c r="O437" s="25" t="str">
        <f t="shared" si="26"/>
        <v>CRITICAL</v>
      </c>
      <c r="S437" s="79">
        <f t="shared" si="27"/>
        <v>0</v>
      </c>
    </row>
    <row r="438" spans="1:19" ht="18.75" x14ac:dyDescent="0.25">
      <c r="A438" s="41">
        <v>369</v>
      </c>
      <c r="B438" s="41" t="s">
        <v>85</v>
      </c>
      <c r="C438" s="41" t="s">
        <v>1042</v>
      </c>
      <c r="D438" s="28" t="s">
        <v>1043</v>
      </c>
      <c r="E438" s="27" t="s">
        <v>101</v>
      </c>
      <c r="F438" s="5" t="s">
        <v>22</v>
      </c>
      <c r="G438" s="21">
        <v>0.16666666666666666</v>
      </c>
      <c r="H438" s="22">
        <f>VLOOKUP($C438,'Master File June-26'!$C$3:$L$670,6,0)</f>
        <v>17</v>
      </c>
      <c r="I438" s="22">
        <f>VLOOKUP($C438,'Master File June-26'!$C$3:$L$670,7,0)</f>
        <v>102</v>
      </c>
      <c r="J438" s="5">
        <f>VLOOKUP($C438,'Master File June-26'!$C$3:$L$670,8,0)</f>
        <v>14</v>
      </c>
      <c r="K438" s="23">
        <f>VLOOKUP($C438,'Master File June-26'!$C$3:$L$670,9,0)</f>
        <v>51</v>
      </c>
      <c r="L438" s="58">
        <f>VLOOKUP($C438,'Master File June-26'!$C$3:$L$670,10,0)</f>
        <v>0</v>
      </c>
      <c r="M438" s="24">
        <f t="shared" si="24"/>
        <v>0</v>
      </c>
      <c r="N438" s="25" t="str">
        <f t="shared" si="25"/>
        <v>ORDER NOW</v>
      </c>
      <c r="O438" s="25" t="str">
        <f t="shared" si="26"/>
        <v>CRITICAL</v>
      </c>
      <c r="S438" s="79">
        <f t="shared" si="27"/>
        <v>0</v>
      </c>
    </row>
    <row r="439" spans="1:19" ht="18.75" x14ac:dyDescent="0.25">
      <c r="A439" s="39">
        <v>254</v>
      </c>
      <c r="B439" s="39" t="s">
        <v>157</v>
      </c>
      <c r="C439" s="39" t="s">
        <v>1044</v>
      </c>
      <c r="D439" s="28" t="s">
        <v>1045</v>
      </c>
      <c r="E439" s="27" t="s">
        <v>1046</v>
      </c>
      <c r="F439" s="5" t="s">
        <v>22</v>
      </c>
      <c r="G439" s="21">
        <v>1E-3</v>
      </c>
      <c r="H439" s="22">
        <f>VLOOKUP($C439,'Master File June-26'!$C$3:$L$670,6,0)</f>
        <v>86</v>
      </c>
      <c r="I439" s="22">
        <f>VLOOKUP($C439,'Master File June-26'!$C$3:$L$670,7,0)</f>
        <v>86000</v>
      </c>
      <c r="J439" s="5">
        <f>VLOOKUP($C439,'Master File June-26'!$C$3:$L$670,8,0)</f>
        <v>14</v>
      </c>
      <c r="K439" s="23">
        <f>VLOOKUP($C439,'Master File June-26'!$C$3:$L$670,9,0)</f>
        <v>43000</v>
      </c>
      <c r="L439" s="58">
        <f>VLOOKUP($C439,'Master File June-26'!$C$3:$L$670,10,0)</f>
        <v>100</v>
      </c>
      <c r="M439" s="24">
        <f t="shared" si="24"/>
        <v>3.4883720930232558E-2</v>
      </c>
      <c r="N439" s="25" t="str">
        <f t="shared" si="25"/>
        <v>ORDER NOW</v>
      </c>
      <c r="O439" s="25" t="str">
        <f t="shared" si="26"/>
        <v>CRITICAL</v>
      </c>
      <c r="S439" s="79">
        <f t="shared" si="27"/>
        <v>0</v>
      </c>
    </row>
    <row r="440" spans="1:19" ht="18.75" x14ac:dyDescent="0.25">
      <c r="A440" s="41">
        <v>475</v>
      </c>
      <c r="B440" s="41" t="s">
        <v>85</v>
      </c>
      <c r="C440" s="41" t="s">
        <v>1047</v>
      </c>
      <c r="D440" s="28" t="s">
        <v>1048</v>
      </c>
      <c r="E440" s="27" t="s">
        <v>1049</v>
      </c>
      <c r="F440" s="5" t="s">
        <v>22</v>
      </c>
      <c r="G440" s="21">
        <v>0.14172335600907029</v>
      </c>
      <c r="H440" s="22">
        <f>VLOOKUP($C440,'Master File June-26'!$C$3:$L$670,6,0)</f>
        <v>15</v>
      </c>
      <c r="I440" s="22">
        <f>VLOOKUP($C440,'Master File June-26'!$C$3:$L$670,7,0)</f>
        <v>105.84</v>
      </c>
      <c r="J440" s="5">
        <f>VLOOKUP($C440,'Master File June-26'!$C$3:$L$670,8,0)</f>
        <v>14</v>
      </c>
      <c r="K440" s="23">
        <f>VLOOKUP($C440,'Master File June-26'!$C$3:$L$670,9,0)</f>
        <v>52.92</v>
      </c>
      <c r="L440" s="58">
        <f>VLOOKUP($C440,'Master File June-26'!$C$3:$L$670,10,0)</f>
        <v>306.04599999999999</v>
      </c>
      <c r="M440" s="24">
        <f t="shared" si="24"/>
        <v>86.747732426303855</v>
      </c>
      <c r="N440" s="25" t="str">
        <f t="shared" si="25"/>
        <v>IN STOCK</v>
      </c>
      <c r="O440" s="25" t="str">
        <f t="shared" si="26"/>
        <v>FOLLOW UP DELIVERY</v>
      </c>
      <c r="S440" s="79">
        <f t="shared" si="27"/>
        <v>1</v>
      </c>
    </row>
    <row r="441" spans="1:19" ht="18.75" x14ac:dyDescent="0.25">
      <c r="A441" s="19">
        <v>109</v>
      </c>
      <c r="B441" s="19" t="s">
        <v>18</v>
      </c>
      <c r="C441" s="19" t="s">
        <v>1050</v>
      </c>
      <c r="D441" s="70" t="s">
        <v>1051</v>
      </c>
      <c r="E441" s="32" t="s">
        <v>78</v>
      </c>
      <c r="F441" s="5" t="s">
        <v>49</v>
      </c>
      <c r="G441" s="21">
        <v>1</v>
      </c>
      <c r="H441" s="22">
        <f>VLOOKUP($C441,'Master File June-26'!$C$3:$L$670,6,0)</f>
        <v>50</v>
      </c>
      <c r="I441" s="22">
        <f>VLOOKUP($C441,'Master File June-26'!$C$3:$L$670,7,0)</f>
        <v>2400</v>
      </c>
      <c r="J441" s="5">
        <f>VLOOKUP($C441,'Master File June-26'!$C$3:$L$670,8,0)</f>
        <v>14</v>
      </c>
      <c r="K441" s="23">
        <f>VLOOKUP($C441,'Master File June-26'!$C$3:$L$670,9,0)</f>
        <v>1200</v>
      </c>
      <c r="L441" s="58">
        <f>VLOOKUP($C441,'Master File June-26'!$C$3:$L$670,10,0)</f>
        <v>0</v>
      </c>
      <c r="M441" s="24">
        <f t="shared" si="24"/>
        <v>0</v>
      </c>
      <c r="N441" s="25" t="str">
        <f t="shared" si="25"/>
        <v>ORDER NOW</v>
      </c>
      <c r="O441" s="25" t="str">
        <f t="shared" si="26"/>
        <v>CRITICAL</v>
      </c>
      <c r="R441" t="s">
        <v>30</v>
      </c>
      <c r="S441" s="79">
        <f t="shared" si="27"/>
        <v>0</v>
      </c>
    </row>
    <row r="442" spans="1:19" ht="18.75" x14ac:dyDescent="0.25">
      <c r="A442" s="41">
        <v>414</v>
      </c>
      <c r="B442" s="41" t="s">
        <v>38</v>
      </c>
      <c r="C442" s="41" t="s">
        <v>1052</v>
      </c>
      <c r="D442" s="28" t="s">
        <v>1053</v>
      </c>
      <c r="E442" s="27" t="s">
        <v>1054</v>
      </c>
      <c r="F442" s="5" t="s">
        <v>22</v>
      </c>
      <c r="G442" s="21">
        <v>0.19379844961240308</v>
      </c>
      <c r="H442" s="22">
        <f>VLOOKUP($C442,'Master File June-26'!$C$3:$L$670,6,0)</f>
        <v>550</v>
      </c>
      <c r="I442" s="22">
        <f>VLOOKUP($C442,'Master File June-26'!$C$3:$L$670,7,0)</f>
        <v>2838.0000000000005</v>
      </c>
      <c r="J442" s="5">
        <f>VLOOKUP($C442,'Master File June-26'!$C$3:$L$670,8,0)</f>
        <v>14</v>
      </c>
      <c r="K442" s="23">
        <f>VLOOKUP($C442,'Master File June-26'!$C$3:$L$670,9,0)</f>
        <v>1419.0000000000002</v>
      </c>
      <c r="L442" s="58">
        <f>VLOOKUP($C442,'Master File June-26'!$C$3:$L$670,10,0)</f>
        <v>913</v>
      </c>
      <c r="M442" s="24">
        <f t="shared" si="24"/>
        <v>9.6511627906976738</v>
      </c>
      <c r="N442" s="25" t="str">
        <f t="shared" si="25"/>
        <v>ORDER NOW</v>
      </c>
      <c r="O442" s="25" t="str">
        <f t="shared" si="26"/>
        <v>CRITICAL</v>
      </c>
      <c r="S442" s="79">
        <f t="shared" si="27"/>
        <v>0</v>
      </c>
    </row>
    <row r="443" spans="1:19" ht="18.75" x14ac:dyDescent="0.25">
      <c r="A443" s="39">
        <v>237</v>
      </c>
      <c r="B443" s="39" t="s">
        <v>123</v>
      </c>
      <c r="C443" s="39" t="s">
        <v>1055</v>
      </c>
      <c r="D443" s="28" t="s">
        <v>1056</v>
      </c>
      <c r="E443" s="27" t="s">
        <v>706</v>
      </c>
      <c r="F443" s="5" t="s">
        <v>49</v>
      </c>
      <c r="G443" s="21">
        <v>0.2</v>
      </c>
      <c r="H443" s="22">
        <f>VLOOKUP($C443,'Master File June-26'!$C$3:$L$670,6,0)</f>
        <v>63</v>
      </c>
      <c r="I443" s="22">
        <f>VLOOKUP($C443,'Master File June-26'!$C$3:$L$670,7,0)</f>
        <v>315</v>
      </c>
      <c r="J443" s="5">
        <f>VLOOKUP($C443,'Master File June-26'!$C$3:$L$670,8,0)</f>
        <v>14</v>
      </c>
      <c r="K443" s="23">
        <f>VLOOKUP($C443,'Master File June-26'!$C$3:$L$670,9,0)</f>
        <v>157.5</v>
      </c>
      <c r="L443" s="58">
        <f>VLOOKUP($C443,'Master File June-26'!$C$3:$L$670,10,0)</f>
        <v>19</v>
      </c>
      <c r="M443" s="24">
        <f t="shared" si="24"/>
        <v>1.8095238095238095</v>
      </c>
      <c r="N443" s="25" t="str">
        <f t="shared" si="25"/>
        <v>ORDER NOW</v>
      </c>
      <c r="O443" s="25" t="str">
        <f t="shared" si="26"/>
        <v>CRITICAL</v>
      </c>
      <c r="S443" s="79">
        <f t="shared" si="27"/>
        <v>0</v>
      </c>
    </row>
    <row r="444" spans="1:19" ht="18.75" x14ac:dyDescent="0.25">
      <c r="A444" s="41">
        <v>423</v>
      </c>
      <c r="B444" s="41" t="s">
        <v>38</v>
      </c>
      <c r="C444" s="41" t="s">
        <v>1057</v>
      </c>
      <c r="D444" s="28" t="s">
        <v>1058</v>
      </c>
      <c r="E444" s="27" t="s">
        <v>1059</v>
      </c>
      <c r="F444" s="5" t="s">
        <v>54</v>
      </c>
      <c r="G444" s="21">
        <v>0.04</v>
      </c>
      <c r="H444" s="22">
        <f>VLOOKUP($C444,'Master File June-26'!$C$3:$L$670,6,0)</f>
        <v>40</v>
      </c>
      <c r="I444" s="22">
        <f>VLOOKUP($C444,'Master File June-26'!$C$3:$L$670,7,0)</f>
        <v>1000</v>
      </c>
      <c r="J444" s="5">
        <f>VLOOKUP($C444,'Master File June-26'!$C$3:$L$670,8,0)</f>
        <v>14</v>
      </c>
      <c r="K444" s="23">
        <f>VLOOKUP($C444,'Master File June-26'!$C$3:$L$670,9,0)</f>
        <v>500</v>
      </c>
      <c r="L444" s="58">
        <f>VLOOKUP($C444,'Master File June-26'!$C$3:$L$670,10,0)</f>
        <v>0</v>
      </c>
      <c r="M444" s="24">
        <f t="shared" si="24"/>
        <v>0</v>
      </c>
      <c r="N444" s="25" t="str">
        <f t="shared" si="25"/>
        <v>ORDER NOW</v>
      </c>
      <c r="O444" s="25" t="str">
        <f t="shared" si="26"/>
        <v>CRITICAL</v>
      </c>
      <c r="S444" s="79">
        <f t="shared" si="27"/>
        <v>0</v>
      </c>
    </row>
    <row r="445" spans="1:19" ht="18.75" x14ac:dyDescent="0.25">
      <c r="A445" s="19">
        <v>113</v>
      </c>
      <c r="B445" s="19" t="s">
        <v>18</v>
      </c>
      <c r="C445" s="19" t="s">
        <v>1060</v>
      </c>
      <c r="D445" s="28" t="s">
        <v>1061</v>
      </c>
      <c r="E445" s="27" t="s">
        <v>1062</v>
      </c>
      <c r="F445" s="5" t="s">
        <v>22</v>
      </c>
      <c r="G445" s="21">
        <f>1/500</f>
        <v>2E-3</v>
      </c>
      <c r="H445" s="22">
        <f>VLOOKUP($C445,'Master File June-26'!$C$3:$L$670,6,0)</f>
        <v>20</v>
      </c>
      <c r="I445" s="22">
        <f>VLOOKUP($C445,'Master File June-26'!$C$3:$L$670,7,0)</f>
        <v>10000</v>
      </c>
      <c r="J445" s="5">
        <f>VLOOKUP($C445,'Master File June-26'!$C$3:$L$670,8,0)</f>
        <v>14</v>
      </c>
      <c r="K445" s="23">
        <f>VLOOKUP($C445,'Master File June-26'!$C$3:$L$670,9,0)</f>
        <v>5000</v>
      </c>
      <c r="L445" s="58">
        <f>VLOOKUP($C445,'Master File June-26'!$C$3:$L$670,10,0)</f>
        <v>20000</v>
      </c>
      <c r="M445" s="24">
        <f t="shared" si="24"/>
        <v>60</v>
      </c>
      <c r="N445" s="25" t="str">
        <f t="shared" si="25"/>
        <v>IN STOCK</v>
      </c>
      <c r="O445" s="25" t="str">
        <f t="shared" si="26"/>
        <v>FOLLOW UP DELIVERY</v>
      </c>
      <c r="R445" t="s">
        <v>30</v>
      </c>
      <c r="S445" s="79">
        <f t="shared" si="27"/>
        <v>1</v>
      </c>
    </row>
    <row r="446" spans="1:19" ht="18.75" x14ac:dyDescent="0.25">
      <c r="A446" s="49">
        <v>586</v>
      </c>
      <c r="B446" s="49" t="s">
        <v>298</v>
      </c>
      <c r="C446" s="49" t="s">
        <v>1063</v>
      </c>
      <c r="D446" s="28" t="s">
        <v>1064</v>
      </c>
      <c r="E446" s="27" t="s">
        <v>49</v>
      </c>
      <c r="F446" s="5" t="s">
        <v>49</v>
      </c>
      <c r="G446" s="21">
        <v>1</v>
      </c>
      <c r="H446" s="22">
        <f>VLOOKUP($C446,'Master File June-26'!$C$3:$L$670,6,0)</f>
        <v>8</v>
      </c>
      <c r="I446" s="22">
        <f>VLOOKUP($C446,'Master File June-26'!$C$3:$L$670,7,0)</f>
        <v>8</v>
      </c>
      <c r="J446" s="5">
        <f>VLOOKUP($C446,'Master File June-26'!$C$3:$L$670,8,0)</f>
        <v>14</v>
      </c>
      <c r="K446" s="23">
        <f>VLOOKUP($C446,'Master File June-26'!$C$3:$L$670,9,0)</f>
        <v>4</v>
      </c>
      <c r="L446" s="58">
        <f>VLOOKUP($C446,'Master File June-26'!$C$3:$L$670,10,0)</f>
        <v>0</v>
      </c>
      <c r="M446" s="24">
        <f t="shared" si="24"/>
        <v>0</v>
      </c>
      <c r="N446" s="25" t="str">
        <f t="shared" si="25"/>
        <v>ORDER NOW</v>
      </c>
      <c r="O446" s="25" t="str">
        <f t="shared" si="26"/>
        <v>CRITICAL</v>
      </c>
      <c r="S446" s="79">
        <f t="shared" si="27"/>
        <v>0</v>
      </c>
    </row>
    <row r="447" spans="1:19" ht="18.75" x14ac:dyDescent="0.25">
      <c r="A447" s="39">
        <v>329</v>
      </c>
      <c r="B447" s="39" t="s">
        <v>123</v>
      </c>
      <c r="C447" s="39" t="s">
        <v>1065</v>
      </c>
      <c r="D447" s="40" t="s">
        <v>1066</v>
      </c>
      <c r="E447" s="31" t="s">
        <v>22</v>
      </c>
      <c r="F447" s="5" t="s">
        <v>22</v>
      </c>
      <c r="G447" s="21">
        <v>0.16666666666666666</v>
      </c>
      <c r="H447" s="22">
        <f>VLOOKUP($C447,'Master File June-26'!$C$3:$L$670,6,0)</f>
        <v>250</v>
      </c>
      <c r="I447" s="22">
        <f>VLOOKUP($C447,'Master File June-26'!$C$3:$L$670,7,0)</f>
        <v>1500</v>
      </c>
      <c r="J447" s="5">
        <f>VLOOKUP($C447,'Master File June-26'!$C$3:$L$670,8,0)</f>
        <v>14</v>
      </c>
      <c r="K447" s="23">
        <f>VLOOKUP($C447,'Master File June-26'!$C$3:$L$670,9,0)</f>
        <v>750</v>
      </c>
      <c r="L447" s="58">
        <f>VLOOKUP($C447,'Master File June-26'!$C$3:$L$670,10,0)</f>
        <v>24</v>
      </c>
      <c r="M447" s="24">
        <f t="shared" si="24"/>
        <v>0.48</v>
      </c>
      <c r="N447" s="25" t="str">
        <f t="shared" si="25"/>
        <v>ORDER NOW</v>
      </c>
      <c r="O447" s="25" t="str">
        <f t="shared" si="26"/>
        <v>CRITICAL</v>
      </c>
      <c r="S447" s="79">
        <f t="shared" si="27"/>
        <v>0</v>
      </c>
    </row>
    <row r="448" spans="1:19" ht="18.75" x14ac:dyDescent="0.25">
      <c r="A448" s="19">
        <v>67</v>
      </c>
      <c r="B448" s="19" t="s">
        <v>18</v>
      </c>
      <c r="C448" s="19" t="s">
        <v>1067</v>
      </c>
      <c r="D448" s="34" t="s">
        <v>1068</v>
      </c>
      <c r="E448" s="31" t="s">
        <v>1069</v>
      </c>
      <c r="F448" s="5" t="s">
        <v>22</v>
      </c>
      <c r="G448" s="21">
        <v>0.02</v>
      </c>
      <c r="H448" s="22">
        <f>VLOOKUP($C448,'Master File June-26'!$C$3:$L$670,6,0)</f>
        <v>71.5</v>
      </c>
      <c r="I448" s="22">
        <f>VLOOKUP($C448,'Master File June-26'!$C$3:$L$670,7,0)</f>
        <v>3575</v>
      </c>
      <c r="J448" s="5">
        <f>VLOOKUP($C448,'Master File June-26'!$C$3:$L$670,8,0)</f>
        <v>14</v>
      </c>
      <c r="K448" s="23">
        <f>VLOOKUP($C448,'Master File June-26'!$C$3:$L$670,9,0)</f>
        <v>1787.5</v>
      </c>
      <c r="L448" s="58">
        <f>VLOOKUP($C448,'Master File June-26'!$C$3:$L$670,10,0)</f>
        <v>0</v>
      </c>
      <c r="M448" s="24">
        <f t="shared" si="24"/>
        <v>0</v>
      </c>
      <c r="N448" s="25" t="str">
        <f t="shared" si="25"/>
        <v>ORDER NOW</v>
      </c>
      <c r="O448" s="25" t="str">
        <f t="shared" si="26"/>
        <v>CRITICAL</v>
      </c>
      <c r="R448" t="s">
        <v>30</v>
      </c>
      <c r="S448" s="79">
        <f t="shared" si="27"/>
        <v>0</v>
      </c>
    </row>
    <row r="449" spans="1:19" ht="18.75" x14ac:dyDescent="0.25">
      <c r="A449" s="39">
        <v>235</v>
      </c>
      <c r="B449" s="39" t="s">
        <v>123</v>
      </c>
      <c r="C449" s="39" t="s">
        <v>1070</v>
      </c>
      <c r="D449" s="34" t="s">
        <v>1071</v>
      </c>
      <c r="E449" s="31" t="s">
        <v>1072</v>
      </c>
      <c r="F449" s="5" t="s">
        <v>22</v>
      </c>
      <c r="G449" s="21">
        <v>0.05</v>
      </c>
      <c r="H449" s="22">
        <f>VLOOKUP($C449,'Master File June-26'!$C$3:$L$670,6,0)</f>
        <v>22</v>
      </c>
      <c r="I449" s="22">
        <f>VLOOKUP($C449,'Master File June-26'!$C$3:$L$670,7,0)</f>
        <v>440</v>
      </c>
      <c r="J449" s="5">
        <f>VLOOKUP($C449,'Master File June-26'!$C$3:$L$670,8,0)</f>
        <v>14</v>
      </c>
      <c r="K449" s="23">
        <f>VLOOKUP($C449,'Master File June-26'!$C$3:$L$670,9,0)</f>
        <v>220</v>
      </c>
      <c r="L449" s="58">
        <f>VLOOKUP($C449,'Master File June-26'!$C$3:$L$670,10,0)</f>
        <v>15</v>
      </c>
      <c r="M449" s="24">
        <f t="shared" si="24"/>
        <v>1.0227272727272727</v>
      </c>
      <c r="N449" s="25" t="str">
        <f t="shared" si="25"/>
        <v>ORDER NOW</v>
      </c>
      <c r="O449" s="25" t="str">
        <f t="shared" si="26"/>
        <v>CRITICAL</v>
      </c>
      <c r="S449" s="79">
        <f t="shared" si="27"/>
        <v>0</v>
      </c>
    </row>
    <row r="450" spans="1:19" ht="18.75" x14ac:dyDescent="0.25">
      <c r="A450" s="39">
        <v>247</v>
      </c>
      <c r="B450" s="39" t="s">
        <v>123</v>
      </c>
      <c r="C450" s="39" t="s">
        <v>1073</v>
      </c>
      <c r="D450" s="57" t="s">
        <v>1074</v>
      </c>
      <c r="E450" s="27" t="s">
        <v>78</v>
      </c>
      <c r="F450" s="5" t="s">
        <v>49</v>
      </c>
      <c r="G450" s="21">
        <v>1</v>
      </c>
      <c r="H450" s="22">
        <f>VLOOKUP($C450,'Master File June-26'!$C$3:$L$670,6,0)</f>
        <v>63</v>
      </c>
      <c r="I450" s="22">
        <f>VLOOKUP($C450,'Master File June-26'!$C$3:$L$670,7,0)</f>
        <v>63</v>
      </c>
      <c r="J450" s="5">
        <f>VLOOKUP($C450,'Master File June-26'!$C$3:$L$670,8,0)</f>
        <v>14</v>
      </c>
      <c r="K450" s="23">
        <f>VLOOKUP($C450,'Master File June-26'!$C$3:$L$670,9,0)</f>
        <v>31.5</v>
      </c>
      <c r="L450" s="58">
        <f>VLOOKUP($C450,'Master File June-26'!$C$3:$L$670,10,0)</f>
        <v>0</v>
      </c>
      <c r="M450" s="24">
        <f t="shared" si="24"/>
        <v>0</v>
      </c>
      <c r="N450" s="25" t="str">
        <f t="shared" si="25"/>
        <v>ORDER NOW</v>
      </c>
      <c r="O450" s="25" t="str">
        <f t="shared" si="26"/>
        <v>CRITICAL</v>
      </c>
      <c r="S450" s="79">
        <f t="shared" si="27"/>
        <v>0</v>
      </c>
    </row>
    <row r="451" spans="1:19" ht="18.75" x14ac:dyDescent="0.25">
      <c r="A451" s="19">
        <v>106</v>
      </c>
      <c r="B451" s="19" t="s">
        <v>18</v>
      </c>
      <c r="C451" s="19" t="s">
        <v>1075</v>
      </c>
      <c r="D451" s="30" t="s">
        <v>1076</v>
      </c>
      <c r="E451" s="6" t="s">
        <v>1077</v>
      </c>
      <c r="F451" s="5"/>
      <c r="G451" s="21">
        <f>1/20</f>
        <v>0.05</v>
      </c>
      <c r="H451" s="22">
        <f>VLOOKUP($C451,'Master File June-26'!$C$3:$L$670,6,0)</f>
        <v>24</v>
      </c>
      <c r="I451" s="22">
        <f>VLOOKUP($C451,'Master File June-26'!$C$3:$L$670,7,0)</f>
        <v>480</v>
      </c>
      <c r="J451" s="5">
        <f>VLOOKUP($C451,'Master File June-26'!$C$3:$L$670,8,0)</f>
        <v>14</v>
      </c>
      <c r="K451" s="23">
        <f>VLOOKUP($C451,'Master File June-26'!$C$3:$L$670,9,0)</f>
        <v>240</v>
      </c>
      <c r="L451" s="58">
        <f>VLOOKUP($C451,'Master File June-26'!$C$3:$L$670,10,0)</f>
        <v>0</v>
      </c>
      <c r="M451" s="24">
        <f t="shared" ref="M451:M514" si="28">IFERROR((L451/I451*30),0)</f>
        <v>0</v>
      </c>
      <c r="N451" s="25" t="str">
        <f t="shared" ref="N451:N514" si="29">IF(M451&lt;J451,"ORDER NOW","IN STOCK")</f>
        <v>ORDER NOW</v>
      </c>
      <c r="O451" s="25" t="str">
        <f t="shared" ref="O451:O514" si="30">IF(M451&lt;J451,"CRITICAL","FOLLOW UP DELIVERY")</f>
        <v>CRITICAL</v>
      </c>
      <c r="R451" t="s">
        <v>30</v>
      </c>
      <c r="S451" s="79">
        <f t="shared" ref="S451:S514" si="31">IF(L451&lt;K451,0,1)</f>
        <v>0</v>
      </c>
    </row>
    <row r="452" spans="1:19" ht="18.75" x14ac:dyDescent="0.25">
      <c r="A452" s="41">
        <v>425</v>
      </c>
      <c r="B452" s="41" t="s">
        <v>38</v>
      </c>
      <c r="C452" s="41" t="s">
        <v>1078</v>
      </c>
      <c r="D452" s="28" t="s">
        <v>1079</v>
      </c>
      <c r="E452" s="27" t="s">
        <v>1080</v>
      </c>
      <c r="F452" s="5" t="s">
        <v>22</v>
      </c>
      <c r="G452" s="21">
        <f>1/(20*0.5)</f>
        <v>0.1</v>
      </c>
      <c r="H452" s="22">
        <f>VLOOKUP($C452,'Master File June-26'!$C$3:$L$670,6,0)</f>
        <v>5</v>
      </c>
      <c r="I452" s="22">
        <f>VLOOKUP($C452,'Master File June-26'!$C$3:$L$670,7,0)</f>
        <v>50</v>
      </c>
      <c r="J452" s="5">
        <f>VLOOKUP($C452,'Master File June-26'!$C$3:$L$670,8,0)</f>
        <v>14</v>
      </c>
      <c r="K452" s="23">
        <f>VLOOKUP($C452,'Master File June-26'!$C$3:$L$670,9,0)</f>
        <v>25</v>
      </c>
      <c r="L452" s="58">
        <f>VLOOKUP($C452,'Master File June-26'!$C$3:$L$670,10,0)</f>
        <v>0</v>
      </c>
      <c r="M452" s="24">
        <f t="shared" si="28"/>
        <v>0</v>
      </c>
      <c r="N452" s="25" t="str">
        <f t="shared" si="29"/>
        <v>ORDER NOW</v>
      </c>
      <c r="O452" s="25" t="str">
        <f t="shared" si="30"/>
        <v>CRITICAL</v>
      </c>
      <c r="S452" s="79">
        <f t="shared" si="31"/>
        <v>0</v>
      </c>
    </row>
    <row r="453" spans="1:19" ht="18.75" x14ac:dyDescent="0.25">
      <c r="A453" s="19">
        <v>78</v>
      </c>
      <c r="B453" s="19" t="s">
        <v>157</v>
      </c>
      <c r="C453" s="19" t="s">
        <v>1081</v>
      </c>
      <c r="D453" s="28" t="s">
        <v>1082</v>
      </c>
      <c r="E453" s="27" t="s">
        <v>1083</v>
      </c>
      <c r="F453" s="5" t="s">
        <v>22</v>
      </c>
      <c r="G453" s="21">
        <v>2.7777777777777776E-2</v>
      </c>
      <c r="H453" s="22">
        <f>VLOOKUP($C453,'Master File June-26'!$C$3:$L$670,6,0)</f>
        <v>280</v>
      </c>
      <c r="I453" s="22">
        <f>VLOOKUP($C453,'Master File June-26'!$C$3:$L$670,7,0)</f>
        <v>10080000</v>
      </c>
      <c r="J453" s="5">
        <f>VLOOKUP($C453,'Master File June-26'!$C$3:$L$670,8,0)</f>
        <v>14</v>
      </c>
      <c r="K453" s="23">
        <f>VLOOKUP($C453,'Master File June-26'!$C$3:$L$670,9,0)</f>
        <v>5040000</v>
      </c>
      <c r="L453" s="58">
        <f>VLOOKUP($C453,'Master File June-26'!$C$3:$L$670,10,0)</f>
        <v>181</v>
      </c>
      <c r="M453" s="24">
        <f t="shared" si="28"/>
        <v>5.3869047619047625E-4</v>
      </c>
      <c r="N453" s="25" t="str">
        <f t="shared" si="29"/>
        <v>ORDER NOW</v>
      </c>
      <c r="O453" s="25" t="str">
        <f t="shared" si="30"/>
        <v>CRITICAL</v>
      </c>
      <c r="R453" t="s">
        <v>30</v>
      </c>
      <c r="S453" s="79">
        <f t="shared" si="31"/>
        <v>0</v>
      </c>
    </row>
    <row r="454" spans="1:19" ht="18.75" x14ac:dyDescent="0.25">
      <c r="A454" s="19">
        <v>137</v>
      </c>
      <c r="B454" s="19" t="s">
        <v>18</v>
      </c>
      <c r="C454" s="19" t="s">
        <v>1084</v>
      </c>
      <c r="D454" s="62" t="s">
        <v>1085</v>
      </c>
      <c r="E454" s="32" t="s">
        <v>49</v>
      </c>
      <c r="F454" s="5"/>
      <c r="G454" s="21">
        <v>1</v>
      </c>
      <c r="H454" s="22">
        <f>VLOOKUP($C454,'Master File June-26'!$C$3:$L$670,6,0)</f>
        <v>0</v>
      </c>
      <c r="I454" s="22">
        <f>VLOOKUP($C454,'Master File June-26'!$C$3:$L$670,7,0)</f>
        <v>5000</v>
      </c>
      <c r="J454" s="5">
        <f>VLOOKUP($C454,'Master File June-26'!$C$3:$L$670,8,0)</f>
        <v>14</v>
      </c>
      <c r="K454" s="23">
        <f>VLOOKUP($C454,'Master File June-26'!$C$3:$L$670,9,0)</f>
        <v>2500</v>
      </c>
      <c r="L454" s="58">
        <f>VLOOKUP($C454,'Master File June-26'!$C$3:$L$670,10,0)</f>
        <v>5</v>
      </c>
      <c r="M454" s="24">
        <f t="shared" si="28"/>
        <v>0.03</v>
      </c>
      <c r="N454" s="25" t="str">
        <f t="shared" si="29"/>
        <v>ORDER NOW</v>
      </c>
      <c r="O454" s="25" t="str">
        <f t="shared" si="30"/>
        <v>CRITICAL</v>
      </c>
      <c r="R454" t="s">
        <v>30</v>
      </c>
      <c r="S454" s="79">
        <f t="shared" si="31"/>
        <v>0</v>
      </c>
    </row>
    <row r="455" spans="1:19" ht="18.75" x14ac:dyDescent="0.25">
      <c r="A455" s="41">
        <v>363</v>
      </c>
      <c r="B455" s="41" t="s">
        <v>85</v>
      </c>
      <c r="C455" s="41" t="s">
        <v>1086</v>
      </c>
      <c r="D455" s="28" t="s">
        <v>1087</v>
      </c>
      <c r="E455" s="27" t="s">
        <v>1088</v>
      </c>
      <c r="F455" s="5" t="s">
        <v>22</v>
      </c>
      <c r="G455" s="21">
        <v>0.16666666666666666</v>
      </c>
      <c r="H455" s="22">
        <f>VLOOKUP($C455,'Master File June-26'!$C$3:$L$670,6,0)</f>
        <v>16.5</v>
      </c>
      <c r="I455" s="22">
        <f>VLOOKUP($C455,'Master File June-26'!$C$3:$L$670,7,0)</f>
        <v>99</v>
      </c>
      <c r="J455" s="5">
        <f>VLOOKUP($C455,'Master File June-26'!$C$3:$L$670,8,0)</f>
        <v>14</v>
      </c>
      <c r="K455" s="23">
        <f>VLOOKUP($C455,'Master File June-26'!$C$3:$L$670,9,0)</f>
        <v>49.5</v>
      </c>
      <c r="L455" s="58">
        <f>VLOOKUP($C455,'Master File June-26'!$C$3:$L$670,10,0)</f>
        <v>109</v>
      </c>
      <c r="M455" s="24">
        <f t="shared" si="28"/>
        <v>33.030303030303031</v>
      </c>
      <c r="N455" s="25" t="str">
        <f t="shared" si="29"/>
        <v>IN STOCK</v>
      </c>
      <c r="O455" s="25" t="str">
        <f t="shared" si="30"/>
        <v>FOLLOW UP DELIVERY</v>
      </c>
      <c r="S455" s="79">
        <f t="shared" si="31"/>
        <v>1</v>
      </c>
    </row>
    <row r="456" spans="1:19" ht="18.75" x14ac:dyDescent="0.25">
      <c r="A456" s="39">
        <v>214</v>
      </c>
      <c r="B456" s="39" t="s">
        <v>123</v>
      </c>
      <c r="C456" s="39" t="s">
        <v>1089</v>
      </c>
      <c r="D456" s="28" t="s">
        <v>1090</v>
      </c>
      <c r="E456" s="27" t="s">
        <v>754</v>
      </c>
      <c r="F456" s="5" t="s">
        <v>49</v>
      </c>
      <c r="G456" s="21">
        <v>1</v>
      </c>
      <c r="H456" s="22">
        <f>VLOOKUP($C456,'Master File June-26'!$C$3:$L$670,6,0)</f>
        <v>120</v>
      </c>
      <c r="I456" s="22">
        <f>VLOOKUP($C456,'Master File June-26'!$C$3:$L$670,7,0)</f>
        <v>120</v>
      </c>
      <c r="J456" s="5">
        <f>VLOOKUP($C456,'Master File June-26'!$C$3:$L$670,8,0)</f>
        <v>14</v>
      </c>
      <c r="K456" s="23">
        <f>VLOOKUP($C456,'Master File June-26'!$C$3:$L$670,9,0)</f>
        <v>60</v>
      </c>
      <c r="L456" s="58">
        <f>VLOOKUP($C456,'Master File June-26'!$C$3:$L$670,10,0)</f>
        <v>64</v>
      </c>
      <c r="M456" s="24">
        <f t="shared" si="28"/>
        <v>16</v>
      </c>
      <c r="N456" s="25" t="str">
        <f t="shared" si="29"/>
        <v>IN STOCK</v>
      </c>
      <c r="O456" s="25" t="str">
        <f t="shared" si="30"/>
        <v>FOLLOW UP DELIVERY</v>
      </c>
      <c r="S456" s="79">
        <f t="shared" si="31"/>
        <v>1</v>
      </c>
    </row>
    <row r="457" spans="1:19" ht="18.75" x14ac:dyDescent="0.25">
      <c r="A457" s="41">
        <v>382</v>
      </c>
      <c r="B457" s="41" t="s">
        <v>38</v>
      </c>
      <c r="C457" s="41" t="s">
        <v>1091</v>
      </c>
      <c r="D457" s="28" t="s">
        <v>1092</v>
      </c>
      <c r="E457" s="27" t="s">
        <v>1093</v>
      </c>
      <c r="F457" s="5" t="s">
        <v>89</v>
      </c>
      <c r="G457" s="21">
        <f>1/9</f>
        <v>0.1111111111111111</v>
      </c>
      <c r="H457" s="22">
        <f>VLOOKUP($C457,'Master File June-26'!$C$3:$L$670,6,0)</f>
        <v>5.5</v>
      </c>
      <c r="I457" s="22">
        <f>VLOOKUP($C457,'Master File June-26'!$C$3:$L$670,7,0)</f>
        <v>49.5</v>
      </c>
      <c r="J457" s="5">
        <f>VLOOKUP($C457,'Master File June-26'!$C$3:$L$670,8,0)</f>
        <v>14</v>
      </c>
      <c r="K457" s="23">
        <f>VLOOKUP($C457,'Master File June-26'!$C$3:$L$670,9,0)</f>
        <v>24.75</v>
      </c>
      <c r="L457" s="58">
        <f>VLOOKUP($C457,'Master File June-26'!$C$3:$L$670,10,0)</f>
        <v>0</v>
      </c>
      <c r="M457" s="24">
        <f t="shared" si="28"/>
        <v>0</v>
      </c>
      <c r="N457" s="25" t="str">
        <f t="shared" si="29"/>
        <v>ORDER NOW</v>
      </c>
      <c r="O457" s="25" t="str">
        <f t="shared" si="30"/>
        <v>CRITICAL</v>
      </c>
      <c r="S457" s="79">
        <f t="shared" si="31"/>
        <v>0</v>
      </c>
    </row>
    <row r="458" spans="1:19" ht="18.75" x14ac:dyDescent="0.25">
      <c r="A458" s="41">
        <v>496</v>
      </c>
      <c r="B458" s="41" t="s">
        <v>38</v>
      </c>
      <c r="C458" s="41" t="s">
        <v>1094</v>
      </c>
      <c r="D458" s="35" t="s">
        <v>1095</v>
      </c>
      <c r="E458" s="27" t="s">
        <v>64</v>
      </c>
      <c r="F458" s="5" t="s">
        <v>49</v>
      </c>
      <c r="G458" s="21">
        <v>1</v>
      </c>
      <c r="H458" s="22">
        <f>VLOOKUP($C458,'Master File June-26'!$C$3:$L$670,6,0)</f>
        <v>10</v>
      </c>
      <c r="I458" s="22">
        <f>VLOOKUP($C458,'Master File June-26'!$C$3:$L$670,7,0)</f>
        <v>10</v>
      </c>
      <c r="J458" s="5">
        <f>VLOOKUP($C458,'Master File June-26'!$C$3:$L$670,8,0)</f>
        <v>14</v>
      </c>
      <c r="K458" s="23">
        <f>VLOOKUP($C458,'Master File June-26'!$C$3:$L$670,9,0)</f>
        <v>5</v>
      </c>
      <c r="L458" s="58">
        <f>VLOOKUP($C458,'Master File June-26'!$C$3:$L$670,10,0)</f>
        <v>0</v>
      </c>
      <c r="M458" s="24">
        <f t="shared" si="28"/>
        <v>0</v>
      </c>
      <c r="N458" s="25" t="str">
        <f t="shared" si="29"/>
        <v>ORDER NOW</v>
      </c>
      <c r="O458" s="25" t="str">
        <f t="shared" si="30"/>
        <v>CRITICAL</v>
      </c>
      <c r="S458" s="79">
        <f t="shared" si="31"/>
        <v>0</v>
      </c>
    </row>
    <row r="459" spans="1:19" ht="18.75" x14ac:dyDescent="0.25">
      <c r="A459" s="41">
        <v>460</v>
      </c>
      <c r="B459" s="41" t="s">
        <v>38</v>
      </c>
      <c r="C459" s="41" t="s">
        <v>1096</v>
      </c>
      <c r="D459" s="28" t="s">
        <v>1097</v>
      </c>
      <c r="E459" s="27" t="s">
        <v>1098</v>
      </c>
      <c r="F459" s="5" t="s">
        <v>22</v>
      </c>
      <c r="G459" s="21">
        <v>0.1</v>
      </c>
      <c r="H459" s="22">
        <f>VLOOKUP($C459,'Master File June-26'!$C$3:$L$670,6,0)</f>
        <v>210</v>
      </c>
      <c r="I459" s="22">
        <f>VLOOKUP($C459,'Master File June-26'!$C$3:$L$670,7,0)</f>
        <v>2100</v>
      </c>
      <c r="J459" s="5">
        <f>VLOOKUP($C459,'Master File June-26'!$C$3:$L$670,8,0)</f>
        <v>14</v>
      </c>
      <c r="K459" s="23">
        <f>VLOOKUP($C459,'Master File June-26'!$C$3:$L$670,9,0)</f>
        <v>1050</v>
      </c>
      <c r="L459" s="58">
        <f>VLOOKUP($C459,'Master File June-26'!$C$3:$L$670,10,0)</f>
        <v>0</v>
      </c>
      <c r="M459" s="24">
        <f t="shared" si="28"/>
        <v>0</v>
      </c>
      <c r="N459" s="25" t="str">
        <f t="shared" si="29"/>
        <v>ORDER NOW</v>
      </c>
      <c r="O459" s="25" t="str">
        <f t="shared" si="30"/>
        <v>CRITICAL</v>
      </c>
      <c r="S459" s="79">
        <f t="shared" si="31"/>
        <v>0</v>
      </c>
    </row>
    <row r="460" spans="1:19" ht="18.75" x14ac:dyDescent="0.25">
      <c r="A460" s="19">
        <v>79</v>
      </c>
      <c r="B460" s="19" t="s">
        <v>18</v>
      </c>
      <c r="C460" s="19" t="s">
        <v>1099</v>
      </c>
      <c r="D460" s="28" t="s">
        <v>1100</v>
      </c>
      <c r="E460" s="27" t="s">
        <v>902</v>
      </c>
      <c r="F460" s="5" t="s">
        <v>22</v>
      </c>
      <c r="G460" s="21">
        <v>3.3333333333333332E-4</v>
      </c>
      <c r="H460" s="22">
        <f>VLOOKUP($C460,'Master File June-26'!$C$3:$L$670,6,0)</f>
        <v>32</v>
      </c>
      <c r="I460" s="22">
        <f>VLOOKUP($C460,'Master File June-26'!$C$3:$L$670,7,0)</f>
        <v>96000</v>
      </c>
      <c r="J460" s="5">
        <f>VLOOKUP($C460,'Master File June-26'!$C$3:$L$670,8,0)</f>
        <v>14</v>
      </c>
      <c r="K460" s="23">
        <f>VLOOKUP($C460,'Master File June-26'!$C$3:$L$670,9,0)</f>
        <v>48000</v>
      </c>
      <c r="L460" s="58">
        <f>VLOOKUP($C460,'Master File June-26'!$C$3:$L$670,10,0)</f>
        <v>42000</v>
      </c>
      <c r="M460" s="24">
        <f t="shared" si="28"/>
        <v>13.125</v>
      </c>
      <c r="N460" s="25" t="str">
        <f t="shared" si="29"/>
        <v>ORDER NOW</v>
      </c>
      <c r="O460" s="25" t="str">
        <f t="shared" si="30"/>
        <v>CRITICAL</v>
      </c>
      <c r="R460" t="s">
        <v>30</v>
      </c>
      <c r="S460" s="79">
        <f t="shared" si="31"/>
        <v>0</v>
      </c>
    </row>
    <row r="461" spans="1:19" ht="18.75" x14ac:dyDescent="0.25">
      <c r="A461" s="19">
        <v>23</v>
      </c>
      <c r="B461" s="19" t="s">
        <v>18</v>
      </c>
      <c r="C461" s="19" t="s">
        <v>1101</v>
      </c>
      <c r="D461" s="28" t="s">
        <v>1102</v>
      </c>
      <c r="E461" s="27" t="s">
        <v>92</v>
      </c>
      <c r="F461" s="5" t="s">
        <v>22</v>
      </c>
      <c r="G461" s="21">
        <v>5.0000000000000001E-4</v>
      </c>
      <c r="H461" s="22">
        <f>VLOOKUP($C461,'Master File June-26'!$C$3:$L$670,6,0)</f>
        <v>145.5</v>
      </c>
      <c r="I461" s="22">
        <f>VLOOKUP($C461,'Master File June-26'!$C$3:$L$670,7,0)</f>
        <v>291000</v>
      </c>
      <c r="J461" s="5">
        <f>VLOOKUP($C461,'Master File June-26'!$C$3:$L$670,8,0)</f>
        <v>14</v>
      </c>
      <c r="K461" s="23">
        <f>VLOOKUP($C461,'Master File June-26'!$C$3:$L$670,9,0)</f>
        <v>145500</v>
      </c>
      <c r="L461" s="58">
        <f>VLOOKUP($C461,'Master File June-26'!$C$3:$L$670,10,0)</f>
        <v>53500</v>
      </c>
      <c r="M461" s="24">
        <f t="shared" si="28"/>
        <v>5.5154639175257731</v>
      </c>
      <c r="N461" s="25" t="str">
        <f t="shared" si="29"/>
        <v>ORDER NOW</v>
      </c>
      <c r="O461" s="25" t="str">
        <f t="shared" si="30"/>
        <v>CRITICAL</v>
      </c>
      <c r="R461" t="s">
        <v>30</v>
      </c>
      <c r="S461" s="79">
        <f t="shared" si="31"/>
        <v>0</v>
      </c>
    </row>
    <row r="462" spans="1:19" ht="18.75" x14ac:dyDescent="0.25">
      <c r="A462" s="41">
        <v>333</v>
      </c>
      <c r="B462" s="41" t="s">
        <v>38</v>
      </c>
      <c r="C462" s="41" t="s">
        <v>1103</v>
      </c>
      <c r="D462" s="28" t="s">
        <v>1104</v>
      </c>
      <c r="E462" s="27" t="s">
        <v>907</v>
      </c>
      <c r="F462" s="5" t="s">
        <v>22</v>
      </c>
      <c r="G462" s="21">
        <v>8.3333333333333329E-2</v>
      </c>
      <c r="H462" s="22">
        <f>VLOOKUP($C462,'Master File June-26'!$C$3:$L$670,6,0)</f>
        <v>1200</v>
      </c>
      <c r="I462" s="22">
        <f>VLOOKUP($C462,'Master File June-26'!$C$3:$L$670,7,0)</f>
        <v>14400</v>
      </c>
      <c r="J462" s="5">
        <f>VLOOKUP($C462,'Master File June-26'!$C$3:$L$670,8,0)</f>
        <v>14</v>
      </c>
      <c r="K462" s="23">
        <f>VLOOKUP($C462,'Master File June-26'!$C$3:$L$670,9,0)</f>
        <v>7200</v>
      </c>
      <c r="L462" s="58">
        <f>VLOOKUP($C462,'Master File June-26'!$C$3:$L$670,10,0)</f>
        <v>4088</v>
      </c>
      <c r="M462" s="24">
        <f t="shared" si="28"/>
        <v>8.5166666666666675</v>
      </c>
      <c r="N462" s="25" t="str">
        <f t="shared" si="29"/>
        <v>ORDER NOW</v>
      </c>
      <c r="O462" s="25" t="str">
        <f t="shared" si="30"/>
        <v>CRITICAL</v>
      </c>
      <c r="S462" s="79">
        <f t="shared" si="31"/>
        <v>0</v>
      </c>
    </row>
    <row r="463" spans="1:19" ht="18.75" x14ac:dyDescent="0.25">
      <c r="A463" s="19">
        <v>61</v>
      </c>
      <c r="B463" s="19" t="s">
        <v>157</v>
      </c>
      <c r="C463" s="19" t="s">
        <v>1105</v>
      </c>
      <c r="D463" s="30" t="s">
        <v>1106</v>
      </c>
      <c r="E463" s="29" t="s">
        <v>1107</v>
      </c>
      <c r="F463" s="5" t="s">
        <v>22</v>
      </c>
      <c r="G463" s="21">
        <v>2.0000000000000001E-4</v>
      </c>
      <c r="H463" s="22">
        <f>VLOOKUP($C463,'Master File June-26'!$C$3:$L$670,6,0)</f>
        <v>22</v>
      </c>
      <c r="I463" s="22">
        <f>VLOOKUP($C463,'Master File June-26'!$C$3:$L$670,7,0)</f>
        <v>110000</v>
      </c>
      <c r="J463" s="5">
        <f>VLOOKUP($C463,'Master File June-26'!$C$3:$L$670,8,0)</f>
        <v>14</v>
      </c>
      <c r="K463" s="23">
        <f>VLOOKUP($C463,'Master File June-26'!$C$3:$L$670,9,0)</f>
        <v>55000</v>
      </c>
      <c r="L463" s="58">
        <f>VLOOKUP($C463,'Master File June-26'!$C$3:$L$670,10,0)</f>
        <v>0</v>
      </c>
      <c r="M463" s="24">
        <f t="shared" si="28"/>
        <v>0</v>
      </c>
      <c r="N463" s="25" t="str">
        <f t="shared" si="29"/>
        <v>ORDER NOW</v>
      </c>
      <c r="O463" s="25" t="str">
        <f t="shared" si="30"/>
        <v>CRITICAL</v>
      </c>
      <c r="R463" t="s">
        <v>30</v>
      </c>
      <c r="S463" s="79">
        <f t="shared" si="31"/>
        <v>0</v>
      </c>
    </row>
    <row r="464" spans="1:19" ht="18.75" x14ac:dyDescent="0.25">
      <c r="A464" s="39">
        <v>199</v>
      </c>
      <c r="B464" s="39" t="s">
        <v>239</v>
      </c>
      <c r="C464" s="39" t="s">
        <v>1108</v>
      </c>
      <c r="D464" s="28" t="s">
        <v>1109</v>
      </c>
      <c r="E464" s="27" t="s">
        <v>160</v>
      </c>
      <c r="F464" s="5" t="s">
        <v>49</v>
      </c>
      <c r="G464" s="21">
        <v>1</v>
      </c>
      <c r="H464" s="22">
        <f>VLOOKUP($C464,'Master File June-26'!$C$3:$L$670,6,0)</f>
        <v>167</v>
      </c>
      <c r="I464" s="22">
        <f>VLOOKUP($C464,'Master File June-26'!$C$3:$L$670,7,0)</f>
        <v>167</v>
      </c>
      <c r="J464" s="5">
        <f>VLOOKUP($C464,'Master File June-26'!$C$3:$L$670,8,0)</f>
        <v>14</v>
      </c>
      <c r="K464" s="23">
        <f>VLOOKUP($C464,'Master File June-26'!$C$3:$L$670,9,0)</f>
        <v>83.5</v>
      </c>
      <c r="L464" s="58">
        <f>VLOOKUP($C464,'Master File June-26'!$C$3:$L$670,10,0)</f>
        <v>0</v>
      </c>
      <c r="M464" s="24">
        <f t="shared" si="28"/>
        <v>0</v>
      </c>
      <c r="N464" s="25" t="str">
        <f t="shared" si="29"/>
        <v>ORDER NOW</v>
      </c>
      <c r="O464" s="25" t="str">
        <f t="shared" si="30"/>
        <v>CRITICAL</v>
      </c>
      <c r="S464" s="79">
        <f t="shared" si="31"/>
        <v>0</v>
      </c>
    </row>
    <row r="465" spans="1:19" ht="18.75" x14ac:dyDescent="0.25">
      <c r="A465" s="41">
        <v>381</v>
      </c>
      <c r="B465" s="41" t="s">
        <v>38</v>
      </c>
      <c r="C465" s="41" t="s">
        <v>1110</v>
      </c>
      <c r="D465" s="28" t="s">
        <v>1111</v>
      </c>
      <c r="E465" s="27" t="s">
        <v>1112</v>
      </c>
      <c r="F465" s="5" t="s">
        <v>49</v>
      </c>
      <c r="G465" s="21">
        <v>0.1</v>
      </c>
      <c r="H465" s="22">
        <f>VLOOKUP($C465,'Master File June-26'!$C$3:$L$670,6,0)</f>
        <v>13.5</v>
      </c>
      <c r="I465" s="22">
        <f>VLOOKUP($C465,'Master File June-26'!$C$3:$L$670,7,0)</f>
        <v>135</v>
      </c>
      <c r="J465" s="5">
        <f>VLOOKUP($C465,'Master File June-26'!$C$3:$L$670,8,0)</f>
        <v>14</v>
      </c>
      <c r="K465" s="23">
        <f>VLOOKUP($C465,'Master File June-26'!$C$3:$L$670,9,0)</f>
        <v>67.5</v>
      </c>
      <c r="L465" s="58">
        <f>VLOOKUP($C465,'Master File June-26'!$C$3:$L$670,10,0)</f>
        <v>0</v>
      </c>
      <c r="M465" s="24">
        <f t="shared" si="28"/>
        <v>0</v>
      </c>
      <c r="N465" s="25" t="str">
        <f t="shared" si="29"/>
        <v>ORDER NOW</v>
      </c>
      <c r="O465" s="25" t="str">
        <f t="shared" si="30"/>
        <v>CRITICAL</v>
      </c>
      <c r="S465" s="79">
        <f t="shared" si="31"/>
        <v>0</v>
      </c>
    </row>
    <row r="466" spans="1:19" ht="18.75" x14ac:dyDescent="0.25">
      <c r="A466" s="19">
        <v>48</v>
      </c>
      <c r="B466" s="19" t="s">
        <v>239</v>
      </c>
      <c r="C466" s="19" t="s">
        <v>1113</v>
      </c>
      <c r="D466" s="28" t="s">
        <v>1114</v>
      </c>
      <c r="E466" s="27" t="s">
        <v>156</v>
      </c>
      <c r="F466" s="5" t="s">
        <v>22</v>
      </c>
      <c r="G466" s="21">
        <f>1/8000</f>
        <v>1.25E-4</v>
      </c>
      <c r="H466" s="22">
        <f>VLOOKUP($C466,'Master File June-26'!$C$3:$L$670,6,0)</f>
        <v>25</v>
      </c>
      <c r="I466" s="22">
        <f>VLOOKUP($C466,'Master File June-26'!$C$3:$L$670,7,0)</f>
        <v>200000</v>
      </c>
      <c r="J466" s="5">
        <f>VLOOKUP($C466,'Master File June-26'!$C$3:$L$670,8,0)</f>
        <v>14</v>
      </c>
      <c r="K466" s="23">
        <f>VLOOKUP($C466,'Master File June-26'!$C$3:$L$670,9,0)</f>
        <v>100000</v>
      </c>
      <c r="L466" s="58">
        <f>VLOOKUP($C466,'Master File June-26'!$C$3:$L$670,10,0)</f>
        <v>119900</v>
      </c>
      <c r="M466" s="24">
        <f t="shared" si="28"/>
        <v>17.984999999999999</v>
      </c>
      <c r="N466" s="25" t="str">
        <f t="shared" si="29"/>
        <v>IN STOCK</v>
      </c>
      <c r="O466" s="25" t="str">
        <f t="shared" si="30"/>
        <v>FOLLOW UP DELIVERY</v>
      </c>
      <c r="R466" t="s">
        <v>30</v>
      </c>
      <c r="S466" s="79">
        <f t="shared" si="31"/>
        <v>1</v>
      </c>
    </row>
    <row r="467" spans="1:19" ht="18.75" x14ac:dyDescent="0.25">
      <c r="A467" s="19">
        <v>115</v>
      </c>
      <c r="B467" s="19" t="s">
        <v>18</v>
      </c>
      <c r="C467" s="19" t="s">
        <v>1115</v>
      </c>
      <c r="D467" s="28" t="s">
        <v>1116</v>
      </c>
      <c r="E467" s="27" t="s">
        <v>191</v>
      </c>
      <c r="F467" s="5" t="s">
        <v>22</v>
      </c>
      <c r="G467" s="21">
        <v>1E-3</v>
      </c>
      <c r="H467" s="22">
        <f>VLOOKUP($C467,'Master File June-26'!$C$3:$L$670,6,0)</f>
        <v>15</v>
      </c>
      <c r="I467" s="22">
        <f>VLOOKUP($C467,'Master File June-26'!$C$3:$L$670,7,0)</f>
        <v>15000</v>
      </c>
      <c r="J467" s="5">
        <f>VLOOKUP($C467,'Master File June-26'!$C$3:$L$670,8,0)</f>
        <v>14</v>
      </c>
      <c r="K467" s="23">
        <f>VLOOKUP($C467,'Master File June-26'!$C$3:$L$670,9,0)</f>
        <v>7500</v>
      </c>
      <c r="L467" s="58">
        <f>VLOOKUP($C467,'Master File June-26'!$C$3:$L$670,10,0)</f>
        <v>0</v>
      </c>
      <c r="M467" s="24">
        <f t="shared" si="28"/>
        <v>0</v>
      </c>
      <c r="N467" s="25" t="str">
        <f t="shared" si="29"/>
        <v>ORDER NOW</v>
      </c>
      <c r="O467" s="25" t="str">
        <f t="shared" si="30"/>
        <v>CRITICAL</v>
      </c>
      <c r="R467" t="s">
        <v>30</v>
      </c>
      <c r="S467" s="79">
        <f t="shared" si="31"/>
        <v>0</v>
      </c>
    </row>
    <row r="468" spans="1:19" ht="18.75" x14ac:dyDescent="0.25">
      <c r="A468" s="19">
        <v>164</v>
      </c>
      <c r="B468" s="19" t="s">
        <v>18</v>
      </c>
      <c r="C468" s="19" t="s">
        <v>1117</v>
      </c>
      <c r="D468" s="28" t="s">
        <v>1118</v>
      </c>
      <c r="E468" s="27" t="s">
        <v>1119</v>
      </c>
      <c r="F468" s="5" t="s">
        <v>22</v>
      </c>
      <c r="G468" s="21">
        <f>1/8000</f>
        <v>1.25E-4</v>
      </c>
      <c r="H468" s="22">
        <f>VLOOKUP($C468,'Master File June-26'!$C$3:$L$670,6,0)</f>
        <v>10</v>
      </c>
      <c r="I468" s="22">
        <f>VLOOKUP($C468,'Master File June-26'!$C$3:$L$670,7,0)</f>
        <v>80000</v>
      </c>
      <c r="J468" s="5">
        <f>VLOOKUP($C468,'Master File June-26'!$C$3:$L$670,8,0)</f>
        <v>14</v>
      </c>
      <c r="K468" s="23">
        <f>VLOOKUP($C468,'Master File June-26'!$C$3:$L$670,9,0)</f>
        <v>40000</v>
      </c>
      <c r="L468" s="58">
        <f>VLOOKUP($C468,'Master File June-26'!$C$3:$L$670,10,0)</f>
        <v>30400</v>
      </c>
      <c r="M468" s="24">
        <f t="shared" si="28"/>
        <v>11.4</v>
      </c>
      <c r="N468" s="25" t="str">
        <f t="shared" si="29"/>
        <v>ORDER NOW</v>
      </c>
      <c r="O468" s="25" t="str">
        <f t="shared" si="30"/>
        <v>CRITICAL</v>
      </c>
      <c r="S468" s="79">
        <f t="shared" si="31"/>
        <v>0</v>
      </c>
    </row>
    <row r="469" spans="1:19" ht="18.75" x14ac:dyDescent="0.25">
      <c r="A469" s="41">
        <v>503</v>
      </c>
      <c r="B469" s="41" t="s">
        <v>38</v>
      </c>
      <c r="C469" s="41" t="s">
        <v>1120</v>
      </c>
      <c r="D469" s="28" t="s">
        <v>1121</v>
      </c>
      <c r="E469" s="27" t="s">
        <v>826</v>
      </c>
      <c r="F469" s="5" t="s">
        <v>49</v>
      </c>
      <c r="G469" s="21">
        <v>1</v>
      </c>
      <c r="H469" s="22">
        <f>VLOOKUP($C469,'Master File June-26'!$C$3:$L$670,6,0)</f>
        <v>4</v>
      </c>
      <c r="I469" s="22">
        <f>VLOOKUP($C469,'Master File June-26'!$C$3:$L$670,7,0)</f>
        <v>4</v>
      </c>
      <c r="J469" s="5">
        <f>VLOOKUP($C469,'Master File June-26'!$C$3:$L$670,8,0)</f>
        <v>14</v>
      </c>
      <c r="K469" s="23">
        <f>VLOOKUP($C469,'Master File June-26'!$C$3:$L$670,9,0)</f>
        <v>2</v>
      </c>
      <c r="L469" s="58">
        <f>VLOOKUP($C469,'Master File June-26'!$C$3:$L$670,10,0)</f>
        <v>0</v>
      </c>
      <c r="M469" s="24">
        <f t="shared" si="28"/>
        <v>0</v>
      </c>
      <c r="N469" s="25" t="str">
        <f t="shared" si="29"/>
        <v>ORDER NOW</v>
      </c>
      <c r="O469" s="25" t="str">
        <f t="shared" si="30"/>
        <v>CRITICAL</v>
      </c>
      <c r="S469" s="79">
        <f t="shared" si="31"/>
        <v>0</v>
      </c>
    </row>
    <row r="470" spans="1:19" ht="18.75" x14ac:dyDescent="0.25">
      <c r="A470" s="41">
        <v>383</v>
      </c>
      <c r="B470" s="41" t="s">
        <v>38</v>
      </c>
      <c r="C470" s="41" t="s">
        <v>1122</v>
      </c>
      <c r="D470" s="28" t="s">
        <v>1123</v>
      </c>
      <c r="E470" s="27" t="s">
        <v>64</v>
      </c>
      <c r="F470" s="5" t="s">
        <v>49</v>
      </c>
      <c r="G470" s="21">
        <v>1</v>
      </c>
      <c r="H470" s="22">
        <f>VLOOKUP($C470,'Master File June-26'!$C$3:$L$670,6,0)</f>
        <v>10</v>
      </c>
      <c r="I470" s="22">
        <f>VLOOKUP($C470,'Master File June-26'!$C$3:$L$670,7,0)</f>
        <v>10</v>
      </c>
      <c r="J470" s="5">
        <f>VLOOKUP($C470,'Master File June-26'!$C$3:$L$670,8,0)</f>
        <v>14</v>
      </c>
      <c r="K470" s="23">
        <f>VLOOKUP($C470,'Master File June-26'!$C$3:$L$670,9,0)</f>
        <v>5</v>
      </c>
      <c r="L470" s="58">
        <f>VLOOKUP($C470,'Master File June-26'!$C$3:$L$670,10,0)</f>
        <v>0</v>
      </c>
      <c r="M470" s="24">
        <f t="shared" si="28"/>
        <v>0</v>
      </c>
      <c r="N470" s="25" t="str">
        <f t="shared" si="29"/>
        <v>ORDER NOW</v>
      </c>
      <c r="O470" s="25" t="str">
        <f t="shared" si="30"/>
        <v>CRITICAL</v>
      </c>
      <c r="S470" s="79">
        <f t="shared" si="31"/>
        <v>0</v>
      </c>
    </row>
    <row r="471" spans="1:19" ht="18.75" x14ac:dyDescent="0.25">
      <c r="A471" s="39">
        <v>274</v>
      </c>
      <c r="B471" s="39" t="s">
        <v>239</v>
      </c>
      <c r="C471" s="39" t="s">
        <v>1124</v>
      </c>
      <c r="D471" s="34" t="s">
        <v>1125</v>
      </c>
      <c r="E471" s="31" t="s">
        <v>78</v>
      </c>
      <c r="F471" s="5" t="s">
        <v>49</v>
      </c>
      <c r="G471" s="21">
        <v>1</v>
      </c>
      <c r="H471" s="22">
        <f>VLOOKUP($C471,'Master File June-26'!$C$3:$L$670,6,0)</f>
        <v>19</v>
      </c>
      <c r="I471" s="22">
        <f>VLOOKUP($C471,'Master File June-26'!$C$3:$L$670,7,0)</f>
        <v>19</v>
      </c>
      <c r="J471" s="5">
        <f>VLOOKUP($C471,'Master File June-26'!$C$3:$L$670,8,0)</f>
        <v>14</v>
      </c>
      <c r="K471" s="23">
        <f>VLOOKUP($C471,'Master File June-26'!$C$3:$L$670,9,0)</f>
        <v>9.5</v>
      </c>
      <c r="L471" s="58">
        <f>VLOOKUP($C471,'Master File June-26'!$C$3:$L$670,10,0)</f>
        <v>4</v>
      </c>
      <c r="M471" s="24">
        <f t="shared" si="28"/>
        <v>6.3157894736842106</v>
      </c>
      <c r="N471" s="25" t="str">
        <f t="shared" si="29"/>
        <v>ORDER NOW</v>
      </c>
      <c r="O471" s="25" t="str">
        <f t="shared" si="30"/>
        <v>CRITICAL</v>
      </c>
      <c r="S471" s="79">
        <f t="shared" si="31"/>
        <v>0</v>
      </c>
    </row>
    <row r="472" spans="1:19" ht="18.75" x14ac:dyDescent="0.25">
      <c r="A472" s="41">
        <v>490</v>
      </c>
      <c r="B472" s="41" t="s">
        <v>38</v>
      </c>
      <c r="C472" s="41" t="s">
        <v>1126</v>
      </c>
      <c r="D472" s="35" t="s">
        <v>1127</v>
      </c>
      <c r="E472" s="27" t="s">
        <v>1128</v>
      </c>
      <c r="F472" s="5" t="s">
        <v>54</v>
      </c>
      <c r="G472" s="21">
        <v>0.2</v>
      </c>
      <c r="H472" s="22">
        <f>VLOOKUP($C472,'Master File June-26'!$C$3:$L$670,6,0)</f>
        <v>10</v>
      </c>
      <c r="I472" s="22">
        <f>VLOOKUP($C472,'Master File June-26'!$C$3:$L$670,7,0)</f>
        <v>50</v>
      </c>
      <c r="J472" s="5">
        <f>VLOOKUP($C472,'Master File June-26'!$C$3:$L$670,8,0)</f>
        <v>14</v>
      </c>
      <c r="K472" s="23">
        <f>VLOOKUP($C472,'Master File June-26'!$C$3:$L$670,9,0)</f>
        <v>25</v>
      </c>
      <c r="L472" s="58">
        <f>VLOOKUP($C472,'Master File June-26'!$C$3:$L$670,10,0)</f>
        <v>0</v>
      </c>
      <c r="M472" s="24">
        <f t="shared" si="28"/>
        <v>0</v>
      </c>
      <c r="N472" s="25" t="str">
        <f t="shared" si="29"/>
        <v>ORDER NOW</v>
      </c>
      <c r="O472" s="25" t="str">
        <f t="shared" si="30"/>
        <v>CRITICAL</v>
      </c>
      <c r="S472" s="79">
        <f t="shared" si="31"/>
        <v>0</v>
      </c>
    </row>
    <row r="473" spans="1:19" ht="18.75" x14ac:dyDescent="0.25">
      <c r="A473" s="41">
        <v>492</v>
      </c>
      <c r="B473" s="41" t="s">
        <v>38</v>
      </c>
      <c r="C473" s="41" t="s">
        <v>1129</v>
      </c>
      <c r="D473" s="28" t="s">
        <v>1130</v>
      </c>
      <c r="E473" s="27" t="s">
        <v>826</v>
      </c>
      <c r="F473" s="5" t="s">
        <v>49</v>
      </c>
      <c r="G473" s="21">
        <v>1</v>
      </c>
      <c r="H473" s="22">
        <f>VLOOKUP($C473,'Master File June-26'!$C$3:$L$670,6,0)</f>
        <v>1</v>
      </c>
      <c r="I473" s="22">
        <f>VLOOKUP($C473,'Master File June-26'!$C$3:$L$670,7,0)</f>
        <v>1</v>
      </c>
      <c r="J473" s="5">
        <f>VLOOKUP($C473,'Master File June-26'!$C$3:$L$670,8,0)</f>
        <v>14</v>
      </c>
      <c r="K473" s="23">
        <f>VLOOKUP($C473,'Master File June-26'!$C$3:$L$670,9,0)</f>
        <v>0.5</v>
      </c>
      <c r="L473" s="58">
        <f>VLOOKUP($C473,'Master File June-26'!$C$3:$L$670,10,0)</f>
        <v>0</v>
      </c>
      <c r="M473" s="24">
        <f t="shared" si="28"/>
        <v>0</v>
      </c>
      <c r="N473" s="25" t="str">
        <f t="shared" si="29"/>
        <v>ORDER NOW</v>
      </c>
      <c r="O473" s="25" t="str">
        <f t="shared" si="30"/>
        <v>CRITICAL</v>
      </c>
      <c r="S473" s="79">
        <f t="shared" si="31"/>
        <v>0</v>
      </c>
    </row>
    <row r="474" spans="1:19" ht="18.75" x14ac:dyDescent="0.25">
      <c r="A474" s="41">
        <v>500</v>
      </c>
      <c r="B474" s="41" t="s">
        <v>38</v>
      </c>
      <c r="C474" s="41" t="s">
        <v>1131</v>
      </c>
      <c r="D474" s="28" t="s">
        <v>1132</v>
      </c>
      <c r="E474" s="27" t="s">
        <v>1133</v>
      </c>
      <c r="F474" s="5" t="s">
        <v>49</v>
      </c>
      <c r="G474" s="21">
        <v>1</v>
      </c>
      <c r="H474" s="22">
        <f>VLOOKUP($C474,'Master File June-26'!$C$3:$L$670,6,0)</f>
        <v>10</v>
      </c>
      <c r="I474" s="22">
        <f>VLOOKUP($C474,'Master File June-26'!$C$3:$L$670,7,0)</f>
        <v>10</v>
      </c>
      <c r="J474" s="5">
        <f>VLOOKUP($C474,'Master File June-26'!$C$3:$L$670,8,0)</f>
        <v>14</v>
      </c>
      <c r="K474" s="23">
        <f>VLOOKUP($C474,'Master File June-26'!$C$3:$L$670,9,0)</f>
        <v>5</v>
      </c>
      <c r="L474" s="58">
        <f>VLOOKUP($C474,'Master File June-26'!$C$3:$L$670,10,0)</f>
        <v>0</v>
      </c>
      <c r="M474" s="24">
        <f t="shared" si="28"/>
        <v>0</v>
      </c>
      <c r="N474" s="25" t="str">
        <f t="shared" si="29"/>
        <v>ORDER NOW</v>
      </c>
      <c r="O474" s="25" t="str">
        <f t="shared" si="30"/>
        <v>CRITICAL</v>
      </c>
      <c r="S474" s="79">
        <f t="shared" si="31"/>
        <v>0</v>
      </c>
    </row>
    <row r="475" spans="1:19" ht="18.75" x14ac:dyDescent="0.25">
      <c r="A475" s="41">
        <v>531</v>
      </c>
      <c r="B475" s="41" t="s">
        <v>38</v>
      </c>
      <c r="C475" s="41" t="s">
        <v>1134</v>
      </c>
      <c r="D475" s="40" t="s">
        <v>1135</v>
      </c>
      <c r="E475" s="31" t="s">
        <v>64</v>
      </c>
      <c r="F475" s="5" t="s">
        <v>22</v>
      </c>
      <c r="G475" s="21">
        <v>1</v>
      </c>
      <c r="H475" s="22">
        <f>VLOOKUP($C475,'Master File June-26'!$C$3:$L$670,6,0)</f>
        <v>5</v>
      </c>
      <c r="I475" s="22">
        <f>VLOOKUP($C475,'Master File June-26'!$C$3:$L$670,7,0)</f>
        <v>5</v>
      </c>
      <c r="J475" s="5">
        <f>VLOOKUP($C475,'Master File June-26'!$C$3:$L$670,8,0)</f>
        <v>14</v>
      </c>
      <c r="K475" s="23">
        <f>VLOOKUP($C475,'Master File June-26'!$C$3:$L$670,9,0)</f>
        <v>2.5</v>
      </c>
      <c r="L475" s="58">
        <f>VLOOKUP($C475,'Master File June-26'!$C$3:$L$670,10,0)</f>
        <v>0</v>
      </c>
      <c r="M475" s="24">
        <f t="shared" si="28"/>
        <v>0</v>
      </c>
      <c r="N475" s="25" t="str">
        <f t="shared" si="29"/>
        <v>ORDER NOW</v>
      </c>
      <c r="O475" s="25" t="str">
        <f t="shared" si="30"/>
        <v>CRITICAL</v>
      </c>
      <c r="S475" s="79">
        <f t="shared" si="31"/>
        <v>0</v>
      </c>
    </row>
    <row r="476" spans="1:19" ht="18.75" x14ac:dyDescent="0.25">
      <c r="A476" s="41">
        <v>541</v>
      </c>
      <c r="B476" s="41" t="s">
        <v>38</v>
      </c>
      <c r="C476" s="41" t="s">
        <v>1136</v>
      </c>
      <c r="D476" s="40" t="s">
        <v>1137</v>
      </c>
      <c r="E476" s="31" t="s">
        <v>22</v>
      </c>
      <c r="F476" s="5" t="s">
        <v>22</v>
      </c>
      <c r="G476" s="21">
        <v>0.1</v>
      </c>
      <c r="H476" s="22">
        <f>VLOOKUP($C476,'Master File June-26'!$C$3:$L$670,6,0)</f>
        <v>1</v>
      </c>
      <c r="I476" s="22">
        <f>VLOOKUP($C476,'Master File June-26'!$C$3:$L$670,7,0)</f>
        <v>10</v>
      </c>
      <c r="J476" s="5">
        <f>VLOOKUP($C476,'Master File June-26'!$C$3:$L$670,8,0)</f>
        <v>14</v>
      </c>
      <c r="K476" s="23">
        <f>VLOOKUP($C476,'Master File June-26'!$C$3:$L$670,9,0)</f>
        <v>5</v>
      </c>
      <c r="L476" s="58">
        <f>VLOOKUP($C476,'Master File June-26'!$C$3:$L$670,10,0)</f>
        <v>0</v>
      </c>
      <c r="M476" s="24">
        <f t="shared" si="28"/>
        <v>0</v>
      </c>
      <c r="N476" s="25" t="str">
        <f t="shared" si="29"/>
        <v>ORDER NOW</v>
      </c>
      <c r="O476" s="25" t="str">
        <f t="shared" si="30"/>
        <v>CRITICAL</v>
      </c>
      <c r="S476" s="79">
        <f t="shared" si="31"/>
        <v>0</v>
      </c>
    </row>
    <row r="477" spans="1:19" ht="18.75" x14ac:dyDescent="0.25">
      <c r="A477" s="41">
        <v>464</v>
      </c>
      <c r="B477" s="41" t="s">
        <v>38</v>
      </c>
      <c r="C477" s="41" t="s">
        <v>1138</v>
      </c>
      <c r="D477" s="28" t="s">
        <v>1139</v>
      </c>
      <c r="E477" s="27" t="s">
        <v>466</v>
      </c>
      <c r="F477" s="5" t="s">
        <v>49</v>
      </c>
      <c r="G477" s="21">
        <v>0.04</v>
      </c>
      <c r="H477" s="22">
        <f>VLOOKUP($C477,'Master File June-26'!$C$3:$L$670,6,0)</f>
        <v>90</v>
      </c>
      <c r="I477" s="22">
        <f>VLOOKUP($C477,'Master File June-26'!$C$3:$L$670,7,0)</f>
        <v>2250</v>
      </c>
      <c r="J477" s="5">
        <f>VLOOKUP($C477,'Master File June-26'!$C$3:$L$670,8,0)</f>
        <v>14</v>
      </c>
      <c r="K477" s="23">
        <f>VLOOKUP($C477,'Master File June-26'!$C$3:$L$670,9,0)</f>
        <v>1125</v>
      </c>
      <c r="L477" s="58">
        <f>VLOOKUP($C477,'Master File June-26'!$C$3:$L$670,10,0)</f>
        <v>0</v>
      </c>
      <c r="M477" s="24">
        <f t="shared" si="28"/>
        <v>0</v>
      </c>
      <c r="N477" s="25" t="str">
        <f t="shared" si="29"/>
        <v>ORDER NOW</v>
      </c>
      <c r="O477" s="25" t="str">
        <f t="shared" si="30"/>
        <v>CRITICAL</v>
      </c>
      <c r="S477" s="79">
        <f t="shared" si="31"/>
        <v>0</v>
      </c>
    </row>
    <row r="478" spans="1:19" ht="18.75" x14ac:dyDescent="0.25">
      <c r="A478" s="19">
        <v>26</v>
      </c>
      <c r="B478" s="19" t="s">
        <v>18</v>
      </c>
      <c r="C478" s="19" t="s">
        <v>1140</v>
      </c>
      <c r="D478" s="28" t="s">
        <v>1141</v>
      </c>
      <c r="E478" s="27" t="s">
        <v>1142</v>
      </c>
      <c r="F478" s="5" t="s">
        <v>22</v>
      </c>
      <c r="G478" s="21">
        <v>1E-3</v>
      </c>
      <c r="H478" s="22">
        <f>VLOOKUP($C478,'Master File June-26'!$C$3:$L$670,6,0)</f>
        <v>137</v>
      </c>
      <c r="I478" s="22">
        <f>VLOOKUP($C478,'Master File June-26'!$C$3:$L$670,7,0)</f>
        <v>137000</v>
      </c>
      <c r="J478" s="5">
        <f>VLOOKUP($C478,'Master File June-26'!$C$3:$L$670,8,0)</f>
        <v>60</v>
      </c>
      <c r="K478" s="23">
        <f>VLOOKUP($C478,'Master File June-26'!$C$3:$L$670,9,0)</f>
        <v>293571.42857142858</v>
      </c>
      <c r="L478" s="58">
        <f>VLOOKUP($C478,'Master File June-26'!$C$3:$L$670,10,0)</f>
        <v>26000</v>
      </c>
      <c r="M478" s="24">
        <f t="shared" si="28"/>
        <v>5.6934306569343063</v>
      </c>
      <c r="N478" s="25" t="str">
        <f t="shared" si="29"/>
        <v>ORDER NOW</v>
      </c>
      <c r="O478" s="25" t="str">
        <f t="shared" si="30"/>
        <v>CRITICAL</v>
      </c>
      <c r="R478" t="s">
        <v>30</v>
      </c>
      <c r="S478" s="79">
        <f t="shared" si="31"/>
        <v>0</v>
      </c>
    </row>
    <row r="479" spans="1:19" ht="18.75" x14ac:dyDescent="0.25">
      <c r="A479" s="41">
        <v>370</v>
      </c>
      <c r="B479" s="41" t="s">
        <v>85</v>
      </c>
      <c r="C479" s="41" t="s">
        <v>1143</v>
      </c>
      <c r="D479" s="28" t="s">
        <v>1144</v>
      </c>
      <c r="E479" s="27" t="s">
        <v>101</v>
      </c>
      <c r="F479" s="5" t="s">
        <v>22</v>
      </c>
      <c r="G479" s="21">
        <v>0.16666666666666666</v>
      </c>
      <c r="H479" s="22">
        <f>VLOOKUP($C479,'Master File June-26'!$C$3:$L$670,6,0)</f>
        <v>50</v>
      </c>
      <c r="I479" s="22">
        <f>VLOOKUP($C479,'Master File June-26'!$C$3:$L$670,7,0)</f>
        <v>300</v>
      </c>
      <c r="J479" s="5">
        <f>VLOOKUP($C479,'Master File June-26'!$C$3:$L$670,8,0)</f>
        <v>14</v>
      </c>
      <c r="K479" s="23">
        <f>VLOOKUP($C479,'Master File June-26'!$C$3:$L$670,9,0)</f>
        <v>150</v>
      </c>
      <c r="L479" s="58">
        <f>VLOOKUP($C479,'Master File June-26'!$C$3:$L$670,10,0)</f>
        <v>390</v>
      </c>
      <c r="M479" s="24">
        <f t="shared" si="28"/>
        <v>39</v>
      </c>
      <c r="N479" s="25" t="str">
        <f t="shared" si="29"/>
        <v>IN STOCK</v>
      </c>
      <c r="O479" s="25" t="str">
        <f t="shared" si="30"/>
        <v>FOLLOW UP DELIVERY</v>
      </c>
      <c r="S479" s="79">
        <f t="shared" si="31"/>
        <v>1</v>
      </c>
    </row>
    <row r="480" spans="1:19" ht="18.75" x14ac:dyDescent="0.25">
      <c r="A480" s="19">
        <v>28</v>
      </c>
      <c r="B480" s="19" t="s">
        <v>18</v>
      </c>
      <c r="C480" s="19" t="s">
        <v>1145</v>
      </c>
      <c r="D480" s="28" t="s">
        <v>1146</v>
      </c>
      <c r="E480" s="27" t="s">
        <v>873</v>
      </c>
      <c r="F480" s="5" t="s">
        <v>22</v>
      </c>
      <c r="G480" s="21">
        <v>2E-3</v>
      </c>
      <c r="H480" s="22">
        <f>VLOOKUP($C480,'Master File June-26'!$C$3:$L$670,6,0)</f>
        <v>995.5</v>
      </c>
      <c r="I480" s="22">
        <f>VLOOKUP($C480,'Master File June-26'!$C$3:$L$670,7,0)</f>
        <v>497750</v>
      </c>
      <c r="J480" s="5">
        <f>VLOOKUP($C480,'Master File June-26'!$C$3:$L$670,8,0)</f>
        <v>60</v>
      </c>
      <c r="K480" s="23">
        <f>VLOOKUP($C480,'Master File June-26'!$C$3:$L$670,9,0)</f>
        <v>1066607.1428571427</v>
      </c>
      <c r="L480" s="58">
        <f>VLOOKUP($C480,'Master File June-26'!$C$3:$L$670,10,0)</f>
        <v>247000</v>
      </c>
      <c r="M480" s="24">
        <f t="shared" si="28"/>
        <v>14.886991461577097</v>
      </c>
      <c r="N480" s="25" t="str">
        <f t="shared" si="29"/>
        <v>ORDER NOW</v>
      </c>
      <c r="O480" s="25" t="str">
        <f t="shared" si="30"/>
        <v>CRITICAL</v>
      </c>
      <c r="R480" t="s">
        <v>30</v>
      </c>
      <c r="S480" s="79">
        <f t="shared" si="31"/>
        <v>0</v>
      </c>
    </row>
    <row r="481" spans="1:19" ht="18.75" x14ac:dyDescent="0.25">
      <c r="A481" s="19">
        <v>87</v>
      </c>
      <c r="B481" s="19" t="s">
        <v>18</v>
      </c>
      <c r="C481" s="19" t="s">
        <v>1147</v>
      </c>
      <c r="D481" s="28" t="s">
        <v>1148</v>
      </c>
      <c r="E481" s="27" t="s">
        <v>955</v>
      </c>
      <c r="F481" s="5" t="s">
        <v>22</v>
      </c>
      <c r="G481" s="21">
        <v>1.6260162601626016E-3</v>
      </c>
      <c r="H481" s="22">
        <f>VLOOKUP($C481,'Master File June-26'!$C$3:$L$670,6,0)</f>
        <v>96</v>
      </c>
      <c r="I481" s="22">
        <f>VLOOKUP($C481,'Master File June-26'!$C$3:$L$670,7,0)</f>
        <v>59040</v>
      </c>
      <c r="J481" s="5">
        <f>VLOOKUP($C481,'Master File June-26'!$C$3:$L$670,8,0)</f>
        <v>14</v>
      </c>
      <c r="K481" s="23">
        <f>VLOOKUP($C481,'Master File June-26'!$C$3:$L$670,9,0)</f>
        <v>29520</v>
      </c>
      <c r="L481" s="58">
        <f>VLOOKUP($C481,'Master File June-26'!$C$3:$L$670,10,0)</f>
        <v>6895</v>
      </c>
      <c r="M481" s="24">
        <f t="shared" si="28"/>
        <v>3.5035569105691056</v>
      </c>
      <c r="N481" s="25" t="str">
        <f t="shared" si="29"/>
        <v>ORDER NOW</v>
      </c>
      <c r="O481" s="25" t="str">
        <f t="shared" si="30"/>
        <v>CRITICAL</v>
      </c>
      <c r="R481" t="s">
        <v>30</v>
      </c>
      <c r="S481" s="79">
        <f t="shared" si="31"/>
        <v>0</v>
      </c>
    </row>
    <row r="482" spans="1:19" ht="18.75" x14ac:dyDescent="0.25">
      <c r="A482" s="41">
        <v>428</v>
      </c>
      <c r="B482" s="41" t="s">
        <v>38</v>
      </c>
      <c r="C482" s="41" t="s">
        <v>1149</v>
      </c>
      <c r="D482" s="28" t="s">
        <v>1150</v>
      </c>
      <c r="E482" s="27" t="s">
        <v>70</v>
      </c>
      <c r="F482" s="5" t="s">
        <v>54</v>
      </c>
      <c r="G482" s="21">
        <v>0.1</v>
      </c>
      <c r="H482" s="22">
        <f>VLOOKUP($C482,'Master File June-26'!$C$3:$L$670,6,0)</f>
        <v>105.5</v>
      </c>
      <c r="I482" s="22">
        <f>VLOOKUP($C482,'Master File June-26'!$C$3:$L$670,7,0)</f>
        <v>1055</v>
      </c>
      <c r="J482" s="5">
        <f>VLOOKUP($C482,'Master File June-26'!$C$3:$L$670,8,0)</f>
        <v>14</v>
      </c>
      <c r="K482" s="23">
        <f>VLOOKUP($C482,'Master File June-26'!$C$3:$L$670,9,0)</f>
        <v>527.5</v>
      </c>
      <c r="L482" s="58">
        <f>VLOOKUP($C482,'Master File June-26'!$C$3:$L$670,10,0)</f>
        <v>300</v>
      </c>
      <c r="M482" s="24">
        <f t="shared" si="28"/>
        <v>8.5308056872037916</v>
      </c>
      <c r="N482" s="25" t="str">
        <f t="shared" si="29"/>
        <v>ORDER NOW</v>
      </c>
      <c r="O482" s="25" t="str">
        <f t="shared" si="30"/>
        <v>CRITICAL</v>
      </c>
      <c r="S482" s="79">
        <f t="shared" si="31"/>
        <v>0</v>
      </c>
    </row>
    <row r="483" spans="1:19" ht="18.75" x14ac:dyDescent="0.25">
      <c r="A483" s="41">
        <v>420</v>
      </c>
      <c r="B483" s="41" t="s">
        <v>38</v>
      </c>
      <c r="C483" s="41" t="s">
        <v>1151</v>
      </c>
      <c r="D483" s="28" t="s">
        <v>1152</v>
      </c>
      <c r="E483" s="27" t="s">
        <v>1153</v>
      </c>
      <c r="F483" s="5" t="s">
        <v>54</v>
      </c>
      <c r="G483" s="21">
        <v>2.2222222222222223E-2</v>
      </c>
      <c r="H483" s="22">
        <f>VLOOKUP($C483,'Master File June-26'!$C$3:$L$670,6,0)</f>
        <v>160</v>
      </c>
      <c r="I483" s="22">
        <f>VLOOKUP($C483,'Master File June-26'!$C$3:$L$670,7,0)</f>
        <v>7200</v>
      </c>
      <c r="J483" s="5">
        <f>VLOOKUP($C483,'Master File June-26'!$C$3:$L$670,8,0)</f>
        <v>14</v>
      </c>
      <c r="K483" s="23">
        <f>VLOOKUP($C483,'Master File June-26'!$C$3:$L$670,9,0)</f>
        <v>3600</v>
      </c>
      <c r="L483" s="58">
        <f>VLOOKUP($C483,'Master File June-26'!$C$3:$L$670,10,0)</f>
        <v>4840</v>
      </c>
      <c r="M483" s="24">
        <f t="shared" si="28"/>
        <v>20.166666666666668</v>
      </c>
      <c r="N483" s="25" t="str">
        <f t="shared" si="29"/>
        <v>IN STOCK</v>
      </c>
      <c r="O483" s="25" t="str">
        <f t="shared" si="30"/>
        <v>FOLLOW UP DELIVERY</v>
      </c>
      <c r="S483" s="79">
        <f t="shared" si="31"/>
        <v>1</v>
      </c>
    </row>
    <row r="484" spans="1:19" ht="18.75" x14ac:dyDescent="0.25">
      <c r="A484" s="39">
        <v>191</v>
      </c>
      <c r="B484" s="39" t="s">
        <v>239</v>
      </c>
      <c r="C484" s="39" t="s">
        <v>1154</v>
      </c>
      <c r="D484" s="28" t="s">
        <v>1155</v>
      </c>
      <c r="E484" s="27" t="s">
        <v>78</v>
      </c>
      <c r="F484" s="5" t="s">
        <v>49</v>
      </c>
      <c r="G484" s="21">
        <v>1</v>
      </c>
      <c r="H484" s="22">
        <f>VLOOKUP($C484,'Master File June-26'!$C$3:$L$670,6,0)</f>
        <v>143</v>
      </c>
      <c r="I484" s="22">
        <f>VLOOKUP($C484,'Master File June-26'!$C$3:$L$670,7,0)</f>
        <v>143</v>
      </c>
      <c r="J484" s="5">
        <f>VLOOKUP($C484,'Master File June-26'!$C$3:$L$670,8,0)</f>
        <v>14</v>
      </c>
      <c r="K484" s="23">
        <f>VLOOKUP($C484,'Master File June-26'!$C$3:$L$670,9,0)</f>
        <v>71.5</v>
      </c>
      <c r="L484" s="58">
        <f>VLOOKUP($C484,'Master File June-26'!$C$3:$L$670,10,0)</f>
        <v>23</v>
      </c>
      <c r="M484" s="24">
        <f t="shared" si="28"/>
        <v>4.825174825174825</v>
      </c>
      <c r="N484" s="25" t="str">
        <f t="shared" si="29"/>
        <v>ORDER NOW</v>
      </c>
      <c r="O484" s="25" t="str">
        <f t="shared" si="30"/>
        <v>CRITICAL</v>
      </c>
      <c r="S484" s="79">
        <f t="shared" si="31"/>
        <v>0</v>
      </c>
    </row>
    <row r="485" spans="1:19" ht="18.75" x14ac:dyDescent="0.25">
      <c r="A485" s="41">
        <v>387</v>
      </c>
      <c r="B485" s="41" t="s">
        <v>61</v>
      </c>
      <c r="C485" s="41" t="s">
        <v>1156</v>
      </c>
      <c r="D485" s="28" t="s">
        <v>1157</v>
      </c>
      <c r="E485" s="27" t="s">
        <v>64</v>
      </c>
      <c r="F485" s="5" t="s">
        <v>49</v>
      </c>
      <c r="G485" s="21">
        <v>1</v>
      </c>
      <c r="H485" s="22">
        <f>VLOOKUP($C485,'Master File June-26'!$C$3:$L$670,6,0)</f>
        <v>27.5</v>
      </c>
      <c r="I485" s="22">
        <f>VLOOKUP($C485,'Master File June-26'!$C$3:$L$670,7,0)</f>
        <v>27.5</v>
      </c>
      <c r="J485" s="5">
        <f>VLOOKUP($C485,'Master File June-26'!$C$3:$L$670,8,0)</f>
        <v>14</v>
      </c>
      <c r="K485" s="23">
        <f>VLOOKUP($C485,'Master File June-26'!$C$3:$L$670,9,0)</f>
        <v>13.75</v>
      </c>
      <c r="L485" s="58">
        <f>VLOOKUP($C485,'Master File June-26'!$C$3:$L$670,10,0)</f>
        <v>5</v>
      </c>
      <c r="M485" s="24">
        <f t="shared" si="28"/>
        <v>5.454545454545455</v>
      </c>
      <c r="N485" s="25" t="str">
        <f t="shared" si="29"/>
        <v>ORDER NOW</v>
      </c>
      <c r="O485" s="25" t="str">
        <f t="shared" si="30"/>
        <v>CRITICAL</v>
      </c>
      <c r="S485" s="79">
        <f t="shared" si="31"/>
        <v>0</v>
      </c>
    </row>
    <row r="486" spans="1:19" ht="18.75" x14ac:dyDescent="0.25">
      <c r="A486" s="19">
        <v>142</v>
      </c>
      <c r="B486" s="19" t="s">
        <v>18</v>
      </c>
      <c r="C486" s="19" t="s">
        <v>1158</v>
      </c>
      <c r="D486" s="30" t="s">
        <v>1159</v>
      </c>
      <c r="E486" s="27" t="s">
        <v>1160</v>
      </c>
      <c r="F486" s="5" t="s">
        <v>22</v>
      </c>
      <c r="G486" s="21">
        <v>5.5555555555555556E-4</v>
      </c>
      <c r="H486" s="22">
        <f>VLOOKUP($C486,'Master File June-26'!$C$3:$L$670,6,0)</f>
        <v>14</v>
      </c>
      <c r="I486" s="22">
        <f>VLOOKUP($C486,'Master File June-26'!$C$3:$L$670,7,0)</f>
        <v>25200</v>
      </c>
      <c r="J486" s="5">
        <f>VLOOKUP($C486,'Master File June-26'!$C$3:$L$670,8,0)</f>
        <v>14</v>
      </c>
      <c r="K486" s="23">
        <f>VLOOKUP($C486,'Master File June-26'!$C$3:$L$670,9,0)</f>
        <v>12600</v>
      </c>
      <c r="L486" s="58">
        <f>VLOOKUP($C486,'Master File June-26'!$C$3:$L$670,10,0)</f>
        <v>5</v>
      </c>
      <c r="M486" s="24">
        <f t="shared" si="28"/>
        <v>5.9523809523809521E-3</v>
      </c>
      <c r="N486" s="25" t="str">
        <f t="shared" si="29"/>
        <v>ORDER NOW</v>
      </c>
      <c r="O486" s="25" t="str">
        <f t="shared" si="30"/>
        <v>CRITICAL</v>
      </c>
      <c r="R486" t="s">
        <v>30</v>
      </c>
      <c r="S486" s="79">
        <f t="shared" si="31"/>
        <v>0</v>
      </c>
    </row>
    <row r="487" spans="1:19" ht="18.75" x14ac:dyDescent="0.25">
      <c r="A487" s="49">
        <v>581</v>
      </c>
      <c r="B487" s="49" t="s">
        <v>157</v>
      </c>
      <c r="C487" s="49" t="s">
        <v>1161</v>
      </c>
      <c r="D487" s="28" t="s">
        <v>1162</v>
      </c>
      <c r="E487" s="27" t="s">
        <v>160</v>
      </c>
      <c r="F487" s="5" t="s">
        <v>49</v>
      </c>
      <c r="G487" s="21">
        <v>1</v>
      </c>
      <c r="H487" s="22">
        <f>VLOOKUP($C487,'Master File June-26'!$C$3:$L$670,6,0)</f>
        <v>235.5</v>
      </c>
      <c r="I487" s="22">
        <f>VLOOKUP($C487,'Master File June-26'!$C$3:$L$670,7,0)</f>
        <v>235.5</v>
      </c>
      <c r="J487" s="5">
        <f>VLOOKUP($C487,'Master File June-26'!$C$3:$L$670,8,0)</f>
        <v>14</v>
      </c>
      <c r="K487" s="23">
        <f>VLOOKUP($C487,'Master File June-26'!$C$3:$L$670,9,0)</f>
        <v>117.75</v>
      </c>
      <c r="L487" s="58">
        <f>VLOOKUP($C487,'Master File June-26'!$C$3:$L$670,10,0)</f>
        <v>0</v>
      </c>
      <c r="M487" s="24">
        <f t="shared" si="28"/>
        <v>0</v>
      </c>
      <c r="N487" s="25" t="str">
        <f t="shared" si="29"/>
        <v>ORDER NOW</v>
      </c>
      <c r="O487" s="25" t="str">
        <f t="shared" si="30"/>
        <v>CRITICAL</v>
      </c>
      <c r="S487" s="79">
        <f t="shared" si="31"/>
        <v>0</v>
      </c>
    </row>
    <row r="488" spans="1:19" ht="18.75" x14ac:dyDescent="0.25">
      <c r="A488" s="39">
        <v>198</v>
      </c>
      <c r="B488" s="39" t="s">
        <v>265</v>
      </c>
      <c r="C488" s="39" t="s">
        <v>1163</v>
      </c>
      <c r="D488" s="28" t="s">
        <v>1164</v>
      </c>
      <c r="E488" s="27" t="s">
        <v>78</v>
      </c>
      <c r="F488" s="5" t="s">
        <v>49</v>
      </c>
      <c r="G488" s="21">
        <v>1</v>
      </c>
      <c r="H488" s="22">
        <f>VLOOKUP($C488,'Master File June-26'!$C$3:$L$670,6,0)</f>
        <v>264</v>
      </c>
      <c r="I488" s="22">
        <f>VLOOKUP($C488,'Master File June-26'!$C$3:$L$670,7,0)</f>
        <v>264</v>
      </c>
      <c r="J488" s="5">
        <f>VLOOKUP($C488,'Master File June-26'!$C$3:$L$670,8,0)</f>
        <v>14</v>
      </c>
      <c r="K488" s="23">
        <f>VLOOKUP($C488,'Master File June-26'!$C$3:$L$670,9,0)</f>
        <v>132</v>
      </c>
      <c r="L488" s="58">
        <f>VLOOKUP($C488,'Master File June-26'!$C$3:$L$670,10,0)</f>
        <v>14</v>
      </c>
      <c r="M488" s="24">
        <f t="shared" si="28"/>
        <v>1.5909090909090911</v>
      </c>
      <c r="N488" s="25" t="str">
        <f t="shared" si="29"/>
        <v>ORDER NOW</v>
      </c>
      <c r="O488" s="25" t="str">
        <f t="shared" si="30"/>
        <v>CRITICAL</v>
      </c>
      <c r="S488" s="79">
        <f t="shared" si="31"/>
        <v>0</v>
      </c>
    </row>
    <row r="489" spans="1:19" ht="18.75" x14ac:dyDescent="0.25">
      <c r="A489" s="41">
        <v>434</v>
      </c>
      <c r="B489" s="41" t="s">
        <v>38</v>
      </c>
      <c r="C489" s="41" t="s">
        <v>1165</v>
      </c>
      <c r="D489" s="28" t="s">
        <v>1166</v>
      </c>
      <c r="E489" s="27" t="s">
        <v>70</v>
      </c>
      <c r="F489" s="5" t="s">
        <v>54</v>
      </c>
      <c r="G489" s="21">
        <v>0.1388888888888889</v>
      </c>
      <c r="H489" s="22">
        <f>VLOOKUP($C489,'Master File June-26'!$C$3:$L$670,6,0)</f>
        <v>70</v>
      </c>
      <c r="I489" s="22">
        <f>VLOOKUP($C489,'Master File June-26'!$C$3:$L$670,7,0)</f>
        <v>504</v>
      </c>
      <c r="J489" s="5">
        <f>VLOOKUP($C489,'Master File June-26'!$C$3:$L$670,8,0)</f>
        <v>14</v>
      </c>
      <c r="K489" s="23">
        <f>VLOOKUP($C489,'Master File June-26'!$C$3:$L$670,9,0)</f>
        <v>252</v>
      </c>
      <c r="L489" s="58">
        <f>VLOOKUP($C489,'Master File June-26'!$C$3:$L$670,10,0)</f>
        <v>0</v>
      </c>
      <c r="M489" s="24">
        <f t="shared" si="28"/>
        <v>0</v>
      </c>
      <c r="N489" s="25" t="str">
        <f t="shared" si="29"/>
        <v>ORDER NOW</v>
      </c>
      <c r="O489" s="25" t="str">
        <f t="shared" si="30"/>
        <v>CRITICAL</v>
      </c>
      <c r="S489" s="79">
        <f t="shared" si="31"/>
        <v>0</v>
      </c>
    </row>
    <row r="490" spans="1:19" ht="18.75" x14ac:dyDescent="0.25">
      <c r="A490" s="41">
        <v>563</v>
      </c>
      <c r="B490" s="41" t="s">
        <v>38</v>
      </c>
      <c r="C490" s="41" t="s">
        <v>1167</v>
      </c>
      <c r="D490" s="40" t="s">
        <v>1168</v>
      </c>
      <c r="E490" s="31" t="s">
        <v>22</v>
      </c>
      <c r="F490" s="5" t="s">
        <v>22</v>
      </c>
      <c r="G490" s="21">
        <v>1</v>
      </c>
      <c r="H490" s="22">
        <f>VLOOKUP($C490,'Master File June-26'!$C$3:$L$670,6,0)</f>
        <v>5</v>
      </c>
      <c r="I490" s="22">
        <f>VLOOKUP($C490,'Master File June-26'!$C$3:$L$670,7,0)</f>
        <v>5</v>
      </c>
      <c r="J490" s="5">
        <f>VLOOKUP($C490,'Master File June-26'!$C$3:$L$670,8,0)</f>
        <v>14</v>
      </c>
      <c r="K490" s="23">
        <f>VLOOKUP($C490,'Master File June-26'!$C$3:$L$670,9,0)</f>
        <v>2.5</v>
      </c>
      <c r="L490" s="58">
        <f>VLOOKUP($C490,'Master File June-26'!$C$3:$L$670,10,0)</f>
        <v>0</v>
      </c>
      <c r="M490" s="24">
        <f t="shared" si="28"/>
        <v>0</v>
      </c>
      <c r="N490" s="25" t="str">
        <f t="shared" si="29"/>
        <v>ORDER NOW</v>
      </c>
      <c r="O490" s="25" t="str">
        <f t="shared" si="30"/>
        <v>CRITICAL</v>
      </c>
      <c r="S490" s="79">
        <f t="shared" si="31"/>
        <v>0</v>
      </c>
    </row>
    <row r="491" spans="1:19" ht="18.75" x14ac:dyDescent="0.25">
      <c r="A491" s="41">
        <v>554</v>
      </c>
      <c r="B491" s="41" t="s">
        <v>38</v>
      </c>
      <c r="C491" s="41" t="s">
        <v>1169</v>
      </c>
      <c r="D491" s="40" t="s">
        <v>1170</v>
      </c>
      <c r="E491" s="31" t="s">
        <v>22</v>
      </c>
      <c r="F491" s="5" t="s">
        <v>22</v>
      </c>
      <c r="G491" s="21">
        <v>1</v>
      </c>
      <c r="H491" s="22">
        <f>VLOOKUP($C491,'Master File June-26'!$C$3:$L$670,6,0)</f>
        <v>5</v>
      </c>
      <c r="I491" s="22">
        <f>VLOOKUP($C491,'Master File June-26'!$C$3:$L$670,7,0)</f>
        <v>5</v>
      </c>
      <c r="J491" s="5">
        <f>VLOOKUP($C491,'Master File June-26'!$C$3:$L$670,8,0)</f>
        <v>14</v>
      </c>
      <c r="K491" s="23">
        <f>VLOOKUP($C491,'Master File June-26'!$C$3:$L$670,9,0)</f>
        <v>2.5</v>
      </c>
      <c r="L491" s="58">
        <f>VLOOKUP($C491,'Master File June-26'!$C$3:$L$670,10,0)</f>
        <v>0</v>
      </c>
      <c r="M491" s="24">
        <f t="shared" si="28"/>
        <v>0</v>
      </c>
      <c r="N491" s="25" t="str">
        <f t="shared" si="29"/>
        <v>ORDER NOW</v>
      </c>
      <c r="O491" s="25" t="str">
        <f t="shared" si="30"/>
        <v>CRITICAL</v>
      </c>
      <c r="S491" s="79">
        <f t="shared" si="31"/>
        <v>0</v>
      </c>
    </row>
    <row r="492" spans="1:19" ht="18.75" x14ac:dyDescent="0.25">
      <c r="A492" s="39">
        <v>263</v>
      </c>
      <c r="B492" s="39" t="s">
        <v>239</v>
      </c>
      <c r="C492" s="39" t="s">
        <v>1171</v>
      </c>
      <c r="D492" s="28" t="s">
        <v>1172</v>
      </c>
      <c r="E492" s="27" t="s">
        <v>78</v>
      </c>
      <c r="F492" s="5" t="s">
        <v>49</v>
      </c>
      <c r="G492" s="21">
        <v>1</v>
      </c>
      <c r="H492" s="22">
        <f>VLOOKUP($C492,'Master File June-26'!$C$3:$L$670,6,0)</f>
        <v>33</v>
      </c>
      <c r="I492" s="22">
        <f>VLOOKUP($C492,'Master File June-26'!$C$3:$L$670,7,0)</f>
        <v>33</v>
      </c>
      <c r="J492" s="5">
        <f>VLOOKUP($C492,'Master File June-26'!$C$3:$L$670,8,0)</f>
        <v>14</v>
      </c>
      <c r="K492" s="23">
        <f>VLOOKUP($C492,'Master File June-26'!$C$3:$L$670,9,0)</f>
        <v>16.5</v>
      </c>
      <c r="L492" s="58">
        <f>VLOOKUP($C492,'Master File June-26'!$C$3:$L$670,10,0)</f>
        <v>0</v>
      </c>
      <c r="M492" s="24">
        <f t="shared" si="28"/>
        <v>0</v>
      </c>
      <c r="N492" s="25" t="str">
        <f t="shared" si="29"/>
        <v>ORDER NOW</v>
      </c>
      <c r="O492" s="25" t="str">
        <f t="shared" si="30"/>
        <v>CRITICAL</v>
      </c>
      <c r="S492" s="79">
        <f t="shared" si="31"/>
        <v>0</v>
      </c>
    </row>
    <row r="493" spans="1:19" ht="18.75" x14ac:dyDescent="0.25">
      <c r="A493" s="19">
        <v>41</v>
      </c>
      <c r="B493" s="19" t="s">
        <v>18</v>
      </c>
      <c r="C493" s="19" t="s">
        <v>1173</v>
      </c>
      <c r="D493" s="30" t="s">
        <v>1174</v>
      </c>
      <c r="E493" s="29" t="s">
        <v>916</v>
      </c>
      <c r="F493" s="5" t="s">
        <v>22</v>
      </c>
      <c r="G493" s="21">
        <v>0.01</v>
      </c>
      <c r="H493" s="22">
        <f>VLOOKUP($C493,'Master File June-26'!$C$3:$L$670,6,0)</f>
        <v>30</v>
      </c>
      <c r="I493" s="22">
        <f>VLOOKUP($C493,'Master File June-26'!$C$3:$L$670,7,0)</f>
        <v>3000</v>
      </c>
      <c r="J493" s="5">
        <f>VLOOKUP($C493,'Master File June-26'!$C$3:$L$670,8,0)</f>
        <v>14</v>
      </c>
      <c r="K493" s="23">
        <f>VLOOKUP($C493,'Master File June-26'!$C$3:$L$670,9,0)</f>
        <v>1500</v>
      </c>
      <c r="L493" s="58">
        <f>VLOOKUP($C493,'Master File June-26'!$C$3:$L$670,10,0)</f>
        <v>2100</v>
      </c>
      <c r="M493" s="24">
        <f t="shared" si="28"/>
        <v>21</v>
      </c>
      <c r="N493" s="25" t="str">
        <f t="shared" si="29"/>
        <v>IN STOCK</v>
      </c>
      <c r="O493" s="25" t="str">
        <f t="shared" si="30"/>
        <v>FOLLOW UP DELIVERY</v>
      </c>
      <c r="R493" t="s">
        <v>30</v>
      </c>
      <c r="S493" s="79">
        <f t="shared" si="31"/>
        <v>1</v>
      </c>
    </row>
    <row r="494" spans="1:19" ht="18.75" x14ac:dyDescent="0.25">
      <c r="A494" s="41">
        <v>413</v>
      </c>
      <c r="B494" s="41" t="s">
        <v>38</v>
      </c>
      <c r="C494" s="41" t="s">
        <v>1175</v>
      </c>
      <c r="D494" s="28" t="s">
        <v>1176</v>
      </c>
      <c r="E494" s="27" t="s">
        <v>1177</v>
      </c>
      <c r="F494" s="5" t="s">
        <v>49</v>
      </c>
      <c r="G494" s="21">
        <v>6.6666666666666666E-2</v>
      </c>
      <c r="H494" s="22">
        <f>VLOOKUP($C494,'Master File June-26'!$C$3:$L$670,6,0)</f>
        <v>110</v>
      </c>
      <c r="I494" s="22">
        <f>VLOOKUP($C494,'Master File June-26'!$C$3:$L$670,7,0)</f>
        <v>1650</v>
      </c>
      <c r="J494" s="5">
        <f>VLOOKUP($C494,'Master File June-26'!$C$3:$L$670,8,0)</f>
        <v>14</v>
      </c>
      <c r="K494" s="23">
        <f>VLOOKUP($C494,'Master File June-26'!$C$3:$L$670,9,0)</f>
        <v>825</v>
      </c>
      <c r="L494" s="58">
        <f>VLOOKUP($C494,'Master File June-26'!$C$3:$L$670,10,0)</f>
        <v>570</v>
      </c>
      <c r="M494" s="24">
        <f t="shared" si="28"/>
        <v>10.363636363636363</v>
      </c>
      <c r="N494" s="25" t="str">
        <f t="shared" si="29"/>
        <v>ORDER NOW</v>
      </c>
      <c r="O494" s="25" t="str">
        <f t="shared" si="30"/>
        <v>CRITICAL</v>
      </c>
      <c r="S494" s="79">
        <f t="shared" si="31"/>
        <v>0</v>
      </c>
    </row>
    <row r="495" spans="1:19" ht="18.75" x14ac:dyDescent="0.25">
      <c r="A495" s="19">
        <v>149</v>
      </c>
      <c r="B495" s="19" t="s">
        <v>18</v>
      </c>
      <c r="C495" s="19" t="s">
        <v>1178</v>
      </c>
      <c r="D495" s="30" t="s">
        <v>1179</v>
      </c>
      <c r="E495" s="27" t="s">
        <v>1180</v>
      </c>
      <c r="F495" s="5" t="s">
        <v>22</v>
      </c>
      <c r="G495" s="21">
        <v>6.2500000000000001E-4</v>
      </c>
      <c r="H495" s="22">
        <f>VLOOKUP($C495,'Master File June-26'!$C$3:$L$670,6,0)</f>
        <v>16</v>
      </c>
      <c r="I495" s="22">
        <f>VLOOKUP($C495,'Master File June-26'!$C$3:$L$670,7,0)</f>
        <v>25600</v>
      </c>
      <c r="J495" s="5">
        <f>VLOOKUP($C495,'Master File June-26'!$C$3:$L$670,8,0)</f>
        <v>14</v>
      </c>
      <c r="K495" s="23">
        <f>VLOOKUP($C495,'Master File June-26'!$C$3:$L$670,9,0)</f>
        <v>12800</v>
      </c>
      <c r="L495" s="58">
        <f>VLOOKUP($C495,'Master File June-26'!$C$3:$L$670,10,0)</f>
        <v>9000</v>
      </c>
      <c r="M495" s="24">
        <f t="shared" si="28"/>
        <v>10.546875</v>
      </c>
      <c r="N495" s="25" t="str">
        <f t="shared" si="29"/>
        <v>ORDER NOW</v>
      </c>
      <c r="O495" s="25" t="str">
        <f t="shared" si="30"/>
        <v>CRITICAL</v>
      </c>
      <c r="R495" t="s">
        <v>30</v>
      </c>
      <c r="S495" s="79">
        <f t="shared" si="31"/>
        <v>0</v>
      </c>
    </row>
    <row r="496" spans="1:19" ht="18.75" x14ac:dyDescent="0.25">
      <c r="A496" s="41">
        <v>345</v>
      </c>
      <c r="B496" s="41" t="s">
        <v>85</v>
      </c>
      <c r="C496" s="41" t="s">
        <v>1181</v>
      </c>
      <c r="D496" s="28" t="s">
        <v>1182</v>
      </c>
      <c r="E496" s="27" t="s">
        <v>867</v>
      </c>
      <c r="F496" s="5" t="s">
        <v>22</v>
      </c>
      <c r="G496" s="21">
        <v>8.3333333333333329E-2</v>
      </c>
      <c r="H496" s="22">
        <f>VLOOKUP($C496,'Master File June-26'!$C$3:$L$670,6,0)</f>
        <v>30</v>
      </c>
      <c r="I496" s="22">
        <f>VLOOKUP($C496,'Master File June-26'!$C$3:$L$670,7,0)</f>
        <v>360</v>
      </c>
      <c r="J496" s="5">
        <f>VLOOKUP($C496,'Master File June-26'!$C$3:$L$670,8,0)</f>
        <v>14</v>
      </c>
      <c r="K496" s="23">
        <f>VLOOKUP($C496,'Master File June-26'!$C$3:$L$670,9,0)</f>
        <v>180</v>
      </c>
      <c r="L496" s="58">
        <f>VLOOKUP($C496,'Master File June-26'!$C$3:$L$670,10,0)</f>
        <v>84</v>
      </c>
      <c r="M496" s="24">
        <f t="shared" si="28"/>
        <v>7</v>
      </c>
      <c r="N496" s="25" t="str">
        <f t="shared" si="29"/>
        <v>ORDER NOW</v>
      </c>
      <c r="O496" s="25" t="str">
        <f t="shared" si="30"/>
        <v>CRITICAL</v>
      </c>
      <c r="S496" s="79">
        <f t="shared" si="31"/>
        <v>0</v>
      </c>
    </row>
    <row r="497" spans="1:19" ht="18.75" x14ac:dyDescent="0.25">
      <c r="A497" s="19">
        <v>84</v>
      </c>
      <c r="B497" s="19" t="s">
        <v>18</v>
      </c>
      <c r="C497" s="19" t="s">
        <v>1183</v>
      </c>
      <c r="D497" s="28" t="s">
        <v>1184</v>
      </c>
      <c r="E497" s="27" t="s">
        <v>186</v>
      </c>
      <c r="F497" s="5" t="s">
        <v>22</v>
      </c>
      <c r="G497" s="21">
        <v>2E-3</v>
      </c>
      <c r="H497" s="22">
        <f>VLOOKUP($C497,'Master File June-26'!$C$3:$L$670,6,0)</f>
        <v>80</v>
      </c>
      <c r="I497" s="22">
        <f>VLOOKUP($C497,'Master File June-26'!$C$3:$L$670,7,0)</f>
        <v>40000</v>
      </c>
      <c r="J497" s="5">
        <f>VLOOKUP($C497,'Master File June-26'!$C$3:$L$670,8,0)</f>
        <v>14</v>
      </c>
      <c r="K497" s="23">
        <f>VLOOKUP($C497,'Master File June-26'!$C$3:$L$670,9,0)</f>
        <v>20000</v>
      </c>
      <c r="L497" s="58">
        <f>VLOOKUP($C497,'Master File June-26'!$C$3:$L$670,10,0)</f>
        <v>4200</v>
      </c>
      <c r="M497" s="24">
        <f t="shared" si="28"/>
        <v>3.15</v>
      </c>
      <c r="N497" s="25" t="str">
        <f t="shared" si="29"/>
        <v>ORDER NOW</v>
      </c>
      <c r="O497" s="25" t="str">
        <f t="shared" si="30"/>
        <v>CRITICAL</v>
      </c>
      <c r="R497" t="s">
        <v>30</v>
      </c>
      <c r="S497" s="79">
        <f t="shared" si="31"/>
        <v>0</v>
      </c>
    </row>
    <row r="498" spans="1:19" ht="18.75" x14ac:dyDescent="0.25">
      <c r="A498" s="41">
        <v>430</v>
      </c>
      <c r="B498" s="41" t="s">
        <v>38</v>
      </c>
      <c r="C498" s="41" t="s">
        <v>1185</v>
      </c>
      <c r="D498" s="28" t="s">
        <v>1186</v>
      </c>
      <c r="E498" s="27" t="s">
        <v>1187</v>
      </c>
      <c r="F498" s="5" t="s">
        <v>22</v>
      </c>
      <c r="G498" s="21">
        <v>4.1666666666666664E-2</v>
      </c>
      <c r="H498" s="22">
        <f>VLOOKUP($C498,'Master File June-26'!$C$3:$L$670,6,0)</f>
        <v>100</v>
      </c>
      <c r="I498" s="22">
        <f>VLOOKUP($C498,'Master File June-26'!$C$3:$L$670,7,0)</f>
        <v>2400</v>
      </c>
      <c r="J498" s="5">
        <f>VLOOKUP($C498,'Master File June-26'!$C$3:$L$670,8,0)</f>
        <v>14</v>
      </c>
      <c r="K498" s="23">
        <f>VLOOKUP($C498,'Master File June-26'!$C$3:$L$670,9,0)</f>
        <v>1200</v>
      </c>
      <c r="L498" s="58">
        <f>VLOOKUP($C498,'Master File June-26'!$C$3:$L$670,10,0)</f>
        <v>480</v>
      </c>
      <c r="M498" s="24">
        <f t="shared" si="28"/>
        <v>6</v>
      </c>
      <c r="N498" s="25" t="str">
        <f t="shared" si="29"/>
        <v>ORDER NOW</v>
      </c>
      <c r="O498" s="25" t="str">
        <f t="shared" si="30"/>
        <v>CRITICAL</v>
      </c>
      <c r="S498" s="79">
        <f t="shared" si="31"/>
        <v>0</v>
      </c>
    </row>
    <row r="499" spans="1:19" ht="18.75" x14ac:dyDescent="0.25">
      <c r="A499" s="19">
        <v>99</v>
      </c>
      <c r="B499" s="19" t="s">
        <v>18</v>
      </c>
      <c r="C499" s="19" t="s">
        <v>1188</v>
      </c>
      <c r="D499" s="28" t="s">
        <v>1189</v>
      </c>
      <c r="E499" s="27" t="s">
        <v>850</v>
      </c>
      <c r="F499" s="5" t="s">
        <v>22</v>
      </c>
      <c r="G499" s="21">
        <v>0.01</v>
      </c>
      <c r="H499" s="22">
        <f>VLOOKUP($C499,'Master File June-26'!$C$3:$L$670,6,0)</f>
        <v>140</v>
      </c>
      <c r="I499" s="22">
        <f>VLOOKUP($C499,'Master File June-26'!$C$3:$L$670,7,0)</f>
        <v>14000</v>
      </c>
      <c r="J499" s="5">
        <f>VLOOKUP($C499,'Master File June-26'!$C$3:$L$670,8,0)</f>
        <v>14</v>
      </c>
      <c r="K499" s="23">
        <f>VLOOKUP($C499,'Master File June-26'!$C$3:$L$670,9,0)</f>
        <v>7000</v>
      </c>
      <c r="L499" s="58">
        <f>VLOOKUP($C499,'Master File June-26'!$C$3:$L$670,10,0)</f>
        <v>700</v>
      </c>
      <c r="M499" s="24">
        <f t="shared" si="28"/>
        <v>1.5</v>
      </c>
      <c r="N499" s="25" t="str">
        <f t="shared" si="29"/>
        <v>ORDER NOW</v>
      </c>
      <c r="O499" s="25" t="str">
        <f t="shared" si="30"/>
        <v>CRITICAL</v>
      </c>
      <c r="R499" t="s">
        <v>30</v>
      </c>
      <c r="S499" s="79">
        <f t="shared" si="31"/>
        <v>0</v>
      </c>
    </row>
    <row r="500" spans="1:19" ht="18.75" x14ac:dyDescent="0.25">
      <c r="A500" s="4">
        <v>600</v>
      </c>
      <c r="B500" s="4" t="s">
        <v>38</v>
      </c>
      <c r="C500" s="4" t="s">
        <v>1190</v>
      </c>
      <c r="D500" s="28" t="s">
        <v>1191</v>
      </c>
      <c r="E500" s="27" t="s">
        <v>1192</v>
      </c>
      <c r="F500" s="5" t="s">
        <v>49</v>
      </c>
      <c r="G500" s="21">
        <v>1</v>
      </c>
      <c r="H500" s="22">
        <f>VLOOKUP($C500,'Master File June-26'!$C$3:$L$670,6,0)</f>
        <v>800</v>
      </c>
      <c r="I500" s="22">
        <f>VLOOKUP($C500,'Master File June-26'!$C$3:$L$670,7,0)</f>
        <v>800</v>
      </c>
      <c r="J500" s="5">
        <f>VLOOKUP($C500,'Master File June-26'!$C$3:$L$670,8,0)</f>
        <v>14</v>
      </c>
      <c r="K500" s="23">
        <f>VLOOKUP($C500,'Master File June-26'!$C$3:$L$670,9,0)</f>
        <v>400</v>
      </c>
      <c r="L500" s="58">
        <f>VLOOKUP($C500,'Master File June-26'!$C$3:$L$670,10,0)</f>
        <v>0</v>
      </c>
      <c r="M500" s="24">
        <f t="shared" si="28"/>
        <v>0</v>
      </c>
      <c r="N500" s="25" t="str">
        <f t="shared" si="29"/>
        <v>ORDER NOW</v>
      </c>
      <c r="O500" s="25" t="str">
        <f t="shared" si="30"/>
        <v>CRITICAL</v>
      </c>
      <c r="S500" s="79">
        <f t="shared" si="31"/>
        <v>0</v>
      </c>
    </row>
    <row r="501" spans="1:19" ht="18.75" x14ac:dyDescent="0.25">
      <c r="A501" s="39">
        <v>258</v>
      </c>
      <c r="B501" s="39" t="s">
        <v>157</v>
      </c>
      <c r="C501" s="39" t="s">
        <v>1193</v>
      </c>
      <c r="D501" s="28" t="s">
        <v>1194</v>
      </c>
      <c r="E501" s="27" t="s">
        <v>1195</v>
      </c>
      <c r="F501" s="5" t="s">
        <v>22</v>
      </c>
      <c r="G501" s="21">
        <v>5.0000000000000001E-4</v>
      </c>
      <c r="H501" s="22">
        <f>VLOOKUP($C501,'Master File June-26'!$C$3:$L$670,6,0)</f>
        <v>66</v>
      </c>
      <c r="I501" s="22">
        <f>VLOOKUP($C501,'Master File June-26'!$C$3:$L$670,7,0)</f>
        <v>132000</v>
      </c>
      <c r="J501" s="5">
        <f>VLOOKUP($C501,'Master File June-26'!$C$3:$L$670,8,0)</f>
        <v>14</v>
      </c>
      <c r="K501" s="23">
        <f>VLOOKUP($C501,'Master File June-26'!$C$3:$L$670,9,0)</f>
        <v>66000</v>
      </c>
      <c r="L501" s="58">
        <f>VLOOKUP($C501,'Master File June-26'!$C$3:$L$670,10,0)</f>
        <v>590</v>
      </c>
      <c r="M501" s="24">
        <f t="shared" si="28"/>
        <v>0.13409090909090909</v>
      </c>
      <c r="N501" s="25" t="str">
        <f t="shared" si="29"/>
        <v>ORDER NOW</v>
      </c>
      <c r="O501" s="25" t="str">
        <f t="shared" si="30"/>
        <v>CRITICAL</v>
      </c>
      <c r="S501" s="79">
        <f t="shared" si="31"/>
        <v>0</v>
      </c>
    </row>
    <row r="502" spans="1:19" ht="18.75" x14ac:dyDescent="0.25">
      <c r="A502" s="41">
        <v>340</v>
      </c>
      <c r="B502" s="41" t="s">
        <v>85</v>
      </c>
      <c r="C502" s="41" t="s">
        <v>1196</v>
      </c>
      <c r="D502" s="30" t="s">
        <v>1197</v>
      </c>
      <c r="E502" s="29" t="s">
        <v>1198</v>
      </c>
      <c r="F502" s="5" t="s">
        <v>22</v>
      </c>
      <c r="G502" s="21">
        <v>4.1666666666666664E-2</v>
      </c>
      <c r="H502" s="22">
        <f>VLOOKUP($C502,'Master File June-26'!$C$3:$L$670,6,0)</f>
        <v>132</v>
      </c>
      <c r="I502" s="22">
        <f>VLOOKUP($C502,'Master File June-26'!$C$3:$L$670,7,0)</f>
        <v>3168</v>
      </c>
      <c r="J502" s="5">
        <f>VLOOKUP($C502,'Master File June-26'!$C$3:$L$670,8,0)</f>
        <v>14</v>
      </c>
      <c r="K502" s="23">
        <f>VLOOKUP($C502,'Master File June-26'!$C$3:$L$670,9,0)</f>
        <v>1584</v>
      </c>
      <c r="L502" s="58">
        <f>VLOOKUP($C502,'Master File June-26'!$C$3:$L$670,10,0)</f>
        <v>2110</v>
      </c>
      <c r="M502" s="24">
        <f t="shared" si="28"/>
        <v>19.981060606060606</v>
      </c>
      <c r="N502" s="25" t="str">
        <f t="shared" si="29"/>
        <v>IN STOCK</v>
      </c>
      <c r="O502" s="25" t="str">
        <f t="shared" si="30"/>
        <v>FOLLOW UP DELIVERY</v>
      </c>
      <c r="S502" s="79">
        <f t="shared" si="31"/>
        <v>1</v>
      </c>
    </row>
    <row r="503" spans="1:19" ht="18.75" x14ac:dyDescent="0.25">
      <c r="A503" s="39">
        <v>251</v>
      </c>
      <c r="B503" s="39" t="s">
        <v>123</v>
      </c>
      <c r="C503" s="39" t="s">
        <v>1199</v>
      </c>
      <c r="D503" s="28" t="s">
        <v>1200</v>
      </c>
      <c r="E503" s="27" t="s">
        <v>1201</v>
      </c>
      <c r="F503" s="5" t="s">
        <v>264</v>
      </c>
      <c r="G503" s="21">
        <v>1</v>
      </c>
      <c r="H503" s="22">
        <f>VLOOKUP($C503,'Master File June-26'!$C$3:$L$670,6,0)</f>
        <v>105.5</v>
      </c>
      <c r="I503" s="22">
        <f>VLOOKUP($C503,'Master File June-26'!$C$3:$L$670,7,0)</f>
        <v>105.5</v>
      </c>
      <c r="J503" s="5">
        <f>VLOOKUP($C503,'Master File June-26'!$C$3:$L$670,8,0)</f>
        <v>14</v>
      </c>
      <c r="K503" s="23">
        <f>VLOOKUP($C503,'Master File June-26'!$C$3:$L$670,9,0)</f>
        <v>52.75</v>
      </c>
      <c r="L503" s="58">
        <f>VLOOKUP($C503,'Master File June-26'!$C$3:$L$670,10,0)</f>
        <v>128</v>
      </c>
      <c r="M503" s="24">
        <f t="shared" si="28"/>
        <v>36.39810426540285</v>
      </c>
      <c r="N503" s="25" t="str">
        <f t="shared" si="29"/>
        <v>IN STOCK</v>
      </c>
      <c r="O503" s="25" t="str">
        <f t="shared" si="30"/>
        <v>FOLLOW UP DELIVERY</v>
      </c>
      <c r="S503" s="79">
        <f t="shared" si="31"/>
        <v>1</v>
      </c>
    </row>
    <row r="504" spans="1:19" ht="18.75" x14ac:dyDescent="0.25">
      <c r="A504" s="41">
        <v>507</v>
      </c>
      <c r="B504" s="41" t="s">
        <v>38</v>
      </c>
      <c r="C504" s="41" t="s">
        <v>1202</v>
      </c>
      <c r="D504" s="28" t="s">
        <v>1203</v>
      </c>
      <c r="E504" s="27" t="s">
        <v>1204</v>
      </c>
      <c r="F504" s="5" t="s">
        <v>22</v>
      </c>
      <c r="G504" s="21">
        <v>0.8771929824561403</v>
      </c>
      <c r="H504" s="22">
        <f>VLOOKUP($C504,'Master File June-26'!$C$3:$L$670,6,0)</f>
        <v>90</v>
      </c>
      <c r="I504" s="22">
        <f>VLOOKUP($C504,'Master File June-26'!$C$3:$L$670,7,0)</f>
        <v>102.60000000000001</v>
      </c>
      <c r="J504" s="5">
        <f>VLOOKUP($C504,'Master File June-26'!$C$3:$L$670,8,0)</f>
        <v>14</v>
      </c>
      <c r="K504" s="23">
        <f>VLOOKUP($C504,'Master File June-26'!$C$3:$L$670,9,0)</f>
        <v>51.300000000000004</v>
      </c>
      <c r="L504" s="58">
        <f>VLOOKUP($C504,'Master File June-26'!$C$3:$L$670,10,0)</f>
        <v>22.8</v>
      </c>
      <c r="M504" s="24">
        <f t="shared" si="28"/>
        <v>6.6666666666666661</v>
      </c>
      <c r="N504" s="25" t="str">
        <f t="shared" si="29"/>
        <v>ORDER NOW</v>
      </c>
      <c r="O504" s="25" t="str">
        <f t="shared" si="30"/>
        <v>CRITICAL</v>
      </c>
      <c r="S504" s="79">
        <f t="shared" si="31"/>
        <v>0</v>
      </c>
    </row>
    <row r="505" spans="1:19" ht="18.75" x14ac:dyDescent="0.25">
      <c r="A505" s="19">
        <v>13</v>
      </c>
      <c r="B505" s="19" t="s">
        <v>18</v>
      </c>
      <c r="C505" s="19" t="s">
        <v>1205</v>
      </c>
      <c r="D505" s="30" t="s">
        <v>1206</v>
      </c>
      <c r="E505" s="29" t="s">
        <v>1207</v>
      </c>
      <c r="F505" s="5" t="s">
        <v>22</v>
      </c>
      <c r="G505" s="21">
        <v>4.0000000000000001E-3</v>
      </c>
      <c r="H505" s="22">
        <f>VLOOKUP($C505,'Master File June-26'!$C$3:$L$670,6,0)</f>
        <v>110</v>
      </c>
      <c r="I505" s="22">
        <f>VLOOKUP($C505,'Master File June-26'!$C$3:$L$670,7,0)</f>
        <v>27500</v>
      </c>
      <c r="J505" s="5">
        <f>VLOOKUP($C505,'Master File June-26'!$C$3:$L$670,8,0)</f>
        <v>14</v>
      </c>
      <c r="K505" s="23">
        <f>VLOOKUP($C505,'Master File June-26'!$C$3:$L$670,9,0)</f>
        <v>13750</v>
      </c>
      <c r="L505" s="58">
        <f>VLOOKUP($C505,'Master File June-26'!$C$3:$L$670,10,0)</f>
        <v>3000</v>
      </c>
      <c r="M505" s="24">
        <f t="shared" si="28"/>
        <v>3.2727272727272725</v>
      </c>
      <c r="N505" s="25" t="str">
        <f t="shared" si="29"/>
        <v>ORDER NOW</v>
      </c>
      <c r="O505" s="25" t="str">
        <f t="shared" si="30"/>
        <v>CRITICAL</v>
      </c>
      <c r="R505" t="s">
        <v>30</v>
      </c>
      <c r="S505" s="79">
        <f t="shared" si="31"/>
        <v>0</v>
      </c>
    </row>
    <row r="506" spans="1:19" ht="18.75" x14ac:dyDescent="0.25">
      <c r="A506" s="41">
        <v>433</v>
      </c>
      <c r="B506" s="41" t="s">
        <v>38</v>
      </c>
      <c r="C506" s="41" t="s">
        <v>1208</v>
      </c>
      <c r="D506" s="28" t="s">
        <v>1209</v>
      </c>
      <c r="E506" s="27" t="s">
        <v>1210</v>
      </c>
      <c r="F506" s="5" t="s">
        <v>22</v>
      </c>
      <c r="G506" s="21">
        <v>0.1388888888888889</v>
      </c>
      <c r="H506" s="22">
        <f>VLOOKUP($C506,'Master File June-26'!$C$3:$L$670,6,0)</f>
        <v>70</v>
      </c>
      <c r="I506" s="22">
        <f>VLOOKUP($C506,'Master File June-26'!$C$3:$L$670,7,0)</f>
        <v>504</v>
      </c>
      <c r="J506" s="5">
        <f>VLOOKUP($C506,'Master File June-26'!$C$3:$L$670,8,0)</f>
        <v>14</v>
      </c>
      <c r="K506" s="23">
        <f>VLOOKUP($C506,'Master File June-26'!$C$3:$L$670,9,0)</f>
        <v>252</v>
      </c>
      <c r="L506" s="58">
        <f>VLOOKUP($C506,'Master File June-26'!$C$3:$L$670,10,0)</f>
        <v>0</v>
      </c>
      <c r="M506" s="24">
        <f t="shared" si="28"/>
        <v>0</v>
      </c>
      <c r="N506" s="25" t="str">
        <f t="shared" si="29"/>
        <v>ORDER NOW</v>
      </c>
      <c r="O506" s="25" t="str">
        <f t="shared" si="30"/>
        <v>CRITICAL</v>
      </c>
      <c r="S506" s="79">
        <f t="shared" si="31"/>
        <v>0</v>
      </c>
    </row>
    <row r="507" spans="1:19" ht="18.75" x14ac:dyDescent="0.25">
      <c r="A507" s="41">
        <v>417</v>
      </c>
      <c r="B507" s="41" t="s">
        <v>38</v>
      </c>
      <c r="C507" s="41" t="s">
        <v>1211</v>
      </c>
      <c r="D507" s="28" t="s">
        <v>1212</v>
      </c>
      <c r="E507" s="27" t="s">
        <v>482</v>
      </c>
      <c r="F507" s="5" t="s">
        <v>54</v>
      </c>
      <c r="G507" s="21">
        <v>6.6666666666666666E-2</v>
      </c>
      <c r="H507" s="22">
        <f>VLOOKUP($C507,'Master File June-26'!$C$3:$L$670,6,0)</f>
        <v>2</v>
      </c>
      <c r="I507" s="22">
        <f>VLOOKUP($C507,'Master File June-26'!$C$3:$L$670,7,0)</f>
        <v>30</v>
      </c>
      <c r="J507" s="5">
        <f>VLOOKUP($C507,'Master File June-26'!$C$3:$L$670,8,0)</f>
        <v>14</v>
      </c>
      <c r="K507" s="23">
        <f>VLOOKUP($C507,'Master File June-26'!$C$3:$L$670,9,0)</f>
        <v>15</v>
      </c>
      <c r="L507" s="58">
        <f>VLOOKUP($C507,'Master File June-26'!$C$3:$L$670,10,0)</f>
        <v>0</v>
      </c>
      <c r="M507" s="24">
        <f t="shared" si="28"/>
        <v>0</v>
      </c>
      <c r="N507" s="25" t="str">
        <f t="shared" si="29"/>
        <v>ORDER NOW</v>
      </c>
      <c r="O507" s="25" t="str">
        <f t="shared" si="30"/>
        <v>CRITICAL</v>
      </c>
      <c r="S507" s="79">
        <f t="shared" si="31"/>
        <v>0</v>
      </c>
    </row>
    <row r="508" spans="1:19" ht="18.75" x14ac:dyDescent="0.25">
      <c r="A508" s="41">
        <v>506</v>
      </c>
      <c r="B508" s="41" t="s">
        <v>38</v>
      </c>
      <c r="C508" s="41" t="s">
        <v>1213</v>
      </c>
      <c r="D508" s="28" t="s">
        <v>1214</v>
      </c>
      <c r="E508" s="27" t="s">
        <v>826</v>
      </c>
      <c r="F508" s="5" t="s">
        <v>49</v>
      </c>
      <c r="G508" s="21">
        <v>1</v>
      </c>
      <c r="H508" s="22">
        <f>VLOOKUP($C508,'Master File June-26'!$C$3:$L$670,6,0)</f>
        <v>5</v>
      </c>
      <c r="I508" s="22">
        <f>VLOOKUP($C508,'Master File June-26'!$C$3:$L$670,7,0)</f>
        <v>5</v>
      </c>
      <c r="J508" s="5">
        <f>VLOOKUP($C508,'Master File June-26'!$C$3:$L$670,8,0)</f>
        <v>14</v>
      </c>
      <c r="K508" s="23">
        <f>VLOOKUP($C508,'Master File June-26'!$C$3:$L$670,9,0)</f>
        <v>2.5</v>
      </c>
      <c r="L508" s="58">
        <f>VLOOKUP($C508,'Master File June-26'!$C$3:$L$670,10,0)</f>
        <v>0</v>
      </c>
      <c r="M508" s="24">
        <f t="shared" si="28"/>
        <v>0</v>
      </c>
      <c r="N508" s="25" t="str">
        <f t="shared" si="29"/>
        <v>ORDER NOW</v>
      </c>
      <c r="O508" s="25" t="str">
        <f t="shared" si="30"/>
        <v>CRITICAL</v>
      </c>
      <c r="S508" s="79">
        <f t="shared" si="31"/>
        <v>0</v>
      </c>
    </row>
    <row r="509" spans="1:19" ht="18.75" x14ac:dyDescent="0.25">
      <c r="A509" s="41">
        <v>487</v>
      </c>
      <c r="B509" s="41" t="s">
        <v>38</v>
      </c>
      <c r="C509" s="41" t="s">
        <v>1215</v>
      </c>
      <c r="D509" s="28" t="s">
        <v>1216</v>
      </c>
      <c r="E509" s="27" t="s">
        <v>1217</v>
      </c>
      <c r="F509" s="5" t="s">
        <v>22</v>
      </c>
      <c r="G509" s="21">
        <f>1/20</f>
        <v>0.05</v>
      </c>
      <c r="H509" s="22">
        <f>VLOOKUP($C509,'Master File June-26'!$C$3:$L$670,6,0)</f>
        <v>1</v>
      </c>
      <c r="I509" s="22">
        <f>VLOOKUP($C509,'Master File June-26'!$C$3:$L$670,7,0)</f>
        <v>20</v>
      </c>
      <c r="J509" s="5">
        <f>VLOOKUP($C509,'Master File June-26'!$C$3:$L$670,8,0)</f>
        <v>14</v>
      </c>
      <c r="K509" s="23">
        <f>VLOOKUP($C509,'Master File June-26'!$C$3:$L$670,9,0)</f>
        <v>10</v>
      </c>
      <c r="L509" s="58">
        <f>VLOOKUP($C509,'Master File June-26'!$C$3:$L$670,10,0)</f>
        <v>0</v>
      </c>
      <c r="M509" s="24">
        <f t="shared" si="28"/>
        <v>0</v>
      </c>
      <c r="N509" s="25" t="str">
        <f t="shared" si="29"/>
        <v>ORDER NOW</v>
      </c>
      <c r="O509" s="25" t="str">
        <f t="shared" si="30"/>
        <v>CRITICAL</v>
      </c>
      <c r="S509" s="79">
        <f t="shared" si="31"/>
        <v>0</v>
      </c>
    </row>
    <row r="510" spans="1:19" ht="18.75" x14ac:dyDescent="0.25">
      <c r="A510" s="41">
        <v>366</v>
      </c>
      <c r="B510" s="41" t="s">
        <v>85</v>
      </c>
      <c r="C510" s="41" t="s">
        <v>1218</v>
      </c>
      <c r="D510" s="28" t="s">
        <v>1219</v>
      </c>
      <c r="E510" s="27" t="s">
        <v>101</v>
      </c>
      <c r="F510" s="5" t="s">
        <v>22</v>
      </c>
      <c r="G510" s="21">
        <v>0.16666666666666666</v>
      </c>
      <c r="H510" s="22">
        <f>VLOOKUP($C510,'Master File June-26'!$C$3:$L$670,6,0)</f>
        <v>99.25</v>
      </c>
      <c r="I510" s="22">
        <f>VLOOKUP($C510,'Master File June-26'!$C$3:$L$670,7,0)</f>
        <v>595.5</v>
      </c>
      <c r="J510" s="5">
        <f>VLOOKUP($C510,'Master File June-26'!$C$3:$L$670,8,0)</f>
        <v>14</v>
      </c>
      <c r="K510" s="23">
        <f>VLOOKUP($C510,'Master File June-26'!$C$3:$L$670,9,0)</f>
        <v>297.75</v>
      </c>
      <c r="L510" s="58">
        <f>VLOOKUP($C510,'Master File June-26'!$C$3:$L$670,10,0)</f>
        <v>462</v>
      </c>
      <c r="M510" s="24">
        <f t="shared" si="28"/>
        <v>23.274559193954659</v>
      </c>
      <c r="N510" s="25" t="str">
        <f t="shared" si="29"/>
        <v>IN STOCK</v>
      </c>
      <c r="O510" s="25" t="str">
        <f t="shared" si="30"/>
        <v>FOLLOW UP DELIVERY</v>
      </c>
      <c r="S510" s="79">
        <f t="shared" si="31"/>
        <v>1</v>
      </c>
    </row>
    <row r="511" spans="1:19" ht="18.75" x14ac:dyDescent="0.25">
      <c r="A511" s="41">
        <v>357</v>
      </c>
      <c r="B511" s="41" t="s">
        <v>38</v>
      </c>
      <c r="C511" s="41" t="s">
        <v>1220</v>
      </c>
      <c r="D511" s="28" t="s">
        <v>1221</v>
      </c>
      <c r="E511" s="27" t="s">
        <v>1222</v>
      </c>
      <c r="F511" s="5" t="s">
        <v>22</v>
      </c>
      <c r="G511" s="21">
        <v>0.16666666666666666</v>
      </c>
      <c r="H511" s="22">
        <f>VLOOKUP($C511,'Master File June-26'!$C$3:$L$670,6,0)</f>
        <v>75.5</v>
      </c>
      <c r="I511" s="22">
        <f>VLOOKUP($C511,'Master File June-26'!$C$3:$L$670,7,0)</f>
        <v>453</v>
      </c>
      <c r="J511" s="5">
        <f>VLOOKUP($C511,'Master File June-26'!$C$3:$L$670,8,0)</f>
        <v>14</v>
      </c>
      <c r="K511" s="23">
        <f>VLOOKUP($C511,'Master File June-26'!$C$3:$L$670,9,0)</f>
        <v>226.5</v>
      </c>
      <c r="L511" s="58">
        <f>VLOOKUP($C511,'Master File June-26'!$C$3:$L$670,10,0)</f>
        <v>0</v>
      </c>
      <c r="M511" s="24">
        <f t="shared" si="28"/>
        <v>0</v>
      </c>
      <c r="N511" s="25" t="str">
        <f t="shared" si="29"/>
        <v>ORDER NOW</v>
      </c>
      <c r="O511" s="25" t="str">
        <f t="shared" si="30"/>
        <v>CRITICAL</v>
      </c>
      <c r="S511" s="79">
        <f t="shared" si="31"/>
        <v>0</v>
      </c>
    </row>
    <row r="512" spans="1:19" ht="18.75" x14ac:dyDescent="0.25">
      <c r="A512" s="19">
        <v>117</v>
      </c>
      <c r="B512" s="19" t="s">
        <v>18</v>
      </c>
      <c r="C512" s="19" t="s">
        <v>1223</v>
      </c>
      <c r="D512" s="28" t="s">
        <v>1224</v>
      </c>
      <c r="E512" s="27" t="s">
        <v>1225</v>
      </c>
      <c r="F512" s="5" t="s">
        <v>22</v>
      </c>
      <c r="G512" s="21">
        <v>2E-3</v>
      </c>
      <c r="H512" s="22">
        <f>VLOOKUP($C512,'Master File June-26'!$C$3:$L$670,6,0)</f>
        <v>10.5</v>
      </c>
      <c r="I512" s="22">
        <f>VLOOKUP($C512,'Master File June-26'!$C$3:$L$670,7,0)</f>
        <v>5250</v>
      </c>
      <c r="J512" s="5">
        <f>VLOOKUP($C512,'Master File June-26'!$C$3:$L$670,8,0)</f>
        <v>14</v>
      </c>
      <c r="K512" s="23">
        <f>VLOOKUP($C512,'Master File June-26'!$C$3:$L$670,9,0)</f>
        <v>2625</v>
      </c>
      <c r="L512" s="58">
        <f>VLOOKUP($C512,'Master File June-26'!$C$3:$L$670,10,0)</f>
        <v>0</v>
      </c>
      <c r="M512" s="24">
        <f t="shared" si="28"/>
        <v>0</v>
      </c>
      <c r="N512" s="25" t="str">
        <f t="shared" si="29"/>
        <v>ORDER NOW</v>
      </c>
      <c r="O512" s="25" t="str">
        <f t="shared" si="30"/>
        <v>CRITICAL</v>
      </c>
      <c r="R512" t="s">
        <v>30</v>
      </c>
      <c r="S512" s="79">
        <f t="shared" si="31"/>
        <v>0</v>
      </c>
    </row>
    <row r="513" spans="1:19" ht="18.75" x14ac:dyDescent="0.25">
      <c r="A513" s="19">
        <v>21</v>
      </c>
      <c r="B513" s="19" t="s">
        <v>18</v>
      </c>
      <c r="C513" s="19" t="s">
        <v>1226</v>
      </c>
      <c r="D513" s="28" t="s">
        <v>1227</v>
      </c>
      <c r="E513" s="27" t="s">
        <v>92</v>
      </c>
      <c r="F513" s="5" t="s">
        <v>22</v>
      </c>
      <c r="G513" s="21">
        <v>5.0000000000000001E-4</v>
      </c>
      <c r="H513" s="22">
        <f>VLOOKUP($C513,'Master File June-26'!$C$3:$L$670,6,0)</f>
        <v>84.5</v>
      </c>
      <c r="I513" s="22">
        <f>VLOOKUP($C513,'Master File June-26'!$C$3:$L$670,7,0)</f>
        <v>169000</v>
      </c>
      <c r="J513" s="5">
        <f>VLOOKUP($C513,'Master File June-26'!$C$3:$L$670,8,0)</f>
        <v>14</v>
      </c>
      <c r="K513" s="23">
        <f>VLOOKUP($C513,'Master File June-26'!$C$3:$L$670,9,0)</f>
        <v>84500</v>
      </c>
      <c r="L513" s="58">
        <f>VLOOKUP($C513,'Master File June-26'!$C$3:$L$670,10,0)</f>
        <v>21000</v>
      </c>
      <c r="M513" s="24">
        <f t="shared" si="28"/>
        <v>3.7278106508875739</v>
      </c>
      <c r="N513" s="25" t="str">
        <f t="shared" si="29"/>
        <v>ORDER NOW</v>
      </c>
      <c r="O513" s="25" t="str">
        <f t="shared" si="30"/>
        <v>CRITICAL</v>
      </c>
      <c r="R513" t="s">
        <v>30</v>
      </c>
      <c r="S513" s="79">
        <f t="shared" si="31"/>
        <v>0</v>
      </c>
    </row>
    <row r="514" spans="1:19" ht="18.75" x14ac:dyDescent="0.25">
      <c r="A514" s="19">
        <v>104</v>
      </c>
      <c r="B514" s="19" t="s">
        <v>18</v>
      </c>
      <c r="C514" s="19" t="s">
        <v>1228</v>
      </c>
      <c r="D514" s="28" t="s">
        <v>1229</v>
      </c>
      <c r="E514" s="27" t="s">
        <v>1069</v>
      </c>
      <c r="F514" s="5"/>
      <c r="G514" s="21">
        <v>0.02</v>
      </c>
      <c r="H514" s="22">
        <f>VLOOKUP($C514,'Master File June-26'!$C$3:$L$670,6,0)</f>
        <v>24</v>
      </c>
      <c r="I514" s="22">
        <f>VLOOKUP($C514,'Master File June-26'!$C$3:$L$670,7,0)</f>
        <v>1200</v>
      </c>
      <c r="J514" s="5">
        <f>VLOOKUP($C514,'Master File June-26'!$C$3:$L$670,8,0)</f>
        <v>14</v>
      </c>
      <c r="K514" s="23">
        <f>VLOOKUP($C514,'Master File June-26'!$C$3:$L$670,9,0)</f>
        <v>600</v>
      </c>
      <c r="L514" s="58">
        <f>VLOOKUP($C514,'Master File June-26'!$C$3:$L$670,10,0)</f>
        <v>150</v>
      </c>
      <c r="M514" s="24">
        <f t="shared" si="28"/>
        <v>3.75</v>
      </c>
      <c r="N514" s="25" t="str">
        <f t="shared" si="29"/>
        <v>ORDER NOW</v>
      </c>
      <c r="O514" s="25" t="str">
        <f t="shared" si="30"/>
        <v>CRITICAL</v>
      </c>
      <c r="R514" t="s">
        <v>30</v>
      </c>
      <c r="S514" s="79">
        <f t="shared" si="31"/>
        <v>0</v>
      </c>
    </row>
    <row r="515" spans="1:19" ht="18.75" x14ac:dyDescent="0.25">
      <c r="A515" s="39">
        <v>209</v>
      </c>
      <c r="B515" s="39" t="s">
        <v>157</v>
      </c>
      <c r="C515" s="39" t="s">
        <v>1230</v>
      </c>
      <c r="D515" s="28" t="s">
        <v>1231</v>
      </c>
      <c r="E515" s="27" t="s">
        <v>160</v>
      </c>
      <c r="F515" s="5" t="s">
        <v>49</v>
      </c>
      <c r="G515" s="21">
        <v>1</v>
      </c>
      <c r="H515" s="22">
        <f>VLOOKUP($C515,'Master File June-26'!$C$3:$L$670,6,0)</f>
        <v>44</v>
      </c>
      <c r="I515" s="22">
        <f>VLOOKUP($C515,'Master File June-26'!$C$3:$L$670,7,0)</f>
        <v>44</v>
      </c>
      <c r="J515" s="5">
        <f>VLOOKUP($C515,'Master File June-26'!$C$3:$L$670,8,0)</f>
        <v>14</v>
      </c>
      <c r="K515" s="23">
        <f>VLOOKUP($C515,'Master File June-26'!$C$3:$L$670,9,0)</f>
        <v>22</v>
      </c>
      <c r="L515" s="58">
        <f>VLOOKUP($C515,'Master File June-26'!$C$3:$L$670,10,0)</f>
        <v>0</v>
      </c>
      <c r="M515" s="24">
        <f t="shared" ref="M515:M578" si="32">IFERROR((L515/I515*30),0)</f>
        <v>0</v>
      </c>
      <c r="N515" s="25" t="str">
        <f t="shared" ref="N515:N578" si="33">IF(M515&lt;J515,"ORDER NOW","IN STOCK")</f>
        <v>ORDER NOW</v>
      </c>
      <c r="O515" s="25" t="str">
        <f t="shared" ref="O515:O578" si="34">IF(M515&lt;J515,"CRITICAL","FOLLOW UP DELIVERY")</f>
        <v>CRITICAL</v>
      </c>
      <c r="S515" s="79">
        <f t="shared" ref="S515:S578" si="35">IF(L515&lt;K515,0,1)</f>
        <v>0</v>
      </c>
    </row>
    <row r="516" spans="1:19" ht="18.75" x14ac:dyDescent="0.25">
      <c r="A516" s="19">
        <v>9</v>
      </c>
      <c r="B516" s="19" t="s">
        <v>18</v>
      </c>
      <c r="C516" s="19" t="s">
        <v>1232</v>
      </c>
      <c r="D516" s="28" t="s">
        <v>1233</v>
      </c>
      <c r="E516" s="27" t="s">
        <v>186</v>
      </c>
      <c r="F516" s="5" t="s">
        <v>22</v>
      </c>
      <c r="G516" s="21">
        <v>2E-3</v>
      </c>
      <c r="H516" s="22">
        <f>VLOOKUP($C516,'Master File June-26'!$C$3:$L$670,6,0)</f>
        <v>627</v>
      </c>
      <c r="I516" s="22">
        <f>VLOOKUP($C516,'Master File June-26'!$C$3:$L$670,7,0)</f>
        <v>313500</v>
      </c>
      <c r="J516" s="5">
        <f>VLOOKUP($C516,'Master File June-26'!$C$3:$L$670,8,0)</f>
        <v>60</v>
      </c>
      <c r="K516" s="23">
        <f>VLOOKUP($C516,'Master File June-26'!$C$3:$L$670,9,0)</f>
        <v>671785.71428571432</v>
      </c>
      <c r="L516" s="58">
        <f>VLOOKUP($C516,'Master File June-26'!$C$3:$L$670,10,0)</f>
        <v>0</v>
      </c>
      <c r="M516" s="24">
        <f t="shared" si="32"/>
        <v>0</v>
      </c>
      <c r="N516" s="25" t="str">
        <f t="shared" si="33"/>
        <v>ORDER NOW</v>
      </c>
      <c r="O516" s="25" t="str">
        <f t="shared" si="34"/>
        <v>CRITICAL</v>
      </c>
      <c r="R516" t="s">
        <v>30</v>
      </c>
      <c r="S516" s="79">
        <f t="shared" si="35"/>
        <v>0</v>
      </c>
    </row>
    <row r="517" spans="1:19" ht="18.75" x14ac:dyDescent="0.25">
      <c r="A517" s="19">
        <v>143</v>
      </c>
      <c r="B517" s="19" t="s">
        <v>18</v>
      </c>
      <c r="C517" s="19" t="s">
        <v>1234</v>
      </c>
      <c r="D517" s="62" t="s">
        <v>1235</v>
      </c>
      <c r="E517" s="32" t="s">
        <v>49</v>
      </c>
      <c r="F517" s="5" t="s">
        <v>49</v>
      </c>
      <c r="G517" s="21">
        <v>1</v>
      </c>
      <c r="H517" s="22">
        <f>VLOOKUP($C517,'Master File June-26'!$C$3:$L$670,6,0)</f>
        <v>10</v>
      </c>
      <c r="I517" s="22">
        <f>VLOOKUP($C517,'Master File June-26'!$C$3:$L$670,7,0)</f>
        <v>5000</v>
      </c>
      <c r="J517" s="5">
        <f>VLOOKUP($C517,'Master File June-26'!$C$3:$L$670,8,0)</f>
        <v>14</v>
      </c>
      <c r="K517" s="23">
        <f>VLOOKUP($C517,'Master File June-26'!$C$3:$L$670,9,0)</f>
        <v>2500</v>
      </c>
      <c r="L517" s="58">
        <f>VLOOKUP($C517,'Master File June-26'!$C$3:$L$670,10,0)</f>
        <v>0</v>
      </c>
      <c r="M517" s="24">
        <f t="shared" si="32"/>
        <v>0</v>
      </c>
      <c r="N517" s="25" t="str">
        <f t="shared" si="33"/>
        <v>ORDER NOW</v>
      </c>
      <c r="O517" s="25" t="str">
        <f t="shared" si="34"/>
        <v>CRITICAL</v>
      </c>
      <c r="R517" t="s">
        <v>30</v>
      </c>
      <c r="S517" s="79">
        <f t="shared" si="35"/>
        <v>0</v>
      </c>
    </row>
    <row r="518" spans="1:19" ht="18.75" x14ac:dyDescent="0.25">
      <c r="A518" s="41">
        <v>553</v>
      </c>
      <c r="B518" s="41" t="s">
        <v>38</v>
      </c>
      <c r="C518" s="41" t="s">
        <v>1236</v>
      </c>
      <c r="D518" s="40" t="s">
        <v>1237</v>
      </c>
      <c r="E518" s="31" t="s">
        <v>22</v>
      </c>
      <c r="F518" s="5" t="s">
        <v>22</v>
      </c>
      <c r="G518" s="21">
        <v>1</v>
      </c>
      <c r="H518" s="22">
        <f>VLOOKUP($C518,'Master File June-26'!$C$3:$L$670,6,0)</f>
        <v>5</v>
      </c>
      <c r="I518" s="22">
        <f>VLOOKUP($C518,'Master File June-26'!$C$3:$L$670,7,0)</f>
        <v>5</v>
      </c>
      <c r="J518" s="5">
        <f>VLOOKUP($C518,'Master File June-26'!$C$3:$L$670,8,0)</f>
        <v>14</v>
      </c>
      <c r="K518" s="23">
        <f>VLOOKUP($C518,'Master File June-26'!$C$3:$L$670,9,0)</f>
        <v>2.5</v>
      </c>
      <c r="L518" s="58">
        <f>VLOOKUP($C518,'Master File June-26'!$C$3:$L$670,10,0)</f>
        <v>0</v>
      </c>
      <c r="M518" s="24">
        <f t="shared" si="32"/>
        <v>0</v>
      </c>
      <c r="N518" s="25" t="str">
        <f t="shared" si="33"/>
        <v>ORDER NOW</v>
      </c>
      <c r="O518" s="25" t="str">
        <f t="shared" si="34"/>
        <v>CRITICAL</v>
      </c>
      <c r="S518" s="79">
        <f t="shared" si="35"/>
        <v>0</v>
      </c>
    </row>
    <row r="519" spans="1:19" ht="18.75" x14ac:dyDescent="0.25">
      <c r="A519" s="39">
        <v>261</v>
      </c>
      <c r="B519" s="39" t="s">
        <v>239</v>
      </c>
      <c r="C519" s="39" t="s">
        <v>1238</v>
      </c>
      <c r="D519" s="28" t="s">
        <v>1239</v>
      </c>
      <c r="E519" s="27" t="s">
        <v>78</v>
      </c>
      <c r="F519" s="5" t="s">
        <v>49</v>
      </c>
      <c r="G519" s="21">
        <v>1</v>
      </c>
      <c r="H519" s="22">
        <f>VLOOKUP($C519,'Master File June-26'!$C$3:$L$670,6,0)</f>
        <v>33</v>
      </c>
      <c r="I519" s="22">
        <f>VLOOKUP($C519,'Master File June-26'!$C$3:$L$670,7,0)</f>
        <v>33</v>
      </c>
      <c r="J519" s="5">
        <f>VLOOKUP($C519,'Master File June-26'!$C$3:$L$670,8,0)</f>
        <v>14</v>
      </c>
      <c r="K519" s="23">
        <f>VLOOKUP($C519,'Master File June-26'!$C$3:$L$670,9,0)</f>
        <v>16.5</v>
      </c>
      <c r="L519" s="58">
        <f>VLOOKUP($C519,'Master File June-26'!$C$3:$L$670,10,0)</f>
        <v>0</v>
      </c>
      <c r="M519" s="24">
        <f t="shared" si="32"/>
        <v>0</v>
      </c>
      <c r="N519" s="25" t="str">
        <f t="shared" si="33"/>
        <v>ORDER NOW</v>
      </c>
      <c r="O519" s="25" t="str">
        <f t="shared" si="34"/>
        <v>CRITICAL</v>
      </c>
      <c r="S519" s="79">
        <f t="shared" si="35"/>
        <v>0</v>
      </c>
    </row>
    <row r="520" spans="1:19" ht="18.75" x14ac:dyDescent="0.25">
      <c r="A520" s="19">
        <v>8</v>
      </c>
      <c r="B520" s="19" t="s">
        <v>18</v>
      </c>
      <c r="C520" s="19" t="s">
        <v>1240</v>
      </c>
      <c r="D520" s="28" t="s">
        <v>1241</v>
      </c>
      <c r="E520" s="27" t="s">
        <v>186</v>
      </c>
      <c r="F520" s="5" t="s">
        <v>22</v>
      </c>
      <c r="G520" s="21">
        <v>2E-3</v>
      </c>
      <c r="H520" s="22">
        <f>VLOOKUP($C520,'Master File June-26'!$C$3:$L$670,6,0)</f>
        <v>627</v>
      </c>
      <c r="I520" s="22">
        <f>VLOOKUP($C520,'Master File June-26'!$C$3:$L$670,7,0)</f>
        <v>313500</v>
      </c>
      <c r="J520" s="5">
        <f>VLOOKUP($C520,'Master File June-26'!$C$3:$L$670,8,0)</f>
        <v>60</v>
      </c>
      <c r="K520" s="23">
        <f>VLOOKUP($C520,'Master File June-26'!$C$3:$L$670,9,0)</f>
        <v>671785.71428571432</v>
      </c>
      <c r="L520" s="58">
        <f>VLOOKUP($C520,'Master File June-26'!$C$3:$L$670,10,0)</f>
        <v>135500</v>
      </c>
      <c r="M520" s="24">
        <f t="shared" si="32"/>
        <v>12.966507177033494</v>
      </c>
      <c r="N520" s="25" t="str">
        <f t="shared" si="33"/>
        <v>ORDER NOW</v>
      </c>
      <c r="O520" s="25" t="str">
        <f t="shared" si="34"/>
        <v>CRITICAL</v>
      </c>
      <c r="R520" t="s">
        <v>30</v>
      </c>
      <c r="S520" s="79">
        <f t="shared" si="35"/>
        <v>0</v>
      </c>
    </row>
    <row r="521" spans="1:19" ht="18.75" x14ac:dyDescent="0.25">
      <c r="A521" s="41">
        <v>349</v>
      </c>
      <c r="B521" s="41" t="s">
        <v>38</v>
      </c>
      <c r="C521" s="41" t="s">
        <v>1242</v>
      </c>
      <c r="D521" s="28" t="s">
        <v>1243</v>
      </c>
      <c r="E521" s="27" t="s">
        <v>1244</v>
      </c>
      <c r="F521" s="5" t="s">
        <v>22</v>
      </c>
      <c r="G521" s="21">
        <v>0.2</v>
      </c>
      <c r="H521" s="22">
        <f>VLOOKUP($C521,'Master File June-26'!$C$3:$L$670,6,0)</f>
        <v>33</v>
      </c>
      <c r="I521" s="22">
        <f>VLOOKUP($C521,'Master File June-26'!$C$3:$L$670,7,0)</f>
        <v>165</v>
      </c>
      <c r="J521" s="5">
        <f>VLOOKUP($C521,'Master File June-26'!$C$3:$L$670,8,0)</f>
        <v>14</v>
      </c>
      <c r="K521" s="23">
        <f>VLOOKUP($C521,'Master File June-26'!$C$3:$L$670,9,0)</f>
        <v>82.5</v>
      </c>
      <c r="L521" s="58">
        <f>VLOOKUP($C521,'Master File June-26'!$C$3:$L$670,10,0)</f>
        <v>50</v>
      </c>
      <c r="M521" s="24">
        <f t="shared" si="32"/>
        <v>9.0909090909090917</v>
      </c>
      <c r="N521" s="25" t="str">
        <f t="shared" si="33"/>
        <v>ORDER NOW</v>
      </c>
      <c r="O521" s="25" t="str">
        <f t="shared" si="34"/>
        <v>CRITICAL</v>
      </c>
      <c r="S521" s="79">
        <f t="shared" si="35"/>
        <v>0</v>
      </c>
    </row>
    <row r="522" spans="1:19" ht="18.75" x14ac:dyDescent="0.25">
      <c r="A522" s="41">
        <v>556</v>
      </c>
      <c r="B522" s="41" t="s">
        <v>38</v>
      </c>
      <c r="C522" s="41" t="s">
        <v>1245</v>
      </c>
      <c r="D522" s="40" t="s">
        <v>1246</v>
      </c>
      <c r="E522" s="31" t="s">
        <v>22</v>
      </c>
      <c r="F522" s="5" t="s">
        <v>22</v>
      </c>
      <c r="G522" s="21">
        <v>1</v>
      </c>
      <c r="H522" s="22">
        <f>VLOOKUP($C522,'Master File June-26'!$C$3:$L$670,6,0)</f>
        <v>1</v>
      </c>
      <c r="I522" s="22">
        <f>VLOOKUP($C522,'Master File June-26'!$C$3:$L$670,7,0)</f>
        <v>1</v>
      </c>
      <c r="J522" s="5">
        <f>VLOOKUP($C522,'Master File June-26'!$C$3:$L$670,8,0)</f>
        <v>14</v>
      </c>
      <c r="K522" s="23">
        <f>VLOOKUP($C522,'Master File June-26'!$C$3:$L$670,9,0)</f>
        <v>0.5</v>
      </c>
      <c r="L522" s="58">
        <f>VLOOKUP($C522,'Master File June-26'!$C$3:$L$670,10,0)</f>
        <v>0</v>
      </c>
      <c r="M522" s="24">
        <f t="shared" si="32"/>
        <v>0</v>
      </c>
      <c r="N522" s="25" t="str">
        <f t="shared" si="33"/>
        <v>ORDER NOW</v>
      </c>
      <c r="O522" s="25" t="str">
        <f t="shared" si="34"/>
        <v>CRITICAL</v>
      </c>
      <c r="S522" s="79">
        <f t="shared" si="35"/>
        <v>0</v>
      </c>
    </row>
    <row r="523" spans="1:19" ht="18.75" x14ac:dyDescent="0.25">
      <c r="A523" s="41">
        <v>368</v>
      </c>
      <c r="B523" s="41" t="s">
        <v>85</v>
      </c>
      <c r="C523" s="41" t="s">
        <v>1247</v>
      </c>
      <c r="D523" s="28" t="s">
        <v>1248</v>
      </c>
      <c r="E523" s="27" t="s">
        <v>101</v>
      </c>
      <c r="F523" s="5" t="s">
        <v>22</v>
      </c>
      <c r="G523" s="21">
        <v>0.16666666666666666</v>
      </c>
      <c r="H523" s="22">
        <f>VLOOKUP($C523,'Master File June-26'!$C$3:$L$670,6,0)</f>
        <v>16.5</v>
      </c>
      <c r="I523" s="22">
        <f>VLOOKUP($C523,'Master File June-26'!$C$3:$L$670,7,0)</f>
        <v>99</v>
      </c>
      <c r="J523" s="5">
        <f>VLOOKUP($C523,'Master File June-26'!$C$3:$L$670,8,0)</f>
        <v>14</v>
      </c>
      <c r="K523" s="23">
        <f>VLOOKUP($C523,'Master File June-26'!$C$3:$L$670,9,0)</f>
        <v>49.5</v>
      </c>
      <c r="L523" s="58">
        <f>VLOOKUP($C523,'Master File June-26'!$C$3:$L$670,10,0)</f>
        <v>94</v>
      </c>
      <c r="M523" s="24">
        <f t="shared" si="32"/>
        <v>28.484848484848484</v>
      </c>
      <c r="N523" s="25" t="str">
        <f t="shared" si="33"/>
        <v>IN STOCK</v>
      </c>
      <c r="O523" s="25" t="str">
        <f t="shared" si="34"/>
        <v>FOLLOW UP DELIVERY</v>
      </c>
      <c r="S523" s="79">
        <f t="shared" si="35"/>
        <v>1</v>
      </c>
    </row>
    <row r="524" spans="1:19" ht="18.75" x14ac:dyDescent="0.25">
      <c r="A524" s="19">
        <v>166</v>
      </c>
      <c r="B524" s="19" t="s">
        <v>18</v>
      </c>
      <c r="C524" s="19" t="s">
        <v>1249</v>
      </c>
      <c r="D524" s="28" t="s">
        <v>1250</v>
      </c>
      <c r="E524" s="27" t="s">
        <v>1251</v>
      </c>
      <c r="F524" s="5" t="s">
        <v>22</v>
      </c>
      <c r="G524" s="21">
        <f>1/150</f>
        <v>6.6666666666666671E-3</v>
      </c>
      <c r="H524" s="22">
        <f>VLOOKUP($C524,'Master File June-26'!$C$3:$L$670,6,0)</f>
        <v>8</v>
      </c>
      <c r="I524" s="22">
        <f>VLOOKUP($C524,'Master File June-26'!$C$3:$L$670,7,0)</f>
        <v>1200</v>
      </c>
      <c r="J524" s="5">
        <f>VLOOKUP($C524,'Master File June-26'!$C$3:$L$670,8,0)</f>
        <v>14</v>
      </c>
      <c r="K524" s="23">
        <f>VLOOKUP($C524,'Master File June-26'!$C$3:$L$670,9,0)</f>
        <v>600</v>
      </c>
      <c r="L524" s="58">
        <f>VLOOKUP($C524,'Master File June-26'!$C$3:$L$670,10,0)</f>
        <v>0</v>
      </c>
      <c r="M524" s="24">
        <f t="shared" si="32"/>
        <v>0</v>
      </c>
      <c r="N524" s="25" t="str">
        <f t="shared" si="33"/>
        <v>ORDER NOW</v>
      </c>
      <c r="O524" s="25" t="str">
        <f t="shared" si="34"/>
        <v>CRITICAL</v>
      </c>
      <c r="S524" s="79">
        <f t="shared" si="35"/>
        <v>0</v>
      </c>
    </row>
    <row r="525" spans="1:19" ht="18.75" x14ac:dyDescent="0.25">
      <c r="A525" s="41">
        <v>424</v>
      </c>
      <c r="B525" s="41" t="s">
        <v>38</v>
      </c>
      <c r="C525" s="41" t="s">
        <v>1252</v>
      </c>
      <c r="D525" s="28" t="s">
        <v>1253</v>
      </c>
      <c r="E525" s="27" t="s">
        <v>1059</v>
      </c>
      <c r="F525" s="5" t="s">
        <v>54</v>
      </c>
      <c r="G525" s="21">
        <v>0.04</v>
      </c>
      <c r="H525" s="22">
        <f>VLOOKUP($C525,'Master File June-26'!$C$3:$L$670,6,0)</f>
        <v>25</v>
      </c>
      <c r="I525" s="22">
        <f>VLOOKUP($C525,'Master File June-26'!$C$3:$L$670,7,0)</f>
        <v>625</v>
      </c>
      <c r="J525" s="5">
        <f>VLOOKUP($C525,'Master File June-26'!$C$3:$L$670,8,0)</f>
        <v>14</v>
      </c>
      <c r="K525" s="23">
        <f>VLOOKUP($C525,'Master File June-26'!$C$3:$L$670,9,0)</f>
        <v>312.5</v>
      </c>
      <c r="L525" s="58">
        <f>VLOOKUP($C525,'Master File June-26'!$C$3:$L$670,10,0)</f>
        <v>0</v>
      </c>
      <c r="M525" s="24">
        <f t="shared" si="32"/>
        <v>0</v>
      </c>
      <c r="N525" s="25" t="str">
        <f t="shared" si="33"/>
        <v>ORDER NOW</v>
      </c>
      <c r="O525" s="25" t="str">
        <f t="shared" si="34"/>
        <v>CRITICAL</v>
      </c>
      <c r="S525" s="79">
        <f t="shared" si="35"/>
        <v>0</v>
      </c>
    </row>
    <row r="526" spans="1:19" ht="18.75" x14ac:dyDescent="0.25">
      <c r="A526" s="41">
        <v>528</v>
      </c>
      <c r="B526" s="41" t="s">
        <v>38</v>
      </c>
      <c r="C526" s="41" t="s">
        <v>1254</v>
      </c>
      <c r="D526" s="28" t="s">
        <v>1255</v>
      </c>
      <c r="E526" s="31" t="s">
        <v>606</v>
      </c>
      <c r="F526" s="44" t="s">
        <v>22</v>
      </c>
      <c r="G526" s="21">
        <v>1.1100000000000001</v>
      </c>
      <c r="H526" s="22">
        <f>VLOOKUP($C526,'Master File June-26'!$C$3:$L$670,6,0)</f>
        <v>10</v>
      </c>
      <c r="I526" s="22">
        <f>VLOOKUP($C526,'Master File June-26'!$C$3:$L$670,7,0)</f>
        <v>9.0090090090090076</v>
      </c>
      <c r="J526" s="5">
        <f>VLOOKUP($C526,'Master File June-26'!$C$3:$L$670,8,0)</f>
        <v>14</v>
      </c>
      <c r="K526" s="23">
        <f>VLOOKUP($C526,'Master File June-26'!$C$3:$L$670,9,0)</f>
        <v>4.5045045045045038</v>
      </c>
      <c r="L526" s="58">
        <f>VLOOKUP($C526,'Master File June-26'!$C$3:$L$670,10,0)</f>
        <v>0</v>
      </c>
      <c r="M526" s="24">
        <f t="shared" si="32"/>
        <v>0</v>
      </c>
      <c r="N526" s="25" t="str">
        <f t="shared" si="33"/>
        <v>ORDER NOW</v>
      </c>
      <c r="O526" s="25" t="str">
        <f t="shared" si="34"/>
        <v>CRITICAL</v>
      </c>
      <c r="S526" s="79">
        <f t="shared" si="35"/>
        <v>0</v>
      </c>
    </row>
    <row r="527" spans="1:19" ht="18.75" x14ac:dyDescent="0.25">
      <c r="A527" s="19">
        <v>7</v>
      </c>
      <c r="B527" s="19"/>
      <c r="C527" s="19" t="s">
        <v>1256</v>
      </c>
      <c r="D527" s="20" t="s">
        <v>1257</v>
      </c>
      <c r="E527" s="31" t="s">
        <v>1258</v>
      </c>
      <c r="F527" s="5" t="s">
        <v>49</v>
      </c>
      <c r="G527" s="21">
        <f>1/1500</f>
        <v>6.6666666666666664E-4</v>
      </c>
      <c r="H527" s="22">
        <f>VLOOKUP($C527,'Master File June-26'!$C$3:$L$670,6,0)</f>
        <v>6</v>
      </c>
      <c r="I527" s="22">
        <f>VLOOKUP($C527,'Master File June-26'!$C$3:$L$670,7,0)</f>
        <v>9000</v>
      </c>
      <c r="J527" s="5">
        <f>VLOOKUP($C527,'Master File June-26'!$C$3:$L$670,8,0)</f>
        <v>60</v>
      </c>
      <c r="K527" s="23">
        <f>VLOOKUP($C527,'Master File June-26'!$C$3:$L$670,9,0)</f>
        <v>19285.714285714286</v>
      </c>
      <c r="L527" s="58">
        <f>VLOOKUP($C527,'Master File June-26'!$C$3:$L$670,10,0)</f>
        <v>0</v>
      </c>
      <c r="M527" s="24">
        <f t="shared" si="32"/>
        <v>0</v>
      </c>
      <c r="N527" s="25" t="str">
        <f t="shared" si="33"/>
        <v>ORDER NOW</v>
      </c>
      <c r="O527" s="25" t="str">
        <f t="shared" si="34"/>
        <v>CRITICAL</v>
      </c>
      <c r="R527" t="s">
        <v>30</v>
      </c>
      <c r="S527" s="79">
        <f t="shared" si="35"/>
        <v>0</v>
      </c>
    </row>
    <row r="528" spans="1:19" ht="18.75" x14ac:dyDescent="0.25">
      <c r="A528" s="19">
        <v>25</v>
      </c>
      <c r="B528" s="19" t="s">
        <v>18</v>
      </c>
      <c r="C528" s="19" t="s">
        <v>1259</v>
      </c>
      <c r="D528" s="28" t="s">
        <v>1260</v>
      </c>
      <c r="E528" s="27" t="s">
        <v>180</v>
      </c>
      <c r="F528" s="5" t="s">
        <v>22</v>
      </c>
      <c r="G528" s="21">
        <v>1E-3</v>
      </c>
      <c r="H528" s="22">
        <f>VLOOKUP($C528,'Master File June-26'!$C$3:$L$670,6,0)</f>
        <v>23</v>
      </c>
      <c r="I528" s="22">
        <f>VLOOKUP($C528,'Master File June-26'!$C$3:$L$670,7,0)</f>
        <v>23000</v>
      </c>
      <c r="J528" s="5">
        <f>VLOOKUP($C528,'Master File June-26'!$C$3:$L$670,8,0)</f>
        <v>60</v>
      </c>
      <c r="K528" s="23">
        <f>VLOOKUP($C528,'Master File June-26'!$C$3:$L$670,9,0)</f>
        <v>49285.714285714283</v>
      </c>
      <c r="L528" s="58">
        <f>VLOOKUP($C528,'Master File June-26'!$C$3:$L$670,10,0)</f>
        <v>0</v>
      </c>
      <c r="M528" s="24">
        <f t="shared" si="32"/>
        <v>0</v>
      </c>
      <c r="N528" s="25" t="str">
        <f t="shared" si="33"/>
        <v>ORDER NOW</v>
      </c>
      <c r="O528" s="25" t="str">
        <f t="shared" si="34"/>
        <v>CRITICAL</v>
      </c>
      <c r="R528" t="s">
        <v>30</v>
      </c>
      <c r="S528" s="79">
        <f t="shared" si="35"/>
        <v>0</v>
      </c>
    </row>
    <row r="529" spans="1:19" ht="18.75" x14ac:dyDescent="0.25">
      <c r="A529" s="39">
        <v>219</v>
      </c>
      <c r="B529" s="39" t="s">
        <v>123</v>
      </c>
      <c r="C529" s="39" t="s">
        <v>1261</v>
      </c>
      <c r="D529" s="28" t="s">
        <v>1262</v>
      </c>
      <c r="E529" s="27" t="s">
        <v>78</v>
      </c>
      <c r="F529" s="5" t="s">
        <v>49</v>
      </c>
      <c r="G529" s="21">
        <v>1</v>
      </c>
      <c r="H529" s="22">
        <f>VLOOKUP($C529,'Master File June-26'!$C$3:$L$670,6,0)</f>
        <v>79</v>
      </c>
      <c r="I529" s="22">
        <f>VLOOKUP($C529,'Master File June-26'!$C$3:$L$670,7,0)</f>
        <v>79</v>
      </c>
      <c r="J529" s="5">
        <f>VLOOKUP($C529,'Master File June-26'!$C$3:$L$670,8,0)</f>
        <v>14</v>
      </c>
      <c r="K529" s="23">
        <f>VLOOKUP($C529,'Master File June-26'!$C$3:$L$670,9,0)</f>
        <v>39.5</v>
      </c>
      <c r="L529" s="58">
        <f>VLOOKUP($C529,'Master File June-26'!$C$3:$L$670,10,0)</f>
        <v>0</v>
      </c>
      <c r="M529" s="24">
        <f t="shared" si="32"/>
        <v>0</v>
      </c>
      <c r="N529" s="25" t="str">
        <f t="shared" si="33"/>
        <v>ORDER NOW</v>
      </c>
      <c r="O529" s="25" t="str">
        <f t="shared" si="34"/>
        <v>CRITICAL</v>
      </c>
      <c r="S529" s="79">
        <f t="shared" si="35"/>
        <v>0</v>
      </c>
    </row>
    <row r="530" spans="1:19" ht="18.75" x14ac:dyDescent="0.25">
      <c r="A530" s="19">
        <v>10</v>
      </c>
      <c r="B530" s="19" t="s">
        <v>18</v>
      </c>
      <c r="C530" s="19" t="s">
        <v>1263</v>
      </c>
      <c r="D530" s="30" t="s">
        <v>1264</v>
      </c>
      <c r="E530" s="29" t="s">
        <v>1265</v>
      </c>
      <c r="F530" s="5" t="s">
        <v>22</v>
      </c>
      <c r="G530" s="21">
        <v>1E-3</v>
      </c>
      <c r="H530" s="22">
        <f>VLOOKUP($C530,'Master File June-26'!$C$3:$L$670,6,0)</f>
        <v>330</v>
      </c>
      <c r="I530" s="22">
        <f>VLOOKUP($C530,'Master File June-26'!$C$3:$L$670,7,0)</f>
        <v>330000</v>
      </c>
      <c r="J530" s="5">
        <f>VLOOKUP($C530,'Master File June-26'!$C$3:$L$670,8,0)</f>
        <v>60</v>
      </c>
      <c r="K530" s="23">
        <f>VLOOKUP($C530,'Master File June-26'!$C$3:$L$670,9,0)</f>
        <v>707142.85714285716</v>
      </c>
      <c r="L530" s="58">
        <f>VLOOKUP($C530,'Master File June-26'!$C$3:$L$670,10,0)</f>
        <v>52500</v>
      </c>
      <c r="M530" s="24">
        <f t="shared" si="32"/>
        <v>4.7727272727272725</v>
      </c>
      <c r="N530" s="25" t="str">
        <f t="shared" si="33"/>
        <v>ORDER NOW</v>
      </c>
      <c r="O530" s="25" t="str">
        <f t="shared" si="34"/>
        <v>CRITICAL</v>
      </c>
      <c r="R530" t="s">
        <v>30</v>
      </c>
      <c r="S530" s="79">
        <f t="shared" si="35"/>
        <v>0</v>
      </c>
    </row>
    <row r="531" spans="1:19" ht="18.75" x14ac:dyDescent="0.25">
      <c r="A531" s="19">
        <v>18</v>
      </c>
      <c r="B531" s="19" t="s">
        <v>18</v>
      </c>
      <c r="C531" s="19" t="s">
        <v>1266</v>
      </c>
      <c r="D531" s="28" t="s">
        <v>1267</v>
      </c>
      <c r="E531" s="27" t="s">
        <v>1268</v>
      </c>
      <c r="F531" s="5" t="s">
        <v>22</v>
      </c>
      <c r="G531" s="21">
        <v>5.0000000000000001E-3</v>
      </c>
      <c r="H531" s="22">
        <f>VLOOKUP($C531,'Master File June-26'!$C$3:$L$670,6,0)</f>
        <v>248</v>
      </c>
      <c r="I531" s="22">
        <f>VLOOKUP($C531,'Master File June-26'!$C$3:$L$670,7,0)</f>
        <v>49600</v>
      </c>
      <c r="J531" s="5">
        <f>VLOOKUP($C531,'Master File June-26'!$C$3:$L$670,8,0)</f>
        <v>14</v>
      </c>
      <c r="K531" s="23">
        <f>VLOOKUP($C531,'Master File June-26'!$C$3:$L$670,9,0)</f>
        <v>24800</v>
      </c>
      <c r="L531" s="58">
        <f>VLOOKUP($C531,'Master File June-26'!$C$3:$L$670,10,0)</f>
        <v>7900</v>
      </c>
      <c r="M531" s="24">
        <f t="shared" si="32"/>
        <v>4.778225806451613</v>
      </c>
      <c r="N531" s="25" t="str">
        <f t="shared" si="33"/>
        <v>ORDER NOW</v>
      </c>
      <c r="O531" s="25" t="str">
        <f t="shared" si="34"/>
        <v>CRITICAL</v>
      </c>
      <c r="R531" t="s">
        <v>30</v>
      </c>
      <c r="S531" s="79">
        <f t="shared" si="35"/>
        <v>0</v>
      </c>
    </row>
    <row r="532" spans="1:19" ht="18.75" x14ac:dyDescent="0.25">
      <c r="A532" s="41">
        <v>388</v>
      </c>
      <c r="B532" s="41" t="s">
        <v>85</v>
      </c>
      <c r="C532" s="41" t="s">
        <v>1269</v>
      </c>
      <c r="D532" s="28" t="s">
        <v>1270</v>
      </c>
      <c r="E532" s="27" t="s">
        <v>1271</v>
      </c>
      <c r="F532" s="5" t="s">
        <v>22</v>
      </c>
      <c r="G532" s="21">
        <v>0.42735042735042739</v>
      </c>
      <c r="H532" s="22">
        <f>VLOOKUP($C532,'Master File June-26'!$C$3:$L$670,6,0)</f>
        <v>36</v>
      </c>
      <c r="I532" s="22">
        <f>VLOOKUP($C532,'Master File June-26'!$C$3:$L$670,7,0)</f>
        <v>84.24</v>
      </c>
      <c r="J532" s="5">
        <f>VLOOKUP($C532,'Master File June-26'!$C$3:$L$670,8,0)</f>
        <v>14</v>
      </c>
      <c r="K532" s="23">
        <f>VLOOKUP($C532,'Master File June-26'!$C$3:$L$670,9,0)</f>
        <v>42.12</v>
      </c>
      <c r="L532" s="58">
        <f>VLOOKUP($C532,'Master File June-26'!$C$3:$L$670,10,0)</f>
        <v>7.02</v>
      </c>
      <c r="M532" s="24">
        <f t="shared" si="32"/>
        <v>2.5</v>
      </c>
      <c r="N532" s="25" t="str">
        <f t="shared" si="33"/>
        <v>ORDER NOW</v>
      </c>
      <c r="O532" s="25" t="str">
        <f t="shared" si="34"/>
        <v>CRITICAL</v>
      </c>
      <c r="S532" s="79">
        <f t="shared" si="35"/>
        <v>0</v>
      </c>
    </row>
    <row r="533" spans="1:19" ht="18.75" x14ac:dyDescent="0.25">
      <c r="A533" s="41">
        <v>510</v>
      </c>
      <c r="B533" s="41" t="s">
        <v>38</v>
      </c>
      <c r="C533" s="41" t="s">
        <v>1272</v>
      </c>
      <c r="D533" s="28" t="s">
        <v>1273</v>
      </c>
      <c r="E533" s="27" t="s">
        <v>1274</v>
      </c>
      <c r="F533" s="5" t="s">
        <v>22</v>
      </c>
      <c r="G533" s="21">
        <v>0.11261261261261263</v>
      </c>
      <c r="H533" s="22">
        <f>VLOOKUP($C533,'Master File June-26'!$C$3:$L$670,6,0)</f>
        <v>28</v>
      </c>
      <c r="I533" s="22">
        <f>VLOOKUP($C533,'Master File June-26'!$C$3:$L$670,7,0)</f>
        <v>248.63999999999996</v>
      </c>
      <c r="J533" s="5">
        <f>VLOOKUP($C533,'Master File June-26'!$C$3:$L$670,8,0)</f>
        <v>14</v>
      </c>
      <c r="K533" s="23">
        <f>VLOOKUP($C533,'Master File June-26'!$C$3:$L$670,9,0)</f>
        <v>124.31999999999998</v>
      </c>
      <c r="L533" s="58">
        <f>VLOOKUP($C533,'Master File June-26'!$C$3:$L$670,10,0)</f>
        <v>0</v>
      </c>
      <c r="M533" s="24">
        <f t="shared" si="32"/>
        <v>0</v>
      </c>
      <c r="N533" s="25" t="str">
        <f t="shared" si="33"/>
        <v>ORDER NOW</v>
      </c>
      <c r="O533" s="25" t="str">
        <f t="shared" si="34"/>
        <v>CRITICAL</v>
      </c>
      <c r="S533" s="79">
        <f t="shared" si="35"/>
        <v>0</v>
      </c>
    </row>
    <row r="534" spans="1:19" ht="18.75" x14ac:dyDescent="0.25">
      <c r="A534" s="19">
        <v>35</v>
      </c>
      <c r="B534" s="19" t="s">
        <v>18</v>
      </c>
      <c r="C534" s="19" t="s">
        <v>1275</v>
      </c>
      <c r="D534" s="28" t="s">
        <v>1276</v>
      </c>
      <c r="E534" s="27" t="s">
        <v>1277</v>
      </c>
      <c r="F534" s="5" t="s">
        <v>22</v>
      </c>
      <c r="G534" s="21">
        <v>1E-3</v>
      </c>
      <c r="H534" s="22">
        <f>VLOOKUP($C534,'Master File June-26'!$C$3:$L$670,6,0)</f>
        <v>96</v>
      </c>
      <c r="I534" s="22">
        <f>VLOOKUP($C534,'Master File June-26'!$C$3:$L$670,7,0)</f>
        <v>96000</v>
      </c>
      <c r="J534" s="5">
        <f>VLOOKUP($C534,'Master File June-26'!$C$3:$L$670,8,0)</f>
        <v>60</v>
      </c>
      <c r="K534" s="23">
        <f>VLOOKUP($C534,'Master File June-26'!$C$3:$L$670,9,0)</f>
        <v>205714.28571428571</v>
      </c>
      <c r="L534" s="58">
        <f>VLOOKUP($C534,'Master File June-26'!$C$3:$L$670,10,0)</f>
        <v>0</v>
      </c>
      <c r="M534" s="24">
        <f t="shared" si="32"/>
        <v>0</v>
      </c>
      <c r="N534" s="25" t="str">
        <f t="shared" si="33"/>
        <v>ORDER NOW</v>
      </c>
      <c r="O534" s="25" t="str">
        <f t="shared" si="34"/>
        <v>CRITICAL</v>
      </c>
      <c r="R534" t="s">
        <v>30</v>
      </c>
      <c r="S534" s="79">
        <f t="shared" si="35"/>
        <v>0</v>
      </c>
    </row>
    <row r="535" spans="1:19" ht="18.75" x14ac:dyDescent="0.25">
      <c r="A535" s="41">
        <v>534</v>
      </c>
      <c r="B535" s="41" t="s">
        <v>61</v>
      </c>
      <c r="C535" s="41" t="s">
        <v>1278</v>
      </c>
      <c r="D535" s="40" t="s">
        <v>1279</v>
      </c>
      <c r="E535" s="31" t="s">
        <v>22</v>
      </c>
      <c r="F535" s="5" t="s">
        <v>22</v>
      </c>
      <c r="G535" s="21">
        <v>1</v>
      </c>
      <c r="H535" s="22">
        <f>VLOOKUP($C535,'Master File June-26'!$C$3:$L$670,6,0)</f>
        <v>1</v>
      </c>
      <c r="I535" s="22">
        <f>VLOOKUP($C535,'Master File June-26'!$C$3:$L$670,7,0)</f>
        <v>1</v>
      </c>
      <c r="J535" s="5">
        <f>VLOOKUP($C535,'Master File June-26'!$C$3:$L$670,8,0)</f>
        <v>14</v>
      </c>
      <c r="K535" s="23">
        <f>VLOOKUP($C535,'Master File June-26'!$C$3:$L$670,9,0)</f>
        <v>0.5</v>
      </c>
      <c r="L535" s="58">
        <f>VLOOKUP($C535,'Master File June-26'!$C$3:$L$670,10,0)</f>
        <v>0</v>
      </c>
      <c r="M535" s="24">
        <f t="shared" si="32"/>
        <v>0</v>
      </c>
      <c r="N535" s="25" t="str">
        <f t="shared" si="33"/>
        <v>ORDER NOW</v>
      </c>
      <c r="O535" s="25" t="str">
        <f t="shared" si="34"/>
        <v>CRITICAL</v>
      </c>
      <c r="S535" s="79">
        <f t="shared" si="35"/>
        <v>0</v>
      </c>
    </row>
    <row r="536" spans="1:19" ht="18.75" x14ac:dyDescent="0.25">
      <c r="A536" s="39">
        <v>320</v>
      </c>
      <c r="B536" s="39" t="s">
        <v>123</v>
      </c>
      <c r="C536" s="39" t="s">
        <v>1280</v>
      </c>
      <c r="D536" s="28" t="s">
        <v>1281</v>
      </c>
      <c r="E536" s="27" t="s">
        <v>706</v>
      </c>
      <c r="F536" s="5" t="s">
        <v>49</v>
      </c>
      <c r="G536" s="21">
        <f>1/5</f>
        <v>0.2</v>
      </c>
      <c r="H536" s="22">
        <f>VLOOKUP($C536,'Master File June-26'!$C$3:$L$670,6,0)</f>
        <v>20</v>
      </c>
      <c r="I536" s="22">
        <f>VLOOKUP($C536,'Master File June-26'!$C$3:$L$670,7,0)</f>
        <v>100</v>
      </c>
      <c r="J536" s="5">
        <f>VLOOKUP($C536,'Master File June-26'!$C$3:$L$670,8,0)</f>
        <v>14</v>
      </c>
      <c r="K536" s="23">
        <f>VLOOKUP($C536,'Master File June-26'!$C$3:$L$670,9,0)</f>
        <v>50</v>
      </c>
      <c r="L536" s="58">
        <f>VLOOKUP($C536,'Master File June-26'!$C$3:$L$670,10,0)</f>
        <v>73</v>
      </c>
      <c r="M536" s="24">
        <f t="shared" si="32"/>
        <v>21.9</v>
      </c>
      <c r="N536" s="25" t="str">
        <f t="shared" si="33"/>
        <v>IN STOCK</v>
      </c>
      <c r="O536" s="25" t="str">
        <f t="shared" si="34"/>
        <v>FOLLOW UP DELIVERY</v>
      </c>
      <c r="S536" s="79">
        <f t="shared" si="35"/>
        <v>1</v>
      </c>
    </row>
    <row r="537" spans="1:19" ht="18.75" x14ac:dyDescent="0.25">
      <c r="A537" s="41">
        <v>486</v>
      </c>
      <c r="B537" s="41" t="s">
        <v>38</v>
      </c>
      <c r="C537" s="41" t="s">
        <v>1282</v>
      </c>
      <c r="D537" s="28" t="s">
        <v>1283</v>
      </c>
      <c r="E537" s="27" t="s">
        <v>1284</v>
      </c>
      <c r="F537" s="5" t="s">
        <v>89</v>
      </c>
      <c r="G537" s="21">
        <f>1/12*0.98</f>
        <v>8.1666666666666665E-2</v>
      </c>
      <c r="H537" s="22">
        <f>VLOOKUP($C537,'Master File June-26'!$C$3:$L$670,6,0)</f>
        <v>1</v>
      </c>
      <c r="I537" s="22">
        <f>VLOOKUP($C537,'Master File June-26'!$C$3:$L$670,7,0)</f>
        <v>12.244897959183673</v>
      </c>
      <c r="J537" s="5">
        <f>VLOOKUP($C537,'Master File June-26'!$C$3:$L$670,8,0)</f>
        <v>14</v>
      </c>
      <c r="K537" s="23">
        <f>VLOOKUP($C537,'Master File June-26'!$C$3:$L$670,9,0)</f>
        <v>6.1224489795918364</v>
      </c>
      <c r="L537" s="58">
        <f>VLOOKUP($C537,'Master File June-26'!$C$3:$L$670,10,0)</f>
        <v>0</v>
      </c>
      <c r="M537" s="24">
        <f t="shared" si="32"/>
        <v>0</v>
      </c>
      <c r="N537" s="25" t="str">
        <f t="shared" si="33"/>
        <v>ORDER NOW</v>
      </c>
      <c r="O537" s="25" t="str">
        <f t="shared" si="34"/>
        <v>CRITICAL</v>
      </c>
      <c r="S537" s="79">
        <f t="shared" si="35"/>
        <v>0</v>
      </c>
    </row>
    <row r="538" spans="1:19" ht="18.75" x14ac:dyDescent="0.25">
      <c r="A538" s="41">
        <v>547</v>
      </c>
      <c r="B538" s="41" t="s">
        <v>38</v>
      </c>
      <c r="C538" s="41" t="s">
        <v>1285</v>
      </c>
      <c r="D538" s="45" t="s">
        <v>1286</v>
      </c>
      <c r="E538" s="31" t="s">
        <v>64</v>
      </c>
      <c r="F538" s="5" t="s">
        <v>49</v>
      </c>
      <c r="G538" s="21">
        <v>1</v>
      </c>
      <c r="H538" s="22">
        <f>VLOOKUP($C538,'Master File June-26'!$C$3:$L$670,6,0)</f>
        <v>1</v>
      </c>
      <c r="I538" s="22">
        <f>VLOOKUP($C538,'Master File June-26'!$C$3:$L$670,7,0)</f>
        <v>1</v>
      </c>
      <c r="J538" s="5">
        <f>VLOOKUP($C538,'Master File June-26'!$C$3:$L$670,8,0)</f>
        <v>14</v>
      </c>
      <c r="K538" s="23">
        <f>VLOOKUP($C538,'Master File June-26'!$C$3:$L$670,9,0)</f>
        <v>0.5</v>
      </c>
      <c r="L538" s="58">
        <f>VLOOKUP($C538,'Master File June-26'!$C$3:$L$670,10,0)</f>
        <v>0</v>
      </c>
      <c r="M538" s="24">
        <f t="shared" si="32"/>
        <v>0</v>
      </c>
      <c r="N538" s="25" t="str">
        <f t="shared" si="33"/>
        <v>ORDER NOW</v>
      </c>
      <c r="O538" s="25" t="str">
        <f t="shared" si="34"/>
        <v>CRITICAL</v>
      </c>
      <c r="S538" s="79">
        <f t="shared" si="35"/>
        <v>0</v>
      </c>
    </row>
    <row r="539" spans="1:19" ht="18.75" x14ac:dyDescent="0.25">
      <c r="A539" s="41">
        <v>548</v>
      </c>
      <c r="B539" s="41" t="s">
        <v>38</v>
      </c>
      <c r="C539" s="41" t="s">
        <v>1287</v>
      </c>
      <c r="D539" s="45" t="s">
        <v>1288</v>
      </c>
      <c r="E539" s="31" t="s">
        <v>22</v>
      </c>
      <c r="F539" s="5" t="s">
        <v>22</v>
      </c>
      <c r="G539" s="21">
        <v>0.18518518518518517</v>
      </c>
      <c r="H539" s="22">
        <f>VLOOKUP($C539,'Master File June-26'!$C$3:$L$670,6,0)</f>
        <v>1</v>
      </c>
      <c r="I539" s="22">
        <f>VLOOKUP($C539,'Master File June-26'!$C$3:$L$670,7,0)</f>
        <v>5.4</v>
      </c>
      <c r="J539" s="5">
        <f>VLOOKUP($C539,'Master File June-26'!$C$3:$L$670,8,0)</f>
        <v>14</v>
      </c>
      <c r="K539" s="23">
        <f>VLOOKUP($C539,'Master File June-26'!$C$3:$L$670,9,0)</f>
        <v>2.7</v>
      </c>
      <c r="L539" s="58">
        <f>VLOOKUP($C539,'Master File June-26'!$C$3:$L$670,10,0)</f>
        <v>2</v>
      </c>
      <c r="M539" s="24">
        <f t="shared" si="32"/>
        <v>11.111111111111111</v>
      </c>
      <c r="N539" s="25" t="str">
        <f t="shared" si="33"/>
        <v>ORDER NOW</v>
      </c>
      <c r="O539" s="25" t="str">
        <f t="shared" si="34"/>
        <v>CRITICAL</v>
      </c>
      <c r="S539" s="79">
        <f t="shared" si="35"/>
        <v>0</v>
      </c>
    </row>
    <row r="540" spans="1:19" ht="18.75" x14ac:dyDescent="0.25">
      <c r="A540" s="41">
        <v>568</v>
      </c>
      <c r="B540" s="41" t="s">
        <v>38</v>
      </c>
      <c r="C540" s="41" t="s">
        <v>1289</v>
      </c>
      <c r="D540" s="30" t="s">
        <v>1290</v>
      </c>
      <c r="E540" s="6" t="s">
        <v>1291</v>
      </c>
      <c r="F540" s="5" t="s">
        <v>64</v>
      </c>
      <c r="G540" s="21">
        <f>1/(12*0.793)</f>
        <v>0.10508617065994115</v>
      </c>
      <c r="H540" s="22">
        <f>VLOOKUP($C540,'Master File June-26'!$C$3:$L$670,6,0)</f>
        <v>1</v>
      </c>
      <c r="I540" s="22">
        <f>VLOOKUP($C540,'Master File June-26'!$C$3:$L$670,7,0)</f>
        <v>9.516</v>
      </c>
      <c r="J540" s="5">
        <f>VLOOKUP($C540,'Master File June-26'!$C$3:$L$670,8,0)</f>
        <v>14</v>
      </c>
      <c r="K540" s="23">
        <f>VLOOKUP($C540,'Master File June-26'!$C$3:$L$670,9,0)</f>
        <v>4.758</v>
      </c>
      <c r="L540" s="58">
        <f>VLOOKUP($C540,'Master File June-26'!$C$3:$L$670,10,0)</f>
        <v>0</v>
      </c>
      <c r="M540" s="24">
        <f t="shared" si="32"/>
        <v>0</v>
      </c>
      <c r="N540" s="25" t="str">
        <f t="shared" si="33"/>
        <v>ORDER NOW</v>
      </c>
      <c r="O540" s="25" t="str">
        <f t="shared" si="34"/>
        <v>CRITICAL</v>
      </c>
      <c r="S540" s="79">
        <f t="shared" si="35"/>
        <v>0</v>
      </c>
    </row>
    <row r="541" spans="1:19" ht="18.75" x14ac:dyDescent="0.25">
      <c r="A541" s="41">
        <v>509</v>
      </c>
      <c r="B541" s="41" t="s">
        <v>38</v>
      </c>
      <c r="C541" s="41" t="s">
        <v>1292</v>
      </c>
      <c r="D541" s="28" t="s">
        <v>1293</v>
      </c>
      <c r="E541" s="27" t="s">
        <v>1294</v>
      </c>
      <c r="F541" s="5" t="s">
        <v>22</v>
      </c>
      <c r="G541" s="21">
        <v>0.16666666666666666</v>
      </c>
      <c r="H541" s="22">
        <f>VLOOKUP($C541,'Master File June-26'!$C$3:$L$670,6,0)</f>
        <v>10</v>
      </c>
      <c r="I541" s="22">
        <f>VLOOKUP($C541,'Master File June-26'!$C$3:$L$670,7,0)</f>
        <v>60</v>
      </c>
      <c r="J541" s="5">
        <f>VLOOKUP($C541,'Master File June-26'!$C$3:$L$670,8,0)</f>
        <v>14</v>
      </c>
      <c r="K541" s="23">
        <f>VLOOKUP($C541,'Master File June-26'!$C$3:$L$670,9,0)</f>
        <v>30</v>
      </c>
      <c r="L541" s="58">
        <f>VLOOKUP($C541,'Master File June-26'!$C$3:$L$670,10,0)</f>
        <v>0</v>
      </c>
      <c r="M541" s="24">
        <f t="shared" si="32"/>
        <v>0</v>
      </c>
      <c r="N541" s="25" t="str">
        <f t="shared" si="33"/>
        <v>ORDER NOW</v>
      </c>
      <c r="O541" s="25" t="str">
        <f t="shared" si="34"/>
        <v>CRITICAL</v>
      </c>
      <c r="S541" s="79">
        <f t="shared" si="35"/>
        <v>0</v>
      </c>
    </row>
    <row r="542" spans="1:19" ht="18.75" x14ac:dyDescent="0.25">
      <c r="A542" s="41">
        <v>523</v>
      </c>
      <c r="B542" s="41" t="s">
        <v>18</v>
      </c>
      <c r="C542" s="41" t="s">
        <v>1295</v>
      </c>
      <c r="D542" s="28" t="s">
        <v>1296</v>
      </c>
      <c r="E542" s="27" t="s">
        <v>160</v>
      </c>
      <c r="F542" s="5" t="s">
        <v>49</v>
      </c>
      <c r="G542" s="21">
        <v>1</v>
      </c>
      <c r="H542" s="22">
        <f>VLOOKUP($C542,'Master File June-26'!$C$3:$L$670,6,0)</f>
        <v>30</v>
      </c>
      <c r="I542" s="22">
        <f>VLOOKUP($C542,'Master File June-26'!$C$3:$L$670,7,0)</f>
        <v>30</v>
      </c>
      <c r="J542" s="5">
        <f>VLOOKUP($C542,'Master File June-26'!$C$3:$L$670,8,0)</f>
        <v>14</v>
      </c>
      <c r="K542" s="23">
        <f>VLOOKUP($C542,'Master File June-26'!$C$3:$L$670,9,0)</f>
        <v>15</v>
      </c>
      <c r="L542" s="58">
        <f>VLOOKUP($C542,'Master File June-26'!$C$3:$L$670,10,0)</f>
        <v>0</v>
      </c>
      <c r="M542" s="24">
        <f t="shared" si="32"/>
        <v>0</v>
      </c>
      <c r="N542" s="25" t="str">
        <f t="shared" si="33"/>
        <v>ORDER NOW</v>
      </c>
      <c r="O542" s="25" t="str">
        <f t="shared" si="34"/>
        <v>CRITICAL</v>
      </c>
      <c r="S542" s="79">
        <f t="shared" si="35"/>
        <v>0</v>
      </c>
    </row>
    <row r="543" spans="1:19" ht="18.75" x14ac:dyDescent="0.25">
      <c r="A543" s="19">
        <v>76</v>
      </c>
      <c r="B543" s="19" t="s">
        <v>18</v>
      </c>
      <c r="C543" s="19" t="s">
        <v>1297</v>
      </c>
      <c r="D543" s="33" t="s">
        <v>1298</v>
      </c>
      <c r="E543" s="32" t="s">
        <v>78</v>
      </c>
      <c r="F543" s="5" t="s">
        <v>49</v>
      </c>
      <c r="G543" s="21">
        <v>1</v>
      </c>
      <c r="H543" s="22">
        <f>VLOOKUP($C543,'Master File June-26'!$C$3:$L$670,6,0)</f>
        <v>50</v>
      </c>
      <c r="I543" s="22">
        <f>VLOOKUP($C543,'Master File June-26'!$C$3:$L$670,7,0)</f>
        <v>1500</v>
      </c>
      <c r="J543" s="5">
        <f>VLOOKUP($C543,'Master File June-26'!$C$3:$L$670,8,0)</f>
        <v>60</v>
      </c>
      <c r="K543" s="23">
        <f>VLOOKUP($C543,'Master File June-26'!$C$3:$L$670,9,0)</f>
        <v>3214.2857142857142</v>
      </c>
      <c r="L543" s="58">
        <f>VLOOKUP($C543,'Master File June-26'!$C$3:$L$670,10,0)</f>
        <v>0</v>
      </c>
      <c r="M543" s="24">
        <f t="shared" si="32"/>
        <v>0</v>
      </c>
      <c r="N543" s="25" t="str">
        <f t="shared" si="33"/>
        <v>ORDER NOW</v>
      </c>
      <c r="O543" s="25" t="str">
        <f t="shared" si="34"/>
        <v>CRITICAL</v>
      </c>
      <c r="R543" t="s">
        <v>30</v>
      </c>
      <c r="S543" s="79">
        <f t="shared" si="35"/>
        <v>0</v>
      </c>
    </row>
    <row r="544" spans="1:19" ht="18.75" x14ac:dyDescent="0.25">
      <c r="A544" s="49">
        <v>584</v>
      </c>
      <c r="B544" s="49" t="s">
        <v>298</v>
      </c>
      <c r="C544" s="49" t="s">
        <v>1299</v>
      </c>
      <c r="D544" s="28" t="s">
        <v>1300</v>
      </c>
      <c r="E544" s="27" t="s">
        <v>49</v>
      </c>
      <c r="F544" s="5" t="s">
        <v>49</v>
      </c>
      <c r="G544" s="21">
        <v>1</v>
      </c>
      <c r="H544" s="22">
        <f>VLOOKUP($C544,'Master File June-26'!$C$3:$L$670,6,0)</f>
        <v>11</v>
      </c>
      <c r="I544" s="22">
        <f>VLOOKUP($C544,'Master File June-26'!$C$3:$L$670,7,0)</f>
        <v>11</v>
      </c>
      <c r="J544" s="5">
        <f>VLOOKUP($C544,'Master File June-26'!$C$3:$L$670,8,0)</f>
        <v>14</v>
      </c>
      <c r="K544" s="23">
        <f>VLOOKUP($C544,'Master File June-26'!$C$3:$L$670,9,0)</f>
        <v>5.5</v>
      </c>
      <c r="L544" s="58">
        <f>VLOOKUP($C544,'Master File June-26'!$C$3:$L$670,10,0)</f>
        <v>0</v>
      </c>
      <c r="M544" s="24">
        <f t="shared" si="32"/>
        <v>0</v>
      </c>
      <c r="N544" s="25" t="str">
        <f t="shared" si="33"/>
        <v>ORDER NOW</v>
      </c>
      <c r="O544" s="25" t="str">
        <f t="shared" si="34"/>
        <v>CRITICAL</v>
      </c>
      <c r="S544" s="79">
        <f t="shared" si="35"/>
        <v>0</v>
      </c>
    </row>
    <row r="545" spans="1:19" ht="18.75" x14ac:dyDescent="0.25">
      <c r="A545" s="39">
        <v>223</v>
      </c>
      <c r="B545" s="39" t="s">
        <v>123</v>
      </c>
      <c r="C545" s="39" t="s">
        <v>1301</v>
      </c>
      <c r="D545" s="28" t="s">
        <v>1302</v>
      </c>
      <c r="E545" s="27" t="s">
        <v>254</v>
      </c>
      <c r="F545" s="5" t="s">
        <v>49</v>
      </c>
      <c r="G545" s="21">
        <v>1</v>
      </c>
      <c r="H545" s="22">
        <f>VLOOKUP($C545,'Master File June-26'!$C$3:$L$670,6,0)</f>
        <v>67</v>
      </c>
      <c r="I545" s="22">
        <f>VLOOKUP($C545,'Master File June-26'!$C$3:$L$670,7,0)</f>
        <v>67</v>
      </c>
      <c r="J545" s="5">
        <f>VLOOKUP($C545,'Master File June-26'!$C$3:$L$670,8,0)</f>
        <v>14</v>
      </c>
      <c r="K545" s="23">
        <f>VLOOKUP($C545,'Master File June-26'!$C$3:$L$670,9,0)</f>
        <v>33.5</v>
      </c>
      <c r="L545" s="58">
        <f>VLOOKUP($C545,'Master File June-26'!$C$3:$L$670,10,0)</f>
        <v>0</v>
      </c>
      <c r="M545" s="24">
        <f t="shared" si="32"/>
        <v>0</v>
      </c>
      <c r="N545" s="25" t="str">
        <f t="shared" si="33"/>
        <v>ORDER NOW</v>
      </c>
      <c r="O545" s="25" t="str">
        <f t="shared" si="34"/>
        <v>CRITICAL</v>
      </c>
      <c r="S545" s="79">
        <f t="shared" si="35"/>
        <v>0</v>
      </c>
    </row>
    <row r="546" spans="1:19" ht="18.75" x14ac:dyDescent="0.25">
      <c r="A546" s="19">
        <v>124</v>
      </c>
      <c r="B546" s="19" t="s">
        <v>18</v>
      </c>
      <c r="C546" s="19" t="s">
        <v>1303</v>
      </c>
      <c r="D546" s="28" t="s">
        <v>1304</v>
      </c>
      <c r="E546" s="27" t="s">
        <v>1305</v>
      </c>
      <c r="F546" s="5" t="s">
        <v>606</v>
      </c>
      <c r="G546" s="21">
        <f>1/50</f>
        <v>0.02</v>
      </c>
      <c r="H546" s="22">
        <f>VLOOKUP($C546,'Master File June-26'!$C$3:$L$670,6,0)</f>
        <v>1000</v>
      </c>
      <c r="I546" s="22">
        <f>VLOOKUP($C546,'Master File June-26'!$C$3:$L$670,7,0)</f>
        <v>50000</v>
      </c>
      <c r="J546" s="5">
        <f>VLOOKUP($C546,'Master File June-26'!$C$3:$L$670,8,0)</f>
        <v>60</v>
      </c>
      <c r="K546" s="23">
        <f>VLOOKUP($C546,'Master File June-26'!$C$3:$L$670,9,0)</f>
        <v>107142.85714285714</v>
      </c>
      <c r="L546" s="58">
        <f>VLOOKUP($C546,'Master File June-26'!$C$3:$L$670,10,0)</f>
        <v>6000</v>
      </c>
      <c r="M546" s="24">
        <f t="shared" si="32"/>
        <v>3.5999999999999996</v>
      </c>
      <c r="N546" s="25" t="str">
        <f t="shared" si="33"/>
        <v>ORDER NOW</v>
      </c>
      <c r="O546" s="25" t="str">
        <f t="shared" si="34"/>
        <v>CRITICAL</v>
      </c>
      <c r="R546" t="s">
        <v>30</v>
      </c>
      <c r="S546" s="79">
        <f t="shared" si="35"/>
        <v>0</v>
      </c>
    </row>
    <row r="547" spans="1:19" ht="18.75" x14ac:dyDescent="0.25">
      <c r="A547" s="19">
        <v>1</v>
      </c>
      <c r="B547" s="19"/>
      <c r="C547" s="19" t="s">
        <v>1306</v>
      </c>
      <c r="D547" s="115" t="s">
        <v>1307</v>
      </c>
      <c r="E547" s="4" t="s">
        <v>22</v>
      </c>
      <c r="F547" s="5" t="s">
        <v>49</v>
      </c>
      <c r="G547" s="21">
        <f>1/5000</f>
        <v>2.0000000000000001E-4</v>
      </c>
      <c r="H547" s="22">
        <f>VLOOKUP($C547,'Master File June-26'!$C$3:$L$670,6,0)</f>
        <v>402</v>
      </c>
      <c r="I547" s="22">
        <f>VLOOKUP($C547,'Master File June-26'!$C$3:$L$670,7,0)</f>
        <v>2010000</v>
      </c>
      <c r="J547" s="5">
        <f>VLOOKUP($C547,'Master File June-26'!$C$3:$L$670,8,0)</f>
        <v>60</v>
      </c>
      <c r="K547" s="23">
        <f>VLOOKUP($C547,'Master File June-26'!$C$3:$L$670,9,0)</f>
        <v>4307142.8571428573</v>
      </c>
      <c r="L547" s="58">
        <f>VLOOKUP($C547,'Master File June-26'!$C$3:$L$670,10,0)</f>
        <v>720000</v>
      </c>
      <c r="M547" s="24">
        <f t="shared" si="32"/>
        <v>10.746268656716417</v>
      </c>
      <c r="N547" s="25" t="str">
        <f t="shared" si="33"/>
        <v>ORDER NOW</v>
      </c>
      <c r="O547" s="25" t="str">
        <f t="shared" si="34"/>
        <v>CRITICAL</v>
      </c>
      <c r="R547" s="26" t="s">
        <v>30</v>
      </c>
      <c r="S547" s="79">
        <f t="shared" si="35"/>
        <v>0</v>
      </c>
    </row>
    <row r="548" spans="1:19" ht="18.75" x14ac:dyDescent="0.25">
      <c r="A548" s="41">
        <v>402</v>
      </c>
      <c r="B548" s="41" t="s">
        <v>61</v>
      </c>
      <c r="C548" s="41" t="s">
        <v>1308</v>
      </c>
      <c r="D548" s="28" t="s">
        <v>1309</v>
      </c>
      <c r="E548" s="27" t="s">
        <v>1310</v>
      </c>
      <c r="F548" s="5" t="s">
        <v>22</v>
      </c>
      <c r="G548" s="21">
        <v>8.3333333333333329E-2</v>
      </c>
      <c r="H548" s="22">
        <f>VLOOKUP($C548,'Master File June-26'!$C$3:$L$670,6,0)</f>
        <v>16</v>
      </c>
      <c r="I548" s="22">
        <f>VLOOKUP($C548,'Master File June-26'!$C$3:$L$670,7,0)</f>
        <v>192</v>
      </c>
      <c r="J548" s="5">
        <f>VLOOKUP($C548,'Master File June-26'!$C$3:$L$670,8,0)</f>
        <v>14</v>
      </c>
      <c r="K548" s="23">
        <f>VLOOKUP($C548,'Master File June-26'!$C$3:$L$670,9,0)</f>
        <v>96</v>
      </c>
      <c r="L548" s="58">
        <f>VLOOKUP($C548,'Master File June-26'!$C$3:$L$670,10,0)</f>
        <v>36</v>
      </c>
      <c r="M548" s="24">
        <f t="shared" si="32"/>
        <v>5.625</v>
      </c>
      <c r="N548" s="25" t="str">
        <f t="shared" si="33"/>
        <v>ORDER NOW</v>
      </c>
      <c r="O548" s="25" t="str">
        <f t="shared" si="34"/>
        <v>CRITICAL</v>
      </c>
      <c r="S548" s="79">
        <f t="shared" si="35"/>
        <v>0</v>
      </c>
    </row>
    <row r="549" spans="1:19" ht="18.75" x14ac:dyDescent="0.25">
      <c r="A549" s="41">
        <v>364</v>
      </c>
      <c r="B549" s="41" t="s">
        <v>85</v>
      </c>
      <c r="C549" s="41" t="s">
        <v>1311</v>
      </c>
      <c r="D549" s="34" t="s">
        <v>1312</v>
      </c>
      <c r="E549" s="31" t="s">
        <v>890</v>
      </c>
      <c r="F549" s="5" t="s">
        <v>22</v>
      </c>
      <c r="G549" s="21">
        <v>0.23809523809523814</v>
      </c>
      <c r="H549" s="22">
        <f>VLOOKUP($C549,'Master File June-26'!$C$3:$L$670,6,0)</f>
        <v>23.5</v>
      </c>
      <c r="I549" s="22">
        <f>VLOOKUP($C549,'Master File June-26'!$C$3:$L$670,7,0)</f>
        <v>98.699999999999989</v>
      </c>
      <c r="J549" s="5">
        <f>VLOOKUP($C549,'Master File June-26'!$C$3:$L$670,8,0)</f>
        <v>14</v>
      </c>
      <c r="K549" s="23">
        <f>VLOOKUP($C549,'Master File June-26'!$C$3:$L$670,9,0)</f>
        <v>49.349999999999994</v>
      </c>
      <c r="L549" s="58">
        <f>VLOOKUP($C549,'Master File June-26'!$C$3:$L$670,10,0)</f>
        <v>0</v>
      </c>
      <c r="M549" s="24">
        <f t="shared" si="32"/>
        <v>0</v>
      </c>
      <c r="N549" s="25" t="str">
        <f t="shared" si="33"/>
        <v>ORDER NOW</v>
      </c>
      <c r="O549" s="25" t="str">
        <f t="shared" si="34"/>
        <v>CRITICAL</v>
      </c>
      <c r="S549" s="79">
        <f t="shared" si="35"/>
        <v>0</v>
      </c>
    </row>
    <row r="550" spans="1:19" ht="18.75" x14ac:dyDescent="0.25">
      <c r="A550" s="41">
        <v>342</v>
      </c>
      <c r="B550" s="41" t="s">
        <v>38</v>
      </c>
      <c r="C550" s="41" t="s">
        <v>1313</v>
      </c>
      <c r="D550" s="28" t="s">
        <v>1314</v>
      </c>
      <c r="E550" s="27" t="s">
        <v>1315</v>
      </c>
      <c r="F550" s="5" t="s">
        <v>22</v>
      </c>
      <c r="G550" s="21">
        <v>6.9444444444444441E-3</v>
      </c>
      <c r="H550" s="22">
        <f>VLOOKUP($C550,'Master File June-26'!$C$3:$L$670,6,0)</f>
        <v>60.5</v>
      </c>
      <c r="I550" s="22">
        <f>VLOOKUP($C550,'Master File June-26'!$C$3:$L$670,7,0)</f>
        <v>8712.0000000000055</v>
      </c>
      <c r="J550" s="5">
        <f>VLOOKUP($C550,'Master File June-26'!$C$3:$L$670,8,0)</f>
        <v>14</v>
      </c>
      <c r="K550" s="23">
        <f>VLOOKUP($C550,'Master File June-26'!$C$3:$L$670,9,0)</f>
        <v>4356.0000000000027</v>
      </c>
      <c r="L550" s="58">
        <f>VLOOKUP($C550,'Master File June-26'!$C$3:$L$670,10,0)</f>
        <v>28.704000000000001</v>
      </c>
      <c r="M550" s="24">
        <f t="shared" si="32"/>
        <v>9.8842975206611505E-2</v>
      </c>
      <c r="N550" s="25" t="str">
        <f t="shared" si="33"/>
        <v>ORDER NOW</v>
      </c>
      <c r="O550" s="25" t="str">
        <f t="shared" si="34"/>
        <v>CRITICAL</v>
      </c>
      <c r="S550" s="79">
        <f t="shared" si="35"/>
        <v>0</v>
      </c>
    </row>
    <row r="551" spans="1:19" ht="18.75" x14ac:dyDescent="0.25">
      <c r="A551" s="39">
        <v>203</v>
      </c>
      <c r="B551" s="39" t="s">
        <v>18</v>
      </c>
      <c r="C551" s="39" t="s">
        <v>1316</v>
      </c>
      <c r="D551" s="34" t="s">
        <v>1317</v>
      </c>
      <c r="E551" s="31" t="s">
        <v>160</v>
      </c>
      <c r="F551" s="5" t="s">
        <v>49</v>
      </c>
      <c r="G551" s="21">
        <v>1</v>
      </c>
      <c r="H551" s="22">
        <f>VLOOKUP($C551,'Master File June-26'!$C$3:$L$670,6,0)</f>
        <v>22</v>
      </c>
      <c r="I551" s="22">
        <f>VLOOKUP($C551,'Master File June-26'!$C$3:$L$670,7,0)</f>
        <v>22</v>
      </c>
      <c r="J551" s="5">
        <f>VLOOKUP($C551,'Master File June-26'!$C$3:$L$670,8,0)</f>
        <v>14</v>
      </c>
      <c r="K551" s="23">
        <f>VLOOKUP($C551,'Master File June-26'!$C$3:$L$670,9,0)</f>
        <v>11</v>
      </c>
      <c r="L551" s="58">
        <f>VLOOKUP($C551,'Master File June-26'!$C$3:$L$670,10,0)</f>
        <v>0</v>
      </c>
      <c r="M551" s="24">
        <f t="shared" si="32"/>
        <v>0</v>
      </c>
      <c r="N551" s="25" t="str">
        <f t="shared" si="33"/>
        <v>ORDER NOW</v>
      </c>
      <c r="O551" s="25" t="str">
        <f t="shared" si="34"/>
        <v>CRITICAL</v>
      </c>
      <c r="S551" s="79">
        <f t="shared" si="35"/>
        <v>0</v>
      </c>
    </row>
    <row r="552" spans="1:19" ht="18.75" x14ac:dyDescent="0.25">
      <c r="A552" s="39">
        <v>323</v>
      </c>
      <c r="B552" s="39" t="s">
        <v>123</v>
      </c>
      <c r="C552" s="39" t="s">
        <v>1318</v>
      </c>
      <c r="D552" s="28" t="s">
        <v>1319</v>
      </c>
      <c r="E552" s="27" t="s">
        <v>1320</v>
      </c>
      <c r="F552" s="5" t="s">
        <v>22</v>
      </c>
      <c r="G552" s="21">
        <v>0.05</v>
      </c>
      <c r="H552" s="22">
        <f>VLOOKUP($C552,'Master File June-26'!$C$3:$L$670,6,0)</f>
        <v>6</v>
      </c>
      <c r="I552" s="22">
        <f>VLOOKUP($C552,'Master File June-26'!$C$3:$L$670,7,0)</f>
        <v>120</v>
      </c>
      <c r="J552" s="5">
        <f>VLOOKUP($C552,'Master File June-26'!$C$3:$L$670,8,0)</f>
        <v>14</v>
      </c>
      <c r="K552" s="23">
        <f>VLOOKUP($C552,'Master File June-26'!$C$3:$L$670,9,0)</f>
        <v>60</v>
      </c>
      <c r="L552" s="58">
        <f>VLOOKUP($C552,'Master File June-26'!$C$3:$L$670,10,0)</f>
        <v>0</v>
      </c>
      <c r="M552" s="24">
        <f t="shared" si="32"/>
        <v>0</v>
      </c>
      <c r="N552" s="25" t="str">
        <f t="shared" si="33"/>
        <v>ORDER NOW</v>
      </c>
      <c r="O552" s="25" t="str">
        <f t="shared" si="34"/>
        <v>CRITICAL</v>
      </c>
      <c r="S552" s="79">
        <f t="shared" si="35"/>
        <v>0</v>
      </c>
    </row>
    <row r="553" spans="1:19" ht="18.75" x14ac:dyDescent="0.25">
      <c r="A553" s="41">
        <v>389</v>
      </c>
      <c r="B553" s="41" t="s">
        <v>38</v>
      </c>
      <c r="C553" s="41" t="s">
        <v>1321</v>
      </c>
      <c r="D553" s="28" t="s">
        <v>1322</v>
      </c>
      <c r="E553" s="28" t="s">
        <v>67</v>
      </c>
      <c r="F553" s="5" t="s">
        <v>49</v>
      </c>
      <c r="G553" s="21">
        <v>2</v>
      </c>
      <c r="H553" s="22">
        <f>VLOOKUP($C553,'Master File June-26'!$C$3:$L$670,6,0)</f>
        <v>44</v>
      </c>
      <c r="I553" s="22">
        <f>VLOOKUP($C553,'Master File June-26'!$C$3:$L$670,7,0)</f>
        <v>22</v>
      </c>
      <c r="J553" s="5">
        <f>VLOOKUP($C553,'Master File June-26'!$C$3:$L$670,8,0)</f>
        <v>14</v>
      </c>
      <c r="K553" s="23">
        <f>VLOOKUP($C553,'Master File June-26'!$C$3:$L$670,9,0)</f>
        <v>11</v>
      </c>
      <c r="L553" s="58">
        <f>VLOOKUP($C553,'Master File June-26'!$C$3:$L$670,10,0)</f>
        <v>0</v>
      </c>
      <c r="M553" s="24">
        <f t="shared" si="32"/>
        <v>0</v>
      </c>
      <c r="N553" s="25" t="str">
        <f t="shared" si="33"/>
        <v>ORDER NOW</v>
      </c>
      <c r="O553" s="25" t="str">
        <f t="shared" si="34"/>
        <v>CRITICAL</v>
      </c>
      <c r="S553" s="79">
        <f t="shared" si="35"/>
        <v>0</v>
      </c>
    </row>
    <row r="554" spans="1:19" ht="18.75" x14ac:dyDescent="0.25">
      <c r="A554" s="41">
        <v>558</v>
      </c>
      <c r="B554" s="41" t="s">
        <v>38</v>
      </c>
      <c r="C554" s="41" t="s">
        <v>1323</v>
      </c>
      <c r="D554" s="40" t="s">
        <v>1324</v>
      </c>
      <c r="E554" s="34" t="s">
        <v>22</v>
      </c>
      <c r="F554" s="5" t="s">
        <v>22</v>
      </c>
      <c r="G554" s="21">
        <v>1</v>
      </c>
      <c r="H554" s="22">
        <f>VLOOKUP($C554,'Master File June-26'!$C$3:$L$670,6,0)</f>
        <v>5</v>
      </c>
      <c r="I554" s="22">
        <f>VLOOKUP($C554,'Master File June-26'!$C$3:$L$670,7,0)</f>
        <v>5</v>
      </c>
      <c r="J554" s="5">
        <f>VLOOKUP($C554,'Master File June-26'!$C$3:$L$670,8,0)</f>
        <v>14</v>
      </c>
      <c r="K554" s="23">
        <f>VLOOKUP($C554,'Master File June-26'!$C$3:$L$670,9,0)</f>
        <v>2.5</v>
      </c>
      <c r="L554" s="58">
        <f>VLOOKUP($C554,'Master File June-26'!$C$3:$L$670,10,0)</f>
        <v>0</v>
      </c>
      <c r="M554" s="24">
        <f t="shared" si="32"/>
        <v>0</v>
      </c>
      <c r="N554" s="25" t="str">
        <f t="shared" si="33"/>
        <v>ORDER NOW</v>
      </c>
      <c r="O554" s="25" t="str">
        <f t="shared" si="34"/>
        <v>CRITICAL</v>
      </c>
      <c r="S554" s="79">
        <f t="shared" si="35"/>
        <v>0</v>
      </c>
    </row>
    <row r="555" spans="1:19" ht="18.75" x14ac:dyDescent="0.25">
      <c r="A555" s="19">
        <v>55</v>
      </c>
      <c r="B555" s="19" t="s">
        <v>18</v>
      </c>
      <c r="C555" s="19" t="s">
        <v>1325</v>
      </c>
      <c r="D555" s="30" t="s">
        <v>1326</v>
      </c>
      <c r="E555" s="30" t="s">
        <v>1327</v>
      </c>
      <c r="F555" s="5" t="s">
        <v>22</v>
      </c>
      <c r="G555" s="21">
        <f>1/1200</f>
        <v>8.3333333333333339E-4</v>
      </c>
      <c r="H555" s="22">
        <f>VLOOKUP($C555,'Master File June-26'!$C$3:$L$670,6,0)</f>
        <v>10</v>
      </c>
      <c r="I555" s="22">
        <f>VLOOKUP($C555,'Master File June-26'!$C$3:$L$670,7,0)</f>
        <v>12000</v>
      </c>
      <c r="J555" s="5">
        <f>VLOOKUP($C555,'Master File June-26'!$C$3:$L$670,8,0)</f>
        <v>14</v>
      </c>
      <c r="K555" s="23">
        <f>VLOOKUP($C555,'Master File June-26'!$C$3:$L$670,9,0)</f>
        <v>6000</v>
      </c>
      <c r="L555" s="58">
        <f>VLOOKUP($C555,'Master File June-26'!$C$3:$L$670,10,0)</f>
        <v>0</v>
      </c>
      <c r="M555" s="24">
        <f t="shared" si="32"/>
        <v>0</v>
      </c>
      <c r="N555" s="25" t="str">
        <f t="shared" si="33"/>
        <v>ORDER NOW</v>
      </c>
      <c r="O555" s="25" t="str">
        <f t="shared" si="34"/>
        <v>CRITICAL</v>
      </c>
      <c r="R555" t="s">
        <v>30</v>
      </c>
      <c r="S555" s="79">
        <f t="shared" si="35"/>
        <v>0</v>
      </c>
    </row>
    <row r="556" spans="1:19" ht="18.75" x14ac:dyDescent="0.25">
      <c r="A556" s="19">
        <v>27</v>
      </c>
      <c r="B556" s="19" t="s">
        <v>18</v>
      </c>
      <c r="C556" s="19" t="s">
        <v>1328</v>
      </c>
      <c r="D556" s="28" t="s">
        <v>1329</v>
      </c>
      <c r="E556" s="28" t="s">
        <v>25</v>
      </c>
      <c r="F556" s="5" t="s">
        <v>22</v>
      </c>
      <c r="G556" s="21">
        <v>2E-3</v>
      </c>
      <c r="H556" s="22">
        <f>VLOOKUP($C556,'Master File June-26'!$C$3:$L$670,6,0)</f>
        <v>1028.5</v>
      </c>
      <c r="I556" s="22">
        <f>VLOOKUP($C556,'Master File June-26'!$C$3:$L$670,7,0)</f>
        <v>514250</v>
      </c>
      <c r="J556" s="5">
        <f>VLOOKUP($C556,'Master File June-26'!$C$3:$L$670,8,0)</f>
        <v>60</v>
      </c>
      <c r="K556" s="23">
        <f>VLOOKUP($C556,'Master File June-26'!$C$3:$L$670,9,0)</f>
        <v>1101964.2857142857</v>
      </c>
      <c r="L556" s="58">
        <f>VLOOKUP($C556,'Master File June-26'!$C$3:$L$670,10,0)</f>
        <v>178800</v>
      </c>
      <c r="M556" s="24">
        <f t="shared" si="32"/>
        <v>10.430724355858045</v>
      </c>
      <c r="N556" s="25" t="str">
        <f t="shared" si="33"/>
        <v>ORDER NOW</v>
      </c>
      <c r="O556" s="25" t="str">
        <f t="shared" si="34"/>
        <v>CRITICAL</v>
      </c>
      <c r="R556" t="s">
        <v>30</v>
      </c>
      <c r="S556" s="79">
        <f t="shared" si="35"/>
        <v>0</v>
      </c>
    </row>
    <row r="557" spans="1:19" ht="18.75" x14ac:dyDescent="0.25">
      <c r="A557" s="41">
        <v>479</v>
      </c>
      <c r="B557" s="41" t="s">
        <v>38</v>
      </c>
      <c r="C557" s="41" t="s">
        <v>1330</v>
      </c>
      <c r="D557" s="28" t="s">
        <v>1331</v>
      </c>
      <c r="E557" s="27" t="s">
        <v>1332</v>
      </c>
      <c r="F557" s="48" t="s">
        <v>22</v>
      </c>
      <c r="G557" s="21">
        <v>0.5</v>
      </c>
      <c r="H557" s="22">
        <f>VLOOKUP($C557,'Master File June-26'!$C$3:$L$670,6,0)</f>
        <v>100</v>
      </c>
      <c r="I557" s="22">
        <f>VLOOKUP($C557,'Master File June-26'!$C$3:$L$670,7,0)</f>
        <v>200</v>
      </c>
      <c r="J557" s="5">
        <f>VLOOKUP($C557,'Master File June-26'!$C$3:$L$670,8,0)</f>
        <v>14</v>
      </c>
      <c r="K557" s="23">
        <f>VLOOKUP($C557,'Master File June-26'!$C$3:$L$670,9,0)</f>
        <v>100</v>
      </c>
      <c r="L557" s="58">
        <f>VLOOKUP($C557,'Master File June-26'!$C$3:$L$670,10,0)</f>
        <v>0</v>
      </c>
      <c r="M557" s="24">
        <f t="shared" si="32"/>
        <v>0</v>
      </c>
      <c r="N557" s="25" t="str">
        <f t="shared" si="33"/>
        <v>ORDER NOW</v>
      </c>
      <c r="O557" s="25" t="str">
        <f t="shared" si="34"/>
        <v>CRITICAL</v>
      </c>
      <c r="S557" s="79">
        <f t="shared" si="35"/>
        <v>0</v>
      </c>
    </row>
    <row r="558" spans="1:19" ht="18.75" x14ac:dyDescent="0.25">
      <c r="A558" s="39">
        <v>262</v>
      </c>
      <c r="B558" s="39" t="s">
        <v>239</v>
      </c>
      <c r="C558" s="39" t="s">
        <v>1333</v>
      </c>
      <c r="D558" s="28" t="s">
        <v>1334</v>
      </c>
      <c r="E558" s="28" t="s">
        <v>78</v>
      </c>
      <c r="F558" s="5" t="s">
        <v>49</v>
      </c>
      <c r="G558" s="21">
        <v>1</v>
      </c>
      <c r="H558" s="22">
        <f>VLOOKUP($C558,'Master File June-26'!$C$3:$L$670,6,0)</f>
        <v>33</v>
      </c>
      <c r="I558" s="22">
        <f>VLOOKUP($C558,'Master File June-26'!$C$3:$L$670,7,0)</f>
        <v>33</v>
      </c>
      <c r="J558" s="5">
        <f>VLOOKUP($C558,'Master File June-26'!$C$3:$L$670,8,0)</f>
        <v>14</v>
      </c>
      <c r="K558" s="23">
        <f>VLOOKUP($C558,'Master File June-26'!$C$3:$L$670,9,0)</f>
        <v>16.5</v>
      </c>
      <c r="L558" s="58">
        <f>VLOOKUP($C558,'Master File June-26'!$C$3:$L$670,10,0)</f>
        <v>0</v>
      </c>
      <c r="M558" s="24">
        <f t="shared" si="32"/>
        <v>0</v>
      </c>
      <c r="N558" s="25" t="str">
        <f t="shared" si="33"/>
        <v>ORDER NOW</v>
      </c>
      <c r="O558" s="25" t="str">
        <f t="shared" si="34"/>
        <v>CRITICAL</v>
      </c>
      <c r="S558" s="79">
        <f t="shared" si="35"/>
        <v>0</v>
      </c>
    </row>
    <row r="559" spans="1:19" ht="18.75" x14ac:dyDescent="0.25">
      <c r="A559" s="41">
        <v>574</v>
      </c>
      <c r="B559" s="41" t="s">
        <v>38</v>
      </c>
      <c r="C559" s="41" t="s">
        <v>1335</v>
      </c>
      <c r="D559" s="20" t="s">
        <v>1336</v>
      </c>
      <c r="E559" s="34" t="s">
        <v>64</v>
      </c>
      <c r="F559" s="5" t="s">
        <v>49</v>
      </c>
      <c r="G559" s="21">
        <v>1</v>
      </c>
      <c r="H559" s="22">
        <f>VLOOKUP($C559,'Master File June-26'!$C$3:$L$670,6,0)</f>
        <v>3</v>
      </c>
      <c r="I559" s="22">
        <f>VLOOKUP($C559,'Master File June-26'!$C$3:$L$670,7,0)</f>
        <v>3</v>
      </c>
      <c r="J559" s="5">
        <f>VLOOKUP($C559,'Master File June-26'!$C$3:$L$670,8,0)</f>
        <v>14</v>
      </c>
      <c r="K559" s="23">
        <f>VLOOKUP($C559,'Master File June-26'!$C$3:$L$670,9,0)</f>
        <v>1.5</v>
      </c>
      <c r="L559" s="58">
        <f>VLOOKUP($C559,'Master File June-26'!$C$3:$L$670,10,0)</f>
        <v>0</v>
      </c>
      <c r="M559" s="24">
        <f t="shared" si="32"/>
        <v>0</v>
      </c>
      <c r="N559" s="25" t="str">
        <f t="shared" si="33"/>
        <v>ORDER NOW</v>
      </c>
      <c r="O559" s="25" t="str">
        <f t="shared" si="34"/>
        <v>CRITICAL</v>
      </c>
      <c r="S559" s="79">
        <f t="shared" si="35"/>
        <v>0</v>
      </c>
    </row>
    <row r="560" spans="1:19" ht="18.75" x14ac:dyDescent="0.25">
      <c r="A560" s="39">
        <v>201</v>
      </c>
      <c r="B560" s="39" t="s">
        <v>239</v>
      </c>
      <c r="C560" s="39" t="s">
        <v>1337</v>
      </c>
      <c r="D560" s="28" t="s">
        <v>1338</v>
      </c>
      <c r="E560" s="28" t="s">
        <v>160</v>
      </c>
      <c r="F560" s="5" t="s">
        <v>49</v>
      </c>
      <c r="G560" s="21">
        <v>1</v>
      </c>
      <c r="H560" s="22">
        <f>VLOOKUP($C560,'Master File June-26'!$C$3:$L$670,6,0)</f>
        <v>35.5</v>
      </c>
      <c r="I560" s="22">
        <f>VLOOKUP($C560,'Master File June-26'!$C$3:$L$670,7,0)</f>
        <v>35.5</v>
      </c>
      <c r="J560" s="5">
        <f>VLOOKUP($C560,'Master File June-26'!$C$3:$L$670,8,0)</f>
        <v>14</v>
      </c>
      <c r="K560" s="23">
        <f>VLOOKUP($C560,'Master File June-26'!$C$3:$L$670,9,0)</f>
        <v>17.75</v>
      </c>
      <c r="L560" s="58">
        <f>VLOOKUP($C560,'Master File June-26'!$C$3:$L$670,10,0)</f>
        <v>0</v>
      </c>
      <c r="M560" s="24">
        <f t="shared" si="32"/>
        <v>0</v>
      </c>
      <c r="N560" s="25" t="str">
        <f t="shared" si="33"/>
        <v>ORDER NOW</v>
      </c>
      <c r="O560" s="25" t="str">
        <f t="shared" si="34"/>
        <v>CRITICAL</v>
      </c>
      <c r="S560" s="79">
        <f t="shared" si="35"/>
        <v>0</v>
      </c>
    </row>
    <row r="561" spans="1:19" ht="18.75" x14ac:dyDescent="0.25">
      <c r="A561" s="19">
        <v>134</v>
      </c>
      <c r="B561" s="19" t="s">
        <v>18</v>
      </c>
      <c r="C561" s="19" t="s">
        <v>1339</v>
      </c>
      <c r="D561" s="28" t="s">
        <v>1340</v>
      </c>
      <c r="E561" s="28" t="s">
        <v>98</v>
      </c>
      <c r="F561" s="5" t="s">
        <v>46</v>
      </c>
      <c r="G561" s="21">
        <v>2E-3</v>
      </c>
      <c r="H561" s="22">
        <f>VLOOKUP($C561,'Master File June-26'!$C$3:$L$670,6,0)</f>
        <v>5</v>
      </c>
      <c r="I561" s="22">
        <f>VLOOKUP($C561,'Master File June-26'!$C$3:$L$670,7,0)</f>
        <v>2500</v>
      </c>
      <c r="J561" s="5">
        <f>VLOOKUP($C561,'Master File June-26'!$C$3:$L$670,8,0)</f>
        <v>14</v>
      </c>
      <c r="K561" s="23">
        <f>VLOOKUP($C561,'Master File June-26'!$C$3:$L$670,9,0)</f>
        <v>1250</v>
      </c>
      <c r="L561" s="58">
        <f>VLOOKUP($C561,'Master File June-26'!$C$3:$L$670,10,0)</f>
        <v>5</v>
      </c>
      <c r="M561" s="24">
        <f t="shared" si="32"/>
        <v>0.06</v>
      </c>
      <c r="N561" s="25" t="str">
        <f t="shared" si="33"/>
        <v>ORDER NOW</v>
      </c>
      <c r="O561" s="25" t="str">
        <f t="shared" si="34"/>
        <v>CRITICAL</v>
      </c>
      <c r="R561" t="s">
        <v>30</v>
      </c>
      <c r="S561" s="79">
        <f t="shared" si="35"/>
        <v>0</v>
      </c>
    </row>
    <row r="562" spans="1:19" ht="18.75" x14ac:dyDescent="0.25">
      <c r="A562" s="41">
        <v>436</v>
      </c>
      <c r="B562" s="41" t="s">
        <v>38</v>
      </c>
      <c r="C562" s="41" t="s">
        <v>1341</v>
      </c>
      <c r="D562" s="28" t="s">
        <v>1342</v>
      </c>
      <c r="E562" s="28" t="s">
        <v>64</v>
      </c>
      <c r="F562" s="5" t="s">
        <v>49</v>
      </c>
      <c r="G562" s="21">
        <v>0.04</v>
      </c>
      <c r="H562" s="22">
        <f>VLOOKUP($C562,'Master File June-26'!$C$3:$L$670,6,0)</f>
        <v>30</v>
      </c>
      <c r="I562" s="22">
        <f>VLOOKUP($C562,'Master File June-26'!$C$3:$L$670,7,0)</f>
        <v>750</v>
      </c>
      <c r="J562" s="5">
        <f>VLOOKUP($C562,'Master File June-26'!$C$3:$L$670,8,0)</f>
        <v>14</v>
      </c>
      <c r="K562" s="23">
        <f>VLOOKUP($C562,'Master File June-26'!$C$3:$L$670,9,0)</f>
        <v>375</v>
      </c>
      <c r="L562" s="58">
        <f>VLOOKUP($C562,'Master File June-26'!$C$3:$L$670,10,0)</f>
        <v>0</v>
      </c>
      <c r="M562" s="24">
        <f t="shared" si="32"/>
        <v>0</v>
      </c>
      <c r="N562" s="25" t="str">
        <f t="shared" si="33"/>
        <v>ORDER NOW</v>
      </c>
      <c r="O562" s="25" t="str">
        <f t="shared" si="34"/>
        <v>CRITICAL</v>
      </c>
      <c r="S562" s="79">
        <f t="shared" si="35"/>
        <v>0</v>
      </c>
    </row>
    <row r="563" spans="1:19" ht="18.75" x14ac:dyDescent="0.25">
      <c r="A563" s="19">
        <v>75</v>
      </c>
      <c r="B563" s="19" t="s">
        <v>18</v>
      </c>
      <c r="C563" s="19" t="s">
        <v>1343</v>
      </c>
      <c r="D563" s="33" t="s">
        <v>1344</v>
      </c>
      <c r="E563" s="33" t="s">
        <v>78</v>
      </c>
      <c r="F563" s="5" t="s">
        <v>49</v>
      </c>
      <c r="G563" s="21">
        <v>1</v>
      </c>
      <c r="H563" s="22">
        <f>VLOOKUP($C563,'Master File June-26'!$C$3:$L$670,6,0)</f>
        <v>50</v>
      </c>
      <c r="I563" s="22">
        <f>VLOOKUP($C563,'Master File June-26'!$C$3:$L$670,7,0)</f>
        <v>1500</v>
      </c>
      <c r="J563" s="5">
        <f>VLOOKUP($C563,'Master File June-26'!$C$3:$L$670,8,0)</f>
        <v>60</v>
      </c>
      <c r="K563" s="23">
        <f>VLOOKUP($C563,'Master File June-26'!$C$3:$L$670,9,0)</f>
        <v>3214.2857142857142</v>
      </c>
      <c r="L563" s="58">
        <f>VLOOKUP($C563,'Master File June-26'!$C$3:$L$670,10,0)</f>
        <v>0</v>
      </c>
      <c r="M563" s="24">
        <f t="shared" si="32"/>
        <v>0</v>
      </c>
      <c r="N563" s="25" t="str">
        <f t="shared" si="33"/>
        <v>ORDER NOW</v>
      </c>
      <c r="O563" s="25" t="str">
        <f t="shared" si="34"/>
        <v>CRITICAL</v>
      </c>
      <c r="R563" t="s">
        <v>30</v>
      </c>
      <c r="S563" s="79">
        <f t="shared" si="35"/>
        <v>0</v>
      </c>
    </row>
    <row r="564" spans="1:19" ht="18.75" x14ac:dyDescent="0.25">
      <c r="A564" s="41">
        <v>537</v>
      </c>
      <c r="B564" s="41" t="s">
        <v>38</v>
      </c>
      <c r="C564" s="41" t="s">
        <v>1345</v>
      </c>
      <c r="D564" s="40" t="s">
        <v>1346</v>
      </c>
      <c r="E564" s="34" t="s">
        <v>64</v>
      </c>
      <c r="F564" s="5" t="s">
        <v>49</v>
      </c>
      <c r="G564" s="21">
        <v>1</v>
      </c>
      <c r="H564" s="22">
        <f>VLOOKUP($C564,'Master File June-26'!$C$3:$L$670,6,0)</f>
        <v>1</v>
      </c>
      <c r="I564" s="22">
        <f>VLOOKUP($C564,'Master File June-26'!$C$3:$L$670,7,0)</f>
        <v>1</v>
      </c>
      <c r="J564" s="5">
        <f>VLOOKUP($C564,'Master File June-26'!$C$3:$L$670,8,0)</f>
        <v>14</v>
      </c>
      <c r="K564" s="23">
        <f>VLOOKUP($C564,'Master File June-26'!$C$3:$L$670,9,0)</f>
        <v>0.5</v>
      </c>
      <c r="L564" s="58">
        <f>VLOOKUP($C564,'Master File June-26'!$C$3:$L$670,10,0)</f>
        <v>0</v>
      </c>
      <c r="M564" s="24">
        <f t="shared" si="32"/>
        <v>0</v>
      </c>
      <c r="N564" s="25" t="str">
        <f t="shared" si="33"/>
        <v>ORDER NOW</v>
      </c>
      <c r="O564" s="25" t="str">
        <f t="shared" si="34"/>
        <v>CRITICAL</v>
      </c>
      <c r="S564" s="79">
        <f t="shared" si="35"/>
        <v>0</v>
      </c>
    </row>
    <row r="565" spans="1:19" ht="18.75" x14ac:dyDescent="0.25">
      <c r="A565" s="19">
        <v>91</v>
      </c>
      <c r="B565" s="19" t="s">
        <v>18</v>
      </c>
      <c r="C565" s="19" t="s">
        <v>1347</v>
      </c>
      <c r="D565" s="28" t="s">
        <v>1348</v>
      </c>
      <c r="E565" s="28" t="s">
        <v>1349</v>
      </c>
      <c r="F565" s="5" t="s">
        <v>22</v>
      </c>
      <c r="G565" s="21">
        <v>1E-3</v>
      </c>
      <c r="H565" s="22">
        <f>VLOOKUP($C565,'Master File June-26'!$C$3:$L$670,6,0)</f>
        <v>150</v>
      </c>
      <c r="I565" s="22">
        <f>VLOOKUP($C565,'Master File June-26'!$C$3:$L$670,7,0)</f>
        <v>150000</v>
      </c>
      <c r="J565" s="5">
        <f>VLOOKUP($C565,'Master File June-26'!$C$3:$L$670,8,0)</f>
        <v>14</v>
      </c>
      <c r="K565" s="23">
        <f>VLOOKUP($C565,'Master File June-26'!$C$3:$L$670,9,0)</f>
        <v>75000</v>
      </c>
      <c r="L565" s="58">
        <f>VLOOKUP($C565,'Master File June-26'!$C$3:$L$670,10,0)</f>
        <v>15500</v>
      </c>
      <c r="M565" s="24">
        <f t="shared" si="32"/>
        <v>3.1</v>
      </c>
      <c r="N565" s="25" t="str">
        <f t="shared" si="33"/>
        <v>ORDER NOW</v>
      </c>
      <c r="O565" s="25" t="str">
        <f t="shared" si="34"/>
        <v>CRITICAL</v>
      </c>
      <c r="R565" t="s">
        <v>30</v>
      </c>
      <c r="S565" s="79">
        <f t="shared" si="35"/>
        <v>0</v>
      </c>
    </row>
    <row r="566" spans="1:19" ht="18.75" x14ac:dyDescent="0.25">
      <c r="A566" s="41">
        <v>526</v>
      </c>
      <c r="B566" s="41" t="s">
        <v>104</v>
      </c>
      <c r="C566" s="41" t="s">
        <v>1350</v>
      </c>
      <c r="D566" s="40" t="s">
        <v>1351</v>
      </c>
      <c r="E566" s="34" t="s">
        <v>22</v>
      </c>
      <c r="F566" s="5" t="s">
        <v>22</v>
      </c>
      <c r="G566" s="21">
        <v>3.3333333333333333E-2</v>
      </c>
      <c r="H566" s="22">
        <f>VLOOKUP($C566,'Master File June-26'!$C$3:$L$670,6,0)</f>
        <v>20</v>
      </c>
      <c r="I566" s="22">
        <f>VLOOKUP($C566,'Master File June-26'!$C$3:$L$670,7,0)</f>
        <v>600</v>
      </c>
      <c r="J566" s="5">
        <f>VLOOKUP($C566,'Master File June-26'!$C$3:$L$670,8,0)</f>
        <v>14</v>
      </c>
      <c r="K566" s="23">
        <f>VLOOKUP($C566,'Master File June-26'!$C$3:$L$670,9,0)</f>
        <v>300</v>
      </c>
      <c r="L566" s="58">
        <f>VLOOKUP($C566,'Master File June-26'!$C$3:$L$670,10,0)</f>
        <v>240</v>
      </c>
      <c r="M566" s="24">
        <f t="shared" si="32"/>
        <v>12</v>
      </c>
      <c r="N566" s="25" t="str">
        <f t="shared" si="33"/>
        <v>ORDER NOW</v>
      </c>
      <c r="O566" s="25" t="str">
        <f t="shared" si="34"/>
        <v>CRITICAL</v>
      </c>
      <c r="S566" s="79">
        <f t="shared" si="35"/>
        <v>0</v>
      </c>
    </row>
    <row r="567" spans="1:19" ht="18.75" x14ac:dyDescent="0.25">
      <c r="A567" s="41">
        <v>365</v>
      </c>
      <c r="B567" s="41" t="s">
        <v>85</v>
      </c>
      <c r="C567" s="41" t="s">
        <v>1352</v>
      </c>
      <c r="D567" s="28" t="s">
        <v>1353</v>
      </c>
      <c r="E567" s="28" t="s">
        <v>890</v>
      </c>
      <c r="F567" s="5" t="s">
        <v>22</v>
      </c>
      <c r="G567" s="21">
        <v>0.23809523809523814</v>
      </c>
      <c r="H567" s="22">
        <f>VLOOKUP($C567,'Master File June-26'!$C$3:$L$670,6,0)</f>
        <v>30</v>
      </c>
      <c r="I567" s="22">
        <f>VLOOKUP($C567,'Master File June-26'!$C$3:$L$670,7,0)</f>
        <v>125.99999999999997</v>
      </c>
      <c r="J567" s="5">
        <f>VLOOKUP($C567,'Master File June-26'!$C$3:$L$670,8,0)</f>
        <v>14</v>
      </c>
      <c r="K567" s="23">
        <f>VLOOKUP($C567,'Master File June-26'!$C$3:$L$670,9,0)</f>
        <v>62.999999999999986</v>
      </c>
      <c r="L567" s="58">
        <f>VLOOKUP($C567,'Master File June-26'!$C$3:$L$670,10,0)</f>
        <v>24</v>
      </c>
      <c r="M567" s="24">
        <f t="shared" si="32"/>
        <v>5.7142857142857153</v>
      </c>
      <c r="N567" s="25" t="str">
        <f t="shared" si="33"/>
        <v>ORDER NOW</v>
      </c>
      <c r="O567" s="25" t="str">
        <f t="shared" si="34"/>
        <v>CRITICAL</v>
      </c>
      <c r="S567" s="79">
        <f t="shared" si="35"/>
        <v>0</v>
      </c>
    </row>
    <row r="568" spans="1:19" ht="18.75" x14ac:dyDescent="0.25">
      <c r="A568" s="41">
        <v>470</v>
      </c>
      <c r="B568" s="41" t="s">
        <v>38</v>
      </c>
      <c r="C568" s="41" t="s">
        <v>1354</v>
      </c>
      <c r="D568" s="28" t="s">
        <v>1355</v>
      </c>
      <c r="E568" s="28" t="s">
        <v>1356</v>
      </c>
      <c r="F568" s="5" t="s">
        <v>49</v>
      </c>
      <c r="G568" s="21">
        <v>0.25</v>
      </c>
      <c r="H568" s="22">
        <f>VLOOKUP($C568,'Master File June-26'!$C$3:$L$670,6,0)</f>
        <v>50</v>
      </c>
      <c r="I568" s="22">
        <f>VLOOKUP($C568,'Master File June-26'!$C$3:$L$670,7,0)</f>
        <v>200</v>
      </c>
      <c r="J568" s="5">
        <f>VLOOKUP($C568,'Master File June-26'!$C$3:$L$670,8,0)</f>
        <v>14</v>
      </c>
      <c r="K568" s="23">
        <f>VLOOKUP($C568,'Master File June-26'!$C$3:$L$670,9,0)</f>
        <v>100</v>
      </c>
      <c r="L568" s="58">
        <f>VLOOKUP($C568,'Master File June-26'!$C$3:$L$670,10,0)</f>
        <v>0</v>
      </c>
      <c r="M568" s="24">
        <f t="shared" si="32"/>
        <v>0</v>
      </c>
      <c r="N568" s="25" t="str">
        <f t="shared" si="33"/>
        <v>ORDER NOW</v>
      </c>
      <c r="O568" s="25" t="str">
        <f t="shared" si="34"/>
        <v>CRITICAL</v>
      </c>
      <c r="S568" s="79">
        <f t="shared" si="35"/>
        <v>0</v>
      </c>
    </row>
    <row r="569" spans="1:19" ht="18.75" x14ac:dyDescent="0.25">
      <c r="A569" s="41">
        <v>404</v>
      </c>
      <c r="B569" s="41" t="s">
        <v>85</v>
      </c>
      <c r="C569" s="41" t="s">
        <v>1357</v>
      </c>
      <c r="D569" s="28" t="s">
        <v>1358</v>
      </c>
      <c r="E569" s="28" t="s">
        <v>1359</v>
      </c>
      <c r="F569" s="5" t="s">
        <v>22</v>
      </c>
      <c r="G569" s="21">
        <v>8.3333333333333329E-2</v>
      </c>
      <c r="H569" s="22">
        <f>VLOOKUP($C569,'Master File June-26'!$C$3:$L$670,6,0)</f>
        <v>34</v>
      </c>
      <c r="I569" s="22">
        <f>VLOOKUP($C569,'Master File June-26'!$C$3:$L$670,7,0)</f>
        <v>408</v>
      </c>
      <c r="J569" s="5">
        <f>VLOOKUP($C569,'Master File June-26'!$C$3:$L$670,8,0)</f>
        <v>14</v>
      </c>
      <c r="K569" s="23">
        <f>VLOOKUP($C569,'Master File June-26'!$C$3:$L$670,9,0)</f>
        <v>204</v>
      </c>
      <c r="L569" s="58">
        <f>VLOOKUP($C569,'Master File June-26'!$C$3:$L$670,10,0)</f>
        <v>0</v>
      </c>
      <c r="M569" s="24">
        <f t="shared" si="32"/>
        <v>0</v>
      </c>
      <c r="N569" s="25" t="str">
        <f t="shared" si="33"/>
        <v>ORDER NOW</v>
      </c>
      <c r="O569" s="25" t="str">
        <f t="shared" si="34"/>
        <v>CRITICAL</v>
      </c>
      <c r="S569" s="79">
        <f t="shared" si="35"/>
        <v>0</v>
      </c>
    </row>
    <row r="570" spans="1:19" ht="18.75" x14ac:dyDescent="0.25">
      <c r="A570" s="41">
        <v>456</v>
      </c>
      <c r="B570" s="41" t="s">
        <v>85</v>
      </c>
      <c r="C570" s="41" t="s">
        <v>1360</v>
      </c>
      <c r="D570" s="78" t="s">
        <v>1361</v>
      </c>
      <c r="E570" s="28" t="s">
        <v>1362</v>
      </c>
      <c r="F570" s="5" t="s">
        <v>49</v>
      </c>
      <c r="G570" s="21">
        <v>6.6666666666666666E-2</v>
      </c>
      <c r="H570" s="22">
        <f>VLOOKUP($C570,'Master File June-26'!$C$3:$L$670,6,0)</f>
        <v>125</v>
      </c>
      <c r="I570" s="22">
        <f>VLOOKUP($C570,'Master File June-26'!$C$3:$L$670,7,0)</f>
        <v>1875</v>
      </c>
      <c r="J570" s="5">
        <f>VLOOKUP($C570,'Master File June-26'!$C$3:$L$670,8,0)</f>
        <v>14</v>
      </c>
      <c r="K570" s="23">
        <f>VLOOKUP($C570,'Master File June-26'!$C$3:$L$670,9,0)</f>
        <v>937.5</v>
      </c>
      <c r="L570" s="58">
        <f>VLOOKUP($C570,'Master File June-26'!$C$3:$L$670,10,0)</f>
        <v>0</v>
      </c>
      <c r="M570" s="24">
        <f t="shared" si="32"/>
        <v>0</v>
      </c>
      <c r="N570" s="25" t="str">
        <f t="shared" si="33"/>
        <v>ORDER NOW</v>
      </c>
      <c r="O570" s="25" t="str">
        <f t="shared" si="34"/>
        <v>CRITICAL</v>
      </c>
      <c r="S570" s="79">
        <f t="shared" si="35"/>
        <v>0</v>
      </c>
    </row>
    <row r="571" spans="1:19" ht="18.75" x14ac:dyDescent="0.25">
      <c r="A571" s="19">
        <v>133</v>
      </c>
      <c r="B571" s="19" t="s">
        <v>18</v>
      </c>
      <c r="C571" s="19" t="s">
        <v>1363</v>
      </c>
      <c r="D571" s="28" t="s">
        <v>1364</v>
      </c>
      <c r="E571" s="28" t="s">
        <v>25</v>
      </c>
      <c r="F571" s="5" t="s">
        <v>22</v>
      </c>
      <c r="G571" s="21">
        <v>2E-3</v>
      </c>
      <c r="H571" s="22">
        <f>VLOOKUP($C571,'Master File June-26'!$C$3:$L$670,6,0)</f>
        <v>6</v>
      </c>
      <c r="I571" s="22">
        <f>VLOOKUP($C571,'Master File June-26'!$C$3:$L$670,7,0)</f>
        <v>3000</v>
      </c>
      <c r="J571" s="5">
        <f>VLOOKUP($C571,'Master File June-26'!$C$3:$L$670,8,0)</f>
        <v>14</v>
      </c>
      <c r="K571" s="23">
        <f>VLOOKUP($C571,'Master File June-26'!$C$3:$L$670,9,0)</f>
        <v>1500</v>
      </c>
      <c r="L571" s="58">
        <f>VLOOKUP($C571,'Master File June-26'!$C$3:$L$670,10,0)</f>
        <v>5</v>
      </c>
      <c r="M571" s="24">
        <f t="shared" si="32"/>
        <v>0.05</v>
      </c>
      <c r="N571" s="25" t="str">
        <f t="shared" si="33"/>
        <v>ORDER NOW</v>
      </c>
      <c r="O571" s="25" t="str">
        <f t="shared" si="34"/>
        <v>CRITICAL</v>
      </c>
      <c r="R571" t="s">
        <v>30</v>
      </c>
      <c r="S571" s="79">
        <f t="shared" si="35"/>
        <v>0</v>
      </c>
    </row>
    <row r="572" spans="1:19" ht="18.75" x14ac:dyDescent="0.25">
      <c r="A572" s="41">
        <v>407</v>
      </c>
      <c r="B572" s="41" t="s">
        <v>38</v>
      </c>
      <c r="C572" s="41" t="s">
        <v>1365</v>
      </c>
      <c r="D572" s="30" t="s">
        <v>1366</v>
      </c>
      <c r="E572" s="28" t="s">
        <v>1367</v>
      </c>
      <c r="F572" s="5" t="s">
        <v>22</v>
      </c>
      <c r="G572" s="21">
        <v>2E-3</v>
      </c>
      <c r="H572" s="22">
        <f>VLOOKUP($C572,'Master File June-26'!$C$3:$L$670,6,0)</f>
        <v>40</v>
      </c>
      <c r="I572" s="22">
        <f>VLOOKUP($C572,'Master File June-26'!$C$3:$L$670,7,0)</f>
        <v>20000</v>
      </c>
      <c r="J572" s="5">
        <f>VLOOKUP($C572,'Master File June-26'!$C$3:$L$670,8,0)</f>
        <v>14</v>
      </c>
      <c r="K572" s="23">
        <f>VLOOKUP($C572,'Master File June-26'!$C$3:$L$670,9,0)</f>
        <v>10000</v>
      </c>
      <c r="L572" s="58">
        <f>VLOOKUP($C572,'Master File June-26'!$C$3:$L$670,10,0)</f>
        <v>57200</v>
      </c>
      <c r="M572" s="24">
        <f t="shared" si="32"/>
        <v>85.8</v>
      </c>
      <c r="N572" s="25" t="str">
        <f t="shared" si="33"/>
        <v>IN STOCK</v>
      </c>
      <c r="O572" s="25" t="str">
        <f t="shared" si="34"/>
        <v>FOLLOW UP DELIVERY</v>
      </c>
      <c r="S572" s="79">
        <f t="shared" si="35"/>
        <v>1</v>
      </c>
    </row>
    <row r="573" spans="1:19" ht="18.75" x14ac:dyDescent="0.25">
      <c r="A573" s="19">
        <v>17</v>
      </c>
      <c r="B573" s="19" t="s">
        <v>18</v>
      </c>
      <c r="C573" s="19" t="s">
        <v>1368</v>
      </c>
      <c r="D573" s="30" t="s">
        <v>1369</v>
      </c>
      <c r="E573" s="30" t="s">
        <v>1370</v>
      </c>
      <c r="F573" s="5" t="s">
        <v>22</v>
      </c>
      <c r="G573" s="21">
        <f>1/100</f>
        <v>0.01</v>
      </c>
      <c r="H573" s="22">
        <f>VLOOKUP($C573,'Master File June-26'!$C$3:$L$670,6,0)</f>
        <v>495</v>
      </c>
      <c r="I573" s="22">
        <f>VLOOKUP($C573,'Master File June-26'!$C$3:$L$670,7,0)</f>
        <v>49500</v>
      </c>
      <c r="J573" s="5">
        <f>VLOOKUP($C573,'Master File June-26'!$C$3:$L$670,8,0)</f>
        <v>14</v>
      </c>
      <c r="K573" s="23">
        <f>VLOOKUP($C573,'Master File June-26'!$C$3:$L$670,9,0)</f>
        <v>24750</v>
      </c>
      <c r="L573" s="58">
        <f>VLOOKUP($C573,'Master File June-26'!$C$3:$L$670,10,0)</f>
        <v>12000</v>
      </c>
      <c r="M573" s="24">
        <f t="shared" si="32"/>
        <v>7.2727272727272734</v>
      </c>
      <c r="N573" s="25" t="str">
        <f t="shared" si="33"/>
        <v>ORDER NOW</v>
      </c>
      <c r="O573" s="25" t="str">
        <f t="shared" si="34"/>
        <v>CRITICAL</v>
      </c>
      <c r="R573" t="s">
        <v>30</v>
      </c>
      <c r="S573" s="79">
        <f t="shared" si="35"/>
        <v>0</v>
      </c>
    </row>
    <row r="574" spans="1:19" ht="18.75" x14ac:dyDescent="0.25">
      <c r="A574" s="19">
        <v>135</v>
      </c>
      <c r="B574" s="19" t="s">
        <v>18</v>
      </c>
      <c r="C574" s="19" t="s">
        <v>1371</v>
      </c>
      <c r="D574" s="28" t="s">
        <v>1372</v>
      </c>
      <c r="E574" s="28" t="s">
        <v>25</v>
      </c>
      <c r="F574" s="5" t="s">
        <v>22</v>
      </c>
      <c r="G574" s="21">
        <v>2E-3</v>
      </c>
      <c r="H574" s="22">
        <f>VLOOKUP($C574,'Master File June-26'!$C$3:$L$670,6,0)</f>
        <v>7</v>
      </c>
      <c r="I574" s="22">
        <f>VLOOKUP($C574,'Master File June-26'!$C$3:$L$670,7,0)</f>
        <v>3500</v>
      </c>
      <c r="J574" s="5">
        <f>VLOOKUP($C574,'Master File June-26'!$C$3:$L$670,8,0)</f>
        <v>14</v>
      </c>
      <c r="K574" s="23">
        <f>VLOOKUP($C574,'Master File June-26'!$C$3:$L$670,9,0)</f>
        <v>1750</v>
      </c>
      <c r="L574" s="58">
        <f>VLOOKUP($C574,'Master File June-26'!$C$3:$L$670,10,0)</f>
        <v>5</v>
      </c>
      <c r="M574" s="24">
        <f t="shared" si="32"/>
        <v>4.2857142857142858E-2</v>
      </c>
      <c r="N574" s="25" t="str">
        <f t="shared" si="33"/>
        <v>ORDER NOW</v>
      </c>
      <c r="O574" s="25" t="str">
        <f t="shared" si="34"/>
        <v>CRITICAL</v>
      </c>
      <c r="R574" t="s">
        <v>30</v>
      </c>
      <c r="S574" s="79">
        <f t="shared" si="35"/>
        <v>0</v>
      </c>
    </row>
    <row r="575" spans="1:19" ht="18.75" x14ac:dyDescent="0.25">
      <c r="A575" s="41">
        <v>515</v>
      </c>
      <c r="B575" s="41" t="s">
        <v>85</v>
      </c>
      <c r="C575" s="41" t="s">
        <v>1373</v>
      </c>
      <c r="D575" s="28" t="s">
        <v>1374</v>
      </c>
      <c r="E575" s="28" t="s">
        <v>1375</v>
      </c>
      <c r="F575" s="5" t="s">
        <v>49</v>
      </c>
      <c r="G575" s="21">
        <v>0.05</v>
      </c>
      <c r="H575" s="22">
        <f>VLOOKUP($C575,'Master File June-26'!$C$3:$L$670,6,0)</f>
        <v>50</v>
      </c>
      <c r="I575" s="22">
        <f>VLOOKUP($C575,'Master File June-26'!$C$3:$L$670,7,0)</f>
        <v>1000</v>
      </c>
      <c r="J575" s="5">
        <f>VLOOKUP($C575,'Master File June-26'!$C$3:$L$670,8,0)</f>
        <v>14</v>
      </c>
      <c r="K575" s="23">
        <f>VLOOKUP($C575,'Master File June-26'!$C$3:$L$670,9,0)</f>
        <v>500</v>
      </c>
      <c r="L575" s="58">
        <f>VLOOKUP($C575,'Master File June-26'!$C$3:$L$670,10,0)</f>
        <v>0</v>
      </c>
      <c r="M575" s="24">
        <f t="shared" si="32"/>
        <v>0</v>
      </c>
      <c r="N575" s="25" t="str">
        <f t="shared" si="33"/>
        <v>ORDER NOW</v>
      </c>
      <c r="O575" s="25" t="str">
        <f t="shared" si="34"/>
        <v>CRITICAL</v>
      </c>
      <c r="S575" s="79">
        <f t="shared" si="35"/>
        <v>0</v>
      </c>
    </row>
    <row r="576" spans="1:19" ht="18.75" x14ac:dyDescent="0.25">
      <c r="A576" s="39">
        <v>264</v>
      </c>
      <c r="B576" s="39" t="s">
        <v>157</v>
      </c>
      <c r="C576" s="39" t="s">
        <v>1376</v>
      </c>
      <c r="D576" s="28" t="s">
        <v>1377</v>
      </c>
      <c r="E576" s="28" t="s">
        <v>160</v>
      </c>
      <c r="F576" s="5" t="s">
        <v>49</v>
      </c>
      <c r="G576" s="21">
        <v>1</v>
      </c>
      <c r="H576" s="22">
        <f>VLOOKUP($C576,'Master File June-26'!$C$3:$L$670,6,0)</f>
        <v>33</v>
      </c>
      <c r="I576" s="22">
        <f>VLOOKUP($C576,'Master File June-26'!$C$3:$L$670,7,0)</f>
        <v>33</v>
      </c>
      <c r="J576" s="5">
        <f>VLOOKUP($C576,'Master File June-26'!$C$3:$L$670,8,0)</f>
        <v>14</v>
      </c>
      <c r="K576" s="23">
        <f>VLOOKUP($C576,'Master File June-26'!$C$3:$L$670,9,0)</f>
        <v>16.5</v>
      </c>
      <c r="L576" s="58">
        <f>VLOOKUP($C576,'Master File June-26'!$C$3:$L$670,10,0)</f>
        <v>0</v>
      </c>
      <c r="M576" s="24">
        <f t="shared" si="32"/>
        <v>0</v>
      </c>
      <c r="N576" s="25" t="str">
        <f t="shared" si="33"/>
        <v>ORDER NOW</v>
      </c>
      <c r="O576" s="25" t="str">
        <f t="shared" si="34"/>
        <v>CRITICAL</v>
      </c>
      <c r="S576" s="79">
        <f t="shared" si="35"/>
        <v>0</v>
      </c>
    </row>
    <row r="577" spans="1:19" ht="18.75" x14ac:dyDescent="0.25">
      <c r="A577" s="41">
        <v>359</v>
      </c>
      <c r="B577" s="41" t="s">
        <v>85</v>
      </c>
      <c r="C577" s="41" t="s">
        <v>1378</v>
      </c>
      <c r="D577" s="28" t="s">
        <v>1379</v>
      </c>
      <c r="E577" s="28" t="s">
        <v>1380</v>
      </c>
      <c r="F577" s="5" t="s">
        <v>22</v>
      </c>
      <c r="G577" s="21">
        <v>0.22222222222222221</v>
      </c>
      <c r="H577" s="22">
        <f>VLOOKUP($C577,'Master File June-26'!$C$3:$L$670,6,0)</f>
        <v>27.5</v>
      </c>
      <c r="I577" s="22">
        <f>VLOOKUP($C577,'Master File June-26'!$C$3:$L$670,7,0)</f>
        <v>123.75</v>
      </c>
      <c r="J577" s="5">
        <f>VLOOKUP($C577,'Master File June-26'!$C$3:$L$670,8,0)</f>
        <v>14</v>
      </c>
      <c r="K577" s="23">
        <f>VLOOKUP($C577,'Master File June-26'!$C$3:$L$670,9,0)</f>
        <v>61.875</v>
      </c>
      <c r="L577" s="58">
        <f>VLOOKUP($C577,'Master File June-26'!$C$3:$L$670,10,0)</f>
        <v>6</v>
      </c>
      <c r="M577" s="24">
        <f t="shared" si="32"/>
        <v>1.4545454545454546</v>
      </c>
      <c r="N577" s="25" t="str">
        <f t="shared" si="33"/>
        <v>ORDER NOW</v>
      </c>
      <c r="O577" s="25" t="str">
        <f t="shared" si="34"/>
        <v>CRITICAL</v>
      </c>
      <c r="S577" s="79">
        <f t="shared" si="35"/>
        <v>0</v>
      </c>
    </row>
    <row r="578" spans="1:19" ht="18.75" x14ac:dyDescent="0.25">
      <c r="A578" s="41">
        <v>335</v>
      </c>
      <c r="B578" s="41" t="s">
        <v>38</v>
      </c>
      <c r="C578" s="41" t="s">
        <v>1381</v>
      </c>
      <c r="D578" s="28" t="s">
        <v>1382</v>
      </c>
      <c r="E578" s="28" t="s">
        <v>1383</v>
      </c>
      <c r="F578" s="5" t="s">
        <v>22</v>
      </c>
      <c r="G578" s="21">
        <v>0.1</v>
      </c>
      <c r="H578" s="22">
        <f>VLOOKUP($C578,'Master File June-26'!$C$3:$L$670,6,0)</f>
        <v>313.5</v>
      </c>
      <c r="I578" s="22">
        <f>VLOOKUP($C578,'Master File June-26'!$C$3:$L$670,7,0)</f>
        <v>3135</v>
      </c>
      <c r="J578" s="5">
        <f>VLOOKUP($C578,'Master File June-26'!$C$3:$L$670,8,0)</f>
        <v>14</v>
      </c>
      <c r="K578" s="23">
        <f>VLOOKUP($C578,'Master File June-26'!$C$3:$L$670,9,0)</f>
        <v>1567.5</v>
      </c>
      <c r="L578" s="58">
        <f>VLOOKUP($C578,'Master File June-26'!$C$3:$L$670,10,0)</f>
        <v>950</v>
      </c>
      <c r="M578" s="24">
        <f t="shared" si="32"/>
        <v>9.0909090909090917</v>
      </c>
      <c r="N578" s="25" t="str">
        <f t="shared" si="33"/>
        <v>ORDER NOW</v>
      </c>
      <c r="O578" s="25" t="str">
        <f t="shared" si="34"/>
        <v>CRITICAL</v>
      </c>
      <c r="S578" s="79">
        <f t="shared" si="35"/>
        <v>0</v>
      </c>
    </row>
    <row r="579" spans="1:19" ht="18.75" x14ac:dyDescent="0.25">
      <c r="A579" s="39">
        <v>190</v>
      </c>
      <c r="B579" s="39" t="s">
        <v>239</v>
      </c>
      <c r="C579" s="39" t="s">
        <v>1384</v>
      </c>
      <c r="D579" s="28" t="s">
        <v>1385</v>
      </c>
      <c r="E579" s="27" t="s">
        <v>78</v>
      </c>
      <c r="F579" s="48" t="s">
        <v>49</v>
      </c>
      <c r="G579" s="21">
        <v>1</v>
      </c>
      <c r="H579" s="22">
        <f>VLOOKUP($C579,'Master File June-26'!$C$3:$L$670,6,0)</f>
        <v>66</v>
      </c>
      <c r="I579" s="22">
        <f>VLOOKUP($C579,'Master File June-26'!$C$3:$L$670,7,0)</f>
        <v>66</v>
      </c>
      <c r="J579" s="5">
        <f>VLOOKUP($C579,'Master File June-26'!$C$3:$L$670,8,0)</f>
        <v>14</v>
      </c>
      <c r="K579" s="23">
        <f>VLOOKUP($C579,'Master File June-26'!$C$3:$L$670,9,0)</f>
        <v>33</v>
      </c>
      <c r="L579" s="58">
        <f>VLOOKUP($C579,'Master File June-26'!$C$3:$L$670,10,0)</f>
        <v>23</v>
      </c>
      <c r="M579" s="24">
        <f t="shared" ref="M579:M642" si="36">IFERROR((L579/I579*30),0)</f>
        <v>10.454545454545455</v>
      </c>
      <c r="N579" s="25" t="str">
        <f t="shared" ref="N579:N642" si="37">IF(M579&lt;J579,"ORDER NOW","IN STOCK")</f>
        <v>ORDER NOW</v>
      </c>
      <c r="O579" s="25" t="str">
        <f t="shared" ref="O579:O642" si="38">IF(M579&lt;J579,"CRITICAL","FOLLOW UP DELIVERY")</f>
        <v>CRITICAL</v>
      </c>
      <c r="S579" s="79">
        <f t="shared" ref="S579:S642" si="39">IF(L579&lt;K579,0,1)</f>
        <v>0</v>
      </c>
    </row>
    <row r="580" spans="1:19" ht="18.75" x14ac:dyDescent="0.25">
      <c r="A580" s="41">
        <v>551</v>
      </c>
      <c r="B580" s="41" t="s">
        <v>38</v>
      </c>
      <c r="C580" s="41" t="s">
        <v>1386</v>
      </c>
      <c r="D580" s="40" t="s">
        <v>1387</v>
      </c>
      <c r="E580" s="34" t="s">
        <v>22</v>
      </c>
      <c r="F580" s="5" t="s">
        <v>22</v>
      </c>
      <c r="G580" s="21">
        <v>1</v>
      </c>
      <c r="H580" s="22">
        <f>VLOOKUP($C580,'Master File June-26'!$C$3:$L$670,6,0)</f>
        <v>2</v>
      </c>
      <c r="I580" s="22">
        <f>VLOOKUP($C580,'Master File June-26'!$C$3:$L$670,7,0)</f>
        <v>2</v>
      </c>
      <c r="J580" s="5">
        <f>VLOOKUP($C580,'Master File June-26'!$C$3:$L$670,8,0)</f>
        <v>14</v>
      </c>
      <c r="K580" s="23">
        <f>VLOOKUP($C580,'Master File June-26'!$C$3:$L$670,9,0)</f>
        <v>1</v>
      </c>
      <c r="L580" s="58">
        <f>VLOOKUP($C580,'Master File June-26'!$C$3:$L$670,10,0)</f>
        <v>4.8</v>
      </c>
      <c r="M580" s="24">
        <f t="shared" si="36"/>
        <v>72</v>
      </c>
      <c r="N580" s="25" t="str">
        <f t="shared" si="37"/>
        <v>IN STOCK</v>
      </c>
      <c r="O580" s="25" t="str">
        <f t="shared" si="38"/>
        <v>FOLLOW UP DELIVERY</v>
      </c>
      <c r="S580" s="79">
        <f t="shared" si="39"/>
        <v>1</v>
      </c>
    </row>
    <row r="581" spans="1:19" ht="18.75" x14ac:dyDescent="0.25">
      <c r="A581" s="41">
        <v>559</v>
      </c>
      <c r="B581" s="41" t="s">
        <v>38</v>
      </c>
      <c r="C581" s="41" t="s">
        <v>1388</v>
      </c>
      <c r="D581" s="47" t="s">
        <v>1389</v>
      </c>
      <c r="E581" s="34" t="s">
        <v>22</v>
      </c>
      <c r="F581" s="5" t="s">
        <v>22</v>
      </c>
      <c r="G581" s="21">
        <v>0.25</v>
      </c>
      <c r="H581" s="22">
        <f>VLOOKUP($C581,'Master File June-26'!$C$3:$L$670,6,0)</f>
        <v>1</v>
      </c>
      <c r="I581" s="22">
        <f>VLOOKUP($C581,'Master File June-26'!$C$3:$L$670,7,0)</f>
        <v>4</v>
      </c>
      <c r="J581" s="5">
        <f>VLOOKUP($C581,'Master File June-26'!$C$3:$L$670,8,0)</f>
        <v>14</v>
      </c>
      <c r="K581" s="23">
        <f>VLOOKUP($C581,'Master File June-26'!$C$3:$L$670,9,0)</f>
        <v>2</v>
      </c>
      <c r="L581" s="58">
        <f>VLOOKUP($C581,'Master File June-26'!$C$3:$L$670,10,0)</f>
        <v>0</v>
      </c>
      <c r="M581" s="24">
        <f t="shared" si="36"/>
        <v>0</v>
      </c>
      <c r="N581" s="25" t="str">
        <f t="shared" si="37"/>
        <v>ORDER NOW</v>
      </c>
      <c r="O581" s="25" t="str">
        <f t="shared" si="38"/>
        <v>CRITICAL</v>
      </c>
      <c r="S581" s="79">
        <f t="shared" si="39"/>
        <v>0</v>
      </c>
    </row>
    <row r="582" spans="1:19" ht="18.75" x14ac:dyDescent="0.25">
      <c r="A582" s="41">
        <v>565</v>
      </c>
      <c r="B582" s="41" t="s">
        <v>38</v>
      </c>
      <c r="C582" s="41" t="s">
        <v>1390</v>
      </c>
      <c r="D582" s="40" t="s">
        <v>1391</v>
      </c>
      <c r="E582" s="34" t="s">
        <v>22</v>
      </c>
      <c r="F582" s="5" t="s">
        <v>22</v>
      </c>
      <c r="G582" s="21">
        <v>1</v>
      </c>
      <c r="H582" s="22">
        <f>VLOOKUP($C582,'Master File June-26'!$C$3:$L$670,6,0)</f>
        <v>1</v>
      </c>
      <c r="I582" s="22">
        <f>VLOOKUP($C582,'Master File June-26'!$C$3:$L$670,7,0)</f>
        <v>1</v>
      </c>
      <c r="J582" s="5">
        <f>VLOOKUP($C582,'Master File June-26'!$C$3:$L$670,8,0)</f>
        <v>14</v>
      </c>
      <c r="K582" s="23">
        <f>VLOOKUP($C582,'Master File June-26'!$C$3:$L$670,9,0)</f>
        <v>0.5</v>
      </c>
      <c r="L582" s="58">
        <f>VLOOKUP($C582,'Master File June-26'!$C$3:$L$670,10,0)</f>
        <v>0</v>
      </c>
      <c r="M582" s="24">
        <f t="shared" si="36"/>
        <v>0</v>
      </c>
      <c r="N582" s="25" t="str">
        <f t="shared" si="37"/>
        <v>ORDER NOW</v>
      </c>
      <c r="O582" s="25" t="str">
        <f t="shared" si="38"/>
        <v>CRITICAL</v>
      </c>
      <c r="S582" s="79">
        <f t="shared" si="39"/>
        <v>0</v>
      </c>
    </row>
    <row r="583" spans="1:19" ht="18.75" x14ac:dyDescent="0.25">
      <c r="A583" s="19">
        <v>103</v>
      </c>
      <c r="B583" s="19" t="s">
        <v>18</v>
      </c>
      <c r="C583" s="19" t="s">
        <v>1392</v>
      </c>
      <c r="D583" s="28" t="s">
        <v>1393</v>
      </c>
      <c r="E583" s="28" t="s">
        <v>1394</v>
      </c>
      <c r="F583" s="5" t="s">
        <v>1395</v>
      </c>
      <c r="G583" s="21">
        <v>5.0000000000000001E-4</v>
      </c>
      <c r="H583" s="22">
        <f>VLOOKUP($C583,'Master File June-26'!$C$3:$L$670,6,0)</f>
        <v>24</v>
      </c>
      <c r="I583" s="22">
        <f>VLOOKUP($C583,'Master File June-26'!$C$3:$L$670,7,0)</f>
        <v>48000</v>
      </c>
      <c r="J583" s="5">
        <f>VLOOKUP($C583,'Master File June-26'!$C$3:$L$670,8,0)</f>
        <v>14</v>
      </c>
      <c r="K583" s="23">
        <f>VLOOKUP($C583,'Master File June-26'!$C$3:$L$670,9,0)</f>
        <v>24000</v>
      </c>
      <c r="L583" s="58">
        <f>VLOOKUP($C583,'Master File June-26'!$C$3:$L$670,10,0)</f>
        <v>20000</v>
      </c>
      <c r="M583" s="24">
        <f t="shared" si="36"/>
        <v>12.5</v>
      </c>
      <c r="N583" s="25" t="str">
        <f t="shared" si="37"/>
        <v>ORDER NOW</v>
      </c>
      <c r="O583" s="25" t="str">
        <f t="shared" si="38"/>
        <v>CRITICAL</v>
      </c>
      <c r="R583" t="s">
        <v>30</v>
      </c>
      <c r="S583" s="79">
        <f t="shared" si="39"/>
        <v>0</v>
      </c>
    </row>
    <row r="584" spans="1:19" ht="18.75" x14ac:dyDescent="0.25">
      <c r="A584" s="19">
        <v>174</v>
      </c>
      <c r="B584" s="19" t="s">
        <v>18</v>
      </c>
      <c r="C584" s="19" t="s">
        <v>1396</v>
      </c>
      <c r="D584" s="40" t="s">
        <v>1397</v>
      </c>
      <c r="E584" s="34" t="s">
        <v>22</v>
      </c>
      <c r="F584" s="5" t="s">
        <v>22</v>
      </c>
      <c r="G584" s="21">
        <v>1</v>
      </c>
      <c r="H584" s="22">
        <f>VLOOKUP($C584,'Master File June-26'!$C$3:$L$670,6,0)</f>
        <v>15</v>
      </c>
      <c r="I584" s="22">
        <f>VLOOKUP($C584,'Master File June-26'!$C$3:$L$670,7,0)</f>
        <v>7500</v>
      </c>
      <c r="J584" s="5">
        <f>VLOOKUP($C584,'Master File June-26'!$C$3:$L$670,8,0)</f>
        <v>14</v>
      </c>
      <c r="K584" s="23">
        <f>VLOOKUP($C584,'Master File June-26'!$C$3:$L$670,9,0)</f>
        <v>3750</v>
      </c>
      <c r="L584" s="58">
        <f>VLOOKUP($C584,'Master File June-26'!$C$3:$L$670,10,0)</f>
        <v>1500</v>
      </c>
      <c r="M584" s="24">
        <f t="shared" si="36"/>
        <v>6</v>
      </c>
      <c r="N584" s="25" t="str">
        <f t="shared" si="37"/>
        <v>ORDER NOW</v>
      </c>
      <c r="O584" s="25" t="str">
        <f t="shared" si="38"/>
        <v>CRITICAL</v>
      </c>
      <c r="S584" s="79">
        <f t="shared" si="39"/>
        <v>0</v>
      </c>
    </row>
    <row r="585" spans="1:19" ht="18.75" x14ac:dyDescent="0.25">
      <c r="A585" s="41">
        <v>392</v>
      </c>
      <c r="B585" s="41" t="s">
        <v>38</v>
      </c>
      <c r="C585" s="41" t="s">
        <v>1398</v>
      </c>
      <c r="D585" s="28" t="s">
        <v>1399</v>
      </c>
      <c r="E585" s="28" t="s">
        <v>1400</v>
      </c>
      <c r="F585" s="5" t="s">
        <v>22</v>
      </c>
      <c r="G585" s="21">
        <f>1/6</f>
        <v>0.16666666666666666</v>
      </c>
      <c r="H585" s="22">
        <f>VLOOKUP($C585,'Master File June-26'!$C$3:$L$670,6,0)</f>
        <v>10</v>
      </c>
      <c r="I585" s="22">
        <f>VLOOKUP($C585,'Master File June-26'!$C$3:$L$670,7,0)</f>
        <v>60</v>
      </c>
      <c r="J585" s="5">
        <f>VLOOKUP($C585,'Master File June-26'!$C$3:$L$670,8,0)</f>
        <v>14</v>
      </c>
      <c r="K585" s="23">
        <f>VLOOKUP($C585,'Master File June-26'!$C$3:$L$670,9,0)</f>
        <v>30</v>
      </c>
      <c r="L585" s="58">
        <f>VLOOKUP($C585,'Master File June-26'!$C$3:$L$670,10,0)</f>
        <v>0</v>
      </c>
      <c r="M585" s="24">
        <f t="shared" si="36"/>
        <v>0</v>
      </c>
      <c r="N585" s="25" t="str">
        <f t="shared" si="37"/>
        <v>ORDER NOW</v>
      </c>
      <c r="O585" s="25" t="str">
        <f t="shared" si="38"/>
        <v>CRITICAL</v>
      </c>
      <c r="S585" s="79">
        <f t="shared" si="39"/>
        <v>0</v>
      </c>
    </row>
    <row r="586" spans="1:19" ht="18.75" x14ac:dyDescent="0.25">
      <c r="A586" s="41">
        <v>374</v>
      </c>
      <c r="B586" s="41" t="s">
        <v>85</v>
      </c>
      <c r="C586" s="41" t="s">
        <v>1401</v>
      </c>
      <c r="D586" s="28" t="s">
        <v>1402</v>
      </c>
      <c r="E586" s="28" t="s">
        <v>101</v>
      </c>
      <c r="F586" s="5" t="s">
        <v>22</v>
      </c>
      <c r="G586" s="21">
        <v>0.16666666666666666</v>
      </c>
      <c r="H586" s="22">
        <f>VLOOKUP($C586,'Master File June-26'!$C$3:$L$670,6,0)</f>
        <v>8</v>
      </c>
      <c r="I586" s="22">
        <f>VLOOKUP($C586,'Master File June-26'!$C$3:$L$670,7,0)</f>
        <v>48</v>
      </c>
      <c r="J586" s="5">
        <f>VLOOKUP($C586,'Master File June-26'!$C$3:$L$670,8,0)</f>
        <v>14</v>
      </c>
      <c r="K586" s="23">
        <f>VLOOKUP($C586,'Master File June-26'!$C$3:$L$670,9,0)</f>
        <v>24</v>
      </c>
      <c r="L586" s="58">
        <f>VLOOKUP($C586,'Master File June-26'!$C$3:$L$670,10,0)</f>
        <v>17</v>
      </c>
      <c r="M586" s="24">
        <f t="shared" si="36"/>
        <v>10.625</v>
      </c>
      <c r="N586" s="25" t="str">
        <f t="shared" si="37"/>
        <v>ORDER NOW</v>
      </c>
      <c r="O586" s="25" t="str">
        <f t="shared" si="38"/>
        <v>CRITICAL</v>
      </c>
      <c r="S586" s="79">
        <f t="shared" si="39"/>
        <v>0</v>
      </c>
    </row>
    <row r="587" spans="1:19" ht="18.75" x14ac:dyDescent="0.25">
      <c r="A587" s="19">
        <v>140</v>
      </c>
      <c r="B587" s="19" t="s">
        <v>18</v>
      </c>
      <c r="C587" s="19" t="s">
        <v>1403</v>
      </c>
      <c r="D587" s="28" t="s">
        <v>1404</v>
      </c>
      <c r="E587" s="28" t="s">
        <v>942</v>
      </c>
      <c r="F587" s="5" t="s">
        <v>49</v>
      </c>
      <c r="G587" s="21">
        <f>1/1000</f>
        <v>1E-3</v>
      </c>
      <c r="H587" s="22">
        <f>VLOOKUP($C587,'Master File June-26'!$C$3:$L$670,6,0)</f>
        <v>12</v>
      </c>
      <c r="I587" s="22">
        <f>VLOOKUP($C587,'Master File June-26'!$C$3:$L$670,7,0)</f>
        <v>12000</v>
      </c>
      <c r="J587" s="5">
        <f>VLOOKUP($C587,'Master File June-26'!$C$3:$L$670,8,0)</f>
        <v>14</v>
      </c>
      <c r="K587" s="23">
        <f>VLOOKUP($C587,'Master File June-26'!$C$3:$L$670,9,0)</f>
        <v>6000</v>
      </c>
      <c r="L587" s="58">
        <f>VLOOKUP($C587,'Master File June-26'!$C$3:$L$670,10,0)</f>
        <v>0</v>
      </c>
      <c r="M587" s="24">
        <f t="shared" si="36"/>
        <v>0</v>
      </c>
      <c r="N587" s="25" t="str">
        <f t="shared" si="37"/>
        <v>ORDER NOW</v>
      </c>
      <c r="O587" s="25" t="str">
        <f t="shared" si="38"/>
        <v>CRITICAL</v>
      </c>
      <c r="R587" t="s">
        <v>30</v>
      </c>
      <c r="S587" s="79">
        <f t="shared" si="39"/>
        <v>0</v>
      </c>
    </row>
    <row r="588" spans="1:19" ht="18.75" x14ac:dyDescent="0.25">
      <c r="A588" s="19">
        <v>30</v>
      </c>
      <c r="B588" s="19" t="s">
        <v>18</v>
      </c>
      <c r="C588" s="19" t="s">
        <v>1405</v>
      </c>
      <c r="D588" s="28" t="s">
        <v>1406</v>
      </c>
      <c r="E588" s="28" t="s">
        <v>25</v>
      </c>
      <c r="F588" s="5" t="s">
        <v>22</v>
      </c>
      <c r="G588" s="21">
        <v>2E-3</v>
      </c>
      <c r="H588" s="22">
        <f>VLOOKUP($C588,'Master File June-26'!$C$3:$L$670,6,0)</f>
        <v>935</v>
      </c>
      <c r="I588" s="22">
        <f>VLOOKUP($C588,'Master File June-26'!$C$3:$L$670,7,0)</f>
        <v>467500</v>
      </c>
      <c r="J588" s="5">
        <f>VLOOKUP($C588,'Master File June-26'!$C$3:$L$670,8,0)</f>
        <v>60</v>
      </c>
      <c r="K588" s="23">
        <f>VLOOKUP($C588,'Master File June-26'!$C$3:$L$670,9,0)</f>
        <v>1001785.7142857142</v>
      </c>
      <c r="L588" s="58">
        <f>VLOOKUP($C588,'Master File June-26'!$C$3:$L$670,10,0)</f>
        <v>0</v>
      </c>
      <c r="M588" s="24">
        <f t="shared" si="36"/>
        <v>0</v>
      </c>
      <c r="N588" s="25" t="str">
        <f t="shared" si="37"/>
        <v>ORDER NOW</v>
      </c>
      <c r="O588" s="25" t="str">
        <f t="shared" si="38"/>
        <v>CRITICAL</v>
      </c>
      <c r="R588" t="s">
        <v>30</v>
      </c>
      <c r="S588" s="79">
        <f t="shared" si="39"/>
        <v>0</v>
      </c>
    </row>
    <row r="589" spans="1:19" ht="18.75" x14ac:dyDescent="0.25">
      <c r="A589" s="41">
        <v>336</v>
      </c>
      <c r="B589" s="41" t="s">
        <v>38</v>
      </c>
      <c r="C589" s="41" t="s">
        <v>1407</v>
      </c>
      <c r="D589" s="28" t="s">
        <v>1408</v>
      </c>
      <c r="E589" s="28" t="s">
        <v>1244</v>
      </c>
      <c r="F589" s="5" t="s">
        <v>22</v>
      </c>
      <c r="G589" s="21">
        <v>0.2</v>
      </c>
      <c r="H589" s="22">
        <f>VLOOKUP($C589,'Master File June-26'!$C$3:$L$670,6,0)</f>
        <v>88</v>
      </c>
      <c r="I589" s="22">
        <f>VLOOKUP($C589,'Master File June-26'!$C$3:$L$670,7,0)</f>
        <v>88000</v>
      </c>
      <c r="J589" s="5">
        <f>VLOOKUP($C589,'Master File June-26'!$C$3:$L$670,8,0)</f>
        <v>14</v>
      </c>
      <c r="K589" s="23">
        <f>VLOOKUP($C589,'Master File June-26'!$C$3:$L$670,9,0)</f>
        <v>44000</v>
      </c>
      <c r="L589" s="58">
        <f>VLOOKUP($C589,'Master File June-26'!$C$3:$L$670,10,0)</f>
        <v>0</v>
      </c>
      <c r="M589" s="24">
        <f t="shared" si="36"/>
        <v>0</v>
      </c>
      <c r="N589" s="25" t="str">
        <f t="shared" si="37"/>
        <v>ORDER NOW</v>
      </c>
      <c r="O589" s="25" t="str">
        <f t="shared" si="38"/>
        <v>CRITICAL</v>
      </c>
      <c r="S589" s="79">
        <f t="shared" si="39"/>
        <v>0</v>
      </c>
    </row>
    <row r="590" spans="1:19" ht="18.75" x14ac:dyDescent="0.25">
      <c r="A590" s="39">
        <v>220</v>
      </c>
      <c r="B590" s="39" t="s">
        <v>239</v>
      </c>
      <c r="C590" s="39" t="s">
        <v>1409</v>
      </c>
      <c r="D590" s="28" t="s">
        <v>1410</v>
      </c>
      <c r="E590" s="28" t="s">
        <v>160</v>
      </c>
      <c r="F590" s="5" t="s">
        <v>49</v>
      </c>
      <c r="G590" s="21">
        <v>1</v>
      </c>
      <c r="H590" s="22">
        <f>VLOOKUP($C590,'Master File June-26'!$C$3:$L$670,6,0)</f>
        <v>27.5</v>
      </c>
      <c r="I590" s="22">
        <f>VLOOKUP($C590,'Master File June-26'!$C$3:$L$670,7,0)</f>
        <v>27.5</v>
      </c>
      <c r="J590" s="5">
        <f>VLOOKUP($C590,'Master File June-26'!$C$3:$L$670,8,0)</f>
        <v>14</v>
      </c>
      <c r="K590" s="23">
        <f>VLOOKUP($C590,'Master File June-26'!$C$3:$L$670,9,0)</f>
        <v>13.75</v>
      </c>
      <c r="L590" s="58">
        <f>VLOOKUP($C590,'Master File June-26'!$C$3:$L$670,10,0)</f>
        <v>0</v>
      </c>
      <c r="M590" s="24">
        <f t="shared" si="36"/>
        <v>0</v>
      </c>
      <c r="N590" s="25" t="str">
        <f t="shared" si="37"/>
        <v>ORDER NOW</v>
      </c>
      <c r="O590" s="25" t="str">
        <f t="shared" si="38"/>
        <v>CRITICAL</v>
      </c>
      <c r="S590" s="79">
        <f t="shared" si="39"/>
        <v>0</v>
      </c>
    </row>
    <row r="591" spans="1:19" ht="18.75" x14ac:dyDescent="0.25">
      <c r="A591" s="41">
        <v>408</v>
      </c>
      <c r="B591" s="41" t="s">
        <v>38</v>
      </c>
      <c r="C591" s="41" t="s">
        <v>1411</v>
      </c>
      <c r="D591" s="28" t="s">
        <v>1412</v>
      </c>
      <c r="E591" s="28" t="s">
        <v>826</v>
      </c>
      <c r="F591" s="5" t="s">
        <v>49</v>
      </c>
      <c r="G591" s="21">
        <v>1</v>
      </c>
      <c r="H591" s="22">
        <f>VLOOKUP($C591,'Master File June-26'!$C$3:$L$670,6,0)</f>
        <v>8</v>
      </c>
      <c r="I591" s="22">
        <f>VLOOKUP($C591,'Master File June-26'!$C$3:$L$670,7,0)</f>
        <v>8</v>
      </c>
      <c r="J591" s="5">
        <f>VLOOKUP($C591,'Master File June-26'!$C$3:$L$670,8,0)</f>
        <v>14</v>
      </c>
      <c r="K591" s="23">
        <f>VLOOKUP($C591,'Master File June-26'!$C$3:$L$670,9,0)</f>
        <v>4</v>
      </c>
      <c r="L591" s="58">
        <f>VLOOKUP($C591,'Master File June-26'!$C$3:$L$670,10,0)</f>
        <v>0</v>
      </c>
      <c r="M591" s="24">
        <f t="shared" si="36"/>
        <v>0</v>
      </c>
      <c r="N591" s="25" t="str">
        <f t="shared" si="37"/>
        <v>ORDER NOW</v>
      </c>
      <c r="O591" s="25" t="str">
        <f t="shared" si="38"/>
        <v>CRITICAL</v>
      </c>
      <c r="S591" s="79">
        <f t="shared" si="39"/>
        <v>0</v>
      </c>
    </row>
    <row r="592" spans="1:19" ht="18.75" x14ac:dyDescent="0.25">
      <c r="A592" s="39">
        <v>253</v>
      </c>
      <c r="B592" s="39" t="s">
        <v>123</v>
      </c>
      <c r="C592" s="39" t="s">
        <v>1413</v>
      </c>
      <c r="D592" s="28" t="s">
        <v>1414</v>
      </c>
      <c r="E592" s="28" t="s">
        <v>1415</v>
      </c>
      <c r="F592" s="5" t="s">
        <v>49</v>
      </c>
      <c r="G592" s="21">
        <v>1</v>
      </c>
      <c r="H592" s="22">
        <f>VLOOKUP($C592,'Master File June-26'!$C$3:$L$670,6,0)</f>
        <v>24</v>
      </c>
      <c r="I592" s="22">
        <f>VLOOKUP($C592,'Master File June-26'!$C$3:$L$670,7,0)</f>
        <v>24</v>
      </c>
      <c r="J592" s="5">
        <f>VLOOKUP($C592,'Master File June-26'!$C$3:$L$670,8,0)</f>
        <v>14</v>
      </c>
      <c r="K592" s="23">
        <f>VLOOKUP($C592,'Master File June-26'!$C$3:$L$670,9,0)</f>
        <v>12</v>
      </c>
      <c r="L592" s="58">
        <f>VLOOKUP($C592,'Master File June-26'!$C$3:$L$670,10,0)</f>
        <v>0</v>
      </c>
      <c r="M592" s="24">
        <f t="shared" si="36"/>
        <v>0</v>
      </c>
      <c r="N592" s="25" t="str">
        <f t="shared" si="37"/>
        <v>ORDER NOW</v>
      </c>
      <c r="O592" s="25" t="str">
        <f t="shared" si="38"/>
        <v>CRITICAL</v>
      </c>
      <c r="S592" s="79">
        <f t="shared" si="39"/>
        <v>0</v>
      </c>
    </row>
    <row r="593" spans="1:19" ht="18.75" x14ac:dyDescent="0.25">
      <c r="A593" s="41">
        <v>350</v>
      </c>
      <c r="B593" s="41" t="s">
        <v>38</v>
      </c>
      <c r="C593" s="41" t="s">
        <v>1416</v>
      </c>
      <c r="D593" s="30" t="s">
        <v>1417</v>
      </c>
      <c r="E593" s="30"/>
      <c r="F593" s="5"/>
      <c r="G593" s="21">
        <v>1</v>
      </c>
      <c r="H593" s="22">
        <f>VLOOKUP($C593,'Master File June-26'!$C$3:$L$670,6,0)</f>
        <v>27.5</v>
      </c>
      <c r="I593" s="22">
        <f>VLOOKUP($C593,'Master File June-26'!$C$3:$L$670,7,0)</f>
        <v>27.5</v>
      </c>
      <c r="J593" s="5">
        <f>VLOOKUP($C593,'Master File June-26'!$C$3:$L$670,8,0)</f>
        <v>14</v>
      </c>
      <c r="K593" s="23">
        <f>VLOOKUP($C593,'Master File June-26'!$C$3:$L$670,9,0)</f>
        <v>13.75</v>
      </c>
      <c r="L593" s="58">
        <f>VLOOKUP($C593,'Master File June-26'!$C$3:$L$670,10,0)</f>
        <v>0</v>
      </c>
      <c r="M593" s="24">
        <f t="shared" si="36"/>
        <v>0</v>
      </c>
      <c r="N593" s="25" t="str">
        <f t="shared" si="37"/>
        <v>ORDER NOW</v>
      </c>
      <c r="O593" s="25" t="str">
        <f t="shared" si="38"/>
        <v>CRITICAL</v>
      </c>
      <c r="S593" s="79">
        <f t="shared" si="39"/>
        <v>0</v>
      </c>
    </row>
    <row r="594" spans="1:19" ht="18.75" x14ac:dyDescent="0.25">
      <c r="A594" s="39">
        <v>287</v>
      </c>
      <c r="B594" s="39" t="s">
        <v>239</v>
      </c>
      <c r="C594" s="39" t="s">
        <v>1418</v>
      </c>
      <c r="D594" s="34" t="s">
        <v>1419</v>
      </c>
      <c r="E594" s="34" t="s">
        <v>1420</v>
      </c>
      <c r="F594" s="5" t="s">
        <v>22</v>
      </c>
      <c r="G594" s="21">
        <v>0.76923076923076916</v>
      </c>
      <c r="H594" s="22">
        <f>VLOOKUP($C594,'Master File June-26'!$C$3:$L$670,6,0)</f>
        <v>22</v>
      </c>
      <c r="I594" s="22">
        <f>VLOOKUP($C594,'Master File June-26'!$C$3:$L$670,7,0)</f>
        <v>28.6</v>
      </c>
      <c r="J594" s="5">
        <f>VLOOKUP($C594,'Master File June-26'!$C$3:$L$670,8,0)</f>
        <v>14</v>
      </c>
      <c r="K594" s="23">
        <f>VLOOKUP($C594,'Master File June-26'!$C$3:$L$670,9,0)</f>
        <v>14.3</v>
      </c>
      <c r="L594" s="58">
        <f>VLOOKUP($C594,'Master File June-26'!$C$3:$L$670,10,0)</f>
        <v>8</v>
      </c>
      <c r="M594" s="24">
        <f t="shared" si="36"/>
        <v>8.3916083916083899</v>
      </c>
      <c r="N594" s="25" t="str">
        <f t="shared" si="37"/>
        <v>ORDER NOW</v>
      </c>
      <c r="O594" s="25" t="str">
        <f t="shared" si="38"/>
        <v>CRITICAL</v>
      </c>
      <c r="S594" s="79">
        <f t="shared" si="39"/>
        <v>0</v>
      </c>
    </row>
    <row r="595" spans="1:19" ht="18.75" x14ac:dyDescent="0.25">
      <c r="A595" s="19">
        <v>81</v>
      </c>
      <c r="B595" s="19" t="s">
        <v>18</v>
      </c>
      <c r="C595" s="19" t="s">
        <v>1421</v>
      </c>
      <c r="D595" s="28" t="s">
        <v>1422</v>
      </c>
      <c r="E595" s="28" t="s">
        <v>873</v>
      </c>
      <c r="F595" s="5" t="s">
        <v>22</v>
      </c>
      <c r="G595" s="21">
        <v>2E-3</v>
      </c>
      <c r="H595" s="22">
        <f>VLOOKUP($C595,'Master File June-26'!$C$3:$L$670,6,0)</f>
        <v>16</v>
      </c>
      <c r="I595" s="22">
        <f>VLOOKUP($C595,'Master File June-26'!$C$3:$L$670,7,0)</f>
        <v>8000</v>
      </c>
      <c r="J595" s="5">
        <f>VLOOKUP($C595,'Master File June-26'!$C$3:$L$670,8,0)</f>
        <v>14</v>
      </c>
      <c r="K595" s="23">
        <f>VLOOKUP($C595,'Master File June-26'!$C$3:$L$670,9,0)</f>
        <v>4000</v>
      </c>
      <c r="L595" s="58">
        <f>VLOOKUP($C595,'Master File June-26'!$C$3:$L$670,10,0)</f>
        <v>1000</v>
      </c>
      <c r="M595" s="24">
        <f t="shared" si="36"/>
        <v>3.75</v>
      </c>
      <c r="N595" s="25" t="str">
        <f t="shared" si="37"/>
        <v>ORDER NOW</v>
      </c>
      <c r="O595" s="25" t="str">
        <f t="shared" si="38"/>
        <v>CRITICAL</v>
      </c>
      <c r="R595" t="s">
        <v>30</v>
      </c>
      <c r="S595" s="79">
        <f t="shared" si="39"/>
        <v>0</v>
      </c>
    </row>
    <row r="596" spans="1:19" ht="18.75" x14ac:dyDescent="0.25">
      <c r="A596" s="19">
        <v>162</v>
      </c>
      <c r="B596" s="19" t="s">
        <v>18</v>
      </c>
      <c r="C596" s="19" t="s">
        <v>1423</v>
      </c>
      <c r="D596" s="28" t="s">
        <v>1424</v>
      </c>
      <c r="E596" s="28" t="s">
        <v>1425</v>
      </c>
      <c r="F596" s="5" t="s">
        <v>46</v>
      </c>
      <c r="G596" s="21">
        <v>1.4285714285714285E-2</v>
      </c>
      <c r="H596" s="22">
        <f>VLOOKUP($C596,'Master File June-26'!$C$3:$L$670,6,0)</f>
        <v>80</v>
      </c>
      <c r="I596" s="22">
        <f>VLOOKUP($C596,'Master File June-26'!$C$3:$L$670,7,0)</f>
        <v>5600</v>
      </c>
      <c r="J596" s="5">
        <f>VLOOKUP($C596,'Master File June-26'!$C$3:$L$670,8,0)</f>
        <v>14</v>
      </c>
      <c r="K596" s="23">
        <f>VLOOKUP($C596,'Master File June-26'!$C$3:$L$670,9,0)</f>
        <v>2800</v>
      </c>
      <c r="L596" s="58">
        <f>VLOOKUP($C596,'Master File June-26'!$C$3:$L$670,10,0)</f>
        <v>1190</v>
      </c>
      <c r="M596" s="24">
        <f t="shared" si="36"/>
        <v>6.375</v>
      </c>
      <c r="N596" s="25" t="str">
        <f t="shared" si="37"/>
        <v>ORDER NOW</v>
      </c>
      <c r="O596" s="25" t="str">
        <f t="shared" si="38"/>
        <v>CRITICAL</v>
      </c>
      <c r="S596" s="79">
        <f t="shared" si="39"/>
        <v>0</v>
      </c>
    </row>
    <row r="597" spans="1:19" ht="18.75" x14ac:dyDescent="0.25">
      <c r="A597" s="39">
        <v>278</v>
      </c>
      <c r="B597" s="39" t="s">
        <v>157</v>
      </c>
      <c r="C597" s="39" t="s">
        <v>1426</v>
      </c>
      <c r="D597" s="28" t="s">
        <v>1427</v>
      </c>
      <c r="E597" s="27" t="s">
        <v>78</v>
      </c>
      <c r="F597" s="48" t="s">
        <v>49</v>
      </c>
      <c r="G597" s="21">
        <v>1</v>
      </c>
      <c r="H597" s="22">
        <f>VLOOKUP($C597,'Master File June-26'!$C$3:$L$670,6,0)</f>
        <v>5.5</v>
      </c>
      <c r="I597" s="22">
        <f>VLOOKUP($C597,'Master File June-26'!$C$3:$L$670,7,0)</f>
        <v>5.5</v>
      </c>
      <c r="J597" s="5">
        <f>VLOOKUP($C597,'Master File June-26'!$C$3:$L$670,8,0)</f>
        <v>14</v>
      </c>
      <c r="K597" s="23">
        <f>VLOOKUP($C597,'Master File June-26'!$C$3:$L$670,9,0)</f>
        <v>2.75</v>
      </c>
      <c r="L597" s="58">
        <f>VLOOKUP($C597,'Master File June-26'!$C$3:$L$670,10,0)</f>
        <v>0</v>
      </c>
      <c r="M597" s="24">
        <f t="shared" si="36"/>
        <v>0</v>
      </c>
      <c r="N597" s="25" t="str">
        <f t="shared" si="37"/>
        <v>ORDER NOW</v>
      </c>
      <c r="O597" s="25" t="str">
        <f t="shared" si="38"/>
        <v>CRITICAL</v>
      </c>
      <c r="S597" s="79">
        <f t="shared" si="39"/>
        <v>0</v>
      </c>
    </row>
    <row r="598" spans="1:19" ht="18.75" x14ac:dyDescent="0.25">
      <c r="A598" s="19">
        <v>6</v>
      </c>
      <c r="B598" s="19"/>
      <c r="C598" s="19" t="s">
        <v>1428</v>
      </c>
      <c r="D598" s="20" t="s">
        <v>1429</v>
      </c>
      <c r="E598" s="31" t="s">
        <v>1258</v>
      </c>
      <c r="F598" s="5" t="s">
        <v>49</v>
      </c>
      <c r="G598" s="21">
        <f>1/3000</f>
        <v>3.3333333333333332E-4</v>
      </c>
      <c r="H598" s="22">
        <f>VLOOKUP($C598,'Master File June-26'!$C$3:$L$670,6,0)</f>
        <v>3</v>
      </c>
      <c r="I598" s="22">
        <f>VLOOKUP($C598,'Master File June-26'!$C$3:$L$670,7,0)</f>
        <v>9000</v>
      </c>
      <c r="J598" s="5">
        <f>VLOOKUP($C598,'Master File June-26'!$C$3:$L$670,8,0)</f>
        <v>60</v>
      </c>
      <c r="K598" s="23">
        <f>VLOOKUP($C598,'Master File June-26'!$C$3:$L$670,9,0)</f>
        <v>19285.714285714286</v>
      </c>
      <c r="L598" s="58">
        <f>VLOOKUP($C598,'Master File June-26'!$C$3:$L$670,10,0)</f>
        <v>0</v>
      </c>
      <c r="M598" s="24">
        <f t="shared" si="36"/>
        <v>0</v>
      </c>
      <c r="N598" s="25" t="str">
        <f t="shared" si="37"/>
        <v>ORDER NOW</v>
      </c>
      <c r="O598" s="25" t="str">
        <f t="shared" si="38"/>
        <v>CRITICAL</v>
      </c>
      <c r="R598" t="s">
        <v>30</v>
      </c>
      <c r="S598" s="79">
        <f t="shared" si="39"/>
        <v>0</v>
      </c>
    </row>
    <row r="599" spans="1:19" ht="18.75" x14ac:dyDescent="0.25">
      <c r="A599" s="19">
        <v>38</v>
      </c>
      <c r="B599" s="19" t="s">
        <v>18</v>
      </c>
      <c r="C599" s="19" t="s">
        <v>1430</v>
      </c>
      <c r="D599" s="28" t="s">
        <v>1431</v>
      </c>
      <c r="E599" s="27" t="s">
        <v>29</v>
      </c>
      <c r="F599" s="5" t="s">
        <v>22</v>
      </c>
      <c r="G599" s="21">
        <f>1/1200</f>
        <v>8.3333333333333339E-4</v>
      </c>
      <c r="H599" s="22">
        <f>VLOOKUP($C599,'Master File June-26'!$C$3:$L$670,6,0)</f>
        <v>50</v>
      </c>
      <c r="I599" s="22">
        <f>VLOOKUP($C599,'Master File June-26'!$C$3:$L$670,7,0)</f>
        <v>59999.999999999993</v>
      </c>
      <c r="J599" s="5">
        <f>VLOOKUP($C599,'Master File June-26'!$C$3:$L$670,8,0)</f>
        <v>60</v>
      </c>
      <c r="K599" s="23">
        <f>VLOOKUP($C599,'Master File June-26'!$C$3:$L$670,9,0)</f>
        <v>128571.42857142855</v>
      </c>
      <c r="L599" s="58">
        <f>VLOOKUP($C599,'Master File June-26'!$C$3:$L$670,10,0)</f>
        <v>0</v>
      </c>
      <c r="M599" s="24">
        <f t="shared" si="36"/>
        <v>0</v>
      </c>
      <c r="N599" s="25" t="str">
        <f t="shared" si="37"/>
        <v>ORDER NOW</v>
      </c>
      <c r="O599" s="25" t="str">
        <f t="shared" si="38"/>
        <v>CRITICAL</v>
      </c>
      <c r="R599" t="s">
        <v>30</v>
      </c>
      <c r="S599" s="79">
        <f t="shared" si="39"/>
        <v>0</v>
      </c>
    </row>
    <row r="600" spans="1:19" ht="18.75" x14ac:dyDescent="0.25">
      <c r="A600" s="41">
        <v>572</v>
      </c>
      <c r="B600" s="41" t="s">
        <v>38</v>
      </c>
      <c r="C600" s="41" t="s">
        <v>1432</v>
      </c>
      <c r="D600" s="55" t="s">
        <v>1433</v>
      </c>
      <c r="E600" s="34" t="s">
        <v>64</v>
      </c>
      <c r="F600" s="5" t="s">
        <v>49</v>
      </c>
      <c r="G600" s="21">
        <v>1</v>
      </c>
      <c r="H600" s="22">
        <f>VLOOKUP($C600,'Master File June-26'!$C$3:$L$670,6,0)</f>
        <v>5</v>
      </c>
      <c r="I600" s="22">
        <f>VLOOKUP($C600,'Master File June-26'!$C$3:$L$670,7,0)</f>
        <v>5</v>
      </c>
      <c r="J600" s="5">
        <f>VLOOKUP($C600,'Master File June-26'!$C$3:$L$670,8,0)</f>
        <v>14</v>
      </c>
      <c r="K600" s="23">
        <f>VLOOKUP($C600,'Master File June-26'!$C$3:$L$670,9,0)</f>
        <v>2.5</v>
      </c>
      <c r="L600" s="58">
        <f>VLOOKUP($C600,'Master File June-26'!$C$3:$L$670,10,0)</f>
        <v>0</v>
      </c>
      <c r="M600" s="24">
        <f t="shared" si="36"/>
        <v>0</v>
      </c>
      <c r="N600" s="25" t="str">
        <f t="shared" si="37"/>
        <v>ORDER NOW</v>
      </c>
      <c r="O600" s="25" t="str">
        <f t="shared" si="38"/>
        <v>CRITICAL</v>
      </c>
      <c r="S600" s="79">
        <f t="shared" si="39"/>
        <v>0</v>
      </c>
    </row>
    <row r="601" spans="1:19" ht="18.75" x14ac:dyDescent="0.25">
      <c r="A601" s="39">
        <v>313</v>
      </c>
      <c r="B601" s="39" t="s">
        <v>123</v>
      </c>
      <c r="C601" s="39" t="s">
        <v>1434</v>
      </c>
      <c r="D601" s="28" t="s">
        <v>1435</v>
      </c>
      <c r="E601" s="28" t="s">
        <v>78</v>
      </c>
      <c r="F601" s="5" t="s">
        <v>49</v>
      </c>
      <c r="G601" s="21">
        <v>1</v>
      </c>
      <c r="H601" s="22">
        <f>VLOOKUP($C601,'Master File June-26'!$C$3:$L$670,6,0)</f>
        <v>24</v>
      </c>
      <c r="I601" s="22">
        <f>VLOOKUP($C601,'Master File June-26'!$C$3:$L$670,7,0)</f>
        <v>24</v>
      </c>
      <c r="J601" s="5">
        <f>VLOOKUP($C601,'Master File June-26'!$C$3:$L$670,8,0)</f>
        <v>14</v>
      </c>
      <c r="K601" s="23">
        <f>VLOOKUP($C601,'Master File June-26'!$C$3:$L$670,9,0)</f>
        <v>12</v>
      </c>
      <c r="L601" s="58">
        <f>VLOOKUP($C601,'Master File June-26'!$C$3:$L$670,10,0)</f>
        <v>0</v>
      </c>
      <c r="M601" s="24">
        <f t="shared" si="36"/>
        <v>0</v>
      </c>
      <c r="N601" s="25" t="str">
        <f t="shared" si="37"/>
        <v>ORDER NOW</v>
      </c>
      <c r="O601" s="25" t="str">
        <f t="shared" si="38"/>
        <v>CRITICAL</v>
      </c>
      <c r="S601" s="79">
        <f t="shared" si="39"/>
        <v>0</v>
      </c>
    </row>
    <row r="602" spans="1:19" ht="18.75" x14ac:dyDescent="0.25">
      <c r="A602" s="41">
        <v>555</v>
      </c>
      <c r="B602" s="41" t="s">
        <v>38</v>
      </c>
      <c r="C602" s="41" t="s">
        <v>1436</v>
      </c>
      <c r="D602" s="40" t="s">
        <v>1437</v>
      </c>
      <c r="E602" s="34" t="s">
        <v>22</v>
      </c>
      <c r="F602" s="5" t="s">
        <v>22</v>
      </c>
      <c r="G602" s="21">
        <v>1</v>
      </c>
      <c r="H602" s="22">
        <f>VLOOKUP($C602,'Master File June-26'!$C$3:$L$670,6,0)</f>
        <v>1</v>
      </c>
      <c r="I602" s="22">
        <f>VLOOKUP($C602,'Master File June-26'!$C$3:$L$670,7,0)</f>
        <v>1</v>
      </c>
      <c r="J602" s="5">
        <f>VLOOKUP($C602,'Master File June-26'!$C$3:$L$670,8,0)</f>
        <v>14</v>
      </c>
      <c r="K602" s="23">
        <f>VLOOKUP($C602,'Master File June-26'!$C$3:$L$670,9,0)</f>
        <v>0.5</v>
      </c>
      <c r="L602" s="58">
        <f>VLOOKUP($C602,'Master File June-26'!$C$3:$L$670,10,0)</f>
        <v>0</v>
      </c>
      <c r="M602" s="24">
        <f t="shared" si="36"/>
        <v>0</v>
      </c>
      <c r="N602" s="25" t="str">
        <f t="shared" si="37"/>
        <v>ORDER NOW</v>
      </c>
      <c r="O602" s="25" t="str">
        <f t="shared" si="38"/>
        <v>CRITICAL</v>
      </c>
      <c r="S602" s="79">
        <f t="shared" si="39"/>
        <v>0</v>
      </c>
    </row>
    <row r="603" spans="1:19" ht="18.75" x14ac:dyDescent="0.25">
      <c r="A603" s="41">
        <v>360</v>
      </c>
      <c r="B603" s="41" t="s">
        <v>85</v>
      </c>
      <c r="C603" s="41" t="s">
        <v>1438</v>
      </c>
      <c r="D603" s="28" t="s">
        <v>1439</v>
      </c>
      <c r="E603" s="28" t="s">
        <v>101</v>
      </c>
      <c r="F603" s="5" t="s">
        <v>22</v>
      </c>
      <c r="G603" s="21">
        <v>0.16666666666666666</v>
      </c>
      <c r="H603" s="22">
        <f>VLOOKUP($C603,'Master File June-26'!$C$3:$L$670,6,0)</f>
        <v>21</v>
      </c>
      <c r="I603" s="22">
        <f>VLOOKUP($C603,'Master File June-26'!$C$3:$L$670,7,0)</f>
        <v>126</v>
      </c>
      <c r="J603" s="5">
        <f>VLOOKUP($C603,'Master File June-26'!$C$3:$L$670,8,0)</f>
        <v>14</v>
      </c>
      <c r="K603" s="23">
        <f>VLOOKUP($C603,'Master File June-26'!$C$3:$L$670,9,0)</f>
        <v>63</v>
      </c>
      <c r="L603" s="58">
        <f>VLOOKUP($C603,'Master File June-26'!$C$3:$L$670,10,0)</f>
        <v>25</v>
      </c>
      <c r="M603" s="24">
        <f t="shared" si="36"/>
        <v>5.9523809523809517</v>
      </c>
      <c r="N603" s="25" t="str">
        <f t="shared" si="37"/>
        <v>ORDER NOW</v>
      </c>
      <c r="O603" s="25" t="str">
        <f t="shared" si="38"/>
        <v>CRITICAL</v>
      </c>
      <c r="S603" s="79">
        <f t="shared" si="39"/>
        <v>0</v>
      </c>
    </row>
    <row r="604" spans="1:19" ht="18.75" x14ac:dyDescent="0.25">
      <c r="A604" s="41">
        <v>513</v>
      </c>
      <c r="B604" s="41" t="s">
        <v>85</v>
      </c>
      <c r="C604" s="41" t="s">
        <v>1440</v>
      </c>
      <c r="D604" s="28" t="s">
        <v>1441</v>
      </c>
      <c r="E604" s="27" t="s">
        <v>1442</v>
      </c>
      <c r="F604" s="48" t="s">
        <v>22</v>
      </c>
      <c r="G604" s="21">
        <v>0.11737089201877934</v>
      </c>
      <c r="H604" s="22">
        <f>VLOOKUP($C604,'Master File June-26'!$C$3:$L$670,6,0)</f>
        <v>15</v>
      </c>
      <c r="I604" s="22">
        <f>VLOOKUP($C604,'Master File June-26'!$C$3:$L$670,7,0)</f>
        <v>127.8</v>
      </c>
      <c r="J604" s="5">
        <f>VLOOKUP($C604,'Master File June-26'!$C$3:$L$670,8,0)</f>
        <v>14</v>
      </c>
      <c r="K604" s="23">
        <f>VLOOKUP($C604,'Master File June-26'!$C$3:$L$670,9,0)</f>
        <v>63.9</v>
      </c>
      <c r="L604" s="58">
        <f>VLOOKUP($C604,'Master File June-26'!$C$3:$L$670,10,0)</f>
        <v>153.36000000000001</v>
      </c>
      <c r="M604" s="24">
        <f t="shared" si="36"/>
        <v>36.000000000000007</v>
      </c>
      <c r="N604" s="25" t="str">
        <f t="shared" si="37"/>
        <v>IN STOCK</v>
      </c>
      <c r="O604" s="25" t="str">
        <f t="shared" si="38"/>
        <v>FOLLOW UP DELIVERY</v>
      </c>
      <c r="S604" s="79">
        <f t="shared" si="39"/>
        <v>1</v>
      </c>
    </row>
    <row r="605" spans="1:19" ht="18.75" x14ac:dyDescent="0.25">
      <c r="A605" s="41">
        <v>411</v>
      </c>
      <c r="B605" s="41" t="s">
        <v>38</v>
      </c>
      <c r="C605" s="41" t="s">
        <v>1443</v>
      </c>
      <c r="D605" s="28" t="s">
        <v>1444</v>
      </c>
      <c r="E605" s="28" t="s">
        <v>1445</v>
      </c>
      <c r="F605" s="5" t="s">
        <v>49</v>
      </c>
      <c r="G605" s="21">
        <v>0.37037037037037035</v>
      </c>
      <c r="H605" s="22">
        <f>VLOOKUP($C605,'Master File June-26'!$C$3:$L$670,6,0)</f>
        <v>11</v>
      </c>
      <c r="I605" s="22">
        <f>VLOOKUP($C605,'Master File June-26'!$C$3:$L$670,7,0)</f>
        <v>29.700000000000003</v>
      </c>
      <c r="J605" s="5">
        <f>VLOOKUP($C605,'Master File June-26'!$C$3:$L$670,8,0)</f>
        <v>14</v>
      </c>
      <c r="K605" s="23">
        <f>VLOOKUP($C605,'Master File June-26'!$C$3:$L$670,9,0)</f>
        <v>14.850000000000001</v>
      </c>
      <c r="L605" s="58">
        <f>VLOOKUP($C605,'Master File June-26'!$C$3:$L$670,10,0)</f>
        <v>0</v>
      </c>
      <c r="M605" s="24">
        <f t="shared" si="36"/>
        <v>0</v>
      </c>
      <c r="N605" s="25" t="str">
        <f t="shared" si="37"/>
        <v>ORDER NOW</v>
      </c>
      <c r="O605" s="25" t="str">
        <f t="shared" si="38"/>
        <v>CRITICAL</v>
      </c>
      <c r="S605" s="79">
        <f t="shared" si="39"/>
        <v>0</v>
      </c>
    </row>
    <row r="606" spans="1:19" ht="18.75" x14ac:dyDescent="0.25">
      <c r="A606" s="19">
        <v>74</v>
      </c>
      <c r="B606" s="19" t="s">
        <v>18</v>
      </c>
      <c r="C606" s="19" t="s">
        <v>1446</v>
      </c>
      <c r="D606" s="33" t="s">
        <v>1447</v>
      </c>
      <c r="E606" s="33" t="s">
        <v>78</v>
      </c>
      <c r="F606" s="5" t="s">
        <v>49</v>
      </c>
      <c r="G606" s="21">
        <v>1</v>
      </c>
      <c r="H606" s="22">
        <f>VLOOKUP($C606,'Master File June-26'!$C$3:$L$670,6,0)</f>
        <v>50</v>
      </c>
      <c r="I606" s="22">
        <f>VLOOKUP($C606,'Master File June-26'!$C$3:$L$670,7,0)</f>
        <v>1500</v>
      </c>
      <c r="J606" s="5">
        <f>VLOOKUP($C606,'Master File June-26'!$C$3:$L$670,8,0)</f>
        <v>60</v>
      </c>
      <c r="K606" s="23">
        <f>VLOOKUP($C606,'Master File June-26'!$C$3:$L$670,9,0)</f>
        <v>3214.2857142857142</v>
      </c>
      <c r="L606" s="58">
        <f>VLOOKUP($C606,'Master File June-26'!$C$3:$L$670,10,0)</f>
        <v>0</v>
      </c>
      <c r="M606" s="24">
        <f t="shared" si="36"/>
        <v>0</v>
      </c>
      <c r="N606" s="25" t="str">
        <f t="shared" si="37"/>
        <v>ORDER NOW</v>
      </c>
      <c r="O606" s="25" t="str">
        <f t="shared" si="38"/>
        <v>CRITICAL</v>
      </c>
      <c r="R606" t="s">
        <v>30</v>
      </c>
      <c r="S606" s="79">
        <f t="shared" si="39"/>
        <v>0</v>
      </c>
    </row>
    <row r="607" spans="1:19" ht="18.75" x14ac:dyDescent="0.25">
      <c r="A607" s="19">
        <v>31</v>
      </c>
      <c r="B607" s="19" t="s">
        <v>18</v>
      </c>
      <c r="C607" s="19" t="s">
        <v>1448</v>
      </c>
      <c r="D607" s="28" t="s">
        <v>1449</v>
      </c>
      <c r="E607" s="28" t="s">
        <v>186</v>
      </c>
      <c r="F607" s="5" t="s">
        <v>22</v>
      </c>
      <c r="G607" s="21">
        <v>2E-3</v>
      </c>
      <c r="H607" s="22">
        <f>VLOOKUP($C607,'Master File June-26'!$C$3:$L$670,6,0)</f>
        <v>715</v>
      </c>
      <c r="I607" s="22">
        <f>VLOOKUP($C607,'Master File June-26'!$C$3:$L$670,7,0)</f>
        <v>357500</v>
      </c>
      <c r="J607" s="5">
        <f>VLOOKUP($C607,'Master File June-26'!$C$3:$L$670,8,0)</f>
        <v>60</v>
      </c>
      <c r="K607" s="23">
        <f>VLOOKUP($C607,'Master File June-26'!$C$3:$L$670,9,0)</f>
        <v>766071.42857142852</v>
      </c>
      <c r="L607" s="58">
        <f>VLOOKUP($C607,'Master File June-26'!$C$3:$L$670,10,0)</f>
        <v>79500</v>
      </c>
      <c r="M607" s="24">
        <f t="shared" si="36"/>
        <v>6.6713286713286717</v>
      </c>
      <c r="N607" s="25" t="str">
        <f t="shared" si="37"/>
        <v>ORDER NOW</v>
      </c>
      <c r="O607" s="25" t="str">
        <f t="shared" si="38"/>
        <v>CRITICAL</v>
      </c>
      <c r="R607" t="s">
        <v>30</v>
      </c>
      <c r="S607" s="79">
        <f t="shared" si="39"/>
        <v>0</v>
      </c>
    </row>
    <row r="608" spans="1:19" ht="18.75" x14ac:dyDescent="0.25">
      <c r="A608" s="19">
        <v>16</v>
      </c>
      <c r="B608" s="19" t="s">
        <v>18</v>
      </c>
      <c r="C608" s="19" t="s">
        <v>1450</v>
      </c>
      <c r="D608" s="30" t="s">
        <v>1451</v>
      </c>
      <c r="E608" s="30" t="s">
        <v>1452</v>
      </c>
      <c r="F608" s="5" t="s">
        <v>22</v>
      </c>
      <c r="G608" s="21">
        <v>5.0000000000000001E-3</v>
      </c>
      <c r="H608" s="22">
        <f>VLOOKUP($C608,'Master File June-26'!$C$3:$L$670,6,0)</f>
        <v>170.5</v>
      </c>
      <c r="I608" s="22">
        <f>VLOOKUP($C608,'Master File June-26'!$C$3:$L$670,7,0)</f>
        <v>34100</v>
      </c>
      <c r="J608" s="5">
        <f>VLOOKUP($C608,'Master File June-26'!$C$3:$L$670,8,0)</f>
        <v>14</v>
      </c>
      <c r="K608" s="23">
        <f>VLOOKUP($C608,'Master File June-26'!$C$3:$L$670,9,0)</f>
        <v>17050</v>
      </c>
      <c r="L608" s="58">
        <f>VLOOKUP($C608,'Master File June-26'!$C$3:$L$670,10,0)</f>
        <v>0</v>
      </c>
      <c r="M608" s="24">
        <f t="shared" si="36"/>
        <v>0</v>
      </c>
      <c r="N608" s="25" t="str">
        <f t="shared" si="37"/>
        <v>ORDER NOW</v>
      </c>
      <c r="O608" s="25" t="str">
        <f t="shared" si="38"/>
        <v>CRITICAL</v>
      </c>
      <c r="R608" t="s">
        <v>30</v>
      </c>
      <c r="S608" s="79">
        <f t="shared" si="39"/>
        <v>0</v>
      </c>
    </row>
    <row r="609" spans="1:19" ht="18.75" x14ac:dyDescent="0.25">
      <c r="A609" s="41">
        <v>377</v>
      </c>
      <c r="B609" s="41" t="s">
        <v>85</v>
      </c>
      <c r="C609" s="41" t="s">
        <v>1453</v>
      </c>
      <c r="D609" s="28" t="s">
        <v>1454</v>
      </c>
      <c r="E609" s="28" t="s">
        <v>101</v>
      </c>
      <c r="F609" s="5" t="s">
        <v>22</v>
      </c>
      <c r="G609" s="21">
        <v>0.16666666666666666</v>
      </c>
      <c r="H609" s="22">
        <f>VLOOKUP($C609,'Master File June-26'!$C$3:$L$670,6,0)</f>
        <v>30.5</v>
      </c>
      <c r="I609" s="22">
        <f>VLOOKUP($C609,'Master File June-26'!$C$3:$L$670,7,0)</f>
        <v>183</v>
      </c>
      <c r="J609" s="5">
        <f>VLOOKUP($C609,'Master File June-26'!$C$3:$L$670,8,0)</f>
        <v>14</v>
      </c>
      <c r="K609" s="23">
        <f>VLOOKUP($C609,'Master File June-26'!$C$3:$L$670,9,0)</f>
        <v>91.5</v>
      </c>
      <c r="L609" s="58">
        <f>VLOOKUP($C609,'Master File June-26'!$C$3:$L$670,10,0)</f>
        <v>198</v>
      </c>
      <c r="M609" s="24">
        <f t="shared" si="36"/>
        <v>32.459016393442624</v>
      </c>
      <c r="N609" s="25" t="str">
        <f t="shared" si="37"/>
        <v>IN STOCK</v>
      </c>
      <c r="O609" s="25" t="str">
        <f t="shared" si="38"/>
        <v>FOLLOW UP DELIVERY</v>
      </c>
      <c r="S609" s="79">
        <f t="shared" si="39"/>
        <v>1</v>
      </c>
    </row>
    <row r="610" spans="1:19" ht="18.75" x14ac:dyDescent="0.25">
      <c r="A610" s="19">
        <v>40</v>
      </c>
      <c r="B610" s="19" t="s">
        <v>18</v>
      </c>
      <c r="C610" s="19" t="s">
        <v>1455</v>
      </c>
      <c r="D610" s="28" t="s">
        <v>1456</v>
      </c>
      <c r="E610" s="28" t="s">
        <v>1457</v>
      </c>
      <c r="F610" s="5" t="s">
        <v>22</v>
      </c>
      <c r="G610" s="21">
        <f>1/100</f>
        <v>0.01</v>
      </c>
      <c r="H610" s="22">
        <f>VLOOKUP($C610,'Master File June-26'!$C$3:$L$670,6,0)</f>
        <v>5.5</v>
      </c>
      <c r="I610" s="22">
        <f>VLOOKUP($C610,'Master File June-26'!$C$3:$L$670,7,0)</f>
        <v>550</v>
      </c>
      <c r="J610" s="5">
        <f>VLOOKUP($C610,'Master File June-26'!$C$3:$L$670,8,0)</f>
        <v>14</v>
      </c>
      <c r="K610" s="23">
        <f>VLOOKUP($C610,'Master File June-26'!$C$3:$L$670,9,0)</f>
        <v>275</v>
      </c>
      <c r="L610" s="58">
        <f>VLOOKUP($C610,'Master File June-26'!$C$3:$L$670,10,0)</f>
        <v>0</v>
      </c>
      <c r="M610" s="24">
        <f t="shared" si="36"/>
        <v>0</v>
      </c>
      <c r="N610" s="25" t="str">
        <f t="shared" si="37"/>
        <v>ORDER NOW</v>
      </c>
      <c r="O610" s="25" t="str">
        <f t="shared" si="38"/>
        <v>CRITICAL</v>
      </c>
      <c r="R610" t="s">
        <v>30</v>
      </c>
      <c r="S610" s="79">
        <f t="shared" si="39"/>
        <v>0</v>
      </c>
    </row>
    <row r="611" spans="1:19" ht="18.75" x14ac:dyDescent="0.25">
      <c r="A611" s="19">
        <v>73</v>
      </c>
      <c r="B611" s="19" t="s">
        <v>18</v>
      </c>
      <c r="C611" s="19" t="s">
        <v>1458</v>
      </c>
      <c r="D611" s="33" t="s">
        <v>1459</v>
      </c>
      <c r="E611" s="33" t="s">
        <v>78</v>
      </c>
      <c r="F611" s="5" t="s">
        <v>49</v>
      </c>
      <c r="G611" s="21">
        <v>1</v>
      </c>
      <c r="H611" s="22">
        <f>VLOOKUP($C611,'Master File June-26'!$C$3:$L$670,6,0)</f>
        <v>50</v>
      </c>
      <c r="I611" s="22">
        <f>VLOOKUP($C611,'Master File June-26'!$C$3:$L$670,7,0)</f>
        <v>1500</v>
      </c>
      <c r="J611" s="5">
        <f>VLOOKUP($C611,'Master File June-26'!$C$3:$L$670,8,0)</f>
        <v>60</v>
      </c>
      <c r="K611" s="23">
        <f>VLOOKUP($C611,'Master File June-26'!$C$3:$L$670,9,0)</f>
        <v>3214.2857142857142</v>
      </c>
      <c r="L611" s="58">
        <f>VLOOKUP($C611,'Master File June-26'!$C$3:$L$670,10,0)</f>
        <v>0</v>
      </c>
      <c r="M611" s="24">
        <f t="shared" si="36"/>
        <v>0</v>
      </c>
      <c r="N611" s="25" t="str">
        <f t="shared" si="37"/>
        <v>ORDER NOW</v>
      </c>
      <c r="O611" s="25" t="str">
        <f t="shared" si="38"/>
        <v>CRITICAL</v>
      </c>
      <c r="R611" t="s">
        <v>30</v>
      </c>
      <c r="S611" s="79">
        <f t="shared" si="39"/>
        <v>0</v>
      </c>
    </row>
    <row r="612" spans="1:19" ht="18.75" x14ac:dyDescent="0.25">
      <c r="A612" s="41">
        <v>524</v>
      </c>
      <c r="B612" s="41" t="s">
        <v>38</v>
      </c>
      <c r="C612" s="41" t="s">
        <v>1460</v>
      </c>
      <c r="D612" s="28" t="s">
        <v>1461</v>
      </c>
      <c r="E612" s="28" t="s">
        <v>1462</v>
      </c>
      <c r="F612" s="5" t="s">
        <v>22</v>
      </c>
      <c r="G612" s="21">
        <f>1/3.4</f>
        <v>0.29411764705882354</v>
      </c>
      <c r="H612" s="22">
        <f>VLOOKUP($C612,'Master File June-26'!$C$3:$L$670,6,0)</f>
        <v>5</v>
      </c>
      <c r="I612" s="22">
        <f>VLOOKUP($C612,'Master File June-26'!$C$3:$L$670,7,0)</f>
        <v>17</v>
      </c>
      <c r="J612" s="5">
        <f>VLOOKUP($C612,'Master File June-26'!$C$3:$L$670,8,0)</f>
        <v>14</v>
      </c>
      <c r="K612" s="23">
        <f>VLOOKUP($C612,'Master File June-26'!$C$3:$L$670,9,0)</f>
        <v>8.5</v>
      </c>
      <c r="L612" s="58">
        <f>VLOOKUP($C612,'Master File June-26'!$C$3:$L$670,10,0)</f>
        <v>8.7119999999999997</v>
      </c>
      <c r="M612" s="24">
        <f t="shared" si="36"/>
        <v>15.374117647058824</v>
      </c>
      <c r="N612" s="25" t="str">
        <f t="shared" si="37"/>
        <v>IN STOCK</v>
      </c>
      <c r="O612" s="25" t="str">
        <f t="shared" si="38"/>
        <v>FOLLOW UP DELIVERY</v>
      </c>
      <c r="S612" s="79">
        <f t="shared" si="39"/>
        <v>1</v>
      </c>
    </row>
    <row r="613" spans="1:19" ht="18.75" x14ac:dyDescent="0.25">
      <c r="A613" s="41">
        <v>397</v>
      </c>
      <c r="B613" s="41" t="s">
        <v>85</v>
      </c>
      <c r="C613" s="41" t="s">
        <v>1463</v>
      </c>
      <c r="D613" s="34" t="s">
        <v>1464</v>
      </c>
      <c r="E613" s="34" t="s">
        <v>1465</v>
      </c>
      <c r="F613" s="5" t="s">
        <v>49</v>
      </c>
      <c r="G613" s="21">
        <v>0.26455026455026459</v>
      </c>
      <c r="H613" s="22">
        <f>VLOOKUP($C613,'Master File June-26'!$C$3:$L$670,6,0)</f>
        <v>1</v>
      </c>
      <c r="I613" s="22">
        <f>VLOOKUP($C613,'Master File June-26'!$C$3:$L$670,7,0)</f>
        <v>3.7799999999999994</v>
      </c>
      <c r="J613" s="5">
        <f>VLOOKUP($C613,'Master File June-26'!$C$3:$L$670,8,0)</f>
        <v>14</v>
      </c>
      <c r="K613" s="23">
        <f>VLOOKUP($C613,'Master File June-26'!$C$3:$L$670,9,0)</f>
        <v>1.8899999999999997</v>
      </c>
      <c r="L613" s="58">
        <f>VLOOKUP($C613,'Master File June-26'!$C$3:$L$670,10,0)</f>
        <v>19</v>
      </c>
      <c r="M613" s="24">
        <f t="shared" si="36"/>
        <v>150.79365079365081</v>
      </c>
      <c r="N613" s="25" t="str">
        <f t="shared" si="37"/>
        <v>IN STOCK</v>
      </c>
      <c r="O613" s="25" t="str">
        <f t="shared" si="38"/>
        <v>FOLLOW UP DELIVERY</v>
      </c>
      <c r="S613" s="79">
        <f t="shared" si="39"/>
        <v>1</v>
      </c>
    </row>
    <row r="614" spans="1:19" ht="18.75" x14ac:dyDescent="0.25">
      <c r="A614" s="41">
        <v>338</v>
      </c>
      <c r="B614" s="41" t="s">
        <v>38</v>
      </c>
      <c r="C614" s="41" t="s">
        <v>1466</v>
      </c>
      <c r="D614" s="34" t="s">
        <v>1467</v>
      </c>
      <c r="E614" s="34" t="s">
        <v>1468</v>
      </c>
      <c r="F614" s="5" t="s">
        <v>22</v>
      </c>
      <c r="G614" s="21">
        <v>1E-3</v>
      </c>
      <c r="H614" s="22">
        <f>VLOOKUP($C614,'Master File June-26'!$C$3:$L$670,6,0)</f>
        <v>25</v>
      </c>
      <c r="I614" s="22">
        <f>VLOOKUP($C614,'Master File June-26'!$C$3:$L$670,7,0)</f>
        <v>25000</v>
      </c>
      <c r="J614" s="5">
        <f>VLOOKUP($C614,'Master File June-26'!$C$3:$L$670,8,0)</f>
        <v>14</v>
      </c>
      <c r="K614" s="23">
        <f>VLOOKUP($C614,'Master File June-26'!$C$3:$L$670,9,0)</f>
        <v>12500</v>
      </c>
      <c r="L614" s="58">
        <f>VLOOKUP($C614,'Master File June-26'!$C$3:$L$670,10,0)</f>
        <v>17000</v>
      </c>
      <c r="M614" s="24">
        <f t="shared" si="36"/>
        <v>20.400000000000002</v>
      </c>
      <c r="N614" s="25" t="str">
        <f t="shared" si="37"/>
        <v>IN STOCK</v>
      </c>
      <c r="O614" s="25" t="str">
        <f t="shared" si="38"/>
        <v>FOLLOW UP DELIVERY</v>
      </c>
      <c r="S614" s="79">
        <f t="shared" si="39"/>
        <v>1</v>
      </c>
    </row>
    <row r="615" spans="1:19" ht="18.75" x14ac:dyDescent="0.25">
      <c r="A615" s="19">
        <v>56</v>
      </c>
      <c r="B615" s="19" t="s">
        <v>18</v>
      </c>
      <c r="C615" s="19" t="s">
        <v>1469</v>
      </c>
      <c r="D615" s="116" t="s">
        <v>1470</v>
      </c>
      <c r="E615" s="33" t="s">
        <v>78</v>
      </c>
      <c r="F615" s="5" t="s">
        <v>49</v>
      </c>
      <c r="G615" s="21">
        <v>1</v>
      </c>
      <c r="H615" s="22">
        <f>VLOOKUP($C615,'Master File June-26'!$C$3:$L$670,6,0)</f>
        <v>20</v>
      </c>
      <c r="I615" s="22">
        <f>VLOOKUP($C615,'Master File June-26'!$C$3:$L$670,7,0)</f>
        <v>20</v>
      </c>
      <c r="J615" s="5">
        <f>VLOOKUP($C615,'Master File June-26'!$C$3:$L$670,8,0)</f>
        <v>30</v>
      </c>
      <c r="K615" s="23">
        <f>VLOOKUP($C615,'Master File June-26'!$C$3:$L$670,9,0)</f>
        <v>21.428571428571427</v>
      </c>
      <c r="L615" s="58">
        <f>VLOOKUP($C615,'Master File June-26'!$C$3:$L$670,10,0)</f>
        <v>0</v>
      </c>
      <c r="M615" s="24">
        <f t="shared" si="36"/>
        <v>0</v>
      </c>
      <c r="N615" s="25" t="str">
        <f t="shared" si="37"/>
        <v>ORDER NOW</v>
      </c>
      <c r="O615" s="25" t="str">
        <f t="shared" si="38"/>
        <v>CRITICAL</v>
      </c>
      <c r="R615" t="s">
        <v>30</v>
      </c>
      <c r="S615" s="79">
        <f t="shared" si="39"/>
        <v>0</v>
      </c>
    </row>
    <row r="616" spans="1:19" ht="18.75" x14ac:dyDescent="0.25">
      <c r="A616" s="41">
        <v>394</v>
      </c>
      <c r="B616" s="41" t="s">
        <v>85</v>
      </c>
      <c r="C616" s="41" t="s">
        <v>1471</v>
      </c>
      <c r="D616" s="30" t="s">
        <v>1472</v>
      </c>
      <c r="E616" s="30" t="s">
        <v>1473</v>
      </c>
      <c r="F616" s="5" t="s">
        <v>22</v>
      </c>
      <c r="G616" s="21">
        <f>1/6480</f>
        <v>1.5432098765432098E-4</v>
      </c>
      <c r="H616" s="22">
        <f>VLOOKUP($C616,'Master File June-26'!$C$3:$L$670,6,0)</f>
        <v>55</v>
      </c>
      <c r="I616" s="22">
        <f>VLOOKUP($C616,'Master File June-26'!$C$3:$L$670,7,0)</f>
        <v>356400</v>
      </c>
      <c r="J616" s="5">
        <f>VLOOKUP($C616,'Master File June-26'!$C$3:$L$670,8,0)</f>
        <v>14</v>
      </c>
      <c r="K616" s="23">
        <f>VLOOKUP($C616,'Master File June-26'!$C$3:$L$670,9,0)</f>
        <v>178200</v>
      </c>
      <c r="L616" s="58">
        <f>VLOOKUP($C616,'Master File June-26'!$C$3:$L$670,10,0)</f>
        <v>0</v>
      </c>
      <c r="M616" s="24">
        <f t="shared" si="36"/>
        <v>0</v>
      </c>
      <c r="N616" s="25" t="str">
        <f t="shared" si="37"/>
        <v>ORDER NOW</v>
      </c>
      <c r="O616" s="25" t="str">
        <f t="shared" si="38"/>
        <v>CRITICAL</v>
      </c>
      <c r="S616" s="79">
        <f t="shared" si="39"/>
        <v>0</v>
      </c>
    </row>
    <row r="617" spans="1:19" ht="18.75" x14ac:dyDescent="0.25">
      <c r="A617" s="19">
        <v>153</v>
      </c>
      <c r="B617" s="19" t="s">
        <v>18</v>
      </c>
      <c r="C617" s="19" t="s">
        <v>1474</v>
      </c>
      <c r="D617" s="27" t="s">
        <v>1475</v>
      </c>
      <c r="E617" s="28" t="s">
        <v>180</v>
      </c>
      <c r="F617" s="5" t="s">
        <v>49</v>
      </c>
      <c r="G617" s="21">
        <f>1/1000</f>
        <v>1E-3</v>
      </c>
      <c r="H617" s="22">
        <f>VLOOKUP($C617,'Master File June-26'!$C$3:$L$670,6,0)</f>
        <v>5</v>
      </c>
      <c r="I617" s="22">
        <f>VLOOKUP($C617,'Master File June-26'!$C$3:$L$670,7,0)</f>
        <v>5000</v>
      </c>
      <c r="J617" s="5">
        <f>VLOOKUP($C617,'Master File June-26'!$C$3:$L$670,8,0)</f>
        <v>14</v>
      </c>
      <c r="K617" s="23">
        <f>VLOOKUP($C617,'Master File June-26'!$C$3:$L$670,9,0)</f>
        <v>2500</v>
      </c>
      <c r="L617" s="58">
        <f>VLOOKUP($C617,'Master File June-26'!$C$3:$L$670,10,0)</f>
        <v>5000</v>
      </c>
      <c r="M617" s="24">
        <f t="shared" si="36"/>
        <v>30</v>
      </c>
      <c r="N617" s="25" t="str">
        <f t="shared" si="37"/>
        <v>IN STOCK</v>
      </c>
      <c r="O617" s="25" t="str">
        <f t="shared" si="38"/>
        <v>FOLLOW UP DELIVERY</v>
      </c>
      <c r="R617" t="s">
        <v>30</v>
      </c>
      <c r="S617" s="79">
        <f t="shared" si="39"/>
        <v>1</v>
      </c>
    </row>
    <row r="618" spans="1:19" ht="18.75" x14ac:dyDescent="0.25">
      <c r="A618" s="39">
        <v>233</v>
      </c>
      <c r="B618" s="39" t="s">
        <v>123</v>
      </c>
      <c r="C618" s="39" t="s">
        <v>1476</v>
      </c>
      <c r="D618" s="27" t="s">
        <v>1477</v>
      </c>
      <c r="E618" s="28" t="s">
        <v>160</v>
      </c>
      <c r="F618" s="5" t="s">
        <v>49</v>
      </c>
      <c r="G618" s="21">
        <v>1</v>
      </c>
      <c r="H618" s="22">
        <f>VLOOKUP($C618,'Master File June-26'!$C$3:$L$670,6,0)</f>
        <v>5.5</v>
      </c>
      <c r="I618" s="22">
        <f>VLOOKUP($C618,'Master File June-26'!$C$3:$L$670,7,0)</f>
        <v>5.5</v>
      </c>
      <c r="J618" s="5">
        <f>VLOOKUP($C618,'Master File June-26'!$C$3:$L$670,8,0)</f>
        <v>14</v>
      </c>
      <c r="K618" s="23">
        <f>VLOOKUP($C618,'Master File June-26'!$C$3:$L$670,9,0)</f>
        <v>2.75</v>
      </c>
      <c r="L618" s="58">
        <f>VLOOKUP($C618,'Master File June-26'!$C$3:$L$670,10,0)</f>
        <v>6</v>
      </c>
      <c r="M618" s="24">
        <f t="shared" si="36"/>
        <v>32.727272727272727</v>
      </c>
      <c r="N618" s="25" t="str">
        <f t="shared" si="37"/>
        <v>IN STOCK</v>
      </c>
      <c r="O618" s="25" t="str">
        <f t="shared" si="38"/>
        <v>FOLLOW UP DELIVERY</v>
      </c>
      <c r="S618" s="79">
        <f t="shared" si="39"/>
        <v>1</v>
      </c>
    </row>
    <row r="619" spans="1:19" ht="18.75" x14ac:dyDescent="0.25">
      <c r="A619" s="41">
        <v>538</v>
      </c>
      <c r="B619" s="41" t="s">
        <v>38</v>
      </c>
      <c r="C619" s="41" t="s">
        <v>1478</v>
      </c>
      <c r="D619" s="77" t="s">
        <v>1479</v>
      </c>
      <c r="E619" s="34" t="s">
        <v>22</v>
      </c>
      <c r="F619" s="5" t="s">
        <v>22</v>
      </c>
      <c r="G619" s="21">
        <v>1</v>
      </c>
      <c r="H619" s="22">
        <f>VLOOKUP($C619,'Master File June-26'!$C$3:$L$670,6,0)</f>
        <v>2</v>
      </c>
      <c r="I619" s="22">
        <f>VLOOKUP($C619,'Master File June-26'!$C$3:$L$670,7,0)</f>
        <v>2</v>
      </c>
      <c r="J619" s="5">
        <f>VLOOKUP($C619,'Master File June-26'!$C$3:$L$670,8,0)</f>
        <v>14</v>
      </c>
      <c r="K619" s="23">
        <f>VLOOKUP($C619,'Master File June-26'!$C$3:$L$670,9,0)</f>
        <v>1</v>
      </c>
      <c r="L619" s="58">
        <f>VLOOKUP($C619,'Master File June-26'!$C$3:$L$670,10,0)</f>
        <v>0</v>
      </c>
      <c r="M619" s="24">
        <f t="shared" si="36"/>
        <v>0</v>
      </c>
      <c r="N619" s="25" t="str">
        <f t="shared" si="37"/>
        <v>ORDER NOW</v>
      </c>
      <c r="O619" s="25" t="str">
        <f t="shared" si="38"/>
        <v>CRITICAL</v>
      </c>
      <c r="S619" s="79">
        <f t="shared" si="39"/>
        <v>0</v>
      </c>
    </row>
    <row r="620" spans="1:19" ht="18.75" x14ac:dyDescent="0.25">
      <c r="A620" s="41">
        <v>560</v>
      </c>
      <c r="B620" s="41" t="s">
        <v>38</v>
      </c>
      <c r="C620" s="41" t="s">
        <v>1480</v>
      </c>
      <c r="D620" s="37" t="s">
        <v>1481</v>
      </c>
      <c r="E620" s="34" t="s">
        <v>22</v>
      </c>
      <c r="F620" s="5" t="s">
        <v>22</v>
      </c>
      <c r="G620" s="21">
        <v>1</v>
      </c>
      <c r="H620" s="22">
        <f>VLOOKUP($C620,'Master File June-26'!$C$3:$L$670,6,0)</f>
        <v>2</v>
      </c>
      <c r="I620" s="22">
        <f>VLOOKUP($C620,'Master File June-26'!$C$3:$L$670,7,0)</f>
        <v>80</v>
      </c>
      <c r="J620" s="5">
        <f>VLOOKUP($C620,'Master File June-26'!$C$3:$L$670,8,0)</f>
        <v>14</v>
      </c>
      <c r="K620" s="23">
        <f>VLOOKUP($C620,'Master File June-26'!$C$3:$L$670,9,0)</f>
        <v>40</v>
      </c>
      <c r="L620" s="58">
        <f>VLOOKUP($C620,'Master File June-26'!$C$3:$L$670,10,0)</f>
        <v>0</v>
      </c>
      <c r="M620" s="24">
        <f t="shared" si="36"/>
        <v>0</v>
      </c>
      <c r="N620" s="25" t="str">
        <f t="shared" si="37"/>
        <v>ORDER NOW</v>
      </c>
      <c r="O620" s="25" t="str">
        <f t="shared" si="38"/>
        <v>CRITICAL</v>
      </c>
      <c r="S620" s="79">
        <f t="shared" si="39"/>
        <v>0</v>
      </c>
    </row>
    <row r="621" spans="1:19" ht="18.75" x14ac:dyDescent="0.25">
      <c r="A621" s="19">
        <v>43</v>
      </c>
      <c r="B621" s="19" t="s">
        <v>18</v>
      </c>
      <c r="C621" s="19" t="s">
        <v>1482</v>
      </c>
      <c r="D621" s="27" t="s">
        <v>1483</v>
      </c>
      <c r="E621" s="28" t="s">
        <v>1484</v>
      </c>
      <c r="F621" s="5" t="s">
        <v>22</v>
      </c>
      <c r="G621" s="21">
        <v>1.6666666666666666E-2</v>
      </c>
      <c r="H621" s="22">
        <f>VLOOKUP($C621,'Master File June-26'!$C$3:$L$670,6,0)</f>
        <v>346.5</v>
      </c>
      <c r="I621" s="22">
        <f>VLOOKUP($C621,'Master File June-26'!$C$3:$L$670,7,0)</f>
        <v>20790</v>
      </c>
      <c r="J621" s="5">
        <f>VLOOKUP($C621,'Master File June-26'!$C$3:$L$670,8,0)</f>
        <v>14</v>
      </c>
      <c r="K621" s="23">
        <f>VLOOKUP($C621,'Master File June-26'!$C$3:$L$670,9,0)</f>
        <v>10395</v>
      </c>
      <c r="L621" s="58">
        <f>VLOOKUP($C621,'Master File June-26'!$C$3:$L$670,10,0)</f>
        <v>19360</v>
      </c>
      <c r="M621" s="24">
        <f t="shared" si="36"/>
        <v>27.936507936507937</v>
      </c>
      <c r="N621" s="25" t="str">
        <f t="shared" si="37"/>
        <v>IN STOCK</v>
      </c>
      <c r="O621" s="25" t="str">
        <f t="shared" si="38"/>
        <v>FOLLOW UP DELIVERY</v>
      </c>
      <c r="R621" t="s">
        <v>30</v>
      </c>
      <c r="S621" s="79">
        <f t="shared" si="39"/>
        <v>1</v>
      </c>
    </row>
    <row r="622" spans="1:19" ht="18.75" x14ac:dyDescent="0.25">
      <c r="A622" s="19">
        <v>24</v>
      </c>
      <c r="B622" s="19" t="s">
        <v>18</v>
      </c>
      <c r="C622" s="19" t="s">
        <v>1485</v>
      </c>
      <c r="D622" s="27" t="s">
        <v>1486</v>
      </c>
      <c r="E622" s="28" t="s">
        <v>119</v>
      </c>
      <c r="F622" s="5" t="s">
        <v>22</v>
      </c>
      <c r="G622" s="21">
        <f>1/1000</f>
        <v>1E-3</v>
      </c>
      <c r="H622" s="22">
        <f>VLOOKUP($C622,'Master File June-26'!$C$3:$L$670,6,0)</f>
        <v>22</v>
      </c>
      <c r="I622" s="22">
        <f>VLOOKUP($C622,'Master File June-26'!$C$3:$L$670,7,0)</f>
        <v>22000</v>
      </c>
      <c r="J622" s="5">
        <f>VLOOKUP($C622,'Master File June-26'!$C$3:$L$670,8,0)</f>
        <v>14</v>
      </c>
      <c r="K622" s="23">
        <f>VLOOKUP($C622,'Master File June-26'!$C$3:$L$670,9,0)</f>
        <v>11000</v>
      </c>
      <c r="L622" s="58">
        <f>VLOOKUP($C622,'Master File June-26'!$C$3:$L$670,10,0)</f>
        <v>0</v>
      </c>
      <c r="M622" s="24">
        <f t="shared" si="36"/>
        <v>0</v>
      </c>
      <c r="N622" s="25" t="str">
        <f t="shared" si="37"/>
        <v>ORDER NOW</v>
      </c>
      <c r="O622" s="25" t="str">
        <f t="shared" si="38"/>
        <v>CRITICAL</v>
      </c>
      <c r="R622" t="s">
        <v>30</v>
      </c>
      <c r="S622" s="79">
        <f t="shared" si="39"/>
        <v>0</v>
      </c>
    </row>
    <row r="623" spans="1:19" ht="18.75" x14ac:dyDescent="0.25">
      <c r="A623" s="41">
        <v>488</v>
      </c>
      <c r="B623" s="41" t="s">
        <v>38</v>
      </c>
      <c r="C623" s="41" t="s">
        <v>1487</v>
      </c>
      <c r="D623" s="27" t="s">
        <v>1488</v>
      </c>
      <c r="E623" s="28" t="s">
        <v>1489</v>
      </c>
      <c r="F623" s="5" t="s">
        <v>22</v>
      </c>
      <c r="G623" s="21">
        <f>1/11</f>
        <v>9.0909090909090912E-2</v>
      </c>
      <c r="H623" s="22">
        <f>VLOOKUP($C623,'Master File June-26'!$C$3:$L$670,6,0)</f>
        <v>5</v>
      </c>
      <c r="I623" s="22">
        <f>VLOOKUP($C623,'Master File June-26'!$C$3:$L$670,7,0)</f>
        <v>55</v>
      </c>
      <c r="J623" s="5">
        <f>VLOOKUP($C623,'Master File June-26'!$C$3:$L$670,8,0)</f>
        <v>14</v>
      </c>
      <c r="K623" s="23">
        <f>VLOOKUP($C623,'Master File June-26'!$C$3:$L$670,9,0)</f>
        <v>27.5</v>
      </c>
      <c r="L623" s="58">
        <f>VLOOKUP($C623,'Master File June-26'!$C$3:$L$670,10,0)</f>
        <v>0</v>
      </c>
      <c r="M623" s="24">
        <f t="shared" si="36"/>
        <v>0</v>
      </c>
      <c r="N623" s="25" t="str">
        <f t="shared" si="37"/>
        <v>ORDER NOW</v>
      </c>
      <c r="O623" s="25" t="str">
        <f t="shared" si="38"/>
        <v>CRITICAL</v>
      </c>
      <c r="S623" s="79">
        <f t="shared" si="39"/>
        <v>0</v>
      </c>
    </row>
    <row r="624" spans="1:19" ht="18.75" x14ac:dyDescent="0.25">
      <c r="A624" s="41">
        <v>416</v>
      </c>
      <c r="B624" s="41" t="s">
        <v>61</v>
      </c>
      <c r="C624" s="41" t="s">
        <v>1490</v>
      </c>
      <c r="D624" s="78" t="s">
        <v>1491</v>
      </c>
      <c r="E624" s="28" t="s">
        <v>1492</v>
      </c>
      <c r="F624" s="5" t="s">
        <v>49</v>
      </c>
      <c r="G624" s="21">
        <v>6.6666666666666666E-2</v>
      </c>
      <c r="H624" s="22">
        <f>VLOOKUP($C624,'Master File June-26'!$C$3:$L$670,6,0)</f>
        <v>1</v>
      </c>
      <c r="I624" s="22">
        <f>VLOOKUP($C624,'Master File June-26'!$C$3:$L$670,7,0)</f>
        <v>15</v>
      </c>
      <c r="J624" s="5">
        <f>VLOOKUP($C624,'Master File June-26'!$C$3:$L$670,8,0)</f>
        <v>14</v>
      </c>
      <c r="K624" s="23">
        <f>VLOOKUP($C624,'Master File June-26'!$C$3:$L$670,9,0)</f>
        <v>7.5</v>
      </c>
      <c r="L624" s="58">
        <f>VLOOKUP($C624,'Master File June-26'!$C$3:$L$670,10,0)</f>
        <v>0</v>
      </c>
      <c r="M624" s="24">
        <f t="shared" si="36"/>
        <v>0</v>
      </c>
      <c r="N624" s="25" t="str">
        <f t="shared" si="37"/>
        <v>ORDER NOW</v>
      </c>
      <c r="O624" s="25" t="str">
        <f t="shared" si="38"/>
        <v>CRITICAL</v>
      </c>
      <c r="S624" s="79">
        <f t="shared" si="39"/>
        <v>0</v>
      </c>
    </row>
    <row r="625" spans="1:19" ht="18.75" x14ac:dyDescent="0.25">
      <c r="A625" s="41">
        <v>552</v>
      </c>
      <c r="B625" s="41" t="s">
        <v>38</v>
      </c>
      <c r="C625" s="41" t="s">
        <v>1493</v>
      </c>
      <c r="D625" s="37" t="s">
        <v>1494</v>
      </c>
      <c r="E625" s="34" t="s">
        <v>22</v>
      </c>
      <c r="F625" s="5" t="s">
        <v>22</v>
      </c>
      <c r="G625" s="21">
        <v>1</v>
      </c>
      <c r="H625" s="22">
        <f>VLOOKUP($C625,'Master File June-26'!$C$3:$L$670,6,0)</f>
        <v>1</v>
      </c>
      <c r="I625" s="22">
        <f>VLOOKUP($C625,'Master File June-26'!$C$3:$L$670,7,0)</f>
        <v>1</v>
      </c>
      <c r="J625" s="5">
        <f>VLOOKUP($C625,'Master File June-26'!$C$3:$L$670,8,0)</f>
        <v>14</v>
      </c>
      <c r="K625" s="23">
        <f>VLOOKUP($C625,'Master File June-26'!$C$3:$L$670,9,0)</f>
        <v>0.5</v>
      </c>
      <c r="L625" s="58">
        <f>VLOOKUP($C625,'Master File June-26'!$C$3:$L$670,10,0)</f>
        <v>0</v>
      </c>
      <c r="M625" s="24">
        <f t="shared" si="36"/>
        <v>0</v>
      </c>
      <c r="N625" s="25" t="str">
        <f t="shared" si="37"/>
        <v>ORDER NOW</v>
      </c>
      <c r="O625" s="25" t="str">
        <f t="shared" si="38"/>
        <v>CRITICAL</v>
      </c>
      <c r="S625" s="79">
        <f t="shared" si="39"/>
        <v>0</v>
      </c>
    </row>
    <row r="626" spans="1:19" ht="18.75" x14ac:dyDescent="0.25">
      <c r="A626" s="41">
        <v>355</v>
      </c>
      <c r="B626" s="41" t="s">
        <v>38</v>
      </c>
      <c r="C626" s="41" t="s">
        <v>1495</v>
      </c>
      <c r="D626" s="27" t="s">
        <v>1496</v>
      </c>
      <c r="E626" s="28" t="s">
        <v>1244</v>
      </c>
      <c r="F626" s="5" t="s">
        <v>22</v>
      </c>
      <c r="G626" s="21">
        <v>0.2</v>
      </c>
      <c r="H626" s="22">
        <f>VLOOKUP($C626,'Master File June-26'!$C$3:$L$670,6,0)</f>
        <v>27.5</v>
      </c>
      <c r="I626" s="22">
        <f>VLOOKUP($C626,'Master File June-26'!$C$3:$L$670,7,0)</f>
        <v>137.5</v>
      </c>
      <c r="J626" s="5">
        <f>VLOOKUP($C626,'Master File June-26'!$C$3:$L$670,8,0)</f>
        <v>14</v>
      </c>
      <c r="K626" s="23">
        <f>VLOOKUP($C626,'Master File June-26'!$C$3:$L$670,9,0)</f>
        <v>68.75</v>
      </c>
      <c r="L626" s="58">
        <f>VLOOKUP($C626,'Master File June-26'!$C$3:$L$670,10,0)</f>
        <v>105</v>
      </c>
      <c r="M626" s="24">
        <f t="shared" si="36"/>
        <v>22.90909090909091</v>
      </c>
      <c r="N626" s="25" t="str">
        <f t="shared" si="37"/>
        <v>IN STOCK</v>
      </c>
      <c r="O626" s="25" t="str">
        <f t="shared" si="38"/>
        <v>FOLLOW UP DELIVERY</v>
      </c>
      <c r="S626" s="79">
        <f t="shared" si="39"/>
        <v>1</v>
      </c>
    </row>
    <row r="627" spans="1:19" ht="18.75" x14ac:dyDescent="0.25">
      <c r="A627" s="19">
        <v>172</v>
      </c>
      <c r="B627" s="19" t="s">
        <v>18</v>
      </c>
      <c r="C627" s="56" t="s">
        <v>1497</v>
      </c>
      <c r="D627" s="36" t="s">
        <v>1498</v>
      </c>
      <c r="E627" s="28" t="s">
        <v>1499</v>
      </c>
      <c r="F627" s="5" t="s">
        <v>49</v>
      </c>
      <c r="G627" s="21">
        <f>1/310</f>
        <v>3.2258064516129032E-3</v>
      </c>
      <c r="H627" s="22">
        <f>VLOOKUP($C627,'Master File June-26'!$C$3:$L$670,6,0)</f>
        <v>50</v>
      </c>
      <c r="I627" s="22">
        <f>VLOOKUP($C627,'Master File June-26'!$C$3:$L$670,7,0)</f>
        <v>15500</v>
      </c>
      <c r="J627" s="5">
        <f>VLOOKUP($C627,'Master File June-26'!$C$3:$L$670,8,0)</f>
        <v>60</v>
      </c>
      <c r="K627" s="23">
        <f>VLOOKUP($C627,'Master File June-26'!$C$3:$L$670,9,0)</f>
        <v>33214.28571428571</v>
      </c>
      <c r="L627" s="58">
        <f>VLOOKUP($C627,'Master File June-26'!$C$3:$L$670,10,0)</f>
        <v>0</v>
      </c>
      <c r="M627" s="24">
        <f t="shared" si="36"/>
        <v>0</v>
      </c>
      <c r="N627" s="25" t="str">
        <f t="shared" si="37"/>
        <v>ORDER NOW</v>
      </c>
      <c r="O627" s="25" t="str">
        <f t="shared" si="38"/>
        <v>CRITICAL</v>
      </c>
      <c r="S627" s="79">
        <f t="shared" si="39"/>
        <v>0</v>
      </c>
    </row>
    <row r="628" spans="1:19" ht="18.75" x14ac:dyDescent="0.25">
      <c r="A628" s="19">
        <v>77</v>
      </c>
      <c r="B628" s="19" t="s">
        <v>18</v>
      </c>
      <c r="C628" s="56" t="s">
        <v>1500</v>
      </c>
      <c r="D628" s="32" t="s">
        <v>1501</v>
      </c>
      <c r="E628" s="33" t="s">
        <v>78</v>
      </c>
      <c r="F628" s="5" t="s">
        <v>49</v>
      </c>
      <c r="G628" s="21">
        <v>1</v>
      </c>
      <c r="H628" s="22">
        <f>VLOOKUP($C628,'Master File June-26'!$C$3:$L$670,6,0)</f>
        <v>50</v>
      </c>
      <c r="I628" s="22">
        <f>VLOOKUP($C628,'Master File June-26'!$C$3:$L$670,7,0)</f>
        <v>1500</v>
      </c>
      <c r="J628" s="5">
        <f>VLOOKUP($C628,'Master File June-26'!$C$3:$L$670,8,0)</f>
        <v>60</v>
      </c>
      <c r="K628" s="23">
        <f>VLOOKUP($C628,'Master File June-26'!$C$3:$L$670,9,0)</f>
        <v>3214.2857142857142</v>
      </c>
      <c r="L628" s="58">
        <f>VLOOKUP($C628,'Master File June-26'!$C$3:$L$670,10,0)</f>
        <v>0</v>
      </c>
      <c r="M628" s="24">
        <f t="shared" si="36"/>
        <v>0</v>
      </c>
      <c r="N628" s="25" t="str">
        <f t="shared" si="37"/>
        <v>ORDER NOW</v>
      </c>
      <c r="O628" s="25" t="str">
        <f t="shared" si="38"/>
        <v>CRITICAL</v>
      </c>
      <c r="R628" t="s">
        <v>30</v>
      </c>
      <c r="S628" s="79">
        <f t="shared" si="39"/>
        <v>0</v>
      </c>
    </row>
    <row r="629" spans="1:19" ht="18.75" x14ac:dyDescent="0.25">
      <c r="A629" s="41">
        <v>419</v>
      </c>
      <c r="B629" s="41" t="s">
        <v>38</v>
      </c>
      <c r="C629" s="63" t="s">
        <v>1502</v>
      </c>
      <c r="D629" s="27" t="s">
        <v>1503</v>
      </c>
      <c r="E629" s="28" t="s">
        <v>1059</v>
      </c>
      <c r="F629" s="5" t="s">
        <v>54</v>
      </c>
      <c r="G629" s="21">
        <v>0.04</v>
      </c>
      <c r="H629" s="22">
        <f>VLOOKUP($C629,'Master File June-26'!$C$3:$L$670,6,0)</f>
        <v>8</v>
      </c>
      <c r="I629" s="22">
        <f>VLOOKUP($C629,'Master File June-26'!$C$3:$L$670,7,0)</f>
        <v>200</v>
      </c>
      <c r="J629" s="5">
        <f>VLOOKUP($C629,'Master File June-26'!$C$3:$L$670,8,0)</f>
        <v>14</v>
      </c>
      <c r="K629" s="23">
        <f>VLOOKUP($C629,'Master File June-26'!$C$3:$L$670,9,0)</f>
        <v>100</v>
      </c>
      <c r="L629" s="58">
        <f>VLOOKUP($C629,'Master File June-26'!$C$3:$L$670,10,0)</f>
        <v>0</v>
      </c>
      <c r="M629" s="24">
        <f t="shared" si="36"/>
        <v>0</v>
      </c>
      <c r="N629" s="25" t="str">
        <f t="shared" si="37"/>
        <v>ORDER NOW</v>
      </c>
      <c r="O629" s="25" t="str">
        <f t="shared" si="38"/>
        <v>CRITICAL</v>
      </c>
      <c r="S629" s="79">
        <f t="shared" si="39"/>
        <v>0</v>
      </c>
    </row>
    <row r="630" spans="1:19" ht="18.75" x14ac:dyDescent="0.25">
      <c r="A630" s="41">
        <v>481</v>
      </c>
      <c r="B630" s="41" t="s">
        <v>38</v>
      </c>
      <c r="C630" s="63" t="s">
        <v>1504</v>
      </c>
      <c r="D630" s="27" t="s">
        <v>1505</v>
      </c>
      <c r="E630" s="28" t="s">
        <v>1506</v>
      </c>
      <c r="F630" s="5" t="s">
        <v>22</v>
      </c>
      <c r="G630" s="21">
        <v>0.2</v>
      </c>
      <c r="H630" s="22">
        <f>VLOOKUP($C630,'Master File June-26'!$C$3:$L$670,6,0)</f>
        <v>3</v>
      </c>
      <c r="I630" s="22">
        <f>VLOOKUP($C630,'Master File June-26'!$C$3:$L$670,7,0)</f>
        <v>15</v>
      </c>
      <c r="J630" s="5">
        <f>VLOOKUP($C630,'Master File June-26'!$C$3:$L$670,8,0)</f>
        <v>14</v>
      </c>
      <c r="K630" s="23">
        <f>VLOOKUP($C630,'Master File June-26'!$C$3:$L$670,9,0)</f>
        <v>7.5</v>
      </c>
      <c r="L630" s="58">
        <f>VLOOKUP($C630,'Master File June-26'!$C$3:$L$670,10,0)</f>
        <v>0</v>
      </c>
      <c r="M630" s="24">
        <f t="shared" si="36"/>
        <v>0</v>
      </c>
      <c r="N630" s="25" t="str">
        <f t="shared" si="37"/>
        <v>ORDER NOW</v>
      </c>
      <c r="O630" s="25" t="str">
        <f t="shared" si="38"/>
        <v>CRITICAL</v>
      </c>
      <c r="S630" s="79">
        <f t="shared" si="39"/>
        <v>0</v>
      </c>
    </row>
    <row r="631" spans="1:19" ht="18.75" x14ac:dyDescent="0.25">
      <c r="A631" s="49">
        <v>590</v>
      </c>
      <c r="B631" s="49" t="s">
        <v>298</v>
      </c>
      <c r="C631" s="86" t="s">
        <v>1507</v>
      </c>
      <c r="D631" s="36" t="s">
        <v>1508</v>
      </c>
      <c r="E631" s="38" t="s">
        <v>49</v>
      </c>
      <c r="F631" s="5" t="s">
        <v>49</v>
      </c>
      <c r="G631" s="21">
        <v>1</v>
      </c>
      <c r="H631" s="22">
        <f>VLOOKUP($C631,'Master File June-26'!$C$3:$L$670,6,0)</f>
        <v>5.5</v>
      </c>
      <c r="I631" s="22">
        <f>VLOOKUP($C631,'Master File June-26'!$C$3:$L$670,7,0)</f>
        <v>5.5</v>
      </c>
      <c r="J631" s="5">
        <f>VLOOKUP($C631,'Master File June-26'!$C$3:$L$670,8,0)</f>
        <v>14</v>
      </c>
      <c r="K631" s="23">
        <f>VLOOKUP($C631,'Master File June-26'!$C$3:$L$670,9,0)</f>
        <v>2.75</v>
      </c>
      <c r="L631" s="58">
        <f>VLOOKUP($C631,'Master File June-26'!$C$3:$L$670,10,0)</f>
        <v>0</v>
      </c>
      <c r="M631" s="24">
        <f t="shared" si="36"/>
        <v>0</v>
      </c>
      <c r="N631" s="25" t="str">
        <f t="shared" si="37"/>
        <v>ORDER NOW</v>
      </c>
      <c r="O631" s="25" t="str">
        <f t="shared" si="38"/>
        <v>CRITICAL</v>
      </c>
      <c r="S631" s="79">
        <f t="shared" si="39"/>
        <v>0</v>
      </c>
    </row>
    <row r="632" spans="1:19" ht="18.75" x14ac:dyDescent="0.25">
      <c r="A632" s="39">
        <v>245</v>
      </c>
      <c r="B632" s="39" t="s">
        <v>123</v>
      </c>
      <c r="C632" s="64" t="s">
        <v>1509</v>
      </c>
      <c r="D632" s="27" t="s">
        <v>1510</v>
      </c>
      <c r="E632" s="28" t="s">
        <v>706</v>
      </c>
      <c r="F632" s="5" t="s">
        <v>49</v>
      </c>
      <c r="G632" s="21">
        <v>1</v>
      </c>
      <c r="H632" s="22">
        <f>VLOOKUP($C632,'Master File June-26'!$C$3:$L$670,6,0)</f>
        <v>27.5</v>
      </c>
      <c r="I632" s="22">
        <f>VLOOKUP($C632,'Master File June-26'!$C$3:$L$670,7,0)</f>
        <v>27.5</v>
      </c>
      <c r="J632" s="5">
        <f>VLOOKUP($C632,'Master File June-26'!$C$3:$L$670,8,0)</f>
        <v>14</v>
      </c>
      <c r="K632" s="23">
        <f>VLOOKUP($C632,'Master File June-26'!$C$3:$L$670,9,0)</f>
        <v>13.75</v>
      </c>
      <c r="L632" s="58">
        <f>VLOOKUP($C632,'Master File June-26'!$C$3:$L$670,10,0)</f>
        <v>10</v>
      </c>
      <c r="M632" s="24">
        <f t="shared" si="36"/>
        <v>10.90909090909091</v>
      </c>
      <c r="N632" s="25" t="str">
        <f t="shared" si="37"/>
        <v>ORDER NOW</v>
      </c>
      <c r="O632" s="25" t="str">
        <f t="shared" si="38"/>
        <v>CRITICAL</v>
      </c>
      <c r="S632" s="79">
        <f t="shared" si="39"/>
        <v>0</v>
      </c>
    </row>
    <row r="633" spans="1:19" ht="18.75" x14ac:dyDescent="0.25">
      <c r="A633" s="41">
        <v>367</v>
      </c>
      <c r="B633" s="41" t="s">
        <v>85</v>
      </c>
      <c r="C633" s="63" t="s">
        <v>1511</v>
      </c>
      <c r="D633" s="27" t="s">
        <v>1512</v>
      </c>
      <c r="E633" s="28" t="s">
        <v>101</v>
      </c>
      <c r="F633" s="5" t="s">
        <v>22</v>
      </c>
      <c r="G633" s="21">
        <v>0.16666666666666666</v>
      </c>
      <c r="H633" s="22">
        <f>VLOOKUP($C633,'Master File June-26'!$C$3:$L$670,6,0)</f>
        <v>21.75</v>
      </c>
      <c r="I633" s="22">
        <f>VLOOKUP($C633,'Master File June-26'!$C$3:$L$670,7,0)</f>
        <v>130.5</v>
      </c>
      <c r="J633" s="5">
        <f>VLOOKUP($C633,'Master File June-26'!$C$3:$L$670,8,0)</f>
        <v>14</v>
      </c>
      <c r="K633" s="23">
        <f>VLOOKUP($C633,'Master File June-26'!$C$3:$L$670,9,0)</f>
        <v>65.25</v>
      </c>
      <c r="L633" s="58">
        <f>VLOOKUP($C633,'Master File June-26'!$C$3:$L$670,10,0)</f>
        <v>67</v>
      </c>
      <c r="M633" s="24">
        <f t="shared" si="36"/>
        <v>15.402298850574713</v>
      </c>
      <c r="N633" s="25" t="str">
        <f t="shared" si="37"/>
        <v>IN STOCK</v>
      </c>
      <c r="O633" s="25" t="str">
        <f t="shared" si="38"/>
        <v>FOLLOW UP DELIVERY</v>
      </c>
      <c r="S633" s="79">
        <f t="shared" si="39"/>
        <v>1</v>
      </c>
    </row>
    <row r="634" spans="1:19" ht="18.75" x14ac:dyDescent="0.25">
      <c r="A634" s="41">
        <v>480</v>
      </c>
      <c r="B634" s="41" t="s">
        <v>38</v>
      </c>
      <c r="C634" s="63" t="s">
        <v>1513</v>
      </c>
      <c r="D634" s="27" t="s">
        <v>1514</v>
      </c>
      <c r="E634" s="28" t="s">
        <v>1515</v>
      </c>
      <c r="F634" s="5" t="s">
        <v>22</v>
      </c>
      <c r="G634" s="21">
        <f>1/144</f>
        <v>6.9444444444444441E-3</v>
      </c>
      <c r="H634" s="22">
        <f>VLOOKUP($C634,'Master File June-26'!$C$3:$L$670,6,0)</f>
        <v>1</v>
      </c>
      <c r="I634" s="22">
        <f>VLOOKUP($C634,'Master File June-26'!$C$3:$L$670,7,0)</f>
        <v>144</v>
      </c>
      <c r="J634" s="5">
        <f>VLOOKUP($C634,'Master File June-26'!$C$3:$L$670,8,0)</f>
        <v>14</v>
      </c>
      <c r="K634" s="23">
        <f>VLOOKUP($C634,'Master File June-26'!$C$3:$L$670,9,0)</f>
        <v>72</v>
      </c>
      <c r="L634" s="58">
        <f>VLOOKUP($C634,'Master File June-26'!$C$3:$L$670,10,0)</f>
        <v>0</v>
      </c>
      <c r="M634" s="24">
        <f t="shared" si="36"/>
        <v>0</v>
      </c>
      <c r="N634" s="25" t="str">
        <f t="shared" si="37"/>
        <v>ORDER NOW</v>
      </c>
      <c r="O634" s="25" t="str">
        <f t="shared" si="38"/>
        <v>CRITICAL</v>
      </c>
      <c r="S634" s="79">
        <f t="shared" si="39"/>
        <v>0</v>
      </c>
    </row>
    <row r="635" spans="1:19" ht="18.75" x14ac:dyDescent="0.25">
      <c r="A635" s="19">
        <v>15</v>
      </c>
      <c r="B635" s="19" t="s">
        <v>18</v>
      </c>
      <c r="C635" s="56" t="s">
        <v>1516</v>
      </c>
      <c r="D635" s="27" t="s">
        <v>1517</v>
      </c>
      <c r="E635" s="28" t="s">
        <v>1518</v>
      </c>
      <c r="F635" s="5" t="s">
        <v>22</v>
      </c>
      <c r="G635" s="21">
        <v>7.6923076923076927E-3</v>
      </c>
      <c r="H635" s="22">
        <f>VLOOKUP($C635,'Master File June-26'!$C$3:$L$670,6,0)</f>
        <v>170.5</v>
      </c>
      <c r="I635" s="22">
        <f>VLOOKUP($C635,'Master File June-26'!$C$3:$L$670,7,0)</f>
        <v>22165</v>
      </c>
      <c r="J635" s="5">
        <f>VLOOKUP($C635,'Master File June-26'!$C$3:$L$670,8,0)</f>
        <v>60</v>
      </c>
      <c r="K635" s="23">
        <f>VLOOKUP($C635,'Master File June-26'!$C$3:$L$670,9,0)</f>
        <v>47496.428571428572</v>
      </c>
      <c r="L635" s="58">
        <f>VLOOKUP($C635,'Master File June-26'!$C$3:$L$670,10,0)</f>
        <v>16510</v>
      </c>
      <c r="M635" s="24">
        <f t="shared" si="36"/>
        <v>22.346041055718477</v>
      </c>
      <c r="N635" s="25" t="str">
        <f t="shared" si="37"/>
        <v>ORDER NOW</v>
      </c>
      <c r="O635" s="25" t="str">
        <f t="shared" si="38"/>
        <v>CRITICAL</v>
      </c>
      <c r="R635" t="s">
        <v>30</v>
      </c>
      <c r="S635" s="79">
        <f t="shared" si="39"/>
        <v>0</v>
      </c>
    </row>
    <row r="636" spans="1:19" ht="18.75" x14ac:dyDescent="0.25">
      <c r="A636" s="19">
        <v>57</v>
      </c>
      <c r="B636" s="19" t="s">
        <v>18</v>
      </c>
      <c r="C636" s="56" t="s">
        <v>1519</v>
      </c>
      <c r="D636" s="68" t="s">
        <v>1520</v>
      </c>
      <c r="E636" s="33" t="s">
        <v>78</v>
      </c>
      <c r="F636" s="5" t="s">
        <v>49</v>
      </c>
      <c r="G636" s="21">
        <v>1</v>
      </c>
      <c r="H636" s="22">
        <f>VLOOKUP($C636,'Master File June-26'!$C$3:$L$670,6,0)</f>
        <v>60</v>
      </c>
      <c r="I636" s="22">
        <f>VLOOKUP($C636,'Master File June-26'!$C$3:$L$670,7,0)</f>
        <v>60</v>
      </c>
      <c r="J636" s="5">
        <f>VLOOKUP($C636,'Master File June-26'!$C$3:$L$670,8,0)</f>
        <v>30</v>
      </c>
      <c r="K636" s="23">
        <f>VLOOKUP($C636,'Master File June-26'!$C$3:$L$670,9,0)</f>
        <v>64.285714285714278</v>
      </c>
      <c r="L636" s="58">
        <f>VLOOKUP($C636,'Master File June-26'!$C$3:$L$670,10,0)</f>
        <v>0</v>
      </c>
      <c r="M636" s="24">
        <f t="shared" si="36"/>
        <v>0</v>
      </c>
      <c r="N636" s="25" t="str">
        <f t="shared" si="37"/>
        <v>ORDER NOW</v>
      </c>
      <c r="O636" s="25" t="str">
        <f t="shared" si="38"/>
        <v>CRITICAL</v>
      </c>
      <c r="R636" t="s">
        <v>30</v>
      </c>
      <c r="S636" s="79">
        <f t="shared" si="39"/>
        <v>0</v>
      </c>
    </row>
    <row r="637" spans="1:19" ht="18.75" x14ac:dyDescent="0.25">
      <c r="A637" s="41">
        <v>409</v>
      </c>
      <c r="B637" s="41" t="s">
        <v>85</v>
      </c>
      <c r="C637" s="63" t="s">
        <v>1521</v>
      </c>
      <c r="D637" s="27" t="s">
        <v>1522</v>
      </c>
      <c r="E637" s="28" t="s">
        <v>1442</v>
      </c>
      <c r="F637" s="5" t="s">
        <v>22</v>
      </c>
      <c r="G637" s="21">
        <v>0.11737089201877934</v>
      </c>
      <c r="H637" s="22">
        <f>VLOOKUP($C637,'Master File June-26'!$C$3:$L$670,6,0)</f>
        <v>12</v>
      </c>
      <c r="I637" s="22">
        <f>VLOOKUP($C637,'Master File June-26'!$C$3:$L$670,7,0)</f>
        <v>102.24</v>
      </c>
      <c r="J637" s="5">
        <f>VLOOKUP($C637,'Master File June-26'!$C$3:$L$670,8,0)</f>
        <v>14</v>
      </c>
      <c r="K637" s="23">
        <f>VLOOKUP($C637,'Master File June-26'!$C$3:$L$670,9,0)</f>
        <v>51.12</v>
      </c>
      <c r="L637" s="58">
        <f>VLOOKUP($C637,'Master File June-26'!$C$3:$L$670,10,0)</f>
        <v>42.6</v>
      </c>
      <c r="M637" s="24">
        <f t="shared" si="36"/>
        <v>12.5</v>
      </c>
      <c r="N637" s="25" t="str">
        <f t="shared" si="37"/>
        <v>ORDER NOW</v>
      </c>
      <c r="O637" s="25" t="str">
        <f t="shared" si="38"/>
        <v>CRITICAL</v>
      </c>
      <c r="S637" s="79">
        <f t="shared" si="39"/>
        <v>0</v>
      </c>
    </row>
    <row r="638" spans="1:19" ht="18.75" x14ac:dyDescent="0.25">
      <c r="A638" s="41">
        <v>485</v>
      </c>
      <c r="B638" s="41" t="s">
        <v>61</v>
      </c>
      <c r="C638" s="63" t="s">
        <v>1523</v>
      </c>
      <c r="D638" s="27" t="s">
        <v>1524</v>
      </c>
      <c r="E638" s="28" t="s">
        <v>1525</v>
      </c>
      <c r="F638" s="5" t="s">
        <v>49</v>
      </c>
      <c r="G638" s="21">
        <v>1</v>
      </c>
      <c r="H638" s="22">
        <f>VLOOKUP($C638,'Master File June-26'!$C$3:$L$670,6,0)</f>
        <v>2</v>
      </c>
      <c r="I638" s="22">
        <f>VLOOKUP($C638,'Master File June-26'!$C$3:$L$670,7,0)</f>
        <v>2</v>
      </c>
      <c r="J638" s="5">
        <f>VLOOKUP($C638,'Master File June-26'!$C$3:$L$670,8,0)</f>
        <v>14</v>
      </c>
      <c r="K638" s="23">
        <f>VLOOKUP($C638,'Master File June-26'!$C$3:$L$670,9,0)</f>
        <v>1</v>
      </c>
      <c r="L638" s="58">
        <f>VLOOKUP($C638,'Master File June-26'!$C$3:$L$670,10,0)</f>
        <v>0</v>
      </c>
      <c r="M638" s="24">
        <f t="shared" si="36"/>
        <v>0</v>
      </c>
      <c r="N638" s="25" t="str">
        <f t="shared" si="37"/>
        <v>ORDER NOW</v>
      </c>
      <c r="O638" s="25" t="str">
        <f t="shared" si="38"/>
        <v>CRITICAL</v>
      </c>
      <c r="S638" s="79">
        <f t="shared" si="39"/>
        <v>0</v>
      </c>
    </row>
    <row r="639" spans="1:19" ht="18.75" x14ac:dyDescent="0.25">
      <c r="A639" s="41">
        <v>562</v>
      </c>
      <c r="B639" s="41" t="s">
        <v>38</v>
      </c>
      <c r="C639" s="63" t="s">
        <v>1526</v>
      </c>
      <c r="D639" s="37" t="s">
        <v>1527</v>
      </c>
      <c r="E639" s="34" t="s">
        <v>22</v>
      </c>
      <c r="F639" s="5" t="s">
        <v>22</v>
      </c>
      <c r="G639" s="21">
        <v>1</v>
      </c>
      <c r="H639" s="22">
        <f>VLOOKUP($C639,'Master File June-26'!$C$3:$L$670,6,0)</f>
        <v>5</v>
      </c>
      <c r="I639" s="22">
        <f>VLOOKUP($C639,'Master File June-26'!$C$3:$L$670,7,0)</f>
        <v>5</v>
      </c>
      <c r="J639" s="5">
        <f>VLOOKUP($C639,'Master File June-26'!$C$3:$L$670,8,0)</f>
        <v>14</v>
      </c>
      <c r="K639" s="23">
        <f>VLOOKUP($C639,'Master File June-26'!$C$3:$L$670,9,0)</f>
        <v>2.5</v>
      </c>
      <c r="L639" s="58">
        <f>VLOOKUP($C639,'Master File June-26'!$C$3:$L$670,10,0)</f>
        <v>0.46700000000000003</v>
      </c>
      <c r="M639" s="24">
        <f t="shared" si="36"/>
        <v>2.8020000000000005</v>
      </c>
      <c r="N639" s="25" t="str">
        <f t="shared" si="37"/>
        <v>ORDER NOW</v>
      </c>
      <c r="O639" s="25" t="str">
        <f t="shared" si="38"/>
        <v>CRITICAL</v>
      </c>
      <c r="S639" s="79">
        <f t="shared" si="39"/>
        <v>0</v>
      </c>
    </row>
    <row r="640" spans="1:19" ht="18.75" x14ac:dyDescent="0.25">
      <c r="A640" s="19">
        <v>171</v>
      </c>
      <c r="B640" s="19" t="s">
        <v>18</v>
      </c>
      <c r="C640" s="56" t="s">
        <v>1528</v>
      </c>
      <c r="D640" s="36" t="s">
        <v>1529</v>
      </c>
      <c r="E640" s="28" t="s">
        <v>1530</v>
      </c>
      <c r="F640" s="5" t="s">
        <v>49</v>
      </c>
      <c r="G640" s="21">
        <f>1/331</f>
        <v>3.0211480362537764E-3</v>
      </c>
      <c r="H640" s="22">
        <f>VLOOKUP($C640,'Master File June-26'!$C$3:$L$670,6,0)</f>
        <v>30</v>
      </c>
      <c r="I640" s="22">
        <f>VLOOKUP($C640,'Master File June-26'!$C$3:$L$670,7,0)</f>
        <v>9930</v>
      </c>
      <c r="J640" s="5">
        <f>VLOOKUP($C640,'Master File June-26'!$C$3:$L$670,8,0)</f>
        <v>60</v>
      </c>
      <c r="K640" s="23">
        <f>VLOOKUP($C640,'Master File June-26'!$C$3:$L$670,9,0)</f>
        <v>21278.571428571428</v>
      </c>
      <c r="L640" s="58">
        <f>VLOOKUP($C640,'Master File June-26'!$C$3:$L$670,10,0)</f>
        <v>0</v>
      </c>
      <c r="M640" s="24">
        <f t="shared" si="36"/>
        <v>0</v>
      </c>
      <c r="N640" s="25" t="str">
        <f t="shared" si="37"/>
        <v>ORDER NOW</v>
      </c>
      <c r="O640" s="25" t="str">
        <f t="shared" si="38"/>
        <v>CRITICAL</v>
      </c>
      <c r="S640" s="79">
        <f t="shared" si="39"/>
        <v>0</v>
      </c>
    </row>
    <row r="641" spans="1:19" ht="18.75" x14ac:dyDescent="0.25">
      <c r="A641" s="19">
        <v>167</v>
      </c>
      <c r="B641" s="19" t="s">
        <v>18</v>
      </c>
      <c r="C641" s="56" t="s">
        <v>1531</v>
      </c>
      <c r="D641" s="27" t="s">
        <v>1532</v>
      </c>
      <c r="E641" s="28" t="s">
        <v>21</v>
      </c>
      <c r="F641" s="5" t="s">
        <v>22</v>
      </c>
      <c r="G641" s="21">
        <v>1.6666666666666668E-3</v>
      </c>
      <c r="H641" s="22">
        <f>VLOOKUP($C641,'Master File June-26'!$C$3:$L$670,6,0)</f>
        <v>20</v>
      </c>
      <c r="I641" s="22">
        <f>VLOOKUP($C641,'Master File June-26'!$C$3:$L$670,7,0)</f>
        <v>12000</v>
      </c>
      <c r="J641" s="5">
        <f>VLOOKUP($C641,'Master File June-26'!$C$3:$L$670,8,0)</f>
        <v>14</v>
      </c>
      <c r="K641" s="23">
        <f>VLOOKUP($C641,'Master File June-26'!$C$3:$L$670,9,0)</f>
        <v>6000</v>
      </c>
      <c r="L641" s="58">
        <f>VLOOKUP($C641,'Master File June-26'!$C$3:$L$670,10,0)</f>
        <v>1500</v>
      </c>
      <c r="M641" s="24">
        <f t="shared" si="36"/>
        <v>3.75</v>
      </c>
      <c r="N641" s="25" t="str">
        <f t="shared" si="37"/>
        <v>ORDER NOW</v>
      </c>
      <c r="O641" s="25" t="str">
        <f t="shared" si="38"/>
        <v>CRITICAL</v>
      </c>
      <c r="S641" s="79">
        <f t="shared" si="39"/>
        <v>0</v>
      </c>
    </row>
    <row r="642" spans="1:19" ht="18.75" x14ac:dyDescent="0.25">
      <c r="A642" s="41">
        <v>454</v>
      </c>
      <c r="B642" s="41" t="s">
        <v>85</v>
      </c>
      <c r="C642" s="63" t="s">
        <v>1533</v>
      </c>
      <c r="D642" s="27" t="s">
        <v>1534</v>
      </c>
      <c r="E642" s="28" t="s">
        <v>1535</v>
      </c>
      <c r="F642" s="5" t="s">
        <v>22</v>
      </c>
      <c r="G642" s="21">
        <v>7.407407407407407E-2</v>
      </c>
      <c r="H642" s="22">
        <f>VLOOKUP($C642,'Master File June-26'!$C$3:$L$670,6,0)</f>
        <v>1</v>
      </c>
      <c r="I642" s="22">
        <f>VLOOKUP($C642,'Master File June-26'!$C$3:$L$670,7,0)</f>
        <v>13.5</v>
      </c>
      <c r="J642" s="5">
        <f>VLOOKUP($C642,'Master File June-26'!$C$3:$L$670,8,0)</f>
        <v>14</v>
      </c>
      <c r="K642" s="23">
        <f>VLOOKUP($C642,'Master File June-26'!$C$3:$L$670,9,0)</f>
        <v>6.75</v>
      </c>
      <c r="L642" s="58">
        <f>VLOOKUP($C642,'Master File June-26'!$C$3:$L$670,10,0)</f>
        <v>0</v>
      </c>
      <c r="M642" s="24">
        <f t="shared" si="36"/>
        <v>0</v>
      </c>
      <c r="N642" s="25" t="str">
        <f t="shared" si="37"/>
        <v>ORDER NOW</v>
      </c>
      <c r="O642" s="25" t="str">
        <f t="shared" si="38"/>
        <v>CRITICAL</v>
      </c>
      <c r="S642" s="79">
        <f t="shared" si="39"/>
        <v>0</v>
      </c>
    </row>
    <row r="643" spans="1:19" ht="18.75" x14ac:dyDescent="0.25">
      <c r="A643" s="19">
        <v>32</v>
      </c>
      <c r="B643" s="19" t="s">
        <v>18</v>
      </c>
      <c r="C643" s="56" t="s">
        <v>1536</v>
      </c>
      <c r="D643" s="27" t="s">
        <v>1537</v>
      </c>
      <c r="E643" s="28" t="s">
        <v>180</v>
      </c>
      <c r="F643" s="5" t="s">
        <v>22</v>
      </c>
      <c r="G643" s="21">
        <f>1/1000</f>
        <v>1E-3</v>
      </c>
      <c r="H643" s="22">
        <f>VLOOKUP($C643,'Master File June-26'!$C$3:$L$670,6,0)</f>
        <v>22</v>
      </c>
      <c r="I643" s="22">
        <f>VLOOKUP($C643,'Master File June-26'!$C$3:$L$670,7,0)</f>
        <v>22000</v>
      </c>
      <c r="J643" s="5">
        <f>VLOOKUP($C643,'Master File June-26'!$C$3:$L$670,8,0)</f>
        <v>60</v>
      </c>
      <c r="K643" s="23">
        <f>VLOOKUP($C643,'Master File June-26'!$C$3:$L$670,9,0)</f>
        <v>47142.857142857145</v>
      </c>
      <c r="L643" s="58">
        <f>VLOOKUP($C643,'Master File June-26'!$C$3:$L$670,10,0)</f>
        <v>2500</v>
      </c>
      <c r="M643" s="24">
        <f t="shared" ref="M643:M667" si="40">IFERROR((L643/I643*30),0)</f>
        <v>3.4090909090909092</v>
      </c>
      <c r="N643" s="25" t="str">
        <f t="shared" ref="N643:N667" si="41">IF(M643&lt;J643,"ORDER NOW","IN STOCK")</f>
        <v>ORDER NOW</v>
      </c>
      <c r="O643" s="25" t="str">
        <f t="shared" ref="O643:O667" si="42">IF(M643&lt;J643,"CRITICAL","FOLLOW UP DELIVERY")</f>
        <v>CRITICAL</v>
      </c>
      <c r="R643" t="s">
        <v>30</v>
      </c>
      <c r="S643" s="79">
        <f t="shared" ref="S643:S667" si="43">IF(L643&lt;K643,0,1)</f>
        <v>0</v>
      </c>
    </row>
    <row r="644" spans="1:19" ht="18.75" x14ac:dyDescent="0.25">
      <c r="A644" s="41">
        <v>431</v>
      </c>
      <c r="B644" s="41" t="s">
        <v>38</v>
      </c>
      <c r="C644" s="63" t="s">
        <v>1538</v>
      </c>
      <c r="D644" s="27" t="s">
        <v>1539</v>
      </c>
      <c r="E644" s="27" t="s">
        <v>1540</v>
      </c>
      <c r="F644" s="5" t="s">
        <v>22</v>
      </c>
      <c r="G644" s="21">
        <v>5.9523809523809534E-2</v>
      </c>
      <c r="H644" s="22">
        <f>VLOOKUP($C644,'Master File June-26'!$C$3:$L$670,6,0)</f>
        <v>6</v>
      </c>
      <c r="I644" s="22">
        <f>VLOOKUP($C644,'Master File June-26'!$C$3:$L$670,7,0)</f>
        <v>100.79999999999998</v>
      </c>
      <c r="J644" s="5">
        <f>VLOOKUP($C644,'Master File June-26'!$C$3:$L$670,8,0)</f>
        <v>14</v>
      </c>
      <c r="K644" s="23">
        <f>VLOOKUP($C644,'Master File June-26'!$C$3:$L$670,9,0)</f>
        <v>50.399999999999991</v>
      </c>
      <c r="L644" s="58">
        <f>VLOOKUP($C644,'Master File June-26'!$C$3:$L$670,10,0)</f>
        <v>0</v>
      </c>
      <c r="M644" s="24">
        <f t="shared" si="40"/>
        <v>0</v>
      </c>
      <c r="N644" s="25" t="str">
        <f t="shared" si="41"/>
        <v>ORDER NOW</v>
      </c>
      <c r="O644" s="25" t="str">
        <f t="shared" si="42"/>
        <v>CRITICAL</v>
      </c>
      <c r="S644" s="79">
        <f t="shared" si="43"/>
        <v>0</v>
      </c>
    </row>
    <row r="645" spans="1:19" ht="18.75" x14ac:dyDescent="0.25">
      <c r="A645" s="41">
        <v>422</v>
      </c>
      <c r="B645" s="41" t="s">
        <v>38</v>
      </c>
      <c r="C645" s="63" t="s">
        <v>1541</v>
      </c>
      <c r="D645" s="27" t="s">
        <v>1542</v>
      </c>
      <c r="E645" s="28" t="s">
        <v>1543</v>
      </c>
      <c r="F645" s="5" t="s">
        <v>22</v>
      </c>
      <c r="G645" s="21">
        <v>5.9523809523809534E-2</v>
      </c>
      <c r="H645" s="22">
        <f>VLOOKUP($C645,'Master File June-26'!$C$3:$L$670,6,0)</f>
        <v>1</v>
      </c>
      <c r="I645" s="22">
        <f>VLOOKUP($C645,'Master File June-26'!$C$3:$L$670,7,0)</f>
        <v>25</v>
      </c>
      <c r="J645" s="5">
        <f>VLOOKUP($C645,'Master File June-26'!$C$3:$L$670,8,0)</f>
        <v>14</v>
      </c>
      <c r="K645" s="23">
        <f>VLOOKUP($C645,'Master File June-26'!$C$3:$L$670,9,0)</f>
        <v>12.5</v>
      </c>
      <c r="L645" s="58">
        <f>VLOOKUP($C645,'Master File June-26'!$C$3:$L$670,10,0)</f>
        <v>0</v>
      </c>
      <c r="M645" s="24">
        <f t="shared" si="40"/>
        <v>0</v>
      </c>
      <c r="N645" s="25" t="str">
        <f t="shared" si="41"/>
        <v>ORDER NOW</v>
      </c>
      <c r="O645" s="25" t="str">
        <f t="shared" si="42"/>
        <v>CRITICAL</v>
      </c>
      <c r="S645" s="79">
        <f t="shared" si="43"/>
        <v>0</v>
      </c>
    </row>
    <row r="646" spans="1:19" ht="18.75" x14ac:dyDescent="0.25">
      <c r="A646" s="4">
        <v>651</v>
      </c>
      <c r="B646" s="5"/>
      <c r="C646" s="63" t="s">
        <v>1541</v>
      </c>
      <c r="D646" s="52" t="s">
        <v>1542</v>
      </c>
      <c r="E646" s="76" t="s">
        <v>1544</v>
      </c>
      <c r="F646" s="5" t="s">
        <v>64</v>
      </c>
      <c r="G646" s="21">
        <f>1/25</f>
        <v>0.04</v>
      </c>
      <c r="H646" s="22">
        <f>VLOOKUP($C646,'Master File June-26'!$C$3:$L$670,6,0)</f>
        <v>1</v>
      </c>
      <c r="I646" s="22">
        <f>VLOOKUP($C646,'Master File June-26'!$C$3:$L$670,7,0)</f>
        <v>25</v>
      </c>
      <c r="J646" s="5">
        <f>VLOOKUP($C646,'Master File June-26'!$C$3:$L$670,8,0)</f>
        <v>14</v>
      </c>
      <c r="K646" s="23">
        <f>VLOOKUP($C646,'Master File June-26'!$C$3:$L$670,9,0)</f>
        <v>12.5</v>
      </c>
      <c r="L646" s="58">
        <f>VLOOKUP($C646,'Master File June-26'!$C$3:$L$670,10,0)</f>
        <v>0</v>
      </c>
      <c r="M646" s="24">
        <f t="shared" si="40"/>
        <v>0</v>
      </c>
      <c r="N646" s="25" t="str">
        <f t="shared" si="41"/>
        <v>ORDER NOW</v>
      </c>
      <c r="O646" s="25" t="str">
        <f t="shared" si="42"/>
        <v>CRITICAL</v>
      </c>
      <c r="S646" s="79">
        <f t="shared" si="43"/>
        <v>0</v>
      </c>
    </row>
    <row r="647" spans="1:19" ht="18.75" x14ac:dyDescent="0.25">
      <c r="A647" s="39">
        <v>330</v>
      </c>
      <c r="B647" s="39" t="s">
        <v>239</v>
      </c>
      <c r="C647" s="39" t="s">
        <v>1545</v>
      </c>
      <c r="D647" s="27" t="s">
        <v>1546</v>
      </c>
      <c r="E647" s="31" t="s">
        <v>64</v>
      </c>
      <c r="F647" s="5" t="s">
        <v>49</v>
      </c>
      <c r="G647" s="21">
        <v>1</v>
      </c>
      <c r="H647" s="22">
        <f>VLOOKUP($C647,'Master File June-26'!$C$3:$L$670,6,0)</f>
        <v>1</v>
      </c>
      <c r="I647" s="22">
        <f>VLOOKUP($C647,'Master File June-26'!$C$3:$L$670,7,0)</f>
        <v>10</v>
      </c>
      <c r="J647" s="5">
        <f>VLOOKUP($C647,'Master File June-26'!$C$3:$L$670,8,0)</f>
        <v>14</v>
      </c>
      <c r="K647" s="23">
        <f>VLOOKUP($C647,'Master File June-26'!$C$3:$L$670,9,0)</f>
        <v>5</v>
      </c>
      <c r="L647" s="58">
        <f>VLOOKUP($C647,'Master File June-26'!$C$3:$L$670,10,0)</f>
        <v>0</v>
      </c>
      <c r="M647" s="24">
        <f t="shared" si="40"/>
        <v>0</v>
      </c>
      <c r="N647" s="25" t="str">
        <f t="shared" si="41"/>
        <v>ORDER NOW</v>
      </c>
      <c r="O647" s="25" t="str">
        <f t="shared" si="42"/>
        <v>CRITICAL</v>
      </c>
      <c r="S647" s="79">
        <f t="shared" si="43"/>
        <v>0</v>
      </c>
    </row>
    <row r="648" spans="1:19" ht="18.75" x14ac:dyDescent="0.25">
      <c r="A648" s="41">
        <v>339</v>
      </c>
      <c r="B648" s="41" t="s">
        <v>38</v>
      </c>
      <c r="C648" s="41" t="s">
        <v>1547</v>
      </c>
      <c r="D648" s="27" t="s">
        <v>1548</v>
      </c>
      <c r="E648" s="27" t="s">
        <v>1549</v>
      </c>
      <c r="F648" s="5" t="s">
        <v>22</v>
      </c>
      <c r="G648" s="21">
        <v>0.2</v>
      </c>
      <c r="H648" s="22">
        <f>VLOOKUP($C648,'Master File June-26'!$C$3:$L$670,6,0)</f>
        <v>1</v>
      </c>
      <c r="I648" s="22">
        <f>VLOOKUP($C648,'Master File June-26'!$C$3:$L$670,7,0)</f>
        <v>5</v>
      </c>
      <c r="J648" s="5">
        <f>VLOOKUP($C648,'Master File June-26'!$C$3:$L$670,8,0)</f>
        <v>14</v>
      </c>
      <c r="K648" s="23">
        <f>VLOOKUP($C648,'Master File June-26'!$C$3:$L$670,9,0)</f>
        <v>2.5</v>
      </c>
      <c r="L648" s="58">
        <f>VLOOKUP($C648,'Master File June-26'!$C$3:$L$670,10,0)</f>
        <v>10</v>
      </c>
      <c r="M648" s="24">
        <f t="shared" si="40"/>
        <v>60</v>
      </c>
      <c r="N648" s="25" t="str">
        <f t="shared" si="41"/>
        <v>IN STOCK</v>
      </c>
      <c r="O648" s="25" t="str">
        <f t="shared" si="42"/>
        <v>FOLLOW UP DELIVERY</v>
      </c>
      <c r="S648" s="79">
        <f t="shared" si="43"/>
        <v>1</v>
      </c>
    </row>
    <row r="649" spans="1:19" ht="18.75" x14ac:dyDescent="0.25">
      <c r="A649" s="4">
        <v>606</v>
      </c>
      <c r="B649" s="4" t="s">
        <v>104</v>
      </c>
      <c r="C649" s="4" t="s">
        <v>1550</v>
      </c>
      <c r="D649" s="71" t="s">
        <v>1551</v>
      </c>
      <c r="E649" s="31" t="s">
        <v>22</v>
      </c>
      <c r="F649" s="5" t="s">
        <v>22</v>
      </c>
      <c r="G649" s="21">
        <v>1</v>
      </c>
      <c r="H649" s="22">
        <f>VLOOKUP($C649,'Master File June-26'!$C$3:$L$670,6,0)</f>
        <v>1</v>
      </c>
      <c r="I649" s="22">
        <f>VLOOKUP($C649,'Master File June-26'!$C$3:$L$670,7,0)</f>
        <v>1</v>
      </c>
      <c r="J649" s="5">
        <f>VLOOKUP($C649,'Master File June-26'!$C$3:$L$670,8,0)</f>
        <v>14</v>
      </c>
      <c r="K649" s="23">
        <f>VLOOKUP($C649,'Master File June-26'!$C$3:$L$670,9,0)</f>
        <v>0.5</v>
      </c>
      <c r="L649" s="58">
        <f>VLOOKUP($C649,'Master File June-26'!$C$3:$L$670,10,0)</f>
        <v>0</v>
      </c>
      <c r="M649" s="24">
        <f t="shared" si="40"/>
        <v>0</v>
      </c>
      <c r="N649" s="25" t="str">
        <f t="shared" si="41"/>
        <v>ORDER NOW</v>
      </c>
      <c r="O649" s="25" t="str">
        <f t="shared" si="42"/>
        <v>CRITICAL</v>
      </c>
      <c r="S649" s="79">
        <f t="shared" si="43"/>
        <v>0</v>
      </c>
    </row>
    <row r="650" spans="1:19" ht="18.75" x14ac:dyDescent="0.25">
      <c r="A650" s="41">
        <v>476</v>
      </c>
      <c r="B650" s="41" t="s">
        <v>38</v>
      </c>
      <c r="C650" s="41" t="s">
        <v>1552</v>
      </c>
      <c r="D650" s="27" t="s">
        <v>1553</v>
      </c>
      <c r="E650" s="27" t="s">
        <v>1554</v>
      </c>
      <c r="F650" s="5" t="s">
        <v>22</v>
      </c>
      <c r="G650" s="21">
        <v>0.1</v>
      </c>
      <c r="H650" s="22">
        <f>VLOOKUP($C650,'Master File June-26'!$C$3:$L$670,6,0)</f>
        <v>59</v>
      </c>
      <c r="I650" s="22">
        <f>VLOOKUP($C650,'Master File June-26'!$C$3:$L$670,7,0)</f>
        <v>590</v>
      </c>
      <c r="J650" s="5">
        <f>VLOOKUP($C650,'Master File June-26'!$C$3:$L$670,8,0)</f>
        <v>14</v>
      </c>
      <c r="K650" s="23">
        <f>VLOOKUP($C650,'Master File June-26'!$C$3:$L$670,9,0)</f>
        <v>295</v>
      </c>
      <c r="L650" s="58">
        <f>VLOOKUP($C650,'Master File June-26'!$C$3:$L$670,10,0)</f>
        <v>30</v>
      </c>
      <c r="M650" s="24">
        <f t="shared" si="40"/>
        <v>1.5254237288135595</v>
      </c>
      <c r="N650" s="25" t="str">
        <f t="shared" si="41"/>
        <v>ORDER NOW</v>
      </c>
      <c r="O650" s="25" t="str">
        <f t="shared" si="42"/>
        <v>CRITICAL</v>
      </c>
      <c r="S650" s="79">
        <f t="shared" si="43"/>
        <v>0</v>
      </c>
    </row>
    <row r="651" spans="1:19" ht="18.75" x14ac:dyDescent="0.25">
      <c r="A651" s="41">
        <v>504</v>
      </c>
      <c r="B651" s="41" t="s">
        <v>38</v>
      </c>
      <c r="C651" s="41" t="s">
        <v>1555</v>
      </c>
      <c r="D651" s="27" t="s">
        <v>1556</v>
      </c>
      <c r="E651" s="27" t="s">
        <v>1557</v>
      </c>
      <c r="F651" s="5" t="s">
        <v>54</v>
      </c>
      <c r="G651" s="21">
        <v>0.1</v>
      </c>
      <c r="H651" s="22">
        <f>VLOOKUP($C651,'Master File June-26'!$C$3:$L$670,6,0)</f>
        <v>1</v>
      </c>
      <c r="I651" s="22">
        <f>VLOOKUP($C651,'Master File June-26'!$C$3:$L$670,7,0)</f>
        <v>10</v>
      </c>
      <c r="J651" s="5">
        <f>VLOOKUP($C651,'Master File June-26'!$C$3:$L$670,8,0)</f>
        <v>14</v>
      </c>
      <c r="K651" s="23">
        <f>VLOOKUP($C651,'Master File June-26'!$C$3:$L$670,9,0)</f>
        <v>5</v>
      </c>
      <c r="L651" s="58">
        <f>VLOOKUP($C651,'Master File June-26'!$C$3:$L$670,10,0)</f>
        <v>0</v>
      </c>
      <c r="M651" s="24">
        <f t="shared" si="40"/>
        <v>0</v>
      </c>
      <c r="N651" s="25" t="str">
        <f t="shared" si="41"/>
        <v>ORDER NOW</v>
      </c>
      <c r="O651" s="25" t="str">
        <f t="shared" si="42"/>
        <v>CRITICAL</v>
      </c>
      <c r="S651" s="79">
        <f t="shared" si="43"/>
        <v>0</v>
      </c>
    </row>
    <row r="652" spans="1:19" ht="18.75" x14ac:dyDescent="0.25">
      <c r="A652" s="41">
        <v>511</v>
      </c>
      <c r="B652" s="41" t="s">
        <v>38</v>
      </c>
      <c r="C652" s="41" t="s">
        <v>1558</v>
      </c>
      <c r="D652" s="27" t="s">
        <v>1559</v>
      </c>
      <c r="E652" s="27" t="s">
        <v>1310</v>
      </c>
      <c r="F652" s="5" t="s">
        <v>22</v>
      </c>
      <c r="G652" s="21">
        <v>8.3333333333333329E-2</v>
      </c>
      <c r="H652" s="22">
        <f>VLOOKUP($C652,'Master File June-26'!$C$3:$L$670,6,0)</f>
        <v>12</v>
      </c>
      <c r="I652" s="22">
        <f>VLOOKUP($C652,'Master File June-26'!$C$3:$L$670,7,0)</f>
        <v>144</v>
      </c>
      <c r="J652" s="5">
        <f>VLOOKUP($C652,'Master File June-26'!$C$3:$L$670,8,0)</f>
        <v>14</v>
      </c>
      <c r="K652" s="23">
        <f>VLOOKUP($C652,'Master File June-26'!$C$3:$L$670,9,0)</f>
        <v>72</v>
      </c>
      <c r="L652" s="58">
        <f>VLOOKUP($C652,'Master File June-26'!$C$3:$L$670,10,0)</f>
        <v>0</v>
      </c>
      <c r="M652" s="24">
        <f t="shared" si="40"/>
        <v>0</v>
      </c>
      <c r="N652" s="25" t="str">
        <f t="shared" si="41"/>
        <v>ORDER NOW</v>
      </c>
      <c r="O652" s="25" t="str">
        <f t="shared" si="42"/>
        <v>CRITICAL</v>
      </c>
      <c r="S652" s="79">
        <f t="shared" si="43"/>
        <v>0</v>
      </c>
    </row>
    <row r="653" spans="1:19" ht="18.75" x14ac:dyDescent="0.25">
      <c r="A653" s="19">
        <v>68</v>
      </c>
      <c r="B653" s="19" t="s">
        <v>18</v>
      </c>
      <c r="C653" s="19" t="s">
        <v>1560</v>
      </c>
      <c r="D653" s="27" t="s">
        <v>1561</v>
      </c>
      <c r="E653" s="27" t="s">
        <v>873</v>
      </c>
      <c r="F653" s="5" t="s">
        <v>22</v>
      </c>
      <c r="G653" s="21">
        <v>2E-3</v>
      </c>
      <c r="H653" s="22">
        <f>VLOOKUP($C653,'Master File June-26'!$C$3:$L$670,6,0)</f>
        <v>38.5</v>
      </c>
      <c r="I653" s="22">
        <f>VLOOKUP($C653,'Master File June-26'!$C$3:$L$670,7,0)</f>
        <v>19250</v>
      </c>
      <c r="J653" s="5">
        <f>VLOOKUP($C653,'Master File June-26'!$C$3:$L$670,8,0)</f>
        <v>14</v>
      </c>
      <c r="K653" s="23">
        <f>VLOOKUP($C653,'Master File June-26'!$C$3:$L$670,9,0)</f>
        <v>9625</v>
      </c>
      <c r="L653" s="58">
        <f>VLOOKUP($C653,'Master File June-26'!$C$3:$L$670,10,0)</f>
        <v>5500</v>
      </c>
      <c r="M653" s="24">
        <f t="shared" si="40"/>
        <v>8.5714285714285712</v>
      </c>
      <c r="N653" s="25" t="str">
        <f t="shared" si="41"/>
        <v>ORDER NOW</v>
      </c>
      <c r="O653" s="25" t="str">
        <f t="shared" si="42"/>
        <v>CRITICAL</v>
      </c>
      <c r="R653" t="s">
        <v>30</v>
      </c>
      <c r="S653" s="79">
        <f t="shared" si="43"/>
        <v>0</v>
      </c>
    </row>
    <row r="654" spans="1:19" ht="18.75" x14ac:dyDescent="0.25">
      <c r="A654" s="41">
        <v>396</v>
      </c>
      <c r="B654" s="41" t="s">
        <v>38</v>
      </c>
      <c r="C654" s="41" t="s">
        <v>1562</v>
      </c>
      <c r="D654" s="27" t="s">
        <v>1563</v>
      </c>
      <c r="E654" s="27" t="s">
        <v>1564</v>
      </c>
      <c r="F654" s="5" t="s">
        <v>49</v>
      </c>
      <c r="G654" s="21">
        <f>1/(12*0.7)</f>
        <v>0.11904761904761907</v>
      </c>
      <c r="H654" s="22">
        <f>VLOOKUP($C654,'Master File June-26'!$C$3:$L$670,6,0)</f>
        <v>8</v>
      </c>
      <c r="I654" s="22">
        <f>VLOOKUP($C654,'Master File June-26'!$C$3:$L$670,7,0)</f>
        <v>67.199999999999989</v>
      </c>
      <c r="J654" s="5">
        <f>VLOOKUP($C654,'Master File June-26'!$C$3:$L$670,8,0)</f>
        <v>14</v>
      </c>
      <c r="K654" s="23">
        <f>VLOOKUP($C654,'Master File June-26'!$C$3:$L$670,9,0)</f>
        <v>33.599999999999994</v>
      </c>
      <c r="L654" s="58">
        <f>VLOOKUP($C654,'Master File June-26'!$C$3:$L$670,10,0)</f>
        <v>0</v>
      </c>
      <c r="M654" s="24">
        <f t="shared" si="40"/>
        <v>0</v>
      </c>
      <c r="N654" s="25" t="str">
        <f t="shared" si="41"/>
        <v>ORDER NOW</v>
      </c>
      <c r="O654" s="25" t="str">
        <f t="shared" si="42"/>
        <v>CRITICAL</v>
      </c>
      <c r="S654" s="79">
        <f t="shared" si="43"/>
        <v>0</v>
      </c>
    </row>
    <row r="655" spans="1:19" ht="18.75" x14ac:dyDescent="0.25">
      <c r="A655" s="19">
        <v>165</v>
      </c>
      <c r="B655" s="19" t="s">
        <v>18</v>
      </c>
      <c r="C655" s="19" t="s">
        <v>1565</v>
      </c>
      <c r="D655" s="27" t="s">
        <v>1566</v>
      </c>
      <c r="E655" s="27" t="s">
        <v>183</v>
      </c>
      <c r="F655" s="5" t="s">
        <v>22</v>
      </c>
      <c r="G655" s="21">
        <f>1/200</f>
        <v>5.0000000000000001E-3</v>
      </c>
      <c r="H655" s="22">
        <f>VLOOKUP($C655,'Master File June-26'!$C$3:$L$670,6,0)</f>
        <v>5</v>
      </c>
      <c r="I655" s="22">
        <f>VLOOKUP($C655,'Master File June-26'!$C$3:$L$670,7,0)</f>
        <v>1000</v>
      </c>
      <c r="J655" s="5">
        <f>VLOOKUP($C655,'Master File June-26'!$C$3:$L$670,8,0)</f>
        <v>14</v>
      </c>
      <c r="K655" s="23">
        <f>VLOOKUP($C655,'Master File June-26'!$C$3:$L$670,9,0)</f>
        <v>500</v>
      </c>
      <c r="L655" s="58">
        <f>VLOOKUP($C655,'Master File June-26'!$C$3:$L$670,10,0)</f>
        <v>0</v>
      </c>
      <c r="M655" s="24">
        <f t="shared" si="40"/>
        <v>0</v>
      </c>
      <c r="N655" s="25" t="str">
        <f t="shared" si="41"/>
        <v>ORDER NOW</v>
      </c>
      <c r="O655" s="25" t="str">
        <f t="shared" si="42"/>
        <v>CRITICAL</v>
      </c>
      <c r="S655" s="79">
        <f t="shared" si="43"/>
        <v>0</v>
      </c>
    </row>
    <row r="656" spans="1:19" ht="18.75" x14ac:dyDescent="0.25">
      <c r="A656" s="19">
        <v>126</v>
      </c>
      <c r="B656" s="19" t="s">
        <v>18</v>
      </c>
      <c r="C656" s="19" t="s">
        <v>1567</v>
      </c>
      <c r="D656" s="27" t="s">
        <v>1568</v>
      </c>
      <c r="E656" s="27" t="s">
        <v>1569</v>
      </c>
      <c r="F656" s="5" t="s">
        <v>22</v>
      </c>
      <c r="G656" s="21">
        <f>1/4900</f>
        <v>2.0408163265306123E-4</v>
      </c>
      <c r="H656" s="22">
        <f>VLOOKUP($C656,'Master File June-26'!$C$3:$L$670,6,0)</f>
        <v>2</v>
      </c>
      <c r="I656" s="22">
        <f>VLOOKUP($C656,'Master File June-26'!$C$3:$L$670,7,0)</f>
        <v>9800</v>
      </c>
      <c r="J656" s="5">
        <f>VLOOKUP($C656,'Master File June-26'!$C$3:$L$670,8,0)</f>
        <v>14</v>
      </c>
      <c r="K656" s="23">
        <f>VLOOKUP($C656,'Master File June-26'!$C$3:$L$670,9,0)</f>
        <v>4900</v>
      </c>
      <c r="L656" s="58">
        <f>VLOOKUP($C656,'Master File June-26'!$C$3:$L$670,10,0)</f>
        <v>0</v>
      </c>
      <c r="M656" s="24">
        <f t="shared" si="40"/>
        <v>0</v>
      </c>
      <c r="N656" s="25" t="str">
        <f t="shared" si="41"/>
        <v>ORDER NOW</v>
      </c>
      <c r="O656" s="25" t="str">
        <f t="shared" si="42"/>
        <v>CRITICAL</v>
      </c>
      <c r="R656" t="s">
        <v>30</v>
      </c>
      <c r="S656" s="79">
        <f t="shared" si="43"/>
        <v>0</v>
      </c>
    </row>
    <row r="657" spans="1:19" ht="18.75" x14ac:dyDescent="0.25">
      <c r="A657" s="19">
        <v>33</v>
      </c>
      <c r="B657" s="19" t="s">
        <v>18</v>
      </c>
      <c r="C657" s="19" t="s">
        <v>1570</v>
      </c>
      <c r="D657" s="27" t="s">
        <v>1571</v>
      </c>
      <c r="E657" s="27" t="s">
        <v>167</v>
      </c>
      <c r="F657" s="5" t="s">
        <v>22</v>
      </c>
      <c r="G657" s="21">
        <v>1E-3</v>
      </c>
      <c r="H657" s="22">
        <f>VLOOKUP($C657,'Master File June-26'!$C$3:$L$670,6,0)</f>
        <v>11</v>
      </c>
      <c r="I657" s="22">
        <f>VLOOKUP($C657,'Master File June-26'!$C$3:$L$670,7,0)</f>
        <v>11000</v>
      </c>
      <c r="J657" s="5">
        <f>VLOOKUP($C657,'Master File June-26'!$C$3:$L$670,8,0)</f>
        <v>60</v>
      </c>
      <c r="K657" s="23">
        <f>VLOOKUP($C657,'Master File June-26'!$C$3:$L$670,9,0)</f>
        <v>23571.428571428572</v>
      </c>
      <c r="L657" s="58">
        <f>VLOOKUP($C657,'Master File June-26'!$C$3:$L$670,10,0)</f>
        <v>0</v>
      </c>
      <c r="M657" s="24">
        <f t="shared" si="40"/>
        <v>0</v>
      </c>
      <c r="N657" s="25" t="str">
        <f t="shared" si="41"/>
        <v>ORDER NOW</v>
      </c>
      <c r="O657" s="25" t="str">
        <f t="shared" si="42"/>
        <v>CRITICAL</v>
      </c>
      <c r="R657" t="s">
        <v>30</v>
      </c>
      <c r="S657" s="79">
        <f t="shared" si="43"/>
        <v>0</v>
      </c>
    </row>
    <row r="658" spans="1:19" ht="18.75" x14ac:dyDescent="0.25">
      <c r="A658" s="39">
        <v>272</v>
      </c>
      <c r="B658" s="39" t="s">
        <v>157</v>
      </c>
      <c r="C658" s="39" t="s">
        <v>1572</v>
      </c>
      <c r="D658" s="27" t="s">
        <v>1573</v>
      </c>
      <c r="E658" s="27" t="s">
        <v>160</v>
      </c>
      <c r="F658" s="5" t="s">
        <v>49</v>
      </c>
      <c r="G658" s="21">
        <v>1</v>
      </c>
      <c r="H658" s="22">
        <f>VLOOKUP($C658,'Master File June-26'!$C$3:$L$670,6,0)</f>
        <v>11</v>
      </c>
      <c r="I658" s="22">
        <f>VLOOKUP($C658,'Master File June-26'!$C$3:$L$670,7,0)</f>
        <v>11</v>
      </c>
      <c r="J658" s="5">
        <f>VLOOKUP($C658,'Master File June-26'!$C$3:$L$670,8,0)</f>
        <v>14</v>
      </c>
      <c r="K658" s="23">
        <f>VLOOKUP($C658,'Master File June-26'!$C$3:$L$670,9,0)</f>
        <v>5.5</v>
      </c>
      <c r="L658" s="58">
        <f>VLOOKUP($C658,'Master File June-26'!$C$3:$L$670,10,0)</f>
        <v>0</v>
      </c>
      <c r="M658" s="24">
        <f t="shared" si="40"/>
        <v>0</v>
      </c>
      <c r="N658" s="25" t="str">
        <f t="shared" si="41"/>
        <v>ORDER NOW</v>
      </c>
      <c r="O658" s="25" t="str">
        <f t="shared" si="42"/>
        <v>CRITICAL</v>
      </c>
      <c r="S658" s="79">
        <f t="shared" si="43"/>
        <v>0</v>
      </c>
    </row>
    <row r="659" spans="1:19" ht="18.75" x14ac:dyDescent="0.25">
      <c r="A659" s="39">
        <v>325</v>
      </c>
      <c r="B659" s="39" t="s">
        <v>157</v>
      </c>
      <c r="C659" s="39" t="s">
        <v>1574</v>
      </c>
      <c r="D659" s="37" t="s">
        <v>1575</v>
      </c>
      <c r="E659" s="31" t="s">
        <v>22</v>
      </c>
      <c r="F659" s="5" t="s">
        <v>22</v>
      </c>
      <c r="G659" s="21">
        <v>1</v>
      </c>
      <c r="H659" s="22">
        <f>VLOOKUP($C659,'Master File June-26'!$C$3:$L$670,6,0)</f>
        <v>1</v>
      </c>
      <c r="I659" s="22">
        <f>VLOOKUP($C659,'Master File June-26'!$C$3:$L$670,7,0)</f>
        <v>1500</v>
      </c>
      <c r="J659" s="5">
        <f>VLOOKUP($C659,'Master File June-26'!$C$3:$L$670,8,0)</f>
        <v>14</v>
      </c>
      <c r="K659" s="23">
        <f>VLOOKUP($C659,'Master File June-26'!$C$3:$L$670,9,0)</f>
        <v>750</v>
      </c>
      <c r="L659" s="58">
        <f>VLOOKUP($C659,'Master File June-26'!$C$3:$L$670,10,0)</f>
        <v>0</v>
      </c>
      <c r="M659" s="24">
        <f t="shared" si="40"/>
        <v>0</v>
      </c>
      <c r="N659" s="25" t="str">
        <f t="shared" si="41"/>
        <v>ORDER NOW</v>
      </c>
      <c r="O659" s="25" t="str">
        <f t="shared" si="42"/>
        <v>CRITICAL</v>
      </c>
      <c r="S659" s="79">
        <f t="shared" si="43"/>
        <v>0</v>
      </c>
    </row>
    <row r="660" spans="1:19" ht="18.75" x14ac:dyDescent="0.25">
      <c r="A660" s="41">
        <v>533</v>
      </c>
      <c r="B660" s="41" t="s">
        <v>104</v>
      </c>
      <c r="C660" s="41" t="s">
        <v>1576</v>
      </c>
      <c r="D660" s="37" t="s">
        <v>1577</v>
      </c>
      <c r="E660" s="31" t="s">
        <v>22</v>
      </c>
      <c r="F660" s="5" t="s">
        <v>22</v>
      </c>
      <c r="G660" s="21">
        <v>0.13333333333333333</v>
      </c>
      <c r="H660" s="22">
        <f>VLOOKUP($C660,'Master File June-26'!$C$3:$L$670,6,0)</f>
        <v>1</v>
      </c>
      <c r="I660" s="22">
        <f>VLOOKUP($C660,'Master File June-26'!$C$3:$L$670,7,0)</f>
        <v>7.5</v>
      </c>
      <c r="J660" s="5">
        <f>VLOOKUP($C660,'Master File June-26'!$C$3:$L$670,8,0)</f>
        <v>14</v>
      </c>
      <c r="K660" s="23">
        <f>VLOOKUP($C660,'Master File June-26'!$C$3:$L$670,9,0)</f>
        <v>3.75</v>
      </c>
      <c r="L660" s="58">
        <f>VLOOKUP($C660,'Master File June-26'!$C$3:$L$670,10,0)</f>
        <v>0</v>
      </c>
      <c r="M660" s="24">
        <f t="shared" si="40"/>
        <v>0</v>
      </c>
      <c r="N660" s="25" t="str">
        <f t="shared" si="41"/>
        <v>ORDER NOW</v>
      </c>
      <c r="O660" s="25" t="str">
        <f t="shared" si="42"/>
        <v>CRITICAL</v>
      </c>
      <c r="S660" s="79">
        <f t="shared" si="43"/>
        <v>0</v>
      </c>
    </row>
    <row r="661" spans="1:19" ht="18.75" x14ac:dyDescent="0.25">
      <c r="A661" s="39">
        <v>326</v>
      </c>
      <c r="B661" s="39" t="s">
        <v>157</v>
      </c>
      <c r="C661" s="39" t="s">
        <v>1578</v>
      </c>
      <c r="D661" s="37" t="s">
        <v>1579</v>
      </c>
      <c r="E661" s="31" t="s">
        <v>22</v>
      </c>
      <c r="F661" s="5" t="s">
        <v>22</v>
      </c>
      <c r="G661" s="21">
        <v>1</v>
      </c>
      <c r="H661" s="22">
        <f>VLOOKUP($C661,'Master File June-26'!$C$3:$L$670,6,0)</f>
        <v>1</v>
      </c>
      <c r="I661" s="22">
        <f>VLOOKUP($C661,'Master File June-26'!$C$3:$L$670,7,0)</f>
        <v>1200</v>
      </c>
      <c r="J661" s="5">
        <f>VLOOKUP($C661,'Master File June-26'!$C$3:$L$670,8,0)</f>
        <v>14</v>
      </c>
      <c r="K661" s="23">
        <f>VLOOKUP($C661,'Master File June-26'!$C$3:$L$670,9,0)</f>
        <v>600</v>
      </c>
      <c r="L661" s="58">
        <f>VLOOKUP($C661,'Master File June-26'!$C$3:$L$670,10,0)</f>
        <v>0</v>
      </c>
      <c r="M661" s="24">
        <f t="shared" si="40"/>
        <v>0</v>
      </c>
      <c r="N661" s="25" t="str">
        <f t="shared" si="41"/>
        <v>ORDER NOW</v>
      </c>
      <c r="O661" s="25" t="str">
        <f t="shared" si="42"/>
        <v>CRITICAL</v>
      </c>
      <c r="S661" s="79">
        <f t="shared" si="43"/>
        <v>0</v>
      </c>
    </row>
    <row r="662" spans="1:19" ht="18.75" x14ac:dyDescent="0.25">
      <c r="A662" s="39">
        <v>331</v>
      </c>
      <c r="B662" s="39" t="s">
        <v>157</v>
      </c>
      <c r="C662" s="39" t="s">
        <v>1580</v>
      </c>
      <c r="D662" s="75" t="s">
        <v>1581</v>
      </c>
      <c r="E662" s="31" t="s">
        <v>22</v>
      </c>
      <c r="F662" s="5" t="s">
        <v>22</v>
      </c>
      <c r="G662" s="21">
        <v>1E-3</v>
      </c>
      <c r="H662" s="22">
        <f>VLOOKUP($C662,'Master File June-26'!$C$3:$L$670,6,0)</f>
        <v>5</v>
      </c>
      <c r="I662" s="22">
        <f>VLOOKUP($C662,'Master File June-26'!$C$3:$L$670,7,0)</f>
        <v>5000</v>
      </c>
      <c r="J662" s="5">
        <f>VLOOKUP($C662,'Master File June-26'!$C$3:$L$670,8,0)</f>
        <v>14</v>
      </c>
      <c r="K662" s="23">
        <f>VLOOKUP($C662,'Master File June-26'!$C$3:$L$670,9,0)</f>
        <v>2500</v>
      </c>
      <c r="L662" s="58">
        <f>VLOOKUP($C662,'Master File June-26'!$C$3:$L$670,10,0)</f>
        <v>0</v>
      </c>
      <c r="M662" s="24">
        <f t="shared" si="40"/>
        <v>0</v>
      </c>
      <c r="N662" s="25" t="str">
        <f t="shared" si="41"/>
        <v>ORDER NOW</v>
      </c>
      <c r="O662" s="25" t="str">
        <f t="shared" si="42"/>
        <v>CRITICAL</v>
      </c>
      <c r="S662" s="79">
        <f t="shared" si="43"/>
        <v>0</v>
      </c>
    </row>
    <row r="663" spans="1:19" ht="18.75" x14ac:dyDescent="0.25">
      <c r="A663" s="41">
        <v>502</v>
      </c>
      <c r="B663" s="41" t="s">
        <v>38</v>
      </c>
      <c r="C663" s="41" t="s">
        <v>1582</v>
      </c>
      <c r="D663" s="27" t="s">
        <v>1583</v>
      </c>
      <c r="E663" s="27" t="s">
        <v>1244</v>
      </c>
      <c r="F663" s="5" t="s">
        <v>22</v>
      </c>
      <c r="G663" s="21">
        <v>0.2</v>
      </c>
      <c r="H663" s="22">
        <f>VLOOKUP($C663,'Master File June-26'!$C$3:$L$670,6,0)</f>
        <v>1</v>
      </c>
      <c r="I663" s="22">
        <f>VLOOKUP($C663,'Master File June-26'!$C$3:$L$670,7,0)</f>
        <v>5</v>
      </c>
      <c r="J663" s="5">
        <f>VLOOKUP($C663,'Master File June-26'!$C$3:$L$670,8,0)</f>
        <v>14</v>
      </c>
      <c r="K663" s="23">
        <f>VLOOKUP($C663,'Master File June-26'!$C$3:$L$670,9,0)</f>
        <v>2.5</v>
      </c>
      <c r="L663" s="58">
        <f>VLOOKUP($C663,'Master File June-26'!$C$3:$L$670,10,0)</f>
        <v>6</v>
      </c>
      <c r="M663" s="24">
        <f t="shared" si="40"/>
        <v>36</v>
      </c>
      <c r="N663" s="25" t="str">
        <f t="shared" si="41"/>
        <v>IN STOCK</v>
      </c>
      <c r="O663" s="25" t="str">
        <f t="shared" si="42"/>
        <v>FOLLOW UP DELIVERY</v>
      </c>
      <c r="S663" s="79">
        <f t="shared" si="43"/>
        <v>1</v>
      </c>
    </row>
    <row r="664" spans="1:19" ht="18.75" x14ac:dyDescent="0.25">
      <c r="A664" s="41">
        <v>521</v>
      </c>
      <c r="B664" s="41" t="s">
        <v>38</v>
      </c>
      <c r="C664" s="41" t="s">
        <v>1584</v>
      </c>
      <c r="D664" s="27" t="s">
        <v>1585</v>
      </c>
      <c r="E664" s="27" t="s">
        <v>1586</v>
      </c>
      <c r="F664" s="5" t="s">
        <v>22</v>
      </c>
      <c r="G664" s="21">
        <f>1/(48*0.04)</f>
        <v>0.52083333333333337</v>
      </c>
      <c r="H664" s="22">
        <f>VLOOKUP($C664,'Master File June-26'!$C$3:$L$670,6,0)</f>
        <v>10</v>
      </c>
      <c r="I664" s="22">
        <f>VLOOKUP($C664,'Master File June-26'!$C$3:$L$670,7,0)</f>
        <v>19.2</v>
      </c>
      <c r="J664" s="5">
        <f>VLOOKUP($C664,'Master File June-26'!$C$3:$L$670,8,0)</f>
        <v>14</v>
      </c>
      <c r="K664" s="23">
        <f>VLOOKUP($C664,'Master File June-26'!$C$3:$L$670,9,0)</f>
        <v>9.6</v>
      </c>
      <c r="L664" s="58">
        <f>VLOOKUP($C664,'Master File June-26'!$C$3:$L$670,10,0)</f>
        <v>0</v>
      </c>
      <c r="M664" s="24">
        <f t="shared" si="40"/>
        <v>0</v>
      </c>
      <c r="N664" s="25" t="str">
        <f t="shared" si="41"/>
        <v>ORDER NOW</v>
      </c>
      <c r="O664" s="25" t="str">
        <f t="shared" si="42"/>
        <v>CRITICAL</v>
      </c>
      <c r="S664" s="79">
        <f t="shared" si="43"/>
        <v>0</v>
      </c>
    </row>
    <row r="665" spans="1:19" ht="18.75" x14ac:dyDescent="0.25">
      <c r="A665" s="19">
        <v>151</v>
      </c>
      <c r="B665" s="19" t="s">
        <v>18</v>
      </c>
      <c r="C665" s="19" t="s">
        <v>1587</v>
      </c>
      <c r="D665" s="29" t="s">
        <v>1588</v>
      </c>
      <c r="E665" s="27" t="s">
        <v>1589</v>
      </c>
      <c r="F665" s="5" t="s">
        <v>22</v>
      </c>
      <c r="G665" s="21">
        <f>1/500</f>
        <v>2E-3</v>
      </c>
      <c r="H665" s="22">
        <f>VLOOKUP($C665,'Master File June-26'!$C$3:$L$670,6,0)</f>
        <v>60</v>
      </c>
      <c r="I665" s="22">
        <f>VLOOKUP($C665,'Master File June-26'!$C$3:$L$670,7,0)</f>
        <v>30000</v>
      </c>
      <c r="J665" s="5">
        <f>VLOOKUP($C665,'Master File June-26'!$C$3:$L$670,8,0)</f>
        <v>14</v>
      </c>
      <c r="K665" s="23">
        <f>VLOOKUP($C665,'Master File June-26'!$C$3:$L$670,9,0)</f>
        <v>15000</v>
      </c>
      <c r="L665" s="58">
        <f>VLOOKUP($C665,'Master File June-26'!$C$3:$L$670,10,0)</f>
        <v>5</v>
      </c>
      <c r="M665" s="24">
        <f t="shared" si="40"/>
        <v>5.0000000000000001E-3</v>
      </c>
      <c r="N665" s="25" t="str">
        <f t="shared" si="41"/>
        <v>ORDER NOW</v>
      </c>
      <c r="O665" s="25" t="str">
        <f t="shared" si="42"/>
        <v>CRITICAL</v>
      </c>
      <c r="R665" t="s">
        <v>30</v>
      </c>
      <c r="S665" s="79">
        <f t="shared" si="43"/>
        <v>0</v>
      </c>
    </row>
    <row r="666" spans="1:19" ht="18.75" x14ac:dyDescent="0.25">
      <c r="A666" s="19">
        <v>176</v>
      </c>
      <c r="B666" s="19" t="s">
        <v>18</v>
      </c>
      <c r="C666" s="19" t="s">
        <v>1590</v>
      </c>
      <c r="D666" s="37" t="s">
        <v>1591</v>
      </c>
      <c r="E666" s="31" t="s">
        <v>22</v>
      </c>
      <c r="F666" s="5" t="s">
        <v>22</v>
      </c>
      <c r="G666" s="21">
        <v>1E-3</v>
      </c>
      <c r="H666" s="22">
        <f>VLOOKUP($C666,'Master File June-26'!$C$3:$L$670,6,0)</f>
        <v>2</v>
      </c>
      <c r="I666" s="22">
        <f>VLOOKUP($C666,'Master File June-26'!$C$3:$L$670,7,0)</f>
        <v>2000</v>
      </c>
      <c r="J666" s="5">
        <f>VLOOKUP($C666,'Master File June-26'!$C$3:$L$670,8,0)</f>
        <v>14</v>
      </c>
      <c r="K666" s="23">
        <f>VLOOKUP($C666,'Master File June-26'!$C$3:$L$670,9,0)</f>
        <v>1000</v>
      </c>
      <c r="L666" s="58">
        <f>VLOOKUP($C666,'Master File June-26'!$C$3:$L$670,10,0)</f>
        <v>1000</v>
      </c>
      <c r="M666" s="24">
        <f t="shared" si="40"/>
        <v>15</v>
      </c>
      <c r="N666" s="25" t="str">
        <f t="shared" si="41"/>
        <v>IN STOCK</v>
      </c>
      <c r="O666" s="25" t="str">
        <f t="shared" si="42"/>
        <v>FOLLOW UP DELIVERY</v>
      </c>
      <c r="S666" s="79">
        <f t="shared" si="43"/>
        <v>1</v>
      </c>
    </row>
    <row r="667" spans="1:19" ht="18.75" x14ac:dyDescent="0.25">
      <c r="A667" s="41">
        <v>567</v>
      </c>
      <c r="B667" s="41" t="s">
        <v>38</v>
      </c>
      <c r="C667" s="41" t="s">
        <v>1592</v>
      </c>
      <c r="D667" s="27" t="s">
        <v>1593</v>
      </c>
      <c r="E667" s="31" t="s">
        <v>606</v>
      </c>
      <c r="F667" s="5" t="s">
        <v>22</v>
      </c>
      <c r="G667" s="21">
        <v>1</v>
      </c>
      <c r="H667" s="22">
        <f>VLOOKUP($C667,'Master File June-26'!$C$3:$L$670,6,0)</f>
        <v>2</v>
      </c>
      <c r="I667" s="22">
        <f>VLOOKUP($C667,'Master File June-26'!$C$3:$L$670,7,0)</f>
        <v>15.36</v>
      </c>
      <c r="J667" s="5">
        <f>VLOOKUP($C667,'Master File June-26'!$C$3:$L$670,8,0)</f>
        <v>14</v>
      </c>
      <c r="K667" s="23">
        <f>VLOOKUP($C667,'Master File June-26'!$C$3:$L$670,9,0)</f>
        <v>7.68</v>
      </c>
      <c r="L667" s="58">
        <f>VLOOKUP($C667,'Master File June-26'!$C$3:$L$670,10,0)</f>
        <v>0</v>
      </c>
      <c r="M667" s="24">
        <f t="shared" si="40"/>
        <v>0</v>
      </c>
      <c r="N667" s="25" t="str">
        <f t="shared" si="41"/>
        <v>ORDER NOW</v>
      </c>
      <c r="O667" s="25" t="str">
        <f t="shared" si="42"/>
        <v>CRITICAL</v>
      </c>
      <c r="S667" s="79">
        <f t="shared" si="43"/>
        <v>0</v>
      </c>
    </row>
    <row r="668" spans="1:19" x14ac:dyDescent="0.25">
      <c r="S668" s="80">
        <f>SUBTOTAL(9,S3:S667)</f>
        <v>145</v>
      </c>
    </row>
    <row r="669" spans="1:19" x14ac:dyDescent="0.25">
      <c r="S669" s="80">
        <f>S668/671</f>
        <v>0.21609538002980627</v>
      </c>
    </row>
  </sheetData>
  <autoFilter ref="A2:S667" xr:uid="{B11DFF94-780E-4DF5-8998-57CEA0D98129}">
    <sortState xmlns:xlrd2="http://schemas.microsoft.com/office/spreadsheetml/2017/richdata2" ref="A3:S667">
      <sortCondition ref="M2:M667"/>
    </sortState>
  </autoFilter>
  <mergeCells count="2">
    <mergeCell ref="H1:I1"/>
    <mergeCell ref="M1:O1"/>
  </mergeCells>
  <conditionalFormatting sqref="B2">
    <cfRule type="duplicateValues" dxfId="622" priority="34"/>
  </conditionalFormatting>
  <conditionalFormatting sqref="B2:C2">
    <cfRule type="duplicateValues" dxfId="621" priority="41"/>
    <cfRule type="duplicateValues" dxfId="620" priority="42"/>
  </conditionalFormatting>
  <conditionalFormatting sqref="C1:C2">
    <cfRule type="duplicateValues" dxfId="619" priority="38"/>
  </conditionalFormatting>
  <conditionalFormatting sqref="C8:D8">
    <cfRule type="duplicateValues" dxfId="618" priority="16"/>
  </conditionalFormatting>
  <conditionalFormatting sqref="C627:D640 D614:D626">
    <cfRule type="duplicateValues" dxfId="617" priority="20"/>
  </conditionalFormatting>
  <conditionalFormatting sqref="C627:D646 C7:D8 D614:D626">
    <cfRule type="duplicateValues" dxfId="616" priority="18"/>
  </conditionalFormatting>
  <conditionalFormatting sqref="C641:D646 C7:D8">
    <cfRule type="duplicateValues" dxfId="615" priority="17"/>
  </conditionalFormatting>
  <conditionalFormatting sqref="D1:D2">
    <cfRule type="duplicateValues" dxfId="614" priority="39"/>
  </conditionalFormatting>
  <conditionalFormatting sqref="D3:D6 D9:D26 D28:D167">
    <cfRule type="duplicateValues" dxfId="613" priority="4026"/>
  </conditionalFormatting>
  <conditionalFormatting sqref="D3:D6 D9:D26 D28:D183">
    <cfRule type="duplicateValues" dxfId="612" priority="4030"/>
  </conditionalFormatting>
  <conditionalFormatting sqref="D27">
    <cfRule type="duplicateValues" dxfId="611" priority="47"/>
    <cfRule type="duplicateValues" dxfId="610" priority="48"/>
    <cfRule type="duplicateValues" dxfId="609" priority="49"/>
    <cfRule type="duplicateValues" dxfId="608" priority="50"/>
    <cfRule type="duplicateValues" dxfId="607" priority="51"/>
    <cfRule type="duplicateValues" dxfId="606" priority="52"/>
    <cfRule type="duplicateValues" dxfId="605" priority="53"/>
  </conditionalFormatting>
  <conditionalFormatting sqref="D170:D177 D3:D6 D9:D26 D28:D167">
    <cfRule type="duplicateValues" dxfId="604" priority="54"/>
  </conditionalFormatting>
  <conditionalFormatting sqref="D178">
    <cfRule type="duplicateValues" dxfId="603" priority="44"/>
  </conditionalFormatting>
  <conditionalFormatting sqref="D178:D183">
    <cfRule type="duplicateValues" dxfId="602" priority="46"/>
  </conditionalFormatting>
  <conditionalFormatting sqref="D179">
    <cfRule type="duplicateValues" dxfId="601" priority="43"/>
  </conditionalFormatting>
  <conditionalFormatting sqref="D180:D183">
    <cfRule type="duplicateValues" dxfId="600" priority="45"/>
  </conditionalFormatting>
  <conditionalFormatting sqref="D184:D322">
    <cfRule type="duplicateValues" dxfId="599" priority="4035"/>
  </conditionalFormatting>
  <conditionalFormatting sqref="D184:D329">
    <cfRule type="duplicateValues" dxfId="598" priority="4037"/>
    <cfRule type="duplicateValues" dxfId="597" priority="4038"/>
  </conditionalFormatting>
  <conditionalFormatting sqref="D330:D523">
    <cfRule type="duplicateValues" dxfId="596" priority="32"/>
  </conditionalFormatting>
  <conditionalFormatting sqref="D330:D568">
    <cfRule type="duplicateValues" dxfId="595" priority="33"/>
  </conditionalFormatting>
  <conditionalFormatting sqref="D330:D576">
    <cfRule type="duplicateValues" dxfId="594" priority="31"/>
  </conditionalFormatting>
  <conditionalFormatting sqref="D571:D576 D569">
    <cfRule type="duplicateValues" dxfId="593" priority="30"/>
  </conditionalFormatting>
  <conditionalFormatting sqref="D577:D591">
    <cfRule type="duplicateValues" dxfId="592" priority="28"/>
  </conditionalFormatting>
  <conditionalFormatting sqref="D577:D596">
    <cfRule type="duplicateValues" dxfId="591" priority="27"/>
    <cfRule type="duplicateValues" dxfId="590" priority="29"/>
  </conditionalFormatting>
  <conditionalFormatting sqref="D597:D601">
    <cfRule type="duplicateValues" dxfId="589" priority="25"/>
  </conditionalFormatting>
  <conditionalFormatting sqref="D597:D604">
    <cfRule type="duplicateValues" dxfId="588" priority="24"/>
    <cfRule type="duplicateValues" dxfId="587" priority="26"/>
  </conditionalFormatting>
  <conditionalFormatting sqref="D605:D613">
    <cfRule type="duplicateValues" dxfId="586" priority="21"/>
    <cfRule type="duplicateValues" dxfId="585" priority="22"/>
    <cfRule type="duplicateValues" dxfId="584" priority="23"/>
  </conditionalFormatting>
  <conditionalFormatting sqref="D614:D617">
    <cfRule type="duplicateValues" dxfId="583" priority="19"/>
  </conditionalFormatting>
  <conditionalFormatting sqref="D647:D667">
    <cfRule type="duplicateValues" dxfId="582" priority="8"/>
    <cfRule type="duplicateValues" dxfId="581" priority="9"/>
  </conditionalFormatting>
  <conditionalFormatting sqref="D2:O2">
    <cfRule type="duplicateValues" dxfId="580" priority="55"/>
    <cfRule type="duplicateValues" dxfId="579" priority="56"/>
    <cfRule type="duplicateValues" dxfId="578" priority="57"/>
    <cfRule type="duplicateValues" dxfId="577" priority="58"/>
    <cfRule type="duplicateValues" dxfId="576" priority="59"/>
  </conditionalFormatting>
  <conditionalFormatting sqref="E103">
    <cfRule type="duplicateValues" dxfId="575" priority="12"/>
    <cfRule type="duplicateValues" dxfId="574" priority="13"/>
  </conditionalFormatting>
  <conditionalFormatting sqref="E235">
    <cfRule type="duplicateValues" dxfId="573" priority="10"/>
    <cfRule type="duplicateValues" dxfId="572" priority="11"/>
  </conditionalFormatting>
  <conditionalFormatting sqref="E647">
    <cfRule type="duplicateValues" dxfId="571" priority="5"/>
    <cfRule type="duplicateValues" dxfId="570" priority="6"/>
  </conditionalFormatting>
  <conditionalFormatting sqref="E648">
    <cfRule type="duplicateValues" dxfId="569" priority="3"/>
    <cfRule type="duplicateValues" dxfId="568" priority="4"/>
  </conditionalFormatting>
  <conditionalFormatting sqref="E649">
    <cfRule type="duplicateValues" dxfId="567" priority="1"/>
    <cfRule type="duplicateValues" dxfId="566" priority="2"/>
  </conditionalFormatting>
  <conditionalFormatting sqref="M1 M11:M38 M43 M46:M50 M53:M179 M184:M211 M214:M667">
    <cfRule type="cellIs" dxfId="565" priority="40" operator="lessThan">
      <formula>Q3</formula>
    </cfRule>
  </conditionalFormatting>
  <conditionalFormatting sqref="M3">
    <cfRule type="cellIs" dxfId="564" priority="62" operator="lessThan">
      <formula>Q6</formula>
    </cfRule>
  </conditionalFormatting>
  <conditionalFormatting sqref="M3:M667">
    <cfRule type="cellIs" dxfId="563" priority="7" operator="lessThan">
      <formula>$J3</formula>
    </cfRule>
  </conditionalFormatting>
  <conditionalFormatting sqref="M4">
    <cfRule type="cellIs" dxfId="562" priority="64" operator="lessThan">
      <formula>Q9</formula>
    </cfRule>
  </conditionalFormatting>
  <conditionalFormatting sqref="M5:M10 M180:M183">
    <cfRule type="cellIs" dxfId="561" priority="63" operator="lessThan">
      <formula>Q9</formula>
    </cfRule>
  </conditionalFormatting>
  <conditionalFormatting sqref="M39 M44 M51 M212">
    <cfRule type="cellIs" dxfId="560" priority="3938" operator="lessThan">
      <formula>#REF!</formula>
    </cfRule>
  </conditionalFormatting>
  <conditionalFormatting sqref="M40:M42 M45 M52 M213">
    <cfRule type="cellIs" dxfId="559" priority="3937" operator="lessThan">
      <formula>Q41</formula>
    </cfRule>
  </conditionalFormatting>
  <conditionalFormatting sqref="N3:N667">
    <cfRule type="containsText" dxfId="558" priority="15" operator="containsText" text="ORDER NOW">
      <formula>NOT(ISERROR(SEARCH("ORDER NOW",N3)))</formula>
    </cfRule>
  </conditionalFormatting>
  <conditionalFormatting sqref="O3:O667">
    <cfRule type="containsText" dxfId="557" priority="14" operator="containsText" text="CRITICAL">
      <formula>NOT(ISERROR(SEARCH("CRITICAL",O3)))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57DA8-E17D-493C-8DCC-EB3BE343E972}">
  <sheetPr codeName="Sheet2"/>
  <dimension ref="A2:O266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K155" sqref="K155"/>
    </sheetView>
  </sheetViews>
  <sheetFormatPr defaultRowHeight="15" x14ac:dyDescent="0.25"/>
  <cols>
    <col min="1" max="1" width="16.5703125" bestFit="1" customWidth="1"/>
    <col min="2" max="2" width="71.42578125" bestFit="1" customWidth="1"/>
    <col min="3" max="3" width="24.140625" bestFit="1" customWidth="1"/>
    <col min="4" max="4" width="6.28515625" bestFit="1" customWidth="1"/>
    <col min="5" max="5" width="11.85546875" bestFit="1" customWidth="1"/>
    <col min="6" max="6" width="12.140625" bestFit="1" customWidth="1"/>
    <col min="7" max="7" width="10.140625" bestFit="1" customWidth="1"/>
    <col min="8" max="8" width="9.5703125" bestFit="1" customWidth="1"/>
    <col min="9" max="9" width="15.140625" bestFit="1" customWidth="1"/>
    <col min="10" max="10" width="11.5703125" bestFit="1" customWidth="1"/>
    <col min="11" max="11" width="13.28515625" bestFit="1" customWidth="1"/>
    <col min="12" max="12" width="14.5703125" bestFit="1" customWidth="1"/>
    <col min="13" max="13" width="24.28515625" bestFit="1" customWidth="1"/>
    <col min="14" max="14" width="11.5703125" bestFit="1" customWidth="1"/>
  </cols>
  <sheetData>
    <row r="2" spans="1:15" ht="15.75" x14ac:dyDescent="0.25">
      <c r="A2" s="16" t="s">
        <v>3</v>
      </c>
      <c r="B2" s="16" t="s">
        <v>4</v>
      </c>
      <c r="C2" s="16" t="s">
        <v>5</v>
      </c>
      <c r="D2" s="16" t="s">
        <v>6</v>
      </c>
      <c r="E2" s="17" t="s">
        <v>7</v>
      </c>
      <c r="F2" s="18" t="s">
        <v>8</v>
      </c>
      <c r="G2" s="16" t="s">
        <v>9</v>
      </c>
      <c r="H2" s="16" t="s">
        <v>10</v>
      </c>
      <c r="I2" s="16" t="s">
        <v>11</v>
      </c>
      <c r="J2" s="18" t="s">
        <v>12</v>
      </c>
      <c r="K2" s="16" t="s">
        <v>13</v>
      </c>
      <c r="L2" s="16" t="s">
        <v>14</v>
      </c>
      <c r="M2" s="16" t="s">
        <v>15</v>
      </c>
      <c r="N2" s="11" t="s">
        <v>17</v>
      </c>
    </row>
    <row r="3" spans="1:15" ht="18.75" x14ac:dyDescent="0.25">
      <c r="A3" s="41" t="s">
        <v>39</v>
      </c>
      <c r="B3" s="40" t="s">
        <v>40</v>
      </c>
      <c r="C3" s="34" t="s">
        <v>22</v>
      </c>
      <c r="D3" s="5" t="s">
        <v>22</v>
      </c>
      <c r="E3" s="21">
        <v>1</v>
      </c>
      <c r="F3" s="22">
        <f>VLOOKUP($A3,'Master File June-26'!$C$3:$L$670,6,0)</f>
        <v>2</v>
      </c>
      <c r="G3" s="22">
        <f>VLOOKUP($A3,'Master File June-26'!$C$3:$L$670,7,0)</f>
        <v>2</v>
      </c>
      <c r="H3" s="5">
        <f>VLOOKUP($A3,'Master File June-26'!$C$3:$L$670,8,0)</f>
        <v>14</v>
      </c>
      <c r="I3" s="5">
        <f>VLOOKUP($A3,'Master File June-26'!$C$3:$L$670,9,0)</f>
        <v>1</v>
      </c>
      <c r="J3" s="5">
        <f>VLOOKUP($A3,'Master File June-26'!$C$3:$L$670,10,0)</f>
        <v>0</v>
      </c>
      <c r="K3" s="24">
        <f t="shared" ref="K3:K66" si="0">IFERROR((J3/G3*30),0)</f>
        <v>0</v>
      </c>
      <c r="L3" s="25" t="str">
        <f t="shared" ref="L3:L66" si="1">IF(K3&lt;H3,"ORDER NOW","IN STOCK")</f>
        <v>ORDER NOW</v>
      </c>
      <c r="M3" s="25" t="str">
        <f t="shared" ref="M3:M66" si="2">IF(K3&lt;H3,"CRITICAL","FOLLOW UP DELIVERY")</f>
        <v>CRITICAL</v>
      </c>
      <c r="N3" s="79">
        <v>1</v>
      </c>
    </row>
    <row r="4" spans="1:15" ht="18.75" x14ac:dyDescent="0.25">
      <c r="A4" s="41" t="s">
        <v>41</v>
      </c>
      <c r="B4" s="40" t="s">
        <v>42</v>
      </c>
      <c r="C4" s="34" t="s">
        <v>22</v>
      </c>
      <c r="D4" s="5" t="s">
        <v>22</v>
      </c>
      <c r="E4" s="21">
        <v>1</v>
      </c>
      <c r="F4" s="22">
        <f>VLOOKUP($A4,'Master File June-26'!$C$3:$L$670,6,0)</f>
        <v>1</v>
      </c>
      <c r="G4" s="22">
        <f>VLOOKUP($A4,'Master File June-26'!$C$3:$L$670,7,0)</f>
        <v>1</v>
      </c>
      <c r="H4" s="5">
        <f>VLOOKUP($A4,'Master File June-26'!$C$3:$L$670,8,0)</f>
        <v>14</v>
      </c>
      <c r="I4" s="5">
        <f>VLOOKUP($A4,'Master File June-26'!$C$3:$L$670,9,0)</f>
        <v>0.5</v>
      </c>
      <c r="J4" s="5">
        <f>VLOOKUP($A4,'Master File June-26'!$C$3:$L$670,10,0)</f>
        <v>0</v>
      </c>
      <c r="K4" s="24">
        <f t="shared" si="0"/>
        <v>0</v>
      </c>
      <c r="L4" s="25" t="str">
        <f t="shared" si="1"/>
        <v>ORDER NOW</v>
      </c>
      <c r="M4" s="25" t="str">
        <f t="shared" si="2"/>
        <v>CRITICAL</v>
      </c>
      <c r="N4" s="79">
        <v>1</v>
      </c>
    </row>
    <row r="5" spans="1:15" ht="18.75" x14ac:dyDescent="0.25">
      <c r="A5" s="41" t="s">
        <v>47</v>
      </c>
      <c r="B5" s="34" t="s">
        <v>48</v>
      </c>
      <c r="C5" s="34" t="s">
        <v>50</v>
      </c>
      <c r="D5" s="5" t="s">
        <v>22</v>
      </c>
      <c r="E5" s="21">
        <v>6.6666666666666666E-2</v>
      </c>
      <c r="F5" s="22">
        <f>VLOOKUP($A5,'Master File June-26'!$C$3:$L$670,6,0)</f>
        <v>13</v>
      </c>
      <c r="G5" s="22">
        <f>VLOOKUP($A5,'Master File June-26'!$C$3:$L$670,7,0)</f>
        <v>195</v>
      </c>
      <c r="H5" s="5">
        <f>VLOOKUP($A5,'Master File June-26'!$C$3:$L$670,8,0)</f>
        <v>14</v>
      </c>
      <c r="I5" s="5">
        <f>VLOOKUP($A5,'Master File June-26'!$C$3:$L$670,9,0)</f>
        <v>97.5</v>
      </c>
      <c r="J5" s="5">
        <f>VLOOKUP($A5,'Master File June-26'!$C$3:$L$670,10,0)</f>
        <v>211.44</v>
      </c>
      <c r="K5" s="24">
        <f t="shared" si="0"/>
        <v>32.529230769230765</v>
      </c>
      <c r="L5" s="25" t="str">
        <f t="shared" si="1"/>
        <v>IN STOCK</v>
      </c>
      <c r="M5" s="25" t="str">
        <f t="shared" si="2"/>
        <v>FOLLOW UP DELIVERY</v>
      </c>
      <c r="N5" s="79">
        <v>1</v>
      </c>
    </row>
    <row r="6" spans="1:15" ht="18.75" x14ac:dyDescent="0.25">
      <c r="A6" s="41" t="s">
        <v>51</v>
      </c>
      <c r="B6" s="30" t="s">
        <v>52</v>
      </c>
      <c r="C6" s="30" t="s">
        <v>53</v>
      </c>
      <c r="D6" s="5" t="s">
        <v>54</v>
      </c>
      <c r="E6" s="21">
        <v>7.6923076923076927E-2</v>
      </c>
      <c r="F6" s="22">
        <f>VLOOKUP($A6,'Master File June-26'!$C$3:$L$670,6,0)</f>
        <v>89.5</v>
      </c>
      <c r="G6" s="22">
        <f>VLOOKUP($A6,'Master File June-26'!$C$3:$L$670,7,0)</f>
        <v>1163.5</v>
      </c>
      <c r="H6" s="5">
        <f>VLOOKUP($A6,'Master File June-26'!$C$3:$L$670,8,0)</f>
        <v>14</v>
      </c>
      <c r="I6" s="5">
        <f>VLOOKUP($A6,'Master File June-26'!$C$3:$L$670,9,0)</f>
        <v>581.75</v>
      </c>
      <c r="J6" s="5">
        <f>VLOOKUP($A6,'Master File June-26'!$C$3:$L$670,10,0)</f>
        <v>0</v>
      </c>
      <c r="K6" s="24">
        <f t="shared" si="0"/>
        <v>0</v>
      </c>
      <c r="L6" s="25" t="str">
        <f t="shared" si="1"/>
        <v>ORDER NOW</v>
      </c>
      <c r="M6" s="25" t="str">
        <f t="shared" si="2"/>
        <v>CRITICAL</v>
      </c>
      <c r="N6" s="79">
        <v>0</v>
      </c>
    </row>
    <row r="7" spans="1:15" ht="18.75" x14ac:dyDescent="0.25">
      <c r="A7" s="41" t="s">
        <v>55</v>
      </c>
      <c r="B7" s="28" t="s">
        <v>56</v>
      </c>
      <c r="C7" s="28" t="s">
        <v>57</v>
      </c>
      <c r="D7" s="5" t="s">
        <v>54</v>
      </c>
      <c r="E7" s="21">
        <v>0.14285714285714285</v>
      </c>
      <c r="F7" s="22">
        <f>VLOOKUP($A7,'Master File June-26'!$C$3:$L$670,6,0)</f>
        <v>43</v>
      </c>
      <c r="G7" s="22">
        <f>VLOOKUP($A7,'Master File June-26'!$C$3:$L$670,7,0)</f>
        <v>301</v>
      </c>
      <c r="H7" s="5">
        <f>VLOOKUP($A7,'Master File June-26'!$C$3:$L$670,8,0)</f>
        <v>14</v>
      </c>
      <c r="I7" s="5">
        <f>VLOOKUP($A7,'Master File June-26'!$C$3:$L$670,9,0)</f>
        <v>150.5</v>
      </c>
      <c r="J7" s="5">
        <f>VLOOKUP($A7,'Master File June-26'!$C$3:$L$670,10,0)</f>
        <v>0</v>
      </c>
      <c r="K7" s="24">
        <f t="shared" si="0"/>
        <v>0</v>
      </c>
      <c r="L7" s="25" t="str">
        <f t="shared" si="1"/>
        <v>ORDER NOW</v>
      </c>
      <c r="M7" s="25" t="str">
        <f t="shared" si="2"/>
        <v>CRITICAL</v>
      </c>
      <c r="N7" s="79">
        <v>0</v>
      </c>
    </row>
    <row r="8" spans="1:15" ht="18.75" x14ac:dyDescent="0.25">
      <c r="A8" s="41" t="s">
        <v>58</v>
      </c>
      <c r="B8" s="28" t="s">
        <v>59</v>
      </c>
      <c r="C8" s="28" t="s">
        <v>60</v>
      </c>
      <c r="D8" s="5" t="s">
        <v>22</v>
      </c>
      <c r="E8" s="21">
        <v>0.17543859649122809</v>
      </c>
      <c r="F8" s="22">
        <f>VLOOKUP($A8,'Master File June-26'!$C$3:$L$670,6,0)</f>
        <v>4</v>
      </c>
      <c r="G8" s="22">
        <f>VLOOKUP($A8,'Master File June-26'!$C$3:$L$670,7,0)</f>
        <v>22.799999999999997</v>
      </c>
      <c r="H8" s="5">
        <f>VLOOKUP($A8,'Master File June-26'!$C$3:$L$670,8,0)</f>
        <v>14</v>
      </c>
      <c r="I8" s="5">
        <f>VLOOKUP($A8,'Master File June-26'!$C$3:$L$670,9,0)</f>
        <v>11.399999999999999</v>
      </c>
      <c r="J8" s="5">
        <f>VLOOKUP($A8,'Master File June-26'!$C$3:$L$670,10,0)</f>
        <v>23.94</v>
      </c>
      <c r="K8" s="24">
        <f t="shared" si="0"/>
        <v>31.500000000000007</v>
      </c>
      <c r="L8" s="25" t="str">
        <f t="shared" si="1"/>
        <v>IN STOCK</v>
      </c>
      <c r="M8" s="25" t="str">
        <f t="shared" si="2"/>
        <v>FOLLOW UP DELIVERY</v>
      </c>
      <c r="N8" s="79">
        <v>0</v>
      </c>
    </row>
    <row r="9" spans="1:15" ht="18.75" x14ac:dyDescent="0.25">
      <c r="A9" s="41" t="s">
        <v>62</v>
      </c>
      <c r="B9" s="46" t="s">
        <v>63</v>
      </c>
      <c r="C9" s="34" t="s">
        <v>64</v>
      </c>
      <c r="D9" s="5" t="s">
        <v>49</v>
      </c>
      <c r="E9" s="21">
        <v>1</v>
      </c>
      <c r="F9" s="22">
        <f>VLOOKUP($A9,'Master File June-26'!$C$3:$L$670,6,0)</f>
        <v>13</v>
      </c>
      <c r="G9" s="22">
        <f>VLOOKUP($A9,'Master File June-26'!$C$3:$L$670,7,0)</f>
        <v>13</v>
      </c>
      <c r="H9" s="5">
        <f>VLOOKUP($A9,'Master File June-26'!$C$3:$L$670,8,0)</f>
        <v>14</v>
      </c>
      <c r="I9" s="5">
        <f>VLOOKUP($A9,'Master File June-26'!$C$3:$L$670,9,0)</f>
        <v>6.5</v>
      </c>
      <c r="J9" s="5">
        <f>VLOOKUP($A9,'Master File June-26'!$C$3:$L$670,10,0)</f>
        <v>0</v>
      </c>
      <c r="K9" s="24">
        <f t="shared" si="0"/>
        <v>0</v>
      </c>
      <c r="L9" s="25" t="str">
        <f t="shared" si="1"/>
        <v>ORDER NOW</v>
      </c>
      <c r="M9" s="25" t="str">
        <f t="shared" si="2"/>
        <v>CRITICAL</v>
      </c>
      <c r="N9" s="79">
        <v>0</v>
      </c>
    </row>
    <row r="10" spans="1:15" ht="18.75" x14ac:dyDescent="0.25">
      <c r="A10" s="41" t="s">
        <v>65</v>
      </c>
      <c r="B10" s="28" t="s">
        <v>66</v>
      </c>
      <c r="C10" s="28" t="s">
        <v>67</v>
      </c>
      <c r="D10" s="5" t="s">
        <v>49</v>
      </c>
      <c r="E10" s="21">
        <v>2</v>
      </c>
      <c r="F10" s="22">
        <f>VLOOKUP($A10,'Master File June-26'!$C$3:$L$670,6,0)</f>
        <v>44</v>
      </c>
      <c r="G10" s="22">
        <f>VLOOKUP($A10,'Master File June-26'!$C$3:$L$670,7,0)</f>
        <v>22</v>
      </c>
      <c r="H10" s="5">
        <f>VLOOKUP($A10,'Master File June-26'!$C$3:$L$670,8,0)</f>
        <v>14</v>
      </c>
      <c r="I10" s="5">
        <f>VLOOKUP($A10,'Master File June-26'!$C$3:$L$670,9,0)</f>
        <v>11</v>
      </c>
      <c r="J10" s="5">
        <f>VLOOKUP($A10,'Master File June-26'!$C$3:$L$670,10,0)</f>
        <v>0</v>
      </c>
      <c r="K10" s="24">
        <f t="shared" si="0"/>
        <v>0</v>
      </c>
      <c r="L10" s="25" t="str">
        <f t="shared" si="1"/>
        <v>ORDER NOW</v>
      </c>
      <c r="M10" s="25" t="str">
        <f t="shared" si="2"/>
        <v>CRITICAL</v>
      </c>
      <c r="N10" s="79">
        <v>0</v>
      </c>
    </row>
    <row r="11" spans="1:15" ht="18.75" x14ac:dyDescent="0.25">
      <c r="A11" s="41" t="s">
        <v>68</v>
      </c>
      <c r="B11" s="28" t="s">
        <v>69</v>
      </c>
      <c r="C11" s="28" t="s">
        <v>70</v>
      </c>
      <c r="D11" s="5" t="s">
        <v>22</v>
      </c>
      <c r="E11" s="21">
        <v>0.1</v>
      </c>
      <c r="F11" s="22">
        <f>VLOOKUP($A11,'Master File June-26'!$C$3:$L$670,6,0)</f>
        <v>120</v>
      </c>
      <c r="G11" s="22">
        <f>VLOOKUP($A11,'Master File June-26'!$C$3:$L$670,7,0)</f>
        <v>1200</v>
      </c>
      <c r="H11" s="5">
        <f>VLOOKUP($A11,'Master File June-26'!$C$3:$L$670,8,0)</f>
        <v>14</v>
      </c>
      <c r="I11" s="5">
        <f>VLOOKUP($A11,'Master File June-26'!$C$3:$L$670,9,0)</f>
        <v>600</v>
      </c>
      <c r="J11" s="5">
        <f>VLOOKUP($A11,'Master File June-26'!$C$3:$L$670,10,0)</f>
        <v>0</v>
      </c>
      <c r="K11" s="24">
        <f t="shared" si="0"/>
        <v>0</v>
      </c>
      <c r="L11" s="25" t="str">
        <f t="shared" si="1"/>
        <v>ORDER NOW</v>
      </c>
      <c r="M11" s="25" t="str">
        <f t="shared" si="2"/>
        <v>CRITICAL</v>
      </c>
      <c r="N11" s="79">
        <v>0</v>
      </c>
    </row>
    <row r="12" spans="1:15" ht="18.75" x14ac:dyDescent="0.25">
      <c r="A12" s="41" t="s">
        <v>74</v>
      </c>
      <c r="B12" s="28" t="s">
        <v>75</v>
      </c>
      <c r="C12" s="28" t="s">
        <v>70</v>
      </c>
      <c r="D12" s="5" t="s">
        <v>54</v>
      </c>
      <c r="E12" s="21">
        <v>0.1</v>
      </c>
      <c r="F12" s="22">
        <f>VLOOKUP($A12,'Master File June-26'!$C$3:$L$670,6,0)</f>
        <v>9.5</v>
      </c>
      <c r="G12" s="22">
        <f>VLOOKUP($A12,'Master File June-26'!$C$3:$L$670,7,0)</f>
        <v>95</v>
      </c>
      <c r="H12" s="5">
        <f>VLOOKUP($A12,'Master File June-26'!$C$3:$L$670,8,0)</f>
        <v>14</v>
      </c>
      <c r="I12" s="5">
        <f>VLOOKUP($A12,'Master File June-26'!$C$3:$L$670,9,0)</f>
        <v>47.5</v>
      </c>
      <c r="J12" s="5">
        <f>VLOOKUP($A12,'Master File June-26'!$C$3:$L$670,10,0)</f>
        <v>20</v>
      </c>
      <c r="K12" s="24">
        <f t="shared" si="0"/>
        <v>6.3157894736842106</v>
      </c>
      <c r="L12" s="25" t="str">
        <f t="shared" si="1"/>
        <v>ORDER NOW</v>
      </c>
      <c r="M12" s="25" t="str">
        <f t="shared" si="2"/>
        <v>CRITICAL</v>
      </c>
      <c r="N12" s="79">
        <v>1</v>
      </c>
    </row>
    <row r="13" spans="1:15" ht="18.75" x14ac:dyDescent="0.25">
      <c r="A13" s="41" t="s">
        <v>79</v>
      </c>
      <c r="B13" s="28" t="s">
        <v>80</v>
      </c>
      <c r="C13" s="28" t="s">
        <v>81</v>
      </c>
      <c r="D13" s="5" t="s">
        <v>49</v>
      </c>
      <c r="E13" s="21">
        <v>8.3333333333333329E-2</v>
      </c>
      <c r="F13" s="22">
        <f>VLOOKUP($A13,'Master File June-26'!$C$3:$L$670,6,0)</f>
        <v>55</v>
      </c>
      <c r="G13" s="22">
        <f>VLOOKUP($A13,'Master File June-26'!$C$3:$L$670,7,0)</f>
        <v>660</v>
      </c>
      <c r="H13" s="5">
        <f>VLOOKUP($A13,'Master File June-26'!$C$3:$L$670,8,0)</f>
        <v>14</v>
      </c>
      <c r="I13" s="5">
        <f>VLOOKUP($A13,'Master File June-26'!$C$3:$L$670,9,0)</f>
        <v>330</v>
      </c>
      <c r="J13" s="5">
        <f>VLOOKUP($A13,'Master File June-26'!$C$3:$L$670,10,0)</f>
        <v>6.1999999999999993</v>
      </c>
      <c r="K13" s="24">
        <f t="shared" si="0"/>
        <v>0.2818181818181818</v>
      </c>
      <c r="L13" s="25" t="str">
        <f t="shared" si="1"/>
        <v>ORDER NOW</v>
      </c>
      <c r="M13" s="25" t="str">
        <f t="shared" si="2"/>
        <v>CRITICAL</v>
      </c>
      <c r="N13" s="79">
        <v>0</v>
      </c>
    </row>
    <row r="14" spans="1:15" ht="18.75" x14ac:dyDescent="0.25">
      <c r="A14" s="41" t="s">
        <v>82</v>
      </c>
      <c r="B14" s="28" t="s">
        <v>83</v>
      </c>
      <c r="C14" s="28" t="s">
        <v>84</v>
      </c>
      <c r="D14" s="5" t="s">
        <v>64</v>
      </c>
      <c r="E14" s="21">
        <v>0.26315789473684209</v>
      </c>
      <c r="F14" s="22">
        <f>VLOOKUP($A14,'Master File June-26'!$C$3:$L$670,6,0)</f>
        <v>16</v>
      </c>
      <c r="G14" s="22">
        <f>VLOOKUP($A14,'Master File June-26'!$C$3:$L$670,7,0)</f>
        <v>60.800000000000004</v>
      </c>
      <c r="H14" s="5">
        <f>VLOOKUP($A14,'Master File June-26'!$C$3:$L$670,8,0)</f>
        <v>14</v>
      </c>
      <c r="I14" s="5">
        <f>VLOOKUP($A14,'Master File June-26'!$C$3:$L$670,9,0)</f>
        <v>30.400000000000002</v>
      </c>
      <c r="J14" s="5">
        <f>VLOOKUP($A14,'Master File June-26'!$C$3:$L$670,10,0)</f>
        <v>0</v>
      </c>
      <c r="K14" s="24">
        <f t="shared" si="0"/>
        <v>0</v>
      </c>
      <c r="L14" s="25" t="str">
        <f t="shared" si="1"/>
        <v>ORDER NOW</v>
      </c>
      <c r="M14" s="25" t="str">
        <f t="shared" si="2"/>
        <v>CRITICAL</v>
      </c>
      <c r="N14" s="79">
        <v>0</v>
      </c>
    </row>
    <row r="15" spans="1:15" ht="18.75" x14ac:dyDescent="0.25">
      <c r="A15" s="41" t="s">
        <v>86</v>
      </c>
      <c r="B15" s="30" t="s">
        <v>87</v>
      </c>
      <c r="C15" s="30" t="s">
        <v>88</v>
      </c>
      <c r="D15" s="5" t="s">
        <v>89</v>
      </c>
      <c r="E15" s="21">
        <v>0.1</v>
      </c>
      <c r="F15" s="22">
        <f>VLOOKUP($A15,'Master File June-26'!$C$3:$L$670,6,0)</f>
        <v>143</v>
      </c>
      <c r="G15" s="22">
        <f>VLOOKUP($A15,'Master File June-26'!$C$3:$L$670,7,0)</f>
        <v>1430</v>
      </c>
      <c r="H15" s="5">
        <f>VLOOKUP($A15,'Master File June-26'!$C$3:$L$670,8,0)</f>
        <v>14</v>
      </c>
      <c r="I15" s="5">
        <f>VLOOKUP($A15,'Master File June-26'!$C$3:$L$670,9,0)</f>
        <v>715</v>
      </c>
      <c r="J15" s="5">
        <f>VLOOKUP($A15,'Master File June-26'!$C$3:$L$670,10,0)</f>
        <v>650</v>
      </c>
      <c r="K15" s="24">
        <f t="shared" si="0"/>
        <v>13.636363636363637</v>
      </c>
      <c r="L15" s="25" t="str">
        <f t="shared" si="1"/>
        <v>ORDER NOW</v>
      </c>
      <c r="M15" s="25" t="str">
        <f t="shared" si="2"/>
        <v>CRITICAL</v>
      </c>
      <c r="N15" s="79">
        <v>0</v>
      </c>
    </row>
    <row r="16" spans="1:15" ht="18.75" x14ac:dyDescent="0.25">
      <c r="A16" s="41" t="s">
        <v>102</v>
      </c>
      <c r="B16" s="28" t="s">
        <v>103</v>
      </c>
      <c r="C16" s="28" t="s">
        <v>101</v>
      </c>
      <c r="D16" s="5" t="s">
        <v>22</v>
      </c>
      <c r="E16" s="21">
        <v>0.16666666666666666</v>
      </c>
      <c r="F16" s="22">
        <f>VLOOKUP($A16,'Master File June-26'!$C$3:$L$670,6,0)</f>
        <v>5.5</v>
      </c>
      <c r="G16" s="22">
        <f>VLOOKUP($A16,'Master File June-26'!$C$3:$L$670,7,0)</f>
        <v>33</v>
      </c>
      <c r="H16" s="5">
        <f>VLOOKUP($A16,'Master File June-26'!$C$3:$L$670,8,0)</f>
        <v>14</v>
      </c>
      <c r="I16" s="5">
        <f>VLOOKUP($A16,'Master File June-26'!$C$3:$L$670,9,0)</f>
        <v>16.5</v>
      </c>
      <c r="J16" s="5">
        <f>VLOOKUP($A16,'Master File June-26'!$C$3:$L$670,10,0)</f>
        <v>0</v>
      </c>
      <c r="K16" s="24">
        <f t="shared" si="0"/>
        <v>0</v>
      </c>
      <c r="L16" s="25" t="str">
        <f t="shared" si="1"/>
        <v>ORDER NOW</v>
      </c>
      <c r="M16" s="25" t="str">
        <f t="shared" si="2"/>
        <v>CRITICAL</v>
      </c>
      <c r="N16" s="79">
        <v>0</v>
      </c>
      <c r="O16" t="s">
        <v>1594</v>
      </c>
    </row>
    <row r="17" spans="1:15" ht="18.75" x14ac:dyDescent="0.25">
      <c r="A17" s="41" t="s">
        <v>105</v>
      </c>
      <c r="B17" s="28" t="s">
        <v>106</v>
      </c>
      <c r="C17" s="28" t="s">
        <v>107</v>
      </c>
      <c r="D17" s="5" t="s">
        <v>22</v>
      </c>
      <c r="E17" s="21">
        <v>4.1666666666666664E-2</v>
      </c>
      <c r="F17" s="22">
        <f>VLOOKUP($A17,'Master File June-26'!$C$3:$L$670,6,0)</f>
        <v>56</v>
      </c>
      <c r="G17" s="22">
        <f>VLOOKUP($A17,'Master File June-26'!$C$3:$L$670,7,0)</f>
        <v>1344</v>
      </c>
      <c r="H17" s="5">
        <f>VLOOKUP($A17,'Master File June-26'!$C$3:$L$670,8,0)</f>
        <v>14</v>
      </c>
      <c r="I17" s="5">
        <f>VLOOKUP($A17,'Master File June-26'!$C$3:$L$670,9,0)</f>
        <v>672</v>
      </c>
      <c r="J17" s="5">
        <f>VLOOKUP($A17,'Master File June-26'!$C$3:$L$670,10,0)</f>
        <v>5884.8</v>
      </c>
      <c r="K17" s="24">
        <f t="shared" si="0"/>
        <v>131.35714285714286</v>
      </c>
      <c r="L17" s="25" t="str">
        <f t="shared" si="1"/>
        <v>IN STOCK</v>
      </c>
      <c r="M17" s="25" t="str">
        <f t="shared" si="2"/>
        <v>FOLLOW UP DELIVERY</v>
      </c>
      <c r="N17" s="79">
        <v>0</v>
      </c>
    </row>
    <row r="18" spans="1:15" ht="18.75" x14ac:dyDescent="0.25">
      <c r="A18" s="41" t="s">
        <v>111</v>
      </c>
      <c r="B18" s="28" t="s">
        <v>112</v>
      </c>
      <c r="C18" s="28" t="s">
        <v>113</v>
      </c>
      <c r="D18" s="5" t="s">
        <v>22</v>
      </c>
      <c r="E18" s="21">
        <v>0.33333333333333331</v>
      </c>
      <c r="F18" s="22">
        <f>VLOOKUP($A18,'Master File June-26'!$C$3:$L$670,6,0)</f>
        <v>135</v>
      </c>
      <c r="G18" s="22">
        <f>VLOOKUP($A18,'Master File June-26'!$C$3:$L$670,7,0)</f>
        <v>405</v>
      </c>
      <c r="H18" s="5">
        <f>VLOOKUP($A18,'Master File June-26'!$C$3:$L$670,8,0)</f>
        <v>14</v>
      </c>
      <c r="I18" s="5">
        <f>VLOOKUP($A18,'Master File June-26'!$C$3:$L$670,9,0)</f>
        <v>202.5</v>
      </c>
      <c r="J18" s="5">
        <f>VLOOKUP($A18,'Master File June-26'!$C$3:$L$670,10,0)</f>
        <v>1050</v>
      </c>
      <c r="K18" s="24">
        <f t="shared" si="0"/>
        <v>77.777777777777771</v>
      </c>
      <c r="L18" s="25" t="str">
        <f t="shared" si="1"/>
        <v>IN STOCK</v>
      </c>
      <c r="M18" s="25" t="str">
        <f t="shared" si="2"/>
        <v>FOLLOW UP DELIVERY</v>
      </c>
      <c r="N18" s="79">
        <v>0</v>
      </c>
    </row>
    <row r="19" spans="1:15" ht="18.75" x14ac:dyDescent="0.25">
      <c r="A19" s="41" t="s">
        <v>114</v>
      </c>
      <c r="B19" s="28" t="s">
        <v>115</v>
      </c>
      <c r="C19" s="28" t="s">
        <v>116</v>
      </c>
      <c r="D19" s="5" t="s">
        <v>22</v>
      </c>
      <c r="E19" s="21">
        <v>0.1</v>
      </c>
      <c r="F19" s="22">
        <f>VLOOKUP($A19,'Master File June-26'!$C$3:$L$670,6,0)</f>
        <v>19</v>
      </c>
      <c r="G19" s="22">
        <f>VLOOKUP($A19,'Master File June-26'!$C$3:$L$670,7,0)</f>
        <v>190</v>
      </c>
      <c r="H19" s="5">
        <f>VLOOKUP($A19,'Master File June-26'!$C$3:$L$670,8,0)</f>
        <v>14</v>
      </c>
      <c r="I19" s="5">
        <f>VLOOKUP($A19,'Master File June-26'!$C$3:$L$670,9,0)</f>
        <v>95</v>
      </c>
      <c r="J19" s="5">
        <f>VLOOKUP($A19,'Master File June-26'!$C$3:$L$670,10,0)</f>
        <v>0</v>
      </c>
      <c r="K19" s="24">
        <f t="shared" si="0"/>
        <v>0</v>
      </c>
      <c r="L19" s="25" t="str">
        <f t="shared" si="1"/>
        <v>ORDER NOW</v>
      </c>
      <c r="M19" s="25" t="str">
        <f t="shared" si="2"/>
        <v>CRITICAL</v>
      </c>
      <c r="N19" s="79">
        <v>1</v>
      </c>
    </row>
    <row r="20" spans="1:15" ht="18.75" x14ac:dyDescent="0.25">
      <c r="A20" s="41" t="s">
        <v>120</v>
      </c>
      <c r="B20" s="28" t="s">
        <v>121</v>
      </c>
      <c r="C20" s="28" t="s">
        <v>122</v>
      </c>
      <c r="D20" s="5" t="s">
        <v>22</v>
      </c>
      <c r="E20" s="21">
        <v>0.1111111111111111</v>
      </c>
      <c r="F20" s="22">
        <f>VLOOKUP($A20,'Master File June-26'!$C$3:$L$670,6,0)</f>
        <v>22</v>
      </c>
      <c r="G20" s="22">
        <f>VLOOKUP($A20,'Master File June-26'!$C$3:$L$670,7,0)</f>
        <v>198</v>
      </c>
      <c r="H20" s="5">
        <f>VLOOKUP($A20,'Master File June-26'!$C$3:$L$670,8,0)</f>
        <v>14</v>
      </c>
      <c r="I20" s="5">
        <f>VLOOKUP($A20,'Master File June-26'!$C$3:$L$670,9,0)</f>
        <v>99</v>
      </c>
      <c r="J20" s="5">
        <f>VLOOKUP($A20,'Master File June-26'!$C$3:$L$670,10,0)</f>
        <v>0</v>
      </c>
      <c r="K20" s="24">
        <f t="shared" si="0"/>
        <v>0</v>
      </c>
      <c r="L20" s="25" t="str">
        <f t="shared" si="1"/>
        <v>ORDER NOW</v>
      </c>
      <c r="M20" s="25" t="str">
        <f t="shared" si="2"/>
        <v>CRITICAL</v>
      </c>
      <c r="N20" s="79">
        <v>0</v>
      </c>
      <c r="O20" t="s">
        <v>1594</v>
      </c>
    </row>
    <row r="21" spans="1:15" ht="18.75" x14ac:dyDescent="0.25">
      <c r="A21" s="41" t="s">
        <v>127</v>
      </c>
      <c r="B21" s="28" t="s">
        <v>128</v>
      </c>
      <c r="C21" s="28" t="s">
        <v>101</v>
      </c>
      <c r="D21" s="5" t="s">
        <v>22</v>
      </c>
      <c r="E21" s="21">
        <v>0.16666666666666666</v>
      </c>
      <c r="F21" s="22">
        <f>VLOOKUP($A21,'Master File June-26'!$C$3:$L$670,6,0)</f>
        <v>16.5</v>
      </c>
      <c r="G21" s="22">
        <f>VLOOKUP($A21,'Master File June-26'!$C$3:$L$670,7,0)</f>
        <v>99</v>
      </c>
      <c r="H21" s="5">
        <f>VLOOKUP($A21,'Master File June-26'!$C$3:$L$670,8,0)</f>
        <v>14</v>
      </c>
      <c r="I21" s="5">
        <f>VLOOKUP($A21,'Master File June-26'!$C$3:$L$670,9,0)</f>
        <v>49.5</v>
      </c>
      <c r="J21" s="5">
        <f>VLOOKUP($A21,'Master File June-26'!$C$3:$L$670,10,0)</f>
        <v>99</v>
      </c>
      <c r="K21" s="24">
        <f t="shared" si="0"/>
        <v>30</v>
      </c>
      <c r="L21" s="25" t="str">
        <f t="shared" si="1"/>
        <v>IN STOCK</v>
      </c>
      <c r="M21" s="25" t="str">
        <f t="shared" si="2"/>
        <v>FOLLOW UP DELIVERY</v>
      </c>
      <c r="N21" s="79">
        <v>0</v>
      </c>
    </row>
    <row r="22" spans="1:15" ht="18.75" x14ac:dyDescent="0.25">
      <c r="A22" s="41" t="s">
        <v>131</v>
      </c>
      <c r="B22" s="28" t="s">
        <v>132</v>
      </c>
      <c r="C22" s="28" t="s">
        <v>116</v>
      </c>
      <c r="D22" s="5" t="s">
        <v>22</v>
      </c>
      <c r="E22" s="21">
        <v>0.1</v>
      </c>
      <c r="F22" s="22">
        <f>VLOOKUP($A22,'Master File June-26'!$C$3:$L$670,6,0)</f>
        <v>200</v>
      </c>
      <c r="G22" s="22">
        <f>VLOOKUP($A22,'Master File June-26'!$C$3:$L$670,7,0)</f>
        <v>2000</v>
      </c>
      <c r="H22" s="5">
        <f>VLOOKUP($A22,'Master File June-26'!$C$3:$L$670,8,0)</f>
        <v>14</v>
      </c>
      <c r="I22" s="5">
        <f>VLOOKUP($A22,'Master File June-26'!$C$3:$L$670,9,0)</f>
        <v>1000</v>
      </c>
      <c r="J22" s="5">
        <f>VLOOKUP($A22,'Master File June-26'!$C$3:$L$670,10,0)</f>
        <v>0</v>
      </c>
      <c r="K22" s="24">
        <f t="shared" si="0"/>
        <v>0</v>
      </c>
      <c r="L22" s="25" t="str">
        <f t="shared" si="1"/>
        <v>ORDER NOW</v>
      </c>
      <c r="M22" s="25" t="str">
        <f t="shared" si="2"/>
        <v>CRITICAL</v>
      </c>
      <c r="N22" s="79">
        <v>0</v>
      </c>
    </row>
    <row r="23" spans="1:15" ht="18.75" x14ac:dyDescent="0.25">
      <c r="A23" s="41" t="s">
        <v>136</v>
      </c>
      <c r="B23" s="28" t="s">
        <v>137</v>
      </c>
      <c r="C23" s="28" t="s">
        <v>138</v>
      </c>
      <c r="D23" s="5" t="s">
        <v>22</v>
      </c>
      <c r="E23" s="21">
        <v>8.3333333333333329E-2</v>
      </c>
      <c r="F23" s="22">
        <f>VLOOKUP($A23,'Master File June-26'!$C$3:$L$670,6,0)</f>
        <v>250</v>
      </c>
      <c r="G23" s="22">
        <f>VLOOKUP($A23,'Master File June-26'!$C$3:$L$670,7,0)</f>
        <v>3000</v>
      </c>
      <c r="H23" s="5">
        <f>VLOOKUP($A23,'Master File June-26'!$C$3:$L$670,8,0)</f>
        <v>14</v>
      </c>
      <c r="I23" s="5">
        <f>VLOOKUP($A23,'Master File June-26'!$C$3:$L$670,9,0)</f>
        <v>1500</v>
      </c>
      <c r="J23" s="5">
        <f>VLOOKUP($A23,'Master File June-26'!$C$3:$L$670,10,0)</f>
        <v>0</v>
      </c>
      <c r="K23" s="24">
        <f t="shared" si="0"/>
        <v>0</v>
      </c>
      <c r="L23" s="25" t="str">
        <f t="shared" si="1"/>
        <v>ORDER NOW</v>
      </c>
      <c r="M23" s="25" t="str">
        <f t="shared" si="2"/>
        <v>CRITICAL</v>
      </c>
      <c r="N23" s="79">
        <v>1</v>
      </c>
    </row>
    <row r="24" spans="1:15" ht="18.75" x14ac:dyDescent="0.25">
      <c r="A24" s="41" t="s">
        <v>369</v>
      </c>
      <c r="B24" s="28" t="s">
        <v>370</v>
      </c>
      <c r="C24" s="28" t="s">
        <v>371</v>
      </c>
      <c r="D24" s="5" t="s">
        <v>22</v>
      </c>
      <c r="E24" s="21">
        <v>8.3333333333333329E-2</v>
      </c>
      <c r="F24" s="22">
        <f>VLOOKUP($A24,'Master File June-26'!$C$3:$L$670,6,0)</f>
        <v>77</v>
      </c>
      <c r="G24" s="22">
        <f>VLOOKUP($A24,'Master File June-26'!$C$3:$L$670,7,0)</f>
        <v>924</v>
      </c>
      <c r="H24" s="5">
        <f>VLOOKUP($A24,'Master File June-26'!$C$3:$L$670,8,0)</f>
        <v>14</v>
      </c>
      <c r="I24" s="5">
        <f>VLOOKUP($A24,'Master File June-26'!$C$3:$L$670,9,0)</f>
        <v>462</v>
      </c>
      <c r="J24" s="5">
        <f>VLOOKUP($A24,'Master File June-26'!$C$3:$L$670,10,0)</f>
        <v>0</v>
      </c>
      <c r="K24" s="24">
        <f t="shared" si="0"/>
        <v>0</v>
      </c>
      <c r="L24" s="25" t="str">
        <f t="shared" si="1"/>
        <v>ORDER NOW</v>
      </c>
      <c r="M24" s="25" t="str">
        <f t="shared" si="2"/>
        <v>CRITICAL</v>
      </c>
      <c r="N24" s="79">
        <v>0</v>
      </c>
    </row>
    <row r="25" spans="1:15" ht="18.75" x14ac:dyDescent="0.25">
      <c r="A25" s="41" t="s">
        <v>385</v>
      </c>
      <c r="B25" s="28" t="s">
        <v>386</v>
      </c>
      <c r="C25" s="28" t="s">
        <v>64</v>
      </c>
      <c r="D25" s="5" t="s">
        <v>49</v>
      </c>
      <c r="E25" s="21">
        <v>1</v>
      </c>
      <c r="F25" s="22">
        <f>VLOOKUP($A25,'Master File June-26'!$C$3:$L$670,6,0)</f>
        <v>0</v>
      </c>
      <c r="G25" s="22">
        <f>VLOOKUP($A25,'Master File June-26'!$C$3:$L$670,7,0)</f>
        <v>0</v>
      </c>
      <c r="H25" s="5">
        <f>VLOOKUP($A25,'Master File June-26'!$C$3:$L$670,8,0)</f>
        <v>14</v>
      </c>
      <c r="I25" s="5">
        <f>VLOOKUP($A25,'Master File June-26'!$C$3:$L$670,9,0)</f>
        <v>0</v>
      </c>
      <c r="J25" s="5">
        <f>VLOOKUP($A25,'Master File June-26'!$C$3:$L$670,10,0)</f>
        <v>0</v>
      </c>
      <c r="K25" s="24">
        <f t="shared" si="0"/>
        <v>0</v>
      </c>
      <c r="L25" s="25" t="str">
        <f t="shared" si="1"/>
        <v>ORDER NOW</v>
      </c>
      <c r="M25" s="25" t="str">
        <f t="shared" si="2"/>
        <v>CRITICAL</v>
      </c>
      <c r="N25" s="79">
        <v>1</v>
      </c>
    </row>
    <row r="26" spans="1:15" ht="18.75" x14ac:dyDescent="0.25">
      <c r="A26" s="41" t="s">
        <v>372</v>
      </c>
      <c r="B26" s="28" t="s">
        <v>373</v>
      </c>
      <c r="C26" s="28" t="s">
        <v>374</v>
      </c>
      <c r="D26" s="5" t="s">
        <v>22</v>
      </c>
      <c r="E26" s="21">
        <v>0.16666666666666666</v>
      </c>
      <c r="F26" s="22">
        <f>VLOOKUP($A26,'Master File June-26'!$C$3:$L$670,6,0)</f>
        <v>16.5</v>
      </c>
      <c r="G26" s="22">
        <f>VLOOKUP($A26,'Master File June-26'!$C$3:$L$670,7,0)</f>
        <v>99</v>
      </c>
      <c r="H26" s="5">
        <f>VLOOKUP($A26,'Master File June-26'!$C$3:$L$670,8,0)</f>
        <v>14</v>
      </c>
      <c r="I26" s="5">
        <f>VLOOKUP($A26,'Master File June-26'!$C$3:$L$670,9,0)</f>
        <v>49.5</v>
      </c>
      <c r="J26" s="5">
        <f>VLOOKUP($A26,'Master File June-26'!$C$3:$L$670,10,0)</f>
        <v>0</v>
      </c>
      <c r="K26" s="24">
        <f t="shared" si="0"/>
        <v>0</v>
      </c>
      <c r="L26" s="25" t="str">
        <f t="shared" si="1"/>
        <v>ORDER NOW</v>
      </c>
      <c r="M26" s="25" t="str">
        <f t="shared" si="2"/>
        <v>CRITICAL</v>
      </c>
      <c r="N26" s="79">
        <v>0</v>
      </c>
    </row>
    <row r="27" spans="1:15" ht="18.75" x14ac:dyDescent="0.25">
      <c r="A27" s="41" t="s">
        <v>375</v>
      </c>
      <c r="B27" s="28" t="s">
        <v>376</v>
      </c>
      <c r="C27" s="28" t="s">
        <v>374</v>
      </c>
      <c r="D27" s="5" t="s">
        <v>22</v>
      </c>
      <c r="E27" s="21">
        <v>0.16666666666666666</v>
      </c>
      <c r="F27" s="22">
        <f>VLOOKUP($A27,'Master File June-26'!$C$3:$L$670,6,0)</f>
        <v>11</v>
      </c>
      <c r="G27" s="22">
        <f>VLOOKUP($A27,'Master File June-26'!$C$3:$L$670,7,0)</f>
        <v>66</v>
      </c>
      <c r="H27" s="5">
        <f>VLOOKUP($A27,'Master File June-26'!$C$3:$L$670,8,0)</f>
        <v>14</v>
      </c>
      <c r="I27" s="5">
        <f>VLOOKUP($A27,'Master File June-26'!$C$3:$L$670,9,0)</f>
        <v>33</v>
      </c>
      <c r="J27" s="5">
        <f>VLOOKUP($A27,'Master File June-26'!$C$3:$L$670,10,0)</f>
        <v>0</v>
      </c>
      <c r="K27" s="24">
        <f t="shared" si="0"/>
        <v>0</v>
      </c>
      <c r="L27" s="25" t="str">
        <f t="shared" si="1"/>
        <v>ORDER NOW</v>
      </c>
      <c r="M27" s="25" t="str">
        <f t="shared" si="2"/>
        <v>CRITICAL</v>
      </c>
      <c r="N27" s="79">
        <v>0</v>
      </c>
    </row>
    <row r="28" spans="1:15" ht="18.75" x14ac:dyDescent="0.25">
      <c r="A28" s="41" t="s">
        <v>390</v>
      </c>
      <c r="B28" s="33" t="s">
        <v>391</v>
      </c>
      <c r="C28" s="28" t="s">
        <v>392</v>
      </c>
      <c r="D28" s="5" t="s">
        <v>49</v>
      </c>
      <c r="E28" s="21">
        <v>0.1</v>
      </c>
      <c r="F28" s="22">
        <f>VLOOKUP($A28,'Master File June-26'!$C$3:$L$670,6,0)</f>
        <v>0</v>
      </c>
      <c r="G28" s="22">
        <f>VLOOKUP($A28,'Master File June-26'!$C$3:$L$670,7,0)</f>
        <v>0</v>
      </c>
      <c r="H28" s="5">
        <f>VLOOKUP($A28,'Master File June-26'!$C$3:$L$670,8,0)</f>
        <v>14</v>
      </c>
      <c r="I28" s="5">
        <f>VLOOKUP($A28,'Master File June-26'!$C$3:$L$670,9,0)</f>
        <v>0</v>
      </c>
      <c r="J28" s="5">
        <f>VLOOKUP($A28,'Master File June-26'!$C$3:$L$670,10,0)</f>
        <v>0</v>
      </c>
      <c r="K28" s="24">
        <f t="shared" si="0"/>
        <v>0</v>
      </c>
      <c r="L28" s="25" t="str">
        <f t="shared" si="1"/>
        <v>ORDER NOW</v>
      </c>
      <c r="M28" s="25" t="str">
        <f t="shared" si="2"/>
        <v>CRITICAL</v>
      </c>
      <c r="N28" s="79">
        <v>1</v>
      </c>
    </row>
    <row r="29" spans="1:15" ht="18.75" x14ac:dyDescent="0.25">
      <c r="A29" s="41" t="s">
        <v>379</v>
      </c>
      <c r="B29" s="28" t="s">
        <v>380</v>
      </c>
      <c r="C29" s="28" t="s">
        <v>381</v>
      </c>
      <c r="D29" s="5" t="s">
        <v>22</v>
      </c>
      <c r="E29" s="21">
        <v>8.3333333333333329E-2</v>
      </c>
      <c r="F29" s="22">
        <f>VLOOKUP($A29,'Master File June-26'!$C$3:$L$670,6,0)</f>
        <v>66</v>
      </c>
      <c r="G29" s="22">
        <f>VLOOKUP($A29,'Master File June-26'!$C$3:$L$670,7,0)</f>
        <v>792</v>
      </c>
      <c r="H29" s="5">
        <f>VLOOKUP($A29,'Master File June-26'!$C$3:$L$670,8,0)</f>
        <v>14</v>
      </c>
      <c r="I29" s="5">
        <f>VLOOKUP($A29,'Master File June-26'!$C$3:$L$670,9,0)</f>
        <v>396</v>
      </c>
      <c r="J29" s="5">
        <f>VLOOKUP($A29,'Master File June-26'!$C$3:$L$670,10,0)</f>
        <v>0</v>
      </c>
      <c r="K29" s="24">
        <f t="shared" si="0"/>
        <v>0</v>
      </c>
      <c r="L29" s="25" t="str">
        <f t="shared" si="1"/>
        <v>ORDER NOW</v>
      </c>
      <c r="M29" s="25" t="str">
        <f t="shared" si="2"/>
        <v>CRITICAL</v>
      </c>
      <c r="N29" s="79">
        <v>0</v>
      </c>
    </row>
    <row r="30" spans="1:15" ht="18.75" x14ac:dyDescent="0.25">
      <c r="A30" s="41" t="s">
        <v>393</v>
      </c>
      <c r="B30" s="32" t="s">
        <v>394</v>
      </c>
      <c r="C30" s="28" t="s">
        <v>395</v>
      </c>
      <c r="D30" s="5" t="s">
        <v>49</v>
      </c>
      <c r="E30" s="21">
        <v>0.04</v>
      </c>
      <c r="F30" s="22">
        <f>VLOOKUP($A30,'Master File June-26'!$C$3:$L$670,6,0)</f>
        <v>0</v>
      </c>
      <c r="G30" s="22">
        <f>VLOOKUP($A30,'Master File June-26'!$C$3:$L$670,7,0)</f>
        <v>0</v>
      </c>
      <c r="H30" s="5">
        <f>VLOOKUP($A30,'Master File June-26'!$C$3:$L$670,8,0)</f>
        <v>14</v>
      </c>
      <c r="I30" s="5">
        <f>VLOOKUP($A30,'Master File June-26'!$C$3:$L$670,9,0)</f>
        <v>0</v>
      </c>
      <c r="J30" s="5">
        <f>VLOOKUP($A30,'Master File June-26'!$C$3:$L$670,10,0)</f>
        <v>0</v>
      </c>
      <c r="K30" s="24">
        <f t="shared" si="0"/>
        <v>0</v>
      </c>
      <c r="L30" s="25" t="str">
        <f t="shared" si="1"/>
        <v>ORDER NOW</v>
      </c>
      <c r="M30" s="25" t="str">
        <f t="shared" si="2"/>
        <v>CRITICAL</v>
      </c>
      <c r="N30" s="79">
        <v>1</v>
      </c>
    </row>
    <row r="31" spans="1:15" ht="18.75" x14ac:dyDescent="0.25">
      <c r="A31" s="41" t="s">
        <v>382</v>
      </c>
      <c r="B31" s="27" t="s">
        <v>383</v>
      </c>
      <c r="C31" s="28" t="s">
        <v>384</v>
      </c>
      <c r="D31" s="5" t="s">
        <v>49</v>
      </c>
      <c r="E31" s="21">
        <v>5</v>
      </c>
      <c r="F31" s="22">
        <f>VLOOKUP($A31,'Master File June-26'!$C$3:$L$670,6,0)</f>
        <v>500</v>
      </c>
      <c r="G31" s="22">
        <f>VLOOKUP($A31,'Master File June-26'!$C$3:$L$670,7,0)</f>
        <v>100</v>
      </c>
      <c r="H31" s="5">
        <f>VLOOKUP($A31,'Master File June-26'!$C$3:$L$670,8,0)</f>
        <v>14</v>
      </c>
      <c r="I31" s="5">
        <f>VLOOKUP($A31,'Master File June-26'!$C$3:$L$670,9,0)</f>
        <v>50</v>
      </c>
      <c r="J31" s="5">
        <f>VLOOKUP($A31,'Master File June-26'!$C$3:$L$670,10,0)</f>
        <v>0</v>
      </c>
      <c r="K31" s="24">
        <f t="shared" si="0"/>
        <v>0</v>
      </c>
      <c r="L31" s="25" t="str">
        <f t="shared" si="1"/>
        <v>ORDER NOW</v>
      </c>
      <c r="M31" s="25" t="str">
        <f t="shared" si="2"/>
        <v>CRITICAL</v>
      </c>
      <c r="N31" s="79">
        <v>0</v>
      </c>
    </row>
    <row r="32" spans="1:15" ht="18.75" x14ac:dyDescent="0.25">
      <c r="A32" s="41" t="s">
        <v>402</v>
      </c>
      <c r="B32" s="27" t="s">
        <v>403</v>
      </c>
      <c r="C32" s="28" t="s">
        <v>64</v>
      </c>
      <c r="D32" s="5" t="s">
        <v>49</v>
      </c>
      <c r="E32" s="21">
        <v>1</v>
      </c>
      <c r="F32" s="22">
        <f>VLOOKUP($A32,'Master File June-26'!$C$3:$L$670,6,0)</f>
        <v>0</v>
      </c>
      <c r="G32" s="22">
        <f>VLOOKUP($A32,'Master File June-26'!$C$3:$L$670,7,0)</f>
        <v>0</v>
      </c>
      <c r="H32" s="5">
        <f>VLOOKUP($A32,'Master File June-26'!$C$3:$L$670,8,0)</f>
        <v>14</v>
      </c>
      <c r="I32" s="5">
        <f>VLOOKUP($A32,'Master File June-26'!$C$3:$L$670,9,0)</f>
        <v>0</v>
      </c>
      <c r="J32" s="5">
        <f>VLOOKUP($A32,'Master File June-26'!$C$3:$L$670,10,0)</f>
        <v>0</v>
      </c>
      <c r="K32" s="24">
        <f t="shared" si="0"/>
        <v>0</v>
      </c>
      <c r="L32" s="25" t="str">
        <f t="shared" si="1"/>
        <v>ORDER NOW</v>
      </c>
      <c r="M32" s="25" t="str">
        <f t="shared" si="2"/>
        <v>CRITICAL</v>
      </c>
      <c r="N32" s="79">
        <v>1</v>
      </c>
    </row>
    <row r="33" spans="1:14" ht="18.75" x14ac:dyDescent="0.25">
      <c r="A33" s="41" t="s">
        <v>387</v>
      </c>
      <c r="B33" s="27" t="s">
        <v>388</v>
      </c>
      <c r="C33" s="28" t="s">
        <v>389</v>
      </c>
      <c r="D33" s="5" t="s">
        <v>22</v>
      </c>
      <c r="E33" s="21">
        <v>0.16666666666666666</v>
      </c>
      <c r="F33" s="22">
        <f>VLOOKUP($A33,'Master File June-26'!$C$3:$L$670,6,0)</f>
        <v>45</v>
      </c>
      <c r="G33" s="22">
        <f>VLOOKUP($A33,'Master File June-26'!$C$3:$L$670,7,0)</f>
        <v>270</v>
      </c>
      <c r="H33" s="5">
        <f>VLOOKUP($A33,'Master File June-26'!$C$3:$L$670,8,0)</f>
        <v>14</v>
      </c>
      <c r="I33" s="5">
        <f>VLOOKUP($A33,'Master File June-26'!$C$3:$L$670,9,0)</f>
        <v>135</v>
      </c>
      <c r="J33" s="5">
        <f>VLOOKUP($A33,'Master File June-26'!$C$3:$L$670,10,0)</f>
        <v>0</v>
      </c>
      <c r="K33" s="24">
        <f t="shared" si="0"/>
        <v>0</v>
      </c>
      <c r="L33" s="25" t="str">
        <f t="shared" si="1"/>
        <v>ORDER NOW</v>
      </c>
      <c r="M33" s="25" t="str">
        <f t="shared" si="2"/>
        <v>CRITICAL</v>
      </c>
      <c r="N33" s="79">
        <v>0</v>
      </c>
    </row>
    <row r="34" spans="1:14" ht="18.75" x14ac:dyDescent="0.25">
      <c r="A34" s="41" t="s">
        <v>404</v>
      </c>
      <c r="B34" s="27" t="s">
        <v>405</v>
      </c>
      <c r="C34" s="28" t="s">
        <v>406</v>
      </c>
      <c r="D34" s="5" t="s">
        <v>22</v>
      </c>
      <c r="E34" s="21">
        <v>1.2254901960784314E-4</v>
      </c>
      <c r="F34" s="22">
        <f>VLOOKUP($A34,'Master File June-26'!$C$3:$L$670,6,0)</f>
        <v>0</v>
      </c>
      <c r="G34" s="22">
        <f>VLOOKUP($A34,'Master File June-26'!$C$3:$L$670,7,0)</f>
        <v>0</v>
      </c>
      <c r="H34" s="5">
        <f>VLOOKUP($A34,'Master File June-26'!$C$3:$L$670,8,0)</f>
        <v>14</v>
      </c>
      <c r="I34" s="5">
        <f>VLOOKUP($A34,'Master File June-26'!$C$3:$L$670,9,0)</f>
        <v>0</v>
      </c>
      <c r="J34" s="5">
        <f>VLOOKUP($A34,'Master File June-26'!$C$3:$L$670,10,0)</f>
        <v>0</v>
      </c>
      <c r="K34" s="24">
        <f t="shared" si="0"/>
        <v>0</v>
      </c>
      <c r="L34" s="25" t="str">
        <f t="shared" si="1"/>
        <v>ORDER NOW</v>
      </c>
      <c r="M34" s="25" t="str">
        <f t="shared" si="2"/>
        <v>CRITICAL</v>
      </c>
      <c r="N34" s="79">
        <v>1</v>
      </c>
    </row>
    <row r="35" spans="1:14" ht="18.75" x14ac:dyDescent="0.25">
      <c r="A35" s="41" t="s">
        <v>407</v>
      </c>
      <c r="B35" s="27" t="s">
        <v>408</v>
      </c>
      <c r="C35" s="28" t="s">
        <v>409</v>
      </c>
      <c r="D35" s="5" t="s">
        <v>22</v>
      </c>
      <c r="E35" s="21">
        <v>0.1388888888888889</v>
      </c>
      <c r="F35" s="22">
        <f>VLOOKUP($A35,'Master File June-26'!$C$3:$L$670,6,0)</f>
        <v>0</v>
      </c>
      <c r="G35" s="22">
        <f>VLOOKUP($A35,'Master File June-26'!$C$3:$L$670,7,0)</f>
        <v>0</v>
      </c>
      <c r="H35" s="5">
        <f>VLOOKUP($A35,'Master File June-26'!$C$3:$L$670,8,0)</f>
        <v>14</v>
      </c>
      <c r="I35" s="5">
        <f>VLOOKUP($A35,'Master File June-26'!$C$3:$L$670,9,0)</f>
        <v>0</v>
      </c>
      <c r="J35" s="5">
        <f>VLOOKUP($A35,'Master File June-26'!$C$3:$L$670,10,0)</f>
        <v>0</v>
      </c>
      <c r="K35" s="24">
        <f t="shared" si="0"/>
        <v>0</v>
      </c>
      <c r="L35" s="25" t="str">
        <f t="shared" si="1"/>
        <v>ORDER NOW</v>
      </c>
      <c r="M35" s="25" t="str">
        <f t="shared" si="2"/>
        <v>CRITICAL</v>
      </c>
      <c r="N35" s="79">
        <v>1</v>
      </c>
    </row>
    <row r="36" spans="1:14" ht="18.75" x14ac:dyDescent="0.25">
      <c r="A36" s="41" t="s">
        <v>396</v>
      </c>
      <c r="B36" s="27" t="s">
        <v>397</v>
      </c>
      <c r="C36" s="28" t="s">
        <v>398</v>
      </c>
      <c r="D36" s="5" t="s">
        <v>46</v>
      </c>
      <c r="E36" s="21">
        <v>0.1</v>
      </c>
      <c r="F36" s="22">
        <f>VLOOKUP($A36,'Master File June-26'!$C$3:$L$670,6,0)</f>
        <v>90</v>
      </c>
      <c r="G36" s="22">
        <f>VLOOKUP($A36,'Master File June-26'!$C$3:$L$670,7,0)</f>
        <v>900</v>
      </c>
      <c r="H36" s="5">
        <f>VLOOKUP($A36,'Master File June-26'!$C$3:$L$670,8,0)</f>
        <v>14</v>
      </c>
      <c r="I36" s="5">
        <f>VLOOKUP($A36,'Master File June-26'!$C$3:$L$670,9,0)</f>
        <v>450</v>
      </c>
      <c r="J36" s="5">
        <f>VLOOKUP($A36,'Master File June-26'!$C$3:$L$670,10,0)</f>
        <v>0</v>
      </c>
      <c r="K36" s="24">
        <f t="shared" si="0"/>
        <v>0</v>
      </c>
      <c r="L36" s="25" t="str">
        <f t="shared" si="1"/>
        <v>ORDER NOW</v>
      </c>
      <c r="M36" s="25" t="str">
        <f t="shared" si="2"/>
        <v>CRITICAL</v>
      </c>
      <c r="N36" s="79">
        <v>0</v>
      </c>
    </row>
    <row r="37" spans="1:14" ht="18.75" x14ac:dyDescent="0.25">
      <c r="A37" s="41" t="s">
        <v>399</v>
      </c>
      <c r="B37" s="27" t="s">
        <v>400</v>
      </c>
      <c r="C37" s="28" t="s">
        <v>401</v>
      </c>
      <c r="D37" s="5" t="s">
        <v>54</v>
      </c>
      <c r="E37" s="21">
        <v>0.04</v>
      </c>
      <c r="F37" s="22">
        <f>VLOOKUP($A37,'Master File June-26'!$C$3:$L$670,6,0)</f>
        <v>4</v>
      </c>
      <c r="G37" s="22">
        <f>VLOOKUP($A37,'Master File June-26'!$C$3:$L$670,7,0)</f>
        <v>100</v>
      </c>
      <c r="H37" s="5">
        <f>VLOOKUP($A37,'Master File June-26'!$C$3:$L$670,8,0)</f>
        <v>14</v>
      </c>
      <c r="I37" s="5">
        <f>VLOOKUP($A37,'Master File June-26'!$C$3:$L$670,9,0)</f>
        <v>50</v>
      </c>
      <c r="J37" s="5">
        <f>VLOOKUP($A37,'Master File June-26'!$C$3:$L$670,10,0)</f>
        <v>0</v>
      </c>
      <c r="K37" s="24">
        <f t="shared" si="0"/>
        <v>0</v>
      </c>
      <c r="L37" s="25" t="str">
        <f t="shared" si="1"/>
        <v>ORDER NOW</v>
      </c>
      <c r="M37" s="25" t="str">
        <f t="shared" si="2"/>
        <v>CRITICAL</v>
      </c>
      <c r="N37" s="79">
        <v>0</v>
      </c>
    </row>
    <row r="38" spans="1:14" ht="18.75" x14ac:dyDescent="0.25">
      <c r="A38" s="41" t="s">
        <v>416</v>
      </c>
      <c r="B38" s="27" t="s">
        <v>417</v>
      </c>
      <c r="C38" s="28" t="s">
        <v>418</v>
      </c>
      <c r="D38" s="5" t="s">
        <v>22</v>
      </c>
      <c r="E38" s="21">
        <v>1.097142857142857</v>
      </c>
      <c r="F38" s="22">
        <f>VLOOKUP($A38,'Master File June-26'!$C$3:$L$670,6,0)</f>
        <v>0</v>
      </c>
      <c r="G38" s="22">
        <f>VLOOKUP($A38,'Master File June-26'!$C$3:$L$670,7,0)</f>
        <v>0</v>
      </c>
      <c r="H38" s="5">
        <f>VLOOKUP($A38,'Master File June-26'!$C$3:$L$670,8,0)</f>
        <v>14</v>
      </c>
      <c r="I38" s="5">
        <f>VLOOKUP($A38,'Master File June-26'!$C$3:$L$670,9,0)</f>
        <v>0</v>
      </c>
      <c r="J38" s="5">
        <f>VLOOKUP($A38,'Master File June-26'!$C$3:$L$670,10,0)</f>
        <v>0</v>
      </c>
      <c r="K38" s="24">
        <f t="shared" si="0"/>
        <v>0</v>
      </c>
      <c r="L38" s="25" t="str">
        <f t="shared" si="1"/>
        <v>ORDER NOW</v>
      </c>
      <c r="M38" s="25" t="str">
        <f t="shared" si="2"/>
        <v>CRITICAL</v>
      </c>
      <c r="N38" s="79">
        <v>1</v>
      </c>
    </row>
    <row r="39" spans="1:14" ht="18.75" x14ac:dyDescent="0.25">
      <c r="A39" s="41" t="s">
        <v>425</v>
      </c>
      <c r="B39" s="28" t="s">
        <v>426</v>
      </c>
      <c r="C39" s="27" t="s">
        <v>64</v>
      </c>
      <c r="D39" s="5" t="s">
        <v>49</v>
      </c>
      <c r="E39" s="21">
        <v>1</v>
      </c>
      <c r="F39" s="22">
        <f>VLOOKUP($A39,'Master File June-26'!$C$3:$L$670,6,0)</f>
        <v>0</v>
      </c>
      <c r="G39" s="22">
        <f>VLOOKUP($A39,'Master File June-26'!$C$3:$L$670,7,0)</f>
        <v>0</v>
      </c>
      <c r="H39" s="5">
        <f>VLOOKUP($A39,'Master File June-26'!$C$3:$L$670,8,0)</f>
        <v>14</v>
      </c>
      <c r="I39" s="5">
        <f>VLOOKUP($A39,'Master File June-26'!$C$3:$L$670,9,0)</f>
        <v>0</v>
      </c>
      <c r="J39" s="5">
        <f>VLOOKUP($A39,'Master File June-26'!$C$3:$L$670,10,0)</f>
        <v>0</v>
      </c>
      <c r="K39" s="24">
        <f t="shared" si="0"/>
        <v>0</v>
      </c>
      <c r="L39" s="25" t="str">
        <f t="shared" si="1"/>
        <v>ORDER NOW</v>
      </c>
      <c r="M39" s="25" t="str">
        <f t="shared" si="2"/>
        <v>CRITICAL</v>
      </c>
      <c r="N39" s="79">
        <v>1</v>
      </c>
    </row>
    <row r="40" spans="1:14" ht="18.75" x14ac:dyDescent="0.25">
      <c r="A40" s="41" t="s">
        <v>427</v>
      </c>
      <c r="B40" s="28" t="s">
        <v>428</v>
      </c>
      <c r="C40" s="27" t="s">
        <v>429</v>
      </c>
      <c r="D40" s="5" t="s">
        <v>22</v>
      </c>
      <c r="E40" s="21">
        <v>0.25</v>
      </c>
      <c r="F40" s="22">
        <f>VLOOKUP($A40,'Master File June-26'!$C$3:$L$670,6,0)</f>
        <v>0</v>
      </c>
      <c r="G40" s="22">
        <f>VLOOKUP($A40,'Master File June-26'!$C$3:$L$670,7,0)</f>
        <v>0</v>
      </c>
      <c r="H40" s="5">
        <f>VLOOKUP($A40,'Master File June-26'!$C$3:$L$670,8,0)</f>
        <v>14</v>
      </c>
      <c r="I40" s="5">
        <f>VLOOKUP($A40,'Master File June-26'!$C$3:$L$670,9,0)</f>
        <v>0</v>
      </c>
      <c r="J40" s="5">
        <f>VLOOKUP($A40,'Master File June-26'!$C$3:$L$670,10,0)</f>
        <v>0</v>
      </c>
      <c r="K40" s="24">
        <f t="shared" si="0"/>
        <v>0</v>
      </c>
      <c r="L40" s="25" t="str">
        <f t="shared" si="1"/>
        <v>ORDER NOW</v>
      </c>
      <c r="M40" s="25" t="str">
        <f t="shared" si="2"/>
        <v>CRITICAL</v>
      </c>
      <c r="N40" s="79">
        <v>1</v>
      </c>
    </row>
    <row r="41" spans="1:14" ht="18.75" x14ac:dyDescent="0.25">
      <c r="A41" s="41" t="s">
        <v>432</v>
      </c>
      <c r="B41" s="28" t="s">
        <v>433</v>
      </c>
      <c r="C41" s="27" t="s">
        <v>434</v>
      </c>
      <c r="D41" s="5" t="s">
        <v>22</v>
      </c>
      <c r="E41" s="21">
        <v>9.2592592592592587E-2</v>
      </c>
      <c r="F41" s="22">
        <f>VLOOKUP($A41,'Master File June-26'!$C$3:$L$670,6,0)</f>
        <v>0</v>
      </c>
      <c r="G41" s="22">
        <f>VLOOKUP($A41,'Master File June-26'!$C$3:$L$670,7,0)</f>
        <v>0</v>
      </c>
      <c r="H41" s="5">
        <f>VLOOKUP($A41,'Master File June-26'!$C$3:$L$670,8,0)</f>
        <v>14</v>
      </c>
      <c r="I41" s="5">
        <f>VLOOKUP($A41,'Master File June-26'!$C$3:$L$670,9,0)</f>
        <v>0</v>
      </c>
      <c r="J41" s="5">
        <f>VLOOKUP($A41,'Master File June-26'!$C$3:$L$670,10,0)</f>
        <v>0</v>
      </c>
      <c r="K41" s="24">
        <f t="shared" si="0"/>
        <v>0</v>
      </c>
      <c r="L41" s="25" t="str">
        <f t="shared" si="1"/>
        <v>ORDER NOW</v>
      </c>
      <c r="M41" s="25" t="str">
        <f t="shared" si="2"/>
        <v>CRITICAL</v>
      </c>
      <c r="N41" s="79">
        <v>1</v>
      </c>
    </row>
    <row r="42" spans="1:14" ht="18.75" x14ac:dyDescent="0.25">
      <c r="A42" s="41" t="s">
        <v>410</v>
      </c>
      <c r="B42" s="28" t="s">
        <v>411</v>
      </c>
      <c r="C42" s="27" t="s">
        <v>412</v>
      </c>
      <c r="D42" s="5" t="s">
        <v>22</v>
      </c>
      <c r="E42" s="21">
        <v>0.05</v>
      </c>
      <c r="F42" s="22">
        <f>VLOOKUP($A42,'Master File June-26'!$C$3:$L$670,6,0)</f>
        <v>170</v>
      </c>
      <c r="G42" s="22">
        <f>VLOOKUP($A42,'Master File June-26'!$C$3:$L$670,7,0)</f>
        <v>3400</v>
      </c>
      <c r="H42" s="5">
        <f>VLOOKUP($A42,'Master File June-26'!$C$3:$L$670,8,0)</f>
        <v>14</v>
      </c>
      <c r="I42" s="5">
        <f>VLOOKUP($A42,'Master File June-26'!$C$3:$L$670,9,0)</f>
        <v>1700</v>
      </c>
      <c r="J42" s="5">
        <f>VLOOKUP($A42,'Master File June-26'!$C$3:$L$670,10,0)</f>
        <v>0</v>
      </c>
      <c r="K42" s="24">
        <f t="shared" si="0"/>
        <v>0</v>
      </c>
      <c r="L42" s="25" t="str">
        <f t="shared" si="1"/>
        <v>ORDER NOW</v>
      </c>
      <c r="M42" s="25" t="str">
        <f t="shared" si="2"/>
        <v>CRITICAL</v>
      </c>
      <c r="N42" s="79">
        <v>0</v>
      </c>
    </row>
    <row r="43" spans="1:14" ht="18.75" x14ac:dyDescent="0.25">
      <c r="A43" s="41" t="s">
        <v>413</v>
      </c>
      <c r="B43" s="35" t="s">
        <v>414</v>
      </c>
      <c r="C43" s="27" t="s">
        <v>415</v>
      </c>
      <c r="D43" s="5" t="s">
        <v>89</v>
      </c>
      <c r="E43" s="21">
        <v>0.11013215859030837</v>
      </c>
      <c r="F43" s="22">
        <f>VLOOKUP($A43,'Master File June-26'!$C$3:$L$670,6,0)</f>
        <v>2</v>
      </c>
      <c r="G43" s="22">
        <f>VLOOKUP($A43,'Master File June-26'!$C$3:$L$670,7,0)</f>
        <v>18.16</v>
      </c>
      <c r="H43" s="5">
        <f>VLOOKUP($A43,'Master File June-26'!$C$3:$L$670,8,0)</f>
        <v>14</v>
      </c>
      <c r="I43" s="5">
        <f>VLOOKUP($A43,'Master File June-26'!$C$3:$L$670,9,0)</f>
        <v>9.08</v>
      </c>
      <c r="J43" s="5">
        <f>VLOOKUP($A43,'Master File June-26'!$C$3:$L$670,10,0)</f>
        <v>0</v>
      </c>
      <c r="K43" s="24">
        <f t="shared" si="0"/>
        <v>0</v>
      </c>
      <c r="L43" s="25" t="str">
        <f t="shared" si="1"/>
        <v>ORDER NOW</v>
      </c>
      <c r="M43" s="25" t="str">
        <f t="shared" si="2"/>
        <v>CRITICAL</v>
      </c>
      <c r="N43" s="79">
        <v>0</v>
      </c>
    </row>
    <row r="44" spans="1:14" ht="18.75" x14ac:dyDescent="0.25">
      <c r="A44" s="41" t="s">
        <v>438</v>
      </c>
      <c r="B44" s="28" t="s">
        <v>439</v>
      </c>
      <c r="C44" s="27" t="s">
        <v>440</v>
      </c>
      <c r="D44" s="5" t="s">
        <v>22</v>
      </c>
      <c r="E44" s="21">
        <v>0.1</v>
      </c>
      <c r="F44" s="22">
        <f>VLOOKUP($A44,'Master File June-26'!$C$3:$L$670,6,0)</f>
        <v>0</v>
      </c>
      <c r="G44" s="22">
        <f>VLOOKUP($A44,'Master File June-26'!$C$3:$L$670,7,0)</f>
        <v>0</v>
      </c>
      <c r="H44" s="5">
        <f>VLOOKUP($A44,'Master File June-26'!$C$3:$L$670,8,0)</f>
        <v>14</v>
      </c>
      <c r="I44" s="5">
        <f>VLOOKUP($A44,'Master File June-26'!$C$3:$L$670,9,0)</f>
        <v>0</v>
      </c>
      <c r="J44" s="5">
        <f>VLOOKUP($A44,'Master File June-26'!$C$3:$L$670,10,0)</f>
        <v>0</v>
      </c>
      <c r="K44" s="24">
        <f t="shared" si="0"/>
        <v>0</v>
      </c>
      <c r="L44" s="25" t="str">
        <f t="shared" si="1"/>
        <v>ORDER NOW</v>
      </c>
      <c r="M44" s="25" t="str">
        <f t="shared" si="2"/>
        <v>CRITICAL</v>
      </c>
      <c r="N44" s="79">
        <v>1</v>
      </c>
    </row>
    <row r="45" spans="1:14" ht="18.75" x14ac:dyDescent="0.25">
      <c r="A45" s="41" t="s">
        <v>419</v>
      </c>
      <c r="B45" s="28" t="s">
        <v>420</v>
      </c>
      <c r="C45" s="27" t="s">
        <v>421</v>
      </c>
      <c r="D45" s="5" t="s">
        <v>89</v>
      </c>
      <c r="E45" s="21">
        <v>0.1</v>
      </c>
      <c r="F45" s="22">
        <f>VLOOKUP($A45,'Master File June-26'!$C$3:$L$670,6,0)</f>
        <v>40</v>
      </c>
      <c r="G45" s="22">
        <f>VLOOKUP($A45,'Master File June-26'!$C$3:$L$670,7,0)</f>
        <v>400</v>
      </c>
      <c r="H45" s="5">
        <f>VLOOKUP($A45,'Master File June-26'!$C$3:$L$670,8,0)</f>
        <v>14</v>
      </c>
      <c r="I45" s="5">
        <f>VLOOKUP($A45,'Master File June-26'!$C$3:$L$670,9,0)</f>
        <v>200</v>
      </c>
      <c r="J45" s="5">
        <f>VLOOKUP($A45,'Master File June-26'!$C$3:$L$670,10,0)</f>
        <v>0</v>
      </c>
      <c r="K45" s="24">
        <f t="shared" si="0"/>
        <v>0</v>
      </c>
      <c r="L45" s="25" t="str">
        <f t="shared" si="1"/>
        <v>ORDER NOW</v>
      </c>
      <c r="M45" s="25" t="str">
        <f t="shared" si="2"/>
        <v>CRITICAL</v>
      </c>
      <c r="N45" s="79">
        <v>0</v>
      </c>
    </row>
    <row r="46" spans="1:14" ht="18.75" x14ac:dyDescent="0.25">
      <c r="A46" s="41" t="s">
        <v>422</v>
      </c>
      <c r="B46" s="30" t="s">
        <v>423</v>
      </c>
      <c r="C46" s="27" t="s">
        <v>424</v>
      </c>
      <c r="D46" s="5" t="s">
        <v>22</v>
      </c>
      <c r="E46" s="21">
        <v>0.16339869281045752</v>
      </c>
      <c r="F46" s="22">
        <f>VLOOKUP($A46,'Master File June-26'!$C$3:$L$670,6,0)</f>
        <v>5</v>
      </c>
      <c r="G46" s="22">
        <f>VLOOKUP($A46,'Master File June-26'!$C$3:$L$670,7,0)</f>
        <v>30.599999999999998</v>
      </c>
      <c r="H46" s="5">
        <f>VLOOKUP($A46,'Master File June-26'!$C$3:$L$670,8,0)</f>
        <v>14</v>
      </c>
      <c r="I46" s="5">
        <f>VLOOKUP($A46,'Master File June-26'!$C$3:$L$670,9,0)</f>
        <v>15.299999999999999</v>
      </c>
      <c r="J46" s="5">
        <f>VLOOKUP($A46,'Master File June-26'!$C$3:$L$670,10,0)</f>
        <v>0</v>
      </c>
      <c r="K46" s="24">
        <f t="shared" si="0"/>
        <v>0</v>
      </c>
      <c r="L46" s="25" t="str">
        <f t="shared" si="1"/>
        <v>ORDER NOW</v>
      </c>
      <c r="M46" s="25" t="str">
        <f t="shared" si="2"/>
        <v>CRITICAL</v>
      </c>
      <c r="N46" s="79">
        <v>0</v>
      </c>
    </row>
    <row r="47" spans="1:14" ht="18.75" x14ac:dyDescent="0.25">
      <c r="A47" s="41" t="s">
        <v>444</v>
      </c>
      <c r="B47" s="28" t="s">
        <v>445</v>
      </c>
      <c r="C47" s="27" t="s">
        <v>446</v>
      </c>
      <c r="D47" s="5" t="s">
        <v>22</v>
      </c>
      <c r="E47" s="21">
        <v>8.3333333333333329E-2</v>
      </c>
      <c r="F47" s="22">
        <f>VLOOKUP($A47,'Master File June-26'!$C$3:$L$670,6,0)</f>
        <v>0</v>
      </c>
      <c r="G47" s="22">
        <f>VLOOKUP($A47,'Master File June-26'!$C$3:$L$670,7,0)</f>
        <v>0</v>
      </c>
      <c r="H47" s="5">
        <f>VLOOKUP($A47,'Master File June-26'!$C$3:$L$670,8,0)</f>
        <v>14</v>
      </c>
      <c r="I47" s="5">
        <f>VLOOKUP($A47,'Master File June-26'!$C$3:$L$670,9,0)</f>
        <v>0</v>
      </c>
      <c r="J47" s="5">
        <f>VLOOKUP($A47,'Master File June-26'!$C$3:$L$670,10,0)</f>
        <v>0</v>
      </c>
      <c r="K47" s="24">
        <f t="shared" si="0"/>
        <v>0</v>
      </c>
      <c r="L47" s="25" t="str">
        <f t="shared" si="1"/>
        <v>ORDER NOW</v>
      </c>
      <c r="M47" s="25" t="str">
        <f t="shared" si="2"/>
        <v>CRITICAL</v>
      </c>
      <c r="N47" s="79">
        <v>1</v>
      </c>
    </row>
    <row r="48" spans="1:14" ht="18.75" x14ac:dyDescent="0.25">
      <c r="A48" s="41" t="s">
        <v>449</v>
      </c>
      <c r="B48" s="28" t="s">
        <v>450</v>
      </c>
      <c r="C48" s="27" t="s">
        <v>451</v>
      </c>
      <c r="D48" s="5" t="s">
        <v>22</v>
      </c>
      <c r="E48" s="21">
        <v>1.25E-4</v>
      </c>
      <c r="F48" s="22">
        <f>VLOOKUP($A48,'Master File June-26'!$C$3:$L$670,6,0)</f>
        <v>0</v>
      </c>
      <c r="G48" s="22">
        <f>VLOOKUP($A48,'Master File June-26'!$C$3:$L$670,7,0)</f>
        <v>0</v>
      </c>
      <c r="H48" s="5">
        <f>VLOOKUP($A48,'Master File June-26'!$C$3:$L$670,8,0)</f>
        <v>14</v>
      </c>
      <c r="I48" s="5">
        <f>VLOOKUP($A48,'Master File June-26'!$C$3:$L$670,9,0)</f>
        <v>0</v>
      </c>
      <c r="J48" s="5">
        <f>VLOOKUP($A48,'Master File June-26'!$C$3:$L$670,10,0)</f>
        <v>0</v>
      </c>
      <c r="K48" s="24">
        <f t="shared" si="0"/>
        <v>0</v>
      </c>
      <c r="L48" s="25" t="str">
        <f t="shared" si="1"/>
        <v>ORDER NOW</v>
      </c>
      <c r="M48" s="25" t="str">
        <f t="shared" si="2"/>
        <v>CRITICAL</v>
      </c>
      <c r="N48" s="79">
        <v>1</v>
      </c>
    </row>
    <row r="49" spans="1:14" ht="18.75" x14ac:dyDescent="0.25">
      <c r="A49" s="41" t="s">
        <v>430</v>
      </c>
      <c r="B49" s="28" t="s">
        <v>431</v>
      </c>
      <c r="C49" s="27" t="s">
        <v>429</v>
      </c>
      <c r="D49" s="5" t="s">
        <v>22</v>
      </c>
      <c r="E49" s="21">
        <v>0.25</v>
      </c>
      <c r="F49" s="22">
        <f>VLOOKUP($A49,'Master File June-26'!$C$3:$L$670,6,0)</f>
        <v>2400</v>
      </c>
      <c r="G49" s="22">
        <f>VLOOKUP($A49,'Master File June-26'!$C$3:$L$670,7,0)</f>
        <v>9600</v>
      </c>
      <c r="H49" s="5">
        <f>VLOOKUP($A49,'Master File June-26'!$C$3:$L$670,8,0)</f>
        <v>14</v>
      </c>
      <c r="I49" s="5">
        <f>VLOOKUP($A49,'Master File June-26'!$C$3:$L$670,9,0)</f>
        <v>4800</v>
      </c>
      <c r="J49" s="5">
        <f>VLOOKUP($A49,'Master File June-26'!$C$3:$L$670,10,0)</f>
        <v>600</v>
      </c>
      <c r="K49" s="24">
        <f t="shared" si="0"/>
        <v>1.875</v>
      </c>
      <c r="L49" s="25" t="str">
        <f t="shared" si="1"/>
        <v>ORDER NOW</v>
      </c>
      <c r="M49" s="25" t="str">
        <f t="shared" si="2"/>
        <v>CRITICAL</v>
      </c>
      <c r="N49" s="79">
        <v>0</v>
      </c>
    </row>
    <row r="50" spans="1:14" ht="18.75" x14ac:dyDescent="0.25">
      <c r="A50" s="41" t="s">
        <v>452</v>
      </c>
      <c r="B50" s="28" t="s">
        <v>453</v>
      </c>
      <c r="C50" s="27" t="s">
        <v>454</v>
      </c>
      <c r="D50" s="5" t="s">
        <v>54</v>
      </c>
      <c r="E50" s="21">
        <v>6.6666666666666666E-2</v>
      </c>
      <c r="F50" s="22">
        <f>VLOOKUP($A50,'Master File June-26'!$C$3:$L$670,6,0)</f>
        <v>0</v>
      </c>
      <c r="G50" s="22">
        <f>VLOOKUP($A50,'Master File June-26'!$C$3:$L$670,7,0)</f>
        <v>0</v>
      </c>
      <c r="H50" s="5">
        <f>VLOOKUP($A50,'Master File June-26'!$C$3:$L$670,8,0)</f>
        <v>14</v>
      </c>
      <c r="I50" s="5">
        <f>VLOOKUP($A50,'Master File June-26'!$C$3:$L$670,9,0)</f>
        <v>0</v>
      </c>
      <c r="J50" s="5">
        <f>VLOOKUP($A50,'Master File June-26'!$C$3:$L$670,10,0)</f>
        <v>0</v>
      </c>
      <c r="K50" s="24">
        <f t="shared" si="0"/>
        <v>0</v>
      </c>
      <c r="L50" s="25" t="str">
        <f t="shared" si="1"/>
        <v>ORDER NOW</v>
      </c>
      <c r="M50" s="25" t="str">
        <f t="shared" si="2"/>
        <v>CRITICAL</v>
      </c>
      <c r="N50" s="79">
        <v>1</v>
      </c>
    </row>
    <row r="51" spans="1:14" ht="18.75" x14ac:dyDescent="0.25">
      <c r="A51" s="41" t="s">
        <v>435</v>
      </c>
      <c r="B51" s="28" t="s">
        <v>436</v>
      </c>
      <c r="C51" s="27" t="s">
        <v>437</v>
      </c>
      <c r="D51" s="5" t="s">
        <v>22</v>
      </c>
      <c r="E51" s="21">
        <v>0.125</v>
      </c>
      <c r="F51" s="22">
        <f>VLOOKUP($A51,'Master File June-26'!$C$3:$L$670,6,0)</f>
        <v>100</v>
      </c>
      <c r="G51" s="22">
        <f>VLOOKUP($A51,'Master File June-26'!$C$3:$L$670,7,0)</f>
        <v>800</v>
      </c>
      <c r="H51" s="5">
        <f>VLOOKUP($A51,'Master File June-26'!$C$3:$L$670,8,0)</f>
        <v>14</v>
      </c>
      <c r="I51" s="5">
        <f>VLOOKUP($A51,'Master File June-26'!$C$3:$L$670,9,0)</f>
        <v>400</v>
      </c>
      <c r="J51" s="5">
        <f>VLOOKUP($A51,'Master File June-26'!$C$3:$L$670,10,0)</f>
        <v>0</v>
      </c>
      <c r="K51" s="24">
        <f t="shared" si="0"/>
        <v>0</v>
      </c>
      <c r="L51" s="25" t="str">
        <f t="shared" si="1"/>
        <v>ORDER NOW</v>
      </c>
      <c r="M51" s="25" t="str">
        <f t="shared" si="2"/>
        <v>CRITICAL</v>
      </c>
      <c r="N51" s="79">
        <v>0</v>
      </c>
    </row>
    <row r="52" spans="1:14" ht="18.75" x14ac:dyDescent="0.25">
      <c r="A52" s="41" t="s">
        <v>458</v>
      </c>
      <c r="B52" s="33" t="s">
        <v>459</v>
      </c>
      <c r="C52" s="27" t="s">
        <v>460</v>
      </c>
      <c r="D52" s="5" t="s">
        <v>49</v>
      </c>
      <c r="E52" s="21">
        <v>6.6666666666666666E-2</v>
      </c>
      <c r="F52" s="22">
        <f>VLOOKUP($A52,'Master File June-26'!$C$3:$L$670,6,0)</f>
        <v>0</v>
      </c>
      <c r="G52" s="22">
        <f>VLOOKUP($A52,'Master File June-26'!$C$3:$L$670,7,0)</f>
        <v>0</v>
      </c>
      <c r="H52" s="5">
        <f>VLOOKUP($A52,'Master File June-26'!$C$3:$L$670,8,0)</f>
        <v>14</v>
      </c>
      <c r="I52" s="5">
        <f>VLOOKUP($A52,'Master File June-26'!$C$3:$L$670,9,0)</f>
        <v>0</v>
      </c>
      <c r="J52" s="5">
        <f>VLOOKUP($A52,'Master File June-26'!$C$3:$L$670,10,0)</f>
        <v>0</v>
      </c>
      <c r="K52" s="24">
        <f t="shared" si="0"/>
        <v>0</v>
      </c>
      <c r="L52" s="25" t="str">
        <f t="shared" si="1"/>
        <v>ORDER NOW</v>
      </c>
      <c r="M52" s="25" t="str">
        <f t="shared" si="2"/>
        <v>CRITICAL</v>
      </c>
      <c r="N52" s="79">
        <v>1</v>
      </c>
    </row>
    <row r="53" spans="1:14" ht="18.75" x14ac:dyDescent="0.25">
      <c r="A53" s="41" t="s">
        <v>441</v>
      </c>
      <c r="B53" s="28" t="s">
        <v>442</v>
      </c>
      <c r="C53" s="27" t="s">
        <v>443</v>
      </c>
      <c r="D53" s="5" t="s">
        <v>22</v>
      </c>
      <c r="E53" s="21">
        <v>0.04</v>
      </c>
      <c r="F53" s="22">
        <f>VLOOKUP($A53,'Master File June-26'!$C$3:$L$670,6,0)</f>
        <v>100</v>
      </c>
      <c r="G53" s="22">
        <f>VLOOKUP($A53,'Master File June-26'!$C$3:$L$670,7,0)</f>
        <v>2500</v>
      </c>
      <c r="H53" s="5">
        <f>VLOOKUP($A53,'Master File June-26'!$C$3:$L$670,8,0)</f>
        <v>14</v>
      </c>
      <c r="I53" s="5">
        <f>VLOOKUP($A53,'Master File June-26'!$C$3:$L$670,9,0)</f>
        <v>1250</v>
      </c>
      <c r="J53" s="5">
        <f>VLOOKUP($A53,'Master File June-26'!$C$3:$L$670,10,0)</f>
        <v>0</v>
      </c>
      <c r="K53" s="24">
        <f t="shared" si="0"/>
        <v>0</v>
      </c>
      <c r="L53" s="25" t="str">
        <f t="shared" si="1"/>
        <v>ORDER NOW</v>
      </c>
      <c r="M53" s="25" t="str">
        <f t="shared" si="2"/>
        <v>CRITICAL</v>
      </c>
      <c r="N53" s="79">
        <v>0</v>
      </c>
    </row>
    <row r="54" spans="1:14" ht="18.75" x14ac:dyDescent="0.25">
      <c r="A54" s="41" t="s">
        <v>474</v>
      </c>
      <c r="B54" s="28" t="s">
        <v>475</v>
      </c>
      <c r="C54" s="27" t="s">
        <v>476</v>
      </c>
      <c r="D54" s="5" t="s">
        <v>22</v>
      </c>
      <c r="E54" s="21">
        <v>0.1811594202898551</v>
      </c>
      <c r="F54" s="22">
        <f>VLOOKUP($A54,'Master File June-26'!$C$3:$L$670,6,0)</f>
        <v>0</v>
      </c>
      <c r="G54" s="22">
        <f>VLOOKUP($A54,'Master File June-26'!$C$3:$L$670,7,0)</f>
        <v>0</v>
      </c>
      <c r="H54" s="5">
        <f>VLOOKUP($A54,'Master File June-26'!$C$3:$L$670,8,0)</f>
        <v>14</v>
      </c>
      <c r="I54" s="5">
        <f>VLOOKUP($A54,'Master File June-26'!$C$3:$L$670,9,0)</f>
        <v>0</v>
      </c>
      <c r="J54" s="5">
        <f>VLOOKUP($A54,'Master File June-26'!$C$3:$L$670,10,0)</f>
        <v>0</v>
      </c>
      <c r="K54" s="24">
        <f t="shared" si="0"/>
        <v>0</v>
      </c>
      <c r="L54" s="25" t="str">
        <f t="shared" si="1"/>
        <v>ORDER NOW</v>
      </c>
      <c r="M54" s="25" t="str">
        <f t="shared" si="2"/>
        <v>CRITICAL</v>
      </c>
      <c r="N54" s="79">
        <v>1</v>
      </c>
    </row>
    <row r="55" spans="1:14" ht="18.75" x14ac:dyDescent="0.25">
      <c r="A55" s="41" t="s">
        <v>447</v>
      </c>
      <c r="B55" s="35" t="s">
        <v>448</v>
      </c>
      <c r="C55" s="27" t="s">
        <v>49</v>
      </c>
      <c r="D55" s="5" t="s">
        <v>49</v>
      </c>
      <c r="E55" s="21">
        <v>1</v>
      </c>
      <c r="F55" s="22">
        <f>VLOOKUP($A55,'Master File June-26'!$C$3:$L$670,6,0)</f>
        <v>11</v>
      </c>
      <c r="G55" s="22">
        <f>VLOOKUP($A55,'Master File June-26'!$C$3:$L$670,7,0)</f>
        <v>11</v>
      </c>
      <c r="H55" s="5">
        <f>VLOOKUP($A55,'Master File June-26'!$C$3:$L$670,8,0)</f>
        <v>14</v>
      </c>
      <c r="I55" s="5">
        <f>VLOOKUP($A55,'Master File June-26'!$C$3:$L$670,9,0)</f>
        <v>5.5</v>
      </c>
      <c r="J55" s="5">
        <f>VLOOKUP($A55,'Master File June-26'!$C$3:$L$670,10,0)</f>
        <v>0</v>
      </c>
      <c r="K55" s="24">
        <f t="shared" si="0"/>
        <v>0</v>
      </c>
      <c r="L55" s="25" t="str">
        <f t="shared" si="1"/>
        <v>ORDER NOW</v>
      </c>
      <c r="M55" s="25" t="str">
        <f t="shared" si="2"/>
        <v>CRITICAL</v>
      </c>
      <c r="N55" s="79">
        <v>0</v>
      </c>
    </row>
    <row r="56" spans="1:14" ht="18.75" x14ac:dyDescent="0.25">
      <c r="A56" s="41" t="s">
        <v>477</v>
      </c>
      <c r="B56" s="28" t="s">
        <v>478</v>
      </c>
      <c r="C56" s="42" t="s">
        <v>479</v>
      </c>
      <c r="D56" s="5" t="s">
        <v>22</v>
      </c>
      <c r="E56" s="21">
        <v>1.5625E-2</v>
      </c>
      <c r="F56" s="22">
        <f>VLOOKUP($A56,'Master File June-26'!$C$3:$L$670,6,0)</f>
        <v>0</v>
      </c>
      <c r="G56" s="22">
        <f>VLOOKUP($A56,'Master File June-26'!$C$3:$L$670,7,0)</f>
        <v>0</v>
      </c>
      <c r="H56" s="5">
        <f>VLOOKUP($A56,'Master File June-26'!$C$3:$L$670,8,0)</f>
        <v>14</v>
      </c>
      <c r="I56" s="5">
        <f>VLOOKUP($A56,'Master File June-26'!$C$3:$L$670,9,0)</f>
        <v>0</v>
      </c>
      <c r="J56" s="5">
        <f>VLOOKUP($A56,'Master File June-26'!$C$3:$L$670,10,0)</f>
        <v>0</v>
      </c>
      <c r="K56" s="24">
        <f t="shared" si="0"/>
        <v>0</v>
      </c>
      <c r="L56" s="25" t="str">
        <f t="shared" si="1"/>
        <v>ORDER NOW</v>
      </c>
      <c r="M56" s="25" t="str">
        <f t="shared" si="2"/>
        <v>CRITICAL</v>
      </c>
      <c r="N56" s="79">
        <v>1</v>
      </c>
    </row>
    <row r="57" spans="1:14" ht="18.75" x14ac:dyDescent="0.25">
      <c r="A57" s="41" t="s">
        <v>483</v>
      </c>
      <c r="B57" s="28" t="s">
        <v>484</v>
      </c>
      <c r="C57" s="27" t="s">
        <v>64</v>
      </c>
      <c r="D57" s="5" t="s">
        <v>49</v>
      </c>
      <c r="E57" s="21">
        <v>1</v>
      </c>
      <c r="F57" s="22">
        <f>VLOOKUP($A57,'Master File June-26'!$C$3:$L$670,6,0)</f>
        <v>0</v>
      </c>
      <c r="G57" s="22">
        <f>VLOOKUP($A57,'Master File June-26'!$C$3:$L$670,7,0)</f>
        <v>0</v>
      </c>
      <c r="H57" s="5">
        <f>VLOOKUP($A57,'Master File June-26'!$C$3:$L$670,8,0)</f>
        <v>14</v>
      </c>
      <c r="I57" s="5">
        <f>VLOOKUP($A57,'Master File June-26'!$C$3:$L$670,9,0)</f>
        <v>0</v>
      </c>
      <c r="J57" s="5">
        <f>VLOOKUP($A57,'Master File June-26'!$C$3:$L$670,10,0)</f>
        <v>0</v>
      </c>
      <c r="K57" s="24">
        <f t="shared" si="0"/>
        <v>0</v>
      </c>
      <c r="L57" s="25" t="str">
        <f t="shared" si="1"/>
        <v>ORDER NOW</v>
      </c>
      <c r="M57" s="25" t="str">
        <f t="shared" si="2"/>
        <v>CRITICAL</v>
      </c>
      <c r="N57" s="79">
        <v>1</v>
      </c>
    </row>
    <row r="58" spans="1:14" ht="18.75" x14ac:dyDescent="0.25">
      <c r="A58" s="41" t="s">
        <v>455</v>
      </c>
      <c r="B58" s="28" t="s">
        <v>456</v>
      </c>
      <c r="C58" s="27" t="s">
        <v>457</v>
      </c>
      <c r="D58" s="5" t="s">
        <v>54</v>
      </c>
      <c r="E58" s="21">
        <v>1</v>
      </c>
      <c r="F58" s="22">
        <f>VLOOKUP($A58,'Master File June-26'!$C$3:$L$670,6,0)</f>
        <v>25</v>
      </c>
      <c r="G58" s="22">
        <f>VLOOKUP($A58,'Master File June-26'!$C$3:$L$670,7,0)</f>
        <v>25</v>
      </c>
      <c r="H58" s="5">
        <f>VLOOKUP($A58,'Master File June-26'!$C$3:$L$670,8,0)</f>
        <v>14</v>
      </c>
      <c r="I58" s="5">
        <f>VLOOKUP($A58,'Master File June-26'!$C$3:$L$670,9,0)</f>
        <v>12.5</v>
      </c>
      <c r="J58" s="5">
        <f>VLOOKUP($A58,'Master File June-26'!$C$3:$L$670,10,0)</f>
        <v>0</v>
      </c>
      <c r="K58" s="24">
        <f t="shared" si="0"/>
        <v>0</v>
      </c>
      <c r="L58" s="25" t="str">
        <f t="shared" si="1"/>
        <v>ORDER NOW</v>
      </c>
      <c r="M58" s="25" t="str">
        <f t="shared" si="2"/>
        <v>CRITICAL</v>
      </c>
      <c r="N58" s="79">
        <v>0</v>
      </c>
    </row>
    <row r="59" spans="1:14" ht="18.75" x14ac:dyDescent="0.25">
      <c r="A59" s="41" t="s">
        <v>485</v>
      </c>
      <c r="B59" s="28" t="s">
        <v>486</v>
      </c>
      <c r="C59" s="27" t="s">
        <v>487</v>
      </c>
      <c r="D59" s="5" t="s">
        <v>22</v>
      </c>
      <c r="E59" s="21">
        <v>0.05</v>
      </c>
      <c r="F59" s="22">
        <f>VLOOKUP($A59,'Master File June-26'!$C$3:$L$670,6,0)</f>
        <v>0</v>
      </c>
      <c r="G59" s="22">
        <f>VLOOKUP($A59,'Master File June-26'!$C$3:$L$670,7,0)</f>
        <v>0</v>
      </c>
      <c r="H59" s="5">
        <f>VLOOKUP($A59,'Master File June-26'!$C$3:$L$670,8,0)</f>
        <v>14</v>
      </c>
      <c r="I59" s="5">
        <f>VLOOKUP($A59,'Master File June-26'!$C$3:$L$670,9,0)</f>
        <v>0</v>
      </c>
      <c r="J59" s="5">
        <f>VLOOKUP($A59,'Master File June-26'!$C$3:$L$670,10,0)</f>
        <v>0</v>
      </c>
      <c r="K59" s="24">
        <f t="shared" si="0"/>
        <v>0</v>
      </c>
      <c r="L59" s="25" t="str">
        <f t="shared" si="1"/>
        <v>ORDER NOW</v>
      </c>
      <c r="M59" s="25" t="str">
        <f t="shared" si="2"/>
        <v>CRITICAL</v>
      </c>
      <c r="N59" s="79">
        <v>1</v>
      </c>
    </row>
    <row r="60" spans="1:14" ht="18.75" x14ac:dyDescent="0.25">
      <c r="A60" s="41" t="s">
        <v>461</v>
      </c>
      <c r="B60" s="30" t="s">
        <v>462</v>
      </c>
      <c r="C60" s="27" t="s">
        <v>463</v>
      </c>
      <c r="D60" s="5" t="s">
        <v>22</v>
      </c>
      <c r="E60" s="21">
        <v>0.4</v>
      </c>
      <c r="F60" s="22">
        <f>VLOOKUP($A60,'Master File June-26'!$C$3:$L$670,6,0)</f>
        <v>1</v>
      </c>
      <c r="G60" s="22">
        <f>VLOOKUP($A60,'Master File June-26'!$C$3:$L$670,7,0)</f>
        <v>2.5</v>
      </c>
      <c r="H60" s="5">
        <f>VLOOKUP($A60,'Master File June-26'!$C$3:$L$670,8,0)</f>
        <v>14</v>
      </c>
      <c r="I60" s="5">
        <f>VLOOKUP($A60,'Master File June-26'!$C$3:$L$670,9,0)</f>
        <v>1.25</v>
      </c>
      <c r="J60" s="5">
        <f>VLOOKUP($A60,'Master File June-26'!$C$3:$L$670,10,0)</f>
        <v>0</v>
      </c>
      <c r="K60" s="24">
        <f t="shared" si="0"/>
        <v>0</v>
      </c>
      <c r="L60" s="25" t="str">
        <f t="shared" si="1"/>
        <v>ORDER NOW</v>
      </c>
      <c r="M60" s="25" t="str">
        <f t="shared" si="2"/>
        <v>CRITICAL</v>
      </c>
      <c r="N60" s="79">
        <v>0</v>
      </c>
    </row>
    <row r="61" spans="1:14" ht="18.75" x14ac:dyDescent="0.25">
      <c r="A61" s="41" t="s">
        <v>464</v>
      </c>
      <c r="B61" s="28" t="s">
        <v>465</v>
      </c>
      <c r="C61" s="27" t="s">
        <v>466</v>
      </c>
      <c r="D61" s="5" t="s">
        <v>49</v>
      </c>
      <c r="E61" s="21">
        <v>0.04</v>
      </c>
      <c r="F61" s="22">
        <f>VLOOKUP($A61,'Master File June-26'!$C$3:$L$670,6,0)</f>
        <v>4</v>
      </c>
      <c r="G61" s="22">
        <f>VLOOKUP($A61,'Master File June-26'!$C$3:$L$670,7,0)</f>
        <v>100</v>
      </c>
      <c r="H61" s="5">
        <f>VLOOKUP($A61,'Master File June-26'!$C$3:$L$670,8,0)</f>
        <v>14</v>
      </c>
      <c r="I61" s="5">
        <f>VLOOKUP($A61,'Master File June-26'!$C$3:$L$670,9,0)</f>
        <v>50</v>
      </c>
      <c r="J61" s="5">
        <f>VLOOKUP($A61,'Master File June-26'!$C$3:$L$670,10,0)</f>
        <v>0</v>
      </c>
      <c r="K61" s="24">
        <f t="shared" si="0"/>
        <v>0</v>
      </c>
      <c r="L61" s="25" t="str">
        <f t="shared" si="1"/>
        <v>ORDER NOW</v>
      </c>
      <c r="M61" s="25" t="str">
        <f t="shared" si="2"/>
        <v>CRITICAL</v>
      </c>
      <c r="N61" s="79">
        <v>0</v>
      </c>
    </row>
    <row r="62" spans="1:14" ht="18.75" x14ac:dyDescent="0.25">
      <c r="A62" s="41" t="s">
        <v>467</v>
      </c>
      <c r="B62" s="28" t="s">
        <v>468</v>
      </c>
      <c r="C62" s="27" t="s">
        <v>469</v>
      </c>
      <c r="D62" s="5" t="s">
        <v>54</v>
      </c>
      <c r="E62" s="21">
        <v>6.6666666666666666E-2</v>
      </c>
      <c r="F62" s="22">
        <f>VLOOKUP($A62,'Master File June-26'!$C$3:$L$670,6,0)</f>
        <v>120</v>
      </c>
      <c r="G62" s="22">
        <f>VLOOKUP($A62,'Master File June-26'!$C$3:$L$670,7,0)</f>
        <v>1800</v>
      </c>
      <c r="H62" s="5">
        <f>VLOOKUP($A62,'Master File June-26'!$C$3:$L$670,8,0)</f>
        <v>14</v>
      </c>
      <c r="I62" s="5">
        <f>VLOOKUP($A62,'Master File June-26'!$C$3:$L$670,9,0)</f>
        <v>900</v>
      </c>
      <c r="J62" s="5">
        <f>VLOOKUP($A62,'Master File June-26'!$C$3:$L$670,10,0)</f>
        <v>0</v>
      </c>
      <c r="K62" s="24">
        <f t="shared" si="0"/>
        <v>0</v>
      </c>
      <c r="L62" s="25" t="str">
        <f t="shared" si="1"/>
        <v>ORDER NOW</v>
      </c>
      <c r="M62" s="25" t="str">
        <f t="shared" si="2"/>
        <v>CRITICAL</v>
      </c>
      <c r="N62" s="79">
        <v>0</v>
      </c>
    </row>
    <row r="63" spans="1:14" ht="18.75" x14ac:dyDescent="0.25">
      <c r="A63" s="41" t="s">
        <v>470</v>
      </c>
      <c r="B63" s="28" t="s">
        <v>471</v>
      </c>
      <c r="C63" s="27" t="s">
        <v>469</v>
      </c>
      <c r="D63" s="5" t="s">
        <v>54</v>
      </c>
      <c r="E63" s="21">
        <v>6.6666666666666666E-2</v>
      </c>
      <c r="F63" s="22">
        <f>VLOOKUP($A63,'Master File June-26'!$C$3:$L$670,6,0)</f>
        <v>80</v>
      </c>
      <c r="G63" s="22">
        <f>VLOOKUP($A63,'Master File June-26'!$C$3:$L$670,7,0)</f>
        <v>1200</v>
      </c>
      <c r="H63" s="5">
        <f>VLOOKUP($A63,'Master File June-26'!$C$3:$L$670,8,0)</f>
        <v>14</v>
      </c>
      <c r="I63" s="5">
        <f>VLOOKUP($A63,'Master File June-26'!$C$3:$L$670,9,0)</f>
        <v>600</v>
      </c>
      <c r="J63" s="5">
        <f>VLOOKUP($A63,'Master File June-26'!$C$3:$L$670,10,0)</f>
        <v>750</v>
      </c>
      <c r="K63" s="24">
        <f t="shared" si="0"/>
        <v>18.75</v>
      </c>
      <c r="L63" s="25" t="str">
        <f t="shared" si="1"/>
        <v>IN STOCK</v>
      </c>
      <c r="M63" s="25" t="str">
        <f t="shared" si="2"/>
        <v>FOLLOW UP DELIVERY</v>
      </c>
      <c r="N63" s="79">
        <v>0</v>
      </c>
    </row>
    <row r="64" spans="1:14" ht="18.75" x14ac:dyDescent="0.25">
      <c r="A64" s="41" t="s">
        <v>472</v>
      </c>
      <c r="B64" s="30" t="s">
        <v>473</v>
      </c>
      <c r="C64" s="27" t="s">
        <v>463</v>
      </c>
      <c r="D64" s="5" t="s">
        <v>22</v>
      </c>
      <c r="E64" s="21">
        <v>0.4</v>
      </c>
      <c r="F64" s="22">
        <f>VLOOKUP($A64,'Master File June-26'!$C$3:$L$670,6,0)</f>
        <v>1</v>
      </c>
      <c r="G64" s="22">
        <f>VLOOKUP($A64,'Master File June-26'!$C$3:$L$670,7,0)</f>
        <v>2.5</v>
      </c>
      <c r="H64" s="5">
        <f>VLOOKUP($A64,'Master File June-26'!$C$3:$L$670,8,0)</f>
        <v>14</v>
      </c>
      <c r="I64" s="5">
        <f>VLOOKUP($A64,'Master File June-26'!$C$3:$L$670,9,0)</f>
        <v>1.25</v>
      </c>
      <c r="J64" s="5">
        <f>VLOOKUP($A64,'Master File June-26'!$C$3:$L$670,10,0)</f>
        <v>0</v>
      </c>
      <c r="K64" s="24">
        <f t="shared" si="0"/>
        <v>0</v>
      </c>
      <c r="L64" s="25" t="str">
        <f t="shared" si="1"/>
        <v>ORDER NOW</v>
      </c>
      <c r="M64" s="25" t="str">
        <f t="shared" si="2"/>
        <v>CRITICAL</v>
      </c>
      <c r="N64" s="79">
        <v>0</v>
      </c>
    </row>
    <row r="65" spans="1:14" ht="18.75" x14ac:dyDescent="0.25">
      <c r="A65" s="41" t="s">
        <v>488</v>
      </c>
      <c r="B65" s="28" t="s">
        <v>489</v>
      </c>
      <c r="C65" s="27" t="s">
        <v>490</v>
      </c>
      <c r="D65" s="5" t="s">
        <v>54</v>
      </c>
      <c r="E65" s="21">
        <v>0.2</v>
      </c>
      <c r="F65" s="22">
        <f>VLOOKUP($A65,'Master File June-26'!$C$3:$L$670,6,0)</f>
        <v>0</v>
      </c>
      <c r="G65" s="22">
        <f>VLOOKUP($A65,'Master File June-26'!$C$3:$L$670,7,0)</f>
        <v>0</v>
      </c>
      <c r="H65" s="5">
        <f>VLOOKUP($A65,'Master File June-26'!$C$3:$L$670,8,0)</f>
        <v>14</v>
      </c>
      <c r="I65" s="5">
        <f>VLOOKUP($A65,'Master File June-26'!$C$3:$L$670,9,0)</f>
        <v>0</v>
      </c>
      <c r="J65" s="5">
        <f>VLOOKUP($A65,'Master File June-26'!$C$3:$L$670,10,0)</f>
        <v>10</v>
      </c>
      <c r="K65" s="24">
        <f t="shared" si="0"/>
        <v>0</v>
      </c>
      <c r="L65" s="25" t="str">
        <f t="shared" si="1"/>
        <v>ORDER NOW</v>
      </c>
      <c r="M65" s="25" t="str">
        <f t="shared" si="2"/>
        <v>CRITICAL</v>
      </c>
      <c r="N65" s="79">
        <v>1</v>
      </c>
    </row>
    <row r="66" spans="1:14" ht="18.75" x14ac:dyDescent="0.25">
      <c r="A66" s="41" t="s">
        <v>491</v>
      </c>
      <c r="B66" s="28" t="s">
        <v>492</v>
      </c>
      <c r="C66" s="27" t="s">
        <v>493</v>
      </c>
      <c r="D66" s="5" t="s">
        <v>49</v>
      </c>
      <c r="E66" s="21">
        <v>1</v>
      </c>
      <c r="F66" s="22">
        <f>VLOOKUP($A66,'Master File June-26'!$C$3:$L$670,6,0)</f>
        <v>0</v>
      </c>
      <c r="G66" s="22">
        <f>VLOOKUP($A66,'Master File June-26'!$C$3:$L$670,7,0)</f>
        <v>0</v>
      </c>
      <c r="H66" s="5">
        <f>VLOOKUP($A66,'Master File June-26'!$C$3:$L$670,8,0)</f>
        <v>14</v>
      </c>
      <c r="I66" s="5">
        <f>VLOOKUP($A66,'Master File June-26'!$C$3:$L$670,9,0)</f>
        <v>0</v>
      </c>
      <c r="J66" s="5">
        <f>VLOOKUP($A66,'Master File June-26'!$C$3:$L$670,10,0)</f>
        <v>0</v>
      </c>
      <c r="K66" s="24">
        <f t="shared" si="0"/>
        <v>0</v>
      </c>
      <c r="L66" s="25" t="str">
        <f t="shared" si="1"/>
        <v>ORDER NOW</v>
      </c>
      <c r="M66" s="25" t="str">
        <f t="shared" si="2"/>
        <v>CRITICAL</v>
      </c>
      <c r="N66" s="79">
        <v>1</v>
      </c>
    </row>
    <row r="67" spans="1:14" ht="18.75" x14ac:dyDescent="0.25">
      <c r="A67" s="41" t="s">
        <v>480</v>
      </c>
      <c r="B67" s="28" t="s">
        <v>481</v>
      </c>
      <c r="C67" s="27" t="s">
        <v>482</v>
      </c>
      <c r="D67" s="5" t="s">
        <v>54</v>
      </c>
      <c r="E67" s="21">
        <v>6.6666666666666666E-2</v>
      </c>
      <c r="F67" s="22">
        <f>VLOOKUP($A67,'Master File June-26'!$C$3:$L$670,6,0)</f>
        <v>1</v>
      </c>
      <c r="G67" s="22">
        <f>VLOOKUP($A67,'Master File June-26'!$C$3:$L$670,7,0)</f>
        <v>15</v>
      </c>
      <c r="H67" s="5">
        <f>VLOOKUP($A67,'Master File June-26'!$C$3:$L$670,8,0)</f>
        <v>14</v>
      </c>
      <c r="I67" s="5">
        <f>VLOOKUP($A67,'Master File June-26'!$C$3:$L$670,9,0)</f>
        <v>7.5</v>
      </c>
      <c r="J67" s="5">
        <f>VLOOKUP($A67,'Master File June-26'!$C$3:$L$670,10,0)</f>
        <v>0</v>
      </c>
      <c r="K67" s="24">
        <f t="shared" ref="K67:K130" si="3">IFERROR((J67/G67*30),0)</f>
        <v>0</v>
      </c>
      <c r="L67" s="25" t="str">
        <f t="shared" ref="L67:L130" si="4">IF(K67&lt;H67,"ORDER NOW","IN STOCK")</f>
        <v>ORDER NOW</v>
      </c>
      <c r="M67" s="25" t="str">
        <f t="shared" ref="M67:M130" si="5">IF(K67&lt;H67,"CRITICAL","FOLLOW UP DELIVERY")</f>
        <v>CRITICAL</v>
      </c>
      <c r="N67" s="79">
        <v>0</v>
      </c>
    </row>
    <row r="68" spans="1:14" ht="18.75" x14ac:dyDescent="0.25">
      <c r="A68" s="41" t="s">
        <v>497</v>
      </c>
      <c r="B68" s="28" t="s">
        <v>498</v>
      </c>
      <c r="C68" s="27" t="s">
        <v>496</v>
      </c>
      <c r="D68" s="5" t="s">
        <v>22</v>
      </c>
      <c r="E68" s="21">
        <v>0.125</v>
      </c>
      <c r="F68" s="22">
        <f>VLOOKUP($A68,'Master File June-26'!$C$3:$L$670,6,0)</f>
        <v>0</v>
      </c>
      <c r="G68" s="22">
        <f>VLOOKUP($A68,'Master File June-26'!$C$3:$L$670,7,0)</f>
        <v>0</v>
      </c>
      <c r="H68" s="5">
        <f>VLOOKUP($A68,'Master File June-26'!$C$3:$L$670,8,0)</f>
        <v>14</v>
      </c>
      <c r="I68" s="5">
        <f>VLOOKUP($A68,'Master File June-26'!$C$3:$L$670,9,0)</f>
        <v>0</v>
      </c>
      <c r="J68" s="5">
        <f>VLOOKUP($A68,'Master File June-26'!$C$3:$L$670,10,0)</f>
        <v>0</v>
      </c>
      <c r="K68" s="24">
        <f t="shared" si="3"/>
        <v>0</v>
      </c>
      <c r="L68" s="25" t="str">
        <f t="shared" si="4"/>
        <v>ORDER NOW</v>
      </c>
      <c r="M68" s="25" t="str">
        <f t="shared" si="5"/>
        <v>CRITICAL</v>
      </c>
      <c r="N68" s="79">
        <v>1</v>
      </c>
    </row>
    <row r="69" spans="1:14" ht="18.75" x14ac:dyDescent="0.25">
      <c r="A69" s="41" t="s">
        <v>502</v>
      </c>
      <c r="B69" s="28" t="s">
        <v>503</v>
      </c>
      <c r="C69" s="43" t="s">
        <v>504</v>
      </c>
      <c r="D69" s="5" t="s">
        <v>49</v>
      </c>
      <c r="E69" s="21">
        <v>1</v>
      </c>
      <c r="F69" s="22">
        <f>VLOOKUP($A69,'Master File June-26'!$C$3:$L$670,6,0)</f>
        <v>0</v>
      </c>
      <c r="G69" s="22">
        <f>VLOOKUP($A69,'Master File June-26'!$C$3:$L$670,7,0)</f>
        <v>0</v>
      </c>
      <c r="H69" s="5">
        <f>VLOOKUP($A69,'Master File June-26'!$C$3:$L$670,8,0)</f>
        <v>14</v>
      </c>
      <c r="I69" s="5">
        <f>VLOOKUP($A69,'Master File June-26'!$C$3:$L$670,9,0)</f>
        <v>0</v>
      </c>
      <c r="J69" s="5">
        <f>VLOOKUP($A69,'Master File June-26'!$C$3:$L$670,10,0)</f>
        <v>0</v>
      </c>
      <c r="K69" s="24">
        <f t="shared" si="3"/>
        <v>0</v>
      </c>
      <c r="L69" s="25" t="str">
        <f t="shared" si="4"/>
        <v>ORDER NOW</v>
      </c>
      <c r="M69" s="25" t="str">
        <f t="shared" si="5"/>
        <v>CRITICAL</v>
      </c>
      <c r="N69" s="79">
        <v>1</v>
      </c>
    </row>
    <row r="70" spans="1:14" ht="18.75" x14ac:dyDescent="0.25">
      <c r="A70" s="41" t="s">
        <v>505</v>
      </c>
      <c r="B70" s="28" t="s">
        <v>506</v>
      </c>
      <c r="C70" s="27" t="s">
        <v>507</v>
      </c>
      <c r="D70" s="5" t="s">
        <v>49</v>
      </c>
      <c r="E70" s="21">
        <v>1.5384615384615385E-3</v>
      </c>
      <c r="F70" s="22">
        <f>VLOOKUP($A70,'Master File June-26'!$C$3:$L$670,6,0)</f>
        <v>0</v>
      </c>
      <c r="G70" s="22">
        <f>VLOOKUP($A70,'Master File June-26'!$C$3:$L$670,7,0)</f>
        <v>0</v>
      </c>
      <c r="H70" s="5">
        <f>VLOOKUP($A70,'Master File June-26'!$C$3:$L$670,8,0)</f>
        <v>14</v>
      </c>
      <c r="I70" s="5">
        <f>VLOOKUP($A70,'Master File June-26'!$C$3:$L$670,9,0)</f>
        <v>0</v>
      </c>
      <c r="J70" s="5">
        <f>VLOOKUP($A70,'Master File June-26'!$C$3:$L$670,10,0)</f>
        <v>0</v>
      </c>
      <c r="K70" s="24">
        <f t="shared" si="3"/>
        <v>0</v>
      </c>
      <c r="L70" s="25" t="str">
        <f t="shared" si="4"/>
        <v>ORDER NOW</v>
      </c>
      <c r="M70" s="25" t="str">
        <f t="shared" si="5"/>
        <v>CRITICAL</v>
      </c>
      <c r="N70" s="79">
        <v>1</v>
      </c>
    </row>
    <row r="71" spans="1:14" ht="18.75" x14ac:dyDescent="0.25">
      <c r="A71" s="41" t="s">
        <v>508</v>
      </c>
      <c r="B71" s="30" t="s">
        <v>509</v>
      </c>
      <c r="C71" s="27" t="s">
        <v>510</v>
      </c>
      <c r="D71" s="5" t="s">
        <v>22</v>
      </c>
      <c r="E71" s="21">
        <v>0.25</v>
      </c>
      <c r="F71" s="22">
        <f>VLOOKUP($A71,'Master File June-26'!$C$3:$L$670,6,0)</f>
        <v>0</v>
      </c>
      <c r="G71" s="22">
        <f>VLOOKUP($A71,'Master File June-26'!$C$3:$L$670,7,0)</f>
        <v>0</v>
      </c>
      <c r="H71" s="5">
        <f>VLOOKUP($A71,'Master File June-26'!$C$3:$L$670,8,0)</f>
        <v>14</v>
      </c>
      <c r="I71" s="5">
        <f>VLOOKUP($A71,'Master File June-26'!$C$3:$L$670,9,0)</f>
        <v>0</v>
      </c>
      <c r="J71" s="5">
        <f>VLOOKUP($A71,'Master File June-26'!$C$3:$L$670,10,0)</f>
        <v>1</v>
      </c>
      <c r="K71" s="24">
        <f t="shared" si="3"/>
        <v>0</v>
      </c>
      <c r="L71" s="25" t="str">
        <f t="shared" si="4"/>
        <v>ORDER NOW</v>
      </c>
      <c r="M71" s="25" t="str">
        <f t="shared" si="5"/>
        <v>CRITICAL</v>
      </c>
      <c r="N71" s="79">
        <v>1</v>
      </c>
    </row>
    <row r="72" spans="1:14" ht="18.75" x14ac:dyDescent="0.25">
      <c r="A72" s="41" t="s">
        <v>494</v>
      </c>
      <c r="B72" s="28" t="s">
        <v>495</v>
      </c>
      <c r="C72" s="27" t="s">
        <v>496</v>
      </c>
      <c r="D72" s="5" t="s">
        <v>22</v>
      </c>
      <c r="E72" s="21">
        <v>0.125</v>
      </c>
      <c r="F72" s="22">
        <f>VLOOKUP($A72,'Master File June-26'!$C$3:$L$670,6,0)</f>
        <v>3</v>
      </c>
      <c r="G72" s="22">
        <f>VLOOKUP($A72,'Master File June-26'!$C$3:$L$670,7,0)</f>
        <v>24</v>
      </c>
      <c r="H72" s="5">
        <f>VLOOKUP($A72,'Master File June-26'!$C$3:$L$670,8,0)</f>
        <v>14</v>
      </c>
      <c r="I72" s="5">
        <f>VLOOKUP($A72,'Master File June-26'!$C$3:$L$670,9,0)</f>
        <v>12</v>
      </c>
      <c r="J72" s="5">
        <f>VLOOKUP($A72,'Master File June-26'!$C$3:$L$670,10,0)</f>
        <v>0</v>
      </c>
      <c r="K72" s="24">
        <f t="shared" si="3"/>
        <v>0</v>
      </c>
      <c r="L72" s="25" t="str">
        <f t="shared" si="4"/>
        <v>ORDER NOW</v>
      </c>
      <c r="M72" s="25" t="str">
        <f t="shared" si="5"/>
        <v>CRITICAL</v>
      </c>
      <c r="N72" s="79">
        <v>0</v>
      </c>
    </row>
    <row r="73" spans="1:14" ht="18.75" x14ac:dyDescent="0.25">
      <c r="A73" s="41" t="s">
        <v>511</v>
      </c>
      <c r="B73" s="28" t="s">
        <v>512</v>
      </c>
      <c r="C73" s="27" t="s">
        <v>513</v>
      </c>
      <c r="D73" s="5" t="s">
        <v>22</v>
      </c>
      <c r="E73" s="21">
        <v>8.3333333333333329E-2</v>
      </c>
      <c r="F73" s="22">
        <f>VLOOKUP($A73,'Master File June-26'!$C$3:$L$670,6,0)</f>
        <v>0</v>
      </c>
      <c r="G73" s="22">
        <f>VLOOKUP($A73,'Master File June-26'!$C$3:$L$670,7,0)</f>
        <v>10</v>
      </c>
      <c r="H73" s="5">
        <f>VLOOKUP($A73,'Master File June-26'!$C$3:$L$670,8,0)</f>
        <v>14</v>
      </c>
      <c r="I73" s="5">
        <f>VLOOKUP($A73,'Master File June-26'!$C$3:$L$670,9,0)</f>
        <v>5</v>
      </c>
      <c r="J73" s="5">
        <f>VLOOKUP($A73,'Master File June-26'!$C$3:$L$670,10,0)</f>
        <v>0</v>
      </c>
      <c r="K73" s="24">
        <f t="shared" si="3"/>
        <v>0</v>
      </c>
      <c r="L73" s="25" t="str">
        <f t="shared" si="4"/>
        <v>ORDER NOW</v>
      </c>
      <c r="M73" s="25" t="str">
        <f t="shared" si="5"/>
        <v>CRITICAL</v>
      </c>
      <c r="N73" s="79">
        <v>1</v>
      </c>
    </row>
    <row r="74" spans="1:14" ht="18.75" x14ac:dyDescent="0.25">
      <c r="A74" s="41" t="s">
        <v>499</v>
      </c>
      <c r="B74" s="28" t="s">
        <v>500</v>
      </c>
      <c r="C74" s="27" t="s">
        <v>501</v>
      </c>
      <c r="D74" s="5" t="s">
        <v>89</v>
      </c>
      <c r="E74" s="21">
        <v>6.6666666666666666E-2</v>
      </c>
      <c r="F74" s="22">
        <f>VLOOKUP($A74,'Master File June-26'!$C$3:$L$670,6,0)</f>
        <v>1</v>
      </c>
      <c r="G74" s="22">
        <f>VLOOKUP($A74,'Master File June-26'!$C$3:$L$670,7,0)</f>
        <v>15</v>
      </c>
      <c r="H74" s="5">
        <f>VLOOKUP($A74,'Master File June-26'!$C$3:$L$670,8,0)</f>
        <v>14</v>
      </c>
      <c r="I74" s="5">
        <f>VLOOKUP($A74,'Master File June-26'!$C$3:$L$670,9,0)</f>
        <v>7.5</v>
      </c>
      <c r="J74" s="5">
        <f>VLOOKUP($A74,'Master File June-26'!$C$3:$L$670,10,0)</f>
        <v>0</v>
      </c>
      <c r="K74" s="24">
        <f t="shared" si="3"/>
        <v>0</v>
      </c>
      <c r="L74" s="25" t="str">
        <f t="shared" si="4"/>
        <v>ORDER NOW</v>
      </c>
      <c r="M74" s="25" t="str">
        <f t="shared" si="5"/>
        <v>CRITICAL</v>
      </c>
      <c r="N74" s="79">
        <v>0</v>
      </c>
    </row>
    <row r="75" spans="1:14" ht="18.75" x14ac:dyDescent="0.25">
      <c r="A75" s="41" t="s">
        <v>511</v>
      </c>
      <c r="B75" s="73" t="s">
        <v>512</v>
      </c>
      <c r="C75" s="6" t="s">
        <v>634</v>
      </c>
      <c r="D75" s="5" t="s">
        <v>64</v>
      </c>
      <c r="E75" s="21">
        <v>8.3333333333333329E-2</v>
      </c>
      <c r="F75" s="22">
        <f>VLOOKUP($A75,'Master File June-26'!$C$3:$L$670,6,0)</f>
        <v>0</v>
      </c>
      <c r="G75" s="22">
        <f>VLOOKUP($A75,'Master File June-26'!$C$3:$L$670,7,0)</f>
        <v>10</v>
      </c>
      <c r="H75" s="5">
        <f>VLOOKUP($A75,'Master File June-26'!$C$3:$L$670,8,0)</f>
        <v>14</v>
      </c>
      <c r="I75" s="5">
        <f>VLOOKUP($A75,'Master File June-26'!$C$3:$L$670,9,0)</f>
        <v>5</v>
      </c>
      <c r="J75" s="5">
        <f>VLOOKUP($A75,'Master File June-26'!$C$3:$L$670,10,0)</f>
        <v>0</v>
      </c>
      <c r="K75" s="24">
        <f t="shared" si="3"/>
        <v>0</v>
      </c>
      <c r="L75" s="25" t="str">
        <f t="shared" si="4"/>
        <v>ORDER NOW</v>
      </c>
      <c r="M75" s="25" t="str">
        <f t="shared" si="5"/>
        <v>CRITICAL</v>
      </c>
      <c r="N75" s="79">
        <v>0</v>
      </c>
    </row>
    <row r="76" spans="1:14" ht="18.75" x14ac:dyDescent="0.25">
      <c r="A76" s="41" t="s">
        <v>638</v>
      </c>
      <c r="B76" s="73" t="s">
        <v>639</v>
      </c>
      <c r="C76" s="31" t="s">
        <v>49</v>
      </c>
      <c r="D76" s="5"/>
      <c r="E76" s="21">
        <v>1</v>
      </c>
      <c r="F76" s="22">
        <f>VLOOKUP($A76,'Master File June-26'!$C$3:$L$670,6,0)</f>
        <v>0</v>
      </c>
      <c r="G76" s="22">
        <f>VLOOKUP($A76,'Master File June-26'!$C$3:$L$670,7,0)</f>
        <v>2</v>
      </c>
      <c r="H76" s="5">
        <f>VLOOKUP($A76,'Master File June-26'!$C$3:$L$670,8,0)</f>
        <v>14</v>
      </c>
      <c r="I76" s="5">
        <f>VLOOKUP($A76,'Master File June-26'!$C$3:$L$670,9,0)</f>
        <v>1</v>
      </c>
      <c r="J76" s="5">
        <f>VLOOKUP($A76,'Master File June-26'!$C$3:$L$670,10,0)</f>
        <v>0</v>
      </c>
      <c r="K76" s="24">
        <f t="shared" si="3"/>
        <v>0</v>
      </c>
      <c r="L76" s="25" t="str">
        <f t="shared" si="4"/>
        <v>ORDER NOW</v>
      </c>
      <c r="M76" s="25" t="str">
        <f t="shared" si="5"/>
        <v>CRITICAL</v>
      </c>
      <c r="N76" s="79">
        <v>0</v>
      </c>
    </row>
    <row r="77" spans="1:14" ht="18.75" x14ac:dyDescent="0.25">
      <c r="A77" s="41" t="s">
        <v>640</v>
      </c>
      <c r="B77" s="73" t="s">
        <v>641</v>
      </c>
      <c r="C77" s="31" t="s">
        <v>49</v>
      </c>
      <c r="D77" s="5"/>
      <c r="E77" s="21">
        <v>1</v>
      </c>
      <c r="F77" s="22">
        <f>VLOOKUP($A77,'Master File June-26'!$C$3:$L$670,6,0)</f>
        <v>0</v>
      </c>
      <c r="G77" s="22">
        <f>VLOOKUP($A77,'Master File June-26'!$C$3:$L$670,7,0)</f>
        <v>30</v>
      </c>
      <c r="H77" s="5">
        <f>VLOOKUP($A77,'Master File June-26'!$C$3:$L$670,8,0)</f>
        <v>14</v>
      </c>
      <c r="I77" s="5">
        <f>VLOOKUP($A77,'Master File June-26'!$C$3:$L$670,9,0)</f>
        <v>15</v>
      </c>
      <c r="J77" s="5">
        <f>VLOOKUP($A77,'Master File June-26'!$C$3:$L$670,10,0)</f>
        <v>0</v>
      </c>
      <c r="K77" s="24">
        <f t="shared" si="3"/>
        <v>0</v>
      </c>
      <c r="L77" s="25" t="str">
        <f t="shared" si="4"/>
        <v>ORDER NOW</v>
      </c>
      <c r="M77" s="25" t="str">
        <f t="shared" si="5"/>
        <v>CRITICAL</v>
      </c>
      <c r="N77" s="79">
        <v>0</v>
      </c>
    </row>
    <row r="78" spans="1:14" ht="18.75" x14ac:dyDescent="0.25">
      <c r="A78" s="41" t="s">
        <v>514</v>
      </c>
      <c r="B78" s="40" t="s">
        <v>515</v>
      </c>
      <c r="C78" s="31" t="s">
        <v>22</v>
      </c>
      <c r="D78" s="5" t="s">
        <v>22</v>
      </c>
      <c r="E78" s="21">
        <v>1</v>
      </c>
      <c r="F78" s="22">
        <f>VLOOKUP($A78,'Master File June-26'!$C$3:$L$670,6,0)</f>
        <v>25</v>
      </c>
      <c r="G78" s="22">
        <f>VLOOKUP($A78,'Master File June-26'!$C$3:$L$670,7,0)</f>
        <v>25</v>
      </c>
      <c r="H78" s="5">
        <f>VLOOKUP($A78,'Master File June-26'!$C$3:$L$670,8,0)</f>
        <v>14</v>
      </c>
      <c r="I78" s="5">
        <f>VLOOKUP($A78,'Master File June-26'!$C$3:$L$670,9,0)</f>
        <v>12.5</v>
      </c>
      <c r="J78" s="5">
        <f>VLOOKUP($A78,'Master File June-26'!$C$3:$L$670,10,0)</f>
        <v>0</v>
      </c>
      <c r="K78" s="24">
        <f t="shared" si="3"/>
        <v>0</v>
      </c>
      <c r="L78" s="25" t="str">
        <f t="shared" si="4"/>
        <v>ORDER NOW</v>
      </c>
      <c r="M78" s="25" t="str">
        <f t="shared" si="5"/>
        <v>CRITICAL</v>
      </c>
      <c r="N78" s="79">
        <v>0</v>
      </c>
    </row>
    <row r="79" spans="1:14" ht="18.75" x14ac:dyDescent="0.25">
      <c r="A79" s="41" t="s">
        <v>642</v>
      </c>
      <c r="B79" s="73" t="s">
        <v>643</v>
      </c>
      <c r="C79" s="31" t="s">
        <v>49</v>
      </c>
      <c r="D79" s="5"/>
      <c r="E79" s="21">
        <v>1</v>
      </c>
      <c r="F79" s="22">
        <f>VLOOKUP($A79,'Master File June-26'!$C$3:$L$670,6,0)</f>
        <v>0</v>
      </c>
      <c r="G79" s="22">
        <f>VLOOKUP($A79,'Master File June-26'!$C$3:$L$670,7,0)</f>
        <v>20</v>
      </c>
      <c r="H79" s="5">
        <f>VLOOKUP($A79,'Master File June-26'!$C$3:$L$670,8,0)</f>
        <v>14</v>
      </c>
      <c r="I79" s="5">
        <f>VLOOKUP($A79,'Master File June-26'!$C$3:$L$670,9,0)</f>
        <v>10</v>
      </c>
      <c r="J79" s="5">
        <f>VLOOKUP($A79,'Master File June-26'!$C$3:$L$670,10,0)</f>
        <v>0</v>
      </c>
      <c r="K79" s="24">
        <f t="shared" si="3"/>
        <v>0</v>
      </c>
      <c r="L79" s="25" t="str">
        <f t="shared" si="4"/>
        <v>ORDER NOW</v>
      </c>
      <c r="M79" s="25" t="str">
        <f t="shared" si="5"/>
        <v>CRITICAL</v>
      </c>
      <c r="N79" s="79">
        <v>0</v>
      </c>
    </row>
    <row r="80" spans="1:14" ht="18.75" x14ac:dyDescent="0.25">
      <c r="A80" s="41" t="s">
        <v>516</v>
      </c>
      <c r="B80" s="40" t="s">
        <v>517</v>
      </c>
      <c r="C80" s="31" t="s">
        <v>64</v>
      </c>
      <c r="D80" s="5" t="s">
        <v>49</v>
      </c>
      <c r="E80" s="21">
        <v>1</v>
      </c>
      <c r="F80" s="22">
        <f>VLOOKUP($A80,'Master File June-26'!$C$3:$L$670,6,0)</f>
        <v>5</v>
      </c>
      <c r="G80" s="22">
        <f>VLOOKUP($A80,'Master File June-26'!$C$3:$L$670,7,0)</f>
        <v>5</v>
      </c>
      <c r="H80" s="5">
        <f>VLOOKUP($A80,'Master File June-26'!$C$3:$L$670,8,0)</f>
        <v>14</v>
      </c>
      <c r="I80" s="5">
        <f>VLOOKUP($A80,'Master File June-26'!$C$3:$L$670,9,0)</f>
        <v>2.5</v>
      </c>
      <c r="J80" s="5">
        <f>VLOOKUP($A80,'Master File June-26'!$C$3:$L$670,10,0)</f>
        <v>0</v>
      </c>
      <c r="K80" s="24">
        <f t="shared" si="3"/>
        <v>0</v>
      </c>
      <c r="L80" s="25" t="str">
        <f t="shared" si="4"/>
        <v>ORDER NOW</v>
      </c>
      <c r="M80" s="25" t="str">
        <f t="shared" si="5"/>
        <v>CRITICAL</v>
      </c>
      <c r="N80" s="79">
        <v>0</v>
      </c>
    </row>
    <row r="81" spans="1:14" ht="18.75" x14ac:dyDescent="0.25">
      <c r="A81" s="41" t="s">
        <v>518</v>
      </c>
      <c r="B81" s="40" t="s">
        <v>519</v>
      </c>
      <c r="C81" s="31" t="s">
        <v>64</v>
      </c>
      <c r="D81" s="5" t="s">
        <v>49</v>
      </c>
      <c r="E81" s="21">
        <v>1</v>
      </c>
      <c r="F81" s="22">
        <f>VLOOKUP($A81,'Master File June-26'!$C$3:$L$670,6,0)</f>
        <v>1</v>
      </c>
      <c r="G81" s="22">
        <f>VLOOKUP($A81,'Master File June-26'!$C$3:$L$670,7,0)</f>
        <v>1</v>
      </c>
      <c r="H81" s="5">
        <f>VLOOKUP($A81,'Master File June-26'!$C$3:$L$670,8,0)</f>
        <v>14</v>
      </c>
      <c r="I81" s="5">
        <f>VLOOKUP($A81,'Master File June-26'!$C$3:$L$670,9,0)</f>
        <v>0.5</v>
      </c>
      <c r="J81" s="5">
        <f>VLOOKUP($A81,'Master File June-26'!$C$3:$L$670,10,0)</f>
        <v>0</v>
      </c>
      <c r="K81" s="24">
        <f t="shared" si="3"/>
        <v>0</v>
      </c>
      <c r="L81" s="25" t="str">
        <f t="shared" si="4"/>
        <v>ORDER NOW</v>
      </c>
      <c r="M81" s="25" t="str">
        <f t="shared" si="5"/>
        <v>CRITICAL</v>
      </c>
      <c r="N81" s="79">
        <v>0</v>
      </c>
    </row>
    <row r="82" spans="1:14" ht="18.75" x14ac:dyDescent="0.25">
      <c r="A82" s="41" t="s">
        <v>520</v>
      </c>
      <c r="B82" s="40" t="s">
        <v>521</v>
      </c>
      <c r="C82" s="31" t="s">
        <v>64</v>
      </c>
      <c r="D82" s="5" t="s">
        <v>49</v>
      </c>
      <c r="E82" s="21">
        <v>1</v>
      </c>
      <c r="F82" s="22">
        <f>VLOOKUP($A82,'Master File June-26'!$C$3:$L$670,6,0)</f>
        <v>10</v>
      </c>
      <c r="G82" s="22">
        <f>VLOOKUP($A82,'Master File June-26'!$C$3:$L$670,7,0)</f>
        <v>10</v>
      </c>
      <c r="H82" s="5">
        <f>VLOOKUP($A82,'Master File June-26'!$C$3:$L$670,8,0)</f>
        <v>14</v>
      </c>
      <c r="I82" s="5">
        <f>VLOOKUP($A82,'Master File June-26'!$C$3:$L$670,9,0)</f>
        <v>5</v>
      </c>
      <c r="J82" s="5">
        <f>VLOOKUP($A82,'Master File June-26'!$C$3:$L$670,10,0)</f>
        <v>0</v>
      </c>
      <c r="K82" s="24">
        <f t="shared" si="3"/>
        <v>0</v>
      </c>
      <c r="L82" s="25" t="str">
        <f t="shared" si="4"/>
        <v>ORDER NOW</v>
      </c>
      <c r="M82" s="25" t="str">
        <f t="shared" si="5"/>
        <v>CRITICAL</v>
      </c>
      <c r="N82" s="79">
        <v>0</v>
      </c>
    </row>
    <row r="83" spans="1:14" ht="18.75" x14ac:dyDescent="0.25">
      <c r="A83" s="41" t="s">
        <v>522</v>
      </c>
      <c r="B83" s="46" t="s">
        <v>523</v>
      </c>
      <c r="C83" s="31" t="s">
        <v>64</v>
      </c>
      <c r="D83" s="5" t="s">
        <v>49</v>
      </c>
      <c r="E83" s="21">
        <v>1</v>
      </c>
      <c r="F83" s="22">
        <f>VLOOKUP($A83,'Master File June-26'!$C$3:$L$670,6,0)</f>
        <v>15</v>
      </c>
      <c r="G83" s="22">
        <f>VLOOKUP($A83,'Master File June-26'!$C$3:$L$670,7,0)</f>
        <v>15</v>
      </c>
      <c r="H83" s="5">
        <f>VLOOKUP($A83,'Master File June-26'!$C$3:$L$670,8,0)</f>
        <v>14</v>
      </c>
      <c r="I83" s="5">
        <f>VLOOKUP($A83,'Master File June-26'!$C$3:$L$670,9,0)</f>
        <v>7.5</v>
      </c>
      <c r="J83" s="5">
        <f>VLOOKUP($A83,'Master File June-26'!$C$3:$L$670,10,0)</f>
        <v>0</v>
      </c>
      <c r="K83" s="24">
        <f t="shared" si="3"/>
        <v>0</v>
      </c>
      <c r="L83" s="25" t="str">
        <f t="shared" si="4"/>
        <v>ORDER NOW</v>
      </c>
      <c r="M83" s="25" t="str">
        <f t="shared" si="5"/>
        <v>CRITICAL</v>
      </c>
      <c r="N83" s="79">
        <v>0</v>
      </c>
    </row>
    <row r="84" spans="1:14" ht="18.75" x14ac:dyDescent="0.25">
      <c r="A84" s="41" t="s">
        <v>524</v>
      </c>
      <c r="B84" s="40" t="s">
        <v>525</v>
      </c>
      <c r="C84" s="31" t="s">
        <v>22</v>
      </c>
      <c r="D84" s="5" t="s">
        <v>22</v>
      </c>
      <c r="E84" s="21">
        <v>1</v>
      </c>
      <c r="F84" s="22">
        <f>VLOOKUP($A84,'Master File June-26'!$C$3:$L$670,6,0)</f>
        <v>20</v>
      </c>
      <c r="G84" s="22">
        <f>VLOOKUP($A84,'Master File June-26'!$C$3:$L$670,7,0)</f>
        <v>20</v>
      </c>
      <c r="H84" s="5">
        <f>VLOOKUP($A84,'Master File June-26'!$C$3:$L$670,8,0)</f>
        <v>14</v>
      </c>
      <c r="I84" s="5">
        <f>VLOOKUP($A84,'Master File June-26'!$C$3:$L$670,9,0)</f>
        <v>10</v>
      </c>
      <c r="J84" s="5">
        <f>VLOOKUP($A84,'Master File June-26'!$C$3:$L$670,10,0)</f>
        <v>0</v>
      </c>
      <c r="K84" s="24">
        <f t="shared" si="3"/>
        <v>0</v>
      </c>
      <c r="L84" s="25" t="str">
        <f t="shared" si="4"/>
        <v>ORDER NOW</v>
      </c>
      <c r="M84" s="25" t="str">
        <f t="shared" si="5"/>
        <v>CRITICAL</v>
      </c>
      <c r="N84" s="79">
        <v>0</v>
      </c>
    </row>
    <row r="85" spans="1:14" ht="18.75" x14ac:dyDescent="0.25">
      <c r="A85" s="41" t="s">
        <v>526</v>
      </c>
      <c r="B85" s="40" t="s">
        <v>527</v>
      </c>
      <c r="C85" s="31" t="s">
        <v>22</v>
      </c>
      <c r="D85" s="5" t="s">
        <v>22</v>
      </c>
      <c r="E85" s="21">
        <v>1</v>
      </c>
      <c r="F85" s="22">
        <f>VLOOKUP($A85,'Master File June-26'!$C$3:$L$670,6,0)</f>
        <v>1</v>
      </c>
      <c r="G85" s="22">
        <f>VLOOKUP($A85,'Master File June-26'!$C$3:$L$670,7,0)</f>
        <v>1</v>
      </c>
      <c r="H85" s="5">
        <f>VLOOKUP($A85,'Master File June-26'!$C$3:$L$670,8,0)</f>
        <v>14</v>
      </c>
      <c r="I85" s="5">
        <f>VLOOKUP($A85,'Master File June-26'!$C$3:$L$670,9,0)</f>
        <v>0.5</v>
      </c>
      <c r="J85" s="5">
        <f>VLOOKUP($A85,'Master File June-26'!$C$3:$L$670,10,0)</f>
        <v>0</v>
      </c>
      <c r="K85" s="24">
        <f t="shared" si="3"/>
        <v>0</v>
      </c>
      <c r="L85" s="25" t="str">
        <f t="shared" si="4"/>
        <v>ORDER NOW</v>
      </c>
      <c r="M85" s="25" t="str">
        <f t="shared" si="5"/>
        <v>CRITICAL</v>
      </c>
      <c r="N85" s="79">
        <v>0</v>
      </c>
    </row>
    <row r="86" spans="1:14" ht="18.75" x14ac:dyDescent="0.25">
      <c r="A86" s="41" t="s">
        <v>528</v>
      </c>
      <c r="B86" s="40" t="s">
        <v>529</v>
      </c>
      <c r="C86" s="31" t="s">
        <v>49</v>
      </c>
      <c r="D86" s="5" t="s">
        <v>22</v>
      </c>
      <c r="E86" s="21">
        <v>1</v>
      </c>
      <c r="F86" s="22">
        <f>VLOOKUP($A86,'Master File June-26'!$C$3:$L$670,6,0)</f>
        <v>1</v>
      </c>
      <c r="G86" s="22">
        <f>VLOOKUP($A86,'Master File June-26'!$C$3:$L$670,7,0)</f>
        <v>1</v>
      </c>
      <c r="H86" s="5">
        <f>VLOOKUP($A86,'Master File June-26'!$C$3:$L$670,8,0)</f>
        <v>14</v>
      </c>
      <c r="I86" s="5">
        <f>VLOOKUP($A86,'Master File June-26'!$C$3:$L$670,9,0)</f>
        <v>0.5</v>
      </c>
      <c r="J86" s="5">
        <f>VLOOKUP($A86,'Master File June-26'!$C$3:$L$670,10,0)</f>
        <v>0</v>
      </c>
      <c r="K86" s="24">
        <f t="shared" si="3"/>
        <v>0</v>
      </c>
      <c r="L86" s="25" t="str">
        <f t="shared" si="4"/>
        <v>ORDER NOW</v>
      </c>
      <c r="M86" s="25" t="str">
        <f t="shared" si="5"/>
        <v>CRITICAL</v>
      </c>
      <c r="N86" s="79">
        <v>0</v>
      </c>
    </row>
    <row r="87" spans="1:14" ht="18.75" x14ac:dyDescent="0.25">
      <c r="A87" s="41" t="s">
        <v>530</v>
      </c>
      <c r="B87" s="28" t="s">
        <v>531</v>
      </c>
      <c r="C87" s="27" t="s">
        <v>22</v>
      </c>
      <c r="D87" s="5" t="s">
        <v>22</v>
      </c>
      <c r="E87" s="21">
        <v>1</v>
      </c>
      <c r="F87" s="22">
        <f>VLOOKUP($A87,'Master File June-26'!$C$3:$L$670,6,0)</f>
        <v>5</v>
      </c>
      <c r="G87" s="22">
        <f>VLOOKUP($A87,'Master File June-26'!$C$3:$L$670,7,0)</f>
        <v>5</v>
      </c>
      <c r="H87" s="5">
        <f>VLOOKUP($A87,'Master File June-26'!$C$3:$L$670,8,0)</f>
        <v>14</v>
      </c>
      <c r="I87" s="5">
        <f>VLOOKUP($A87,'Master File June-26'!$C$3:$L$670,9,0)</f>
        <v>2.5</v>
      </c>
      <c r="J87" s="5">
        <f>VLOOKUP($A87,'Master File June-26'!$C$3:$L$670,10,0)</f>
        <v>0</v>
      </c>
      <c r="K87" s="24">
        <f t="shared" si="3"/>
        <v>0</v>
      </c>
      <c r="L87" s="25" t="str">
        <f t="shared" si="4"/>
        <v>ORDER NOW</v>
      </c>
      <c r="M87" s="25" t="str">
        <f t="shared" si="5"/>
        <v>CRITICAL</v>
      </c>
      <c r="N87" s="79">
        <v>0</v>
      </c>
    </row>
    <row r="88" spans="1:14" ht="18.75" x14ac:dyDescent="0.25">
      <c r="A88" s="41" t="s">
        <v>532</v>
      </c>
      <c r="B88" s="28" t="s">
        <v>533</v>
      </c>
      <c r="C88" s="27" t="s">
        <v>22</v>
      </c>
      <c r="D88" s="5" t="s">
        <v>22</v>
      </c>
      <c r="E88" s="21">
        <v>1</v>
      </c>
      <c r="F88" s="22">
        <f>VLOOKUP($A88,'Master File June-26'!$C$3:$L$670,6,0)</f>
        <v>10</v>
      </c>
      <c r="G88" s="22">
        <f>VLOOKUP($A88,'Master File June-26'!$C$3:$L$670,7,0)</f>
        <v>10</v>
      </c>
      <c r="H88" s="5">
        <f>VLOOKUP($A88,'Master File June-26'!$C$3:$L$670,8,0)</f>
        <v>14</v>
      </c>
      <c r="I88" s="5">
        <f>VLOOKUP($A88,'Master File June-26'!$C$3:$L$670,9,0)</f>
        <v>5</v>
      </c>
      <c r="J88" s="5">
        <f>VLOOKUP($A88,'Master File June-26'!$C$3:$L$670,10,0)</f>
        <v>0</v>
      </c>
      <c r="K88" s="24">
        <f t="shared" si="3"/>
        <v>0</v>
      </c>
      <c r="L88" s="25" t="str">
        <f t="shared" si="4"/>
        <v>ORDER NOW</v>
      </c>
      <c r="M88" s="25" t="str">
        <f t="shared" si="5"/>
        <v>CRITICAL</v>
      </c>
      <c r="N88" s="79">
        <v>0</v>
      </c>
    </row>
    <row r="89" spans="1:14" ht="18.75" x14ac:dyDescent="0.25">
      <c r="A89" s="41" t="s">
        <v>534</v>
      </c>
      <c r="B89" s="20" t="s">
        <v>535</v>
      </c>
      <c r="C89" s="31" t="s">
        <v>64</v>
      </c>
      <c r="D89" s="5" t="s">
        <v>49</v>
      </c>
      <c r="E89" s="21">
        <v>1</v>
      </c>
      <c r="F89" s="22">
        <f>VLOOKUP($A89,'Master File June-26'!$C$3:$L$670,6,0)</f>
        <v>25</v>
      </c>
      <c r="G89" s="22">
        <f>VLOOKUP($A89,'Master File June-26'!$C$3:$L$670,7,0)</f>
        <v>25</v>
      </c>
      <c r="H89" s="5">
        <f>VLOOKUP($A89,'Master File June-26'!$C$3:$L$670,8,0)</f>
        <v>14</v>
      </c>
      <c r="I89" s="5">
        <f>VLOOKUP($A89,'Master File June-26'!$C$3:$L$670,9,0)</f>
        <v>12.5</v>
      </c>
      <c r="J89" s="5">
        <f>VLOOKUP($A89,'Master File June-26'!$C$3:$L$670,10,0)</f>
        <v>0</v>
      </c>
      <c r="K89" s="24">
        <f t="shared" si="3"/>
        <v>0</v>
      </c>
      <c r="L89" s="25" t="str">
        <f t="shared" si="4"/>
        <v>ORDER NOW</v>
      </c>
      <c r="M89" s="25" t="str">
        <f t="shared" si="5"/>
        <v>CRITICAL</v>
      </c>
      <c r="N89" s="79">
        <v>0</v>
      </c>
    </row>
    <row r="90" spans="1:14" ht="18.75" x14ac:dyDescent="0.25">
      <c r="A90" s="41" t="s">
        <v>536</v>
      </c>
      <c r="B90" s="20" t="s">
        <v>537</v>
      </c>
      <c r="C90" s="31" t="s">
        <v>64</v>
      </c>
      <c r="D90" s="5" t="s">
        <v>49</v>
      </c>
      <c r="E90" s="21">
        <v>1</v>
      </c>
      <c r="F90" s="22">
        <f>VLOOKUP($A90,'Master File June-26'!$C$3:$L$670,6,0)</f>
        <v>1</v>
      </c>
      <c r="G90" s="22">
        <f>VLOOKUP($A90,'Master File June-26'!$C$3:$L$670,7,0)</f>
        <v>1</v>
      </c>
      <c r="H90" s="5">
        <f>VLOOKUP($A90,'Master File June-26'!$C$3:$L$670,8,0)</f>
        <v>14</v>
      </c>
      <c r="I90" s="5">
        <f>VLOOKUP($A90,'Master File June-26'!$C$3:$L$670,9,0)</f>
        <v>0.5</v>
      </c>
      <c r="J90" s="5">
        <f>VLOOKUP($A90,'Master File June-26'!$C$3:$L$670,10,0)</f>
        <v>6</v>
      </c>
      <c r="K90" s="24">
        <f t="shared" si="3"/>
        <v>180</v>
      </c>
      <c r="L90" s="25" t="str">
        <f t="shared" si="4"/>
        <v>IN STOCK</v>
      </c>
      <c r="M90" s="25" t="str">
        <f t="shared" si="5"/>
        <v>FOLLOW UP DELIVERY</v>
      </c>
      <c r="N90" s="79">
        <v>0</v>
      </c>
    </row>
    <row r="91" spans="1:14" ht="18.75" x14ac:dyDescent="0.25">
      <c r="A91" s="41" t="s">
        <v>538</v>
      </c>
      <c r="B91" s="20" t="s">
        <v>539</v>
      </c>
      <c r="C91" s="31" t="s">
        <v>64</v>
      </c>
      <c r="D91" s="5" t="s">
        <v>49</v>
      </c>
      <c r="E91" s="21">
        <v>1</v>
      </c>
      <c r="F91" s="22">
        <f>VLOOKUP($A91,'Master File June-26'!$C$3:$L$670,6,0)</f>
        <v>4</v>
      </c>
      <c r="G91" s="22">
        <f>VLOOKUP($A91,'Master File June-26'!$C$3:$L$670,7,0)</f>
        <v>4</v>
      </c>
      <c r="H91" s="5">
        <f>VLOOKUP($A91,'Master File June-26'!$C$3:$L$670,8,0)</f>
        <v>14</v>
      </c>
      <c r="I91" s="5">
        <f>VLOOKUP($A91,'Master File June-26'!$C$3:$L$670,9,0)</f>
        <v>2</v>
      </c>
      <c r="J91" s="5">
        <f>VLOOKUP($A91,'Master File June-26'!$C$3:$L$670,10,0)</f>
        <v>10</v>
      </c>
      <c r="K91" s="24">
        <f t="shared" si="3"/>
        <v>75</v>
      </c>
      <c r="L91" s="25" t="str">
        <f t="shared" si="4"/>
        <v>IN STOCK</v>
      </c>
      <c r="M91" s="25" t="str">
        <f t="shared" si="5"/>
        <v>FOLLOW UP DELIVERY</v>
      </c>
      <c r="N91" s="79">
        <v>0</v>
      </c>
    </row>
    <row r="92" spans="1:14" ht="18.75" x14ac:dyDescent="0.25">
      <c r="A92" s="41" t="s">
        <v>540</v>
      </c>
      <c r="B92" s="20" t="s">
        <v>541</v>
      </c>
      <c r="C92" s="31" t="s">
        <v>64</v>
      </c>
      <c r="D92" s="5" t="s">
        <v>49</v>
      </c>
      <c r="E92" s="21">
        <v>1</v>
      </c>
      <c r="F92" s="22">
        <f>VLOOKUP($A92,'Master File June-26'!$C$3:$L$670,6,0)</f>
        <v>1</v>
      </c>
      <c r="G92" s="22">
        <f>VLOOKUP($A92,'Master File June-26'!$C$3:$L$670,7,0)</f>
        <v>1</v>
      </c>
      <c r="H92" s="5">
        <f>VLOOKUP($A92,'Master File June-26'!$C$3:$L$670,8,0)</f>
        <v>14</v>
      </c>
      <c r="I92" s="5">
        <f>VLOOKUP($A92,'Master File June-26'!$C$3:$L$670,9,0)</f>
        <v>0.5</v>
      </c>
      <c r="J92" s="5">
        <f>VLOOKUP($A92,'Master File June-26'!$C$3:$L$670,10,0)</f>
        <v>0</v>
      </c>
      <c r="K92" s="24">
        <f t="shared" si="3"/>
        <v>0</v>
      </c>
      <c r="L92" s="25" t="str">
        <f t="shared" si="4"/>
        <v>ORDER NOW</v>
      </c>
      <c r="M92" s="25" t="str">
        <f t="shared" si="5"/>
        <v>CRITICAL</v>
      </c>
      <c r="N92" s="79">
        <v>0</v>
      </c>
    </row>
    <row r="93" spans="1:14" ht="18.75" x14ac:dyDescent="0.25">
      <c r="A93" s="41" t="s">
        <v>542</v>
      </c>
      <c r="B93" s="20" t="s">
        <v>543</v>
      </c>
      <c r="C93" s="31" t="s">
        <v>64</v>
      </c>
      <c r="D93" s="5" t="s">
        <v>49</v>
      </c>
      <c r="E93" s="21">
        <v>1</v>
      </c>
      <c r="F93" s="22">
        <f>VLOOKUP($A93,'Master File June-26'!$C$3:$L$670,6,0)</f>
        <v>8</v>
      </c>
      <c r="G93" s="22">
        <f>VLOOKUP($A93,'Master File June-26'!$C$3:$L$670,7,0)</f>
        <v>8</v>
      </c>
      <c r="H93" s="5">
        <f>VLOOKUP($A93,'Master File June-26'!$C$3:$L$670,8,0)</f>
        <v>14</v>
      </c>
      <c r="I93" s="5">
        <f>VLOOKUP($A93,'Master File June-26'!$C$3:$L$670,9,0)</f>
        <v>4</v>
      </c>
      <c r="J93" s="5">
        <f>VLOOKUP($A93,'Master File June-26'!$C$3:$L$670,10,0)</f>
        <v>0</v>
      </c>
      <c r="K93" s="24">
        <f t="shared" si="3"/>
        <v>0</v>
      </c>
      <c r="L93" s="25" t="str">
        <f t="shared" si="4"/>
        <v>ORDER NOW</v>
      </c>
      <c r="M93" s="25" t="str">
        <f t="shared" si="5"/>
        <v>CRITICAL</v>
      </c>
      <c r="N93" s="79">
        <v>0</v>
      </c>
    </row>
    <row r="94" spans="1:14" ht="18.75" x14ac:dyDescent="0.25">
      <c r="A94" s="41" t="s">
        <v>544</v>
      </c>
      <c r="B94" s="20" t="s">
        <v>545</v>
      </c>
      <c r="C94" s="31" t="s">
        <v>64</v>
      </c>
      <c r="D94" s="5" t="s">
        <v>49</v>
      </c>
      <c r="E94" s="21">
        <v>1</v>
      </c>
      <c r="F94" s="22">
        <f>VLOOKUP($A94,'Master File June-26'!$C$3:$L$670,6,0)</f>
        <v>3</v>
      </c>
      <c r="G94" s="22">
        <f>VLOOKUP($A94,'Master File June-26'!$C$3:$L$670,7,0)</f>
        <v>3</v>
      </c>
      <c r="H94" s="5">
        <f>VLOOKUP($A94,'Master File June-26'!$C$3:$L$670,8,0)</f>
        <v>14</v>
      </c>
      <c r="I94" s="5">
        <f>VLOOKUP($A94,'Master File June-26'!$C$3:$L$670,9,0)</f>
        <v>1.5</v>
      </c>
      <c r="J94" s="5">
        <f>VLOOKUP($A94,'Master File June-26'!$C$3:$L$670,10,0)</f>
        <v>0</v>
      </c>
      <c r="K94" s="24">
        <f t="shared" si="3"/>
        <v>0</v>
      </c>
      <c r="L94" s="25" t="str">
        <f t="shared" si="4"/>
        <v>ORDER NOW</v>
      </c>
      <c r="M94" s="25" t="str">
        <f t="shared" si="5"/>
        <v>CRITICAL</v>
      </c>
      <c r="N94" s="79">
        <v>0</v>
      </c>
    </row>
    <row r="95" spans="1:14" ht="18.75" x14ac:dyDescent="0.25">
      <c r="A95" s="41" t="s">
        <v>644</v>
      </c>
      <c r="B95" s="73" t="s">
        <v>645</v>
      </c>
      <c r="C95" s="31" t="s">
        <v>49</v>
      </c>
      <c r="D95" s="5"/>
      <c r="E95" s="21">
        <v>1</v>
      </c>
      <c r="F95" s="22">
        <f>VLOOKUP($A95,'Master File June-26'!$C$3:$L$670,6,0)</f>
        <v>0</v>
      </c>
      <c r="G95" s="22">
        <f>VLOOKUP($A95,'Master File June-26'!$C$3:$L$670,7,0)</f>
        <v>60</v>
      </c>
      <c r="H95" s="5">
        <f>VLOOKUP($A95,'Master File June-26'!$C$3:$L$670,8,0)</f>
        <v>14</v>
      </c>
      <c r="I95" s="5">
        <f>VLOOKUP($A95,'Master File June-26'!$C$3:$L$670,9,0)</f>
        <v>30</v>
      </c>
      <c r="J95" s="5">
        <f>VLOOKUP($A95,'Master File June-26'!$C$3:$L$670,10,0)</f>
        <v>0</v>
      </c>
      <c r="K95" s="24">
        <f t="shared" si="3"/>
        <v>0</v>
      </c>
      <c r="L95" s="25" t="str">
        <f t="shared" si="4"/>
        <v>ORDER NOW</v>
      </c>
      <c r="M95" s="25" t="str">
        <f t="shared" si="5"/>
        <v>CRITICAL</v>
      </c>
      <c r="N95" s="79">
        <v>0</v>
      </c>
    </row>
    <row r="96" spans="1:14" ht="18.75" x14ac:dyDescent="0.25">
      <c r="A96" s="41" t="s">
        <v>635</v>
      </c>
      <c r="B96" s="73" t="s">
        <v>636</v>
      </c>
      <c r="C96" s="6" t="s">
        <v>637</v>
      </c>
      <c r="D96" s="5" t="s">
        <v>64</v>
      </c>
      <c r="E96" s="21">
        <v>0.16</v>
      </c>
      <c r="F96" s="22">
        <f>VLOOKUP($A96,'Master File June-26'!$C$3:$L$670,6,0)</f>
        <v>5</v>
      </c>
      <c r="G96" s="22">
        <f>VLOOKUP($A96,'Master File June-26'!$C$3:$L$670,7,0)</f>
        <v>31.25</v>
      </c>
      <c r="H96" s="5">
        <f>VLOOKUP($A96,'Master File June-26'!$C$3:$L$670,8,0)</f>
        <v>14</v>
      </c>
      <c r="I96" s="5">
        <f>VLOOKUP($A96,'Master File June-26'!$C$3:$L$670,9,0)</f>
        <v>15.625</v>
      </c>
      <c r="J96" s="5">
        <f>VLOOKUP($A96,'Master File June-26'!$C$3:$L$670,10,0)</f>
        <v>0</v>
      </c>
      <c r="K96" s="24">
        <f t="shared" si="3"/>
        <v>0</v>
      </c>
      <c r="L96" s="25" t="str">
        <f t="shared" si="4"/>
        <v>ORDER NOW</v>
      </c>
      <c r="M96" s="25" t="str">
        <f t="shared" si="5"/>
        <v>CRITICAL</v>
      </c>
      <c r="N96" s="79">
        <v>0</v>
      </c>
    </row>
    <row r="97" spans="1:14" ht="18.75" x14ac:dyDescent="0.25">
      <c r="A97" s="41" t="s">
        <v>646</v>
      </c>
      <c r="B97" s="73" t="s">
        <v>647</v>
      </c>
      <c r="C97" s="31" t="s">
        <v>49</v>
      </c>
      <c r="D97" s="5"/>
      <c r="E97" s="21">
        <v>1</v>
      </c>
      <c r="F97" s="22">
        <f>VLOOKUP($A97,'Master File June-26'!$C$3:$L$670,6,0)</f>
        <v>0</v>
      </c>
      <c r="G97" s="22">
        <f>VLOOKUP($A97,'Master File June-26'!$C$3:$L$670,7,0)</f>
        <v>10</v>
      </c>
      <c r="H97" s="5">
        <f>VLOOKUP($A97,'Master File June-26'!$C$3:$L$670,8,0)</f>
        <v>14</v>
      </c>
      <c r="I97" s="5">
        <f>VLOOKUP($A97,'Master File June-26'!$C$3:$L$670,9,0)</f>
        <v>5</v>
      </c>
      <c r="J97" s="5">
        <f>VLOOKUP($A97,'Master File June-26'!$C$3:$L$670,10,0)</f>
        <v>0</v>
      </c>
      <c r="K97" s="24">
        <f t="shared" si="3"/>
        <v>0</v>
      </c>
      <c r="L97" s="25" t="str">
        <f t="shared" si="4"/>
        <v>ORDER NOW</v>
      </c>
      <c r="M97" s="25" t="str">
        <f t="shared" si="5"/>
        <v>CRITICAL</v>
      </c>
      <c r="N97" s="79">
        <v>0</v>
      </c>
    </row>
    <row r="98" spans="1:14" ht="18.75" x14ac:dyDescent="0.25">
      <c r="A98" s="41" t="s">
        <v>648</v>
      </c>
      <c r="B98" s="73" t="s">
        <v>649</v>
      </c>
      <c r="C98" s="31" t="s">
        <v>49</v>
      </c>
      <c r="D98" s="5"/>
      <c r="E98" s="21">
        <v>1</v>
      </c>
      <c r="F98" s="22">
        <f>VLOOKUP($A98,'Master File June-26'!$C$3:$L$670,6,0)</f>
        <v>0</v>
      </c>
      <c r="G98" s="22">
        <f>VLOOKUP($A98,'Master File June-26'!$C$3:$L$670,7,0)</f>
        <v>10</v>
      </c>
      <c r="H98" s="5">
        <f>VLOOKUP($A98,'Master File June-26'!$C$3:$L$670,8,0)</f>
        <v>14</v>
      </c>
      <c r="I98" s="5">
        <f>VLOOKUP($A98,'Master File June-26'!$C$3:$L$670,9,0)</f>
        <v>5</v>
      </c>
      <c r="J98" s="5">
        <f>VLOOKUP($A98,'Master File June-26'!$C$3:$L$670,10,0)</f>
        <v>0</v>
      </c>
      <c r="K98" s="24">
        <f t="shared" si="3"/>
        <v>0</v>
      </c>
      <c r="L98" s="25" t="str">
        <f t="shared" si="4"/>
        <v>ORDER NOW</v>
      </c>
      <c r="M98" s="25" t="str">
        <f t="shared" si="5"/>
        <v>CRITICAL</v>
      </c>
      <c r="N98" s="79">
        <v>0</v>
      </c>
    </row>
    <row r="99" spans="1:14" ht="18.75" x14ac:dyDescent="0.25">
      <c r="A99" s="41" t="s">
        <v>650</v>
      </c>
      <c r="B99" s="73" t="s">
        <v>651</v>
      </c>
      <c r="C99" s="31" t="s">
        <v>49</v>
      </c>
      <c r="D99" s="5"/>
      <c r="E99" s="21">
        <v>1</v>
      </c>
      <c r="F99" s="22">
        <f>VLOOKUP($A99,'Master File June-26'!$C$3:$L$670,6,0)</f>
        <v>0</v>
      </c>
      <c r="G99" s="22">
        <f>VLOOKUP($A99,'Master File June-26'!$C$3:$L$670,7,0)</f>
        <v>10</v>
      </c>
      <c r="H99" s="5">
        <f>VLOOKUP($A99,'Master File June-26'!$C$3:$L$670,8,0)</f>
        <v>14</v>
      </c>
      <c r="I99" s="5">
        <f>VLOOKUP($A99,'Master File June-26'!$C$3:$L$670,9,0)</f>
        <v>5</v>
      </c>
      <c r="J99" s="5">
        <f>VLOOKUP($A99,'Master File June-26'!$C$3:$L$670,10,0)</f>
        <v>0</v>
      </c>
      <c r="K99" s="24">
        <f t="shared" si="3"/>
        <v>0</v>
      </c>
      <c r="L99" s="25" t="str">
        <f t="shared" si="4"/>
        <v>ORDER NOW</v>
      </c>
      <c r="M99" s="25" t="str">
        <f t="shared" si="5"/>
        <v>CRITICAL</v>
      </c>
      <c r="N99" s="79">
        <v>0</v>
      </c>
    </row>
    <row r="100" spans="1:14" ht="18.75" x14ac:dyDescent="0.25">
      <c r="A100" s="41" t="s">
        <v>652</v>
      </c>
      <c r="B100" s="73" t="s">
        <v>653</v>
      </c>
      <c r="C100" s="31" t="s">
        <v>49</v>
      </c>
      <c r="D100" s="5"/>
      <c r="E100" s="21">
        <v>1</v>
      </c>
      <c r="F100" s="22">
        <f>VLOOKUP($A100,'Master File June-26'!$C$3:$L$670,6,0)</f>
        <v>0</v>
      </c>
      <c r="G100" s="22">
        <f>VLOOKUP($A100,'Master File June-26'!$C$3:$L$670,7,0)</f>
        <v>10</v>
      </c>
      <c r="H100" s="5">
        <f>VLOOKUP($A100,'Master File June-26'!$C$3:$L$670,8,0)</f>
        <v>14</v>
      </c>
      <c r="I100" s="5">
        <f>VLOOKUP($A100,'Master File June-26'!$C$3:$L$670,9,0)</f>
        <v>5</v>
      </c>
      <c r="J100" s="5">
        <f>VLOOKUP($A100,'Master File June-26'!$C$3:$L$670,10,0)</f>
        <v>3.1999999999999997</v>
      </c>
      <c r="K100" s="24">
        <f t="shared" si="3"/>
        <v>9.5999999999999979</v>
      </c>
      <c r="L100" s="25" t="str">
        <f t="shared" si="4"/>
        <v>ORDER NOW</v>
      </c>
      <c r="M100" s="25" t="str">
        <f t="shared" si="5"/>
        <v>CRITICAL</v>
      </c>
      <c r="N100" s="79">
        <v>0</v>
      </c>
    </row>
    <row r="101" spans="1:14" ht="18.75" x14ac:dyDescent="0.25">
      <c r="A101" s="41" t="s">
        <v>654</v>
      </c>
      <c r="B101" s="73" t="s">
        <v>655</v>
      </c>
      <c r="C101" s="31" t="s">
        <v>49</v>
      </c>
      <c r="D101" s="5"/>
      <c r="E101" s="21">
        <v>1</v>
      </c>
      <c r="F101" s="22">
        <f>VLOOKUP($A101,'Master File June-26'!$C$3:$L$670,6,0)</f>
        <v>0</v>
      </c>
      <c r="G101" s="22">
        <f>VLOOKUP($A101,'Master File June-26'!$C$3:$L$670,7,0)</f>
        <v>10</v>
      </c>
      <c r="H101" s="5">
        <f>VLOOKUP($A101,'Master File June-26'!$C$3:$L$670,8,0)</f>
        <v>14</v>
      </c>
      <c r="I101" s="5">
        <f>VLOOKUP($A101,'Master File June-26'!$C$3:$L$670,9,0)</f>
        <v>5</v>
      </c>
      <c r="J101" s="5">
        <f>VLOOKUP($A101,'Master File June-26'!$C$3:$L$670,10,0)</f>
        <v>0</v>
      </c>
      <c r="K101" s="24">
        <f t="shared" si="3"/>
        <v>0</v>
      </c>
      <c r="L101" s="25" t="str">
        <f t="shared" si="4"/>
        <v>ORDER NOW</v>
      </c>
      <c r="M101" s="25" t="str">
        <f t="shared" si="5"/>
        <v>CRITICAL</v>
      </c>
      <c r="N101" s="79">
        <v>0</v>
      </c>
    </row>
    <row r="102" spans="1:14" ht="18.75" x14ac:dyDescent="0.25">
      <c r="A102" s="41" t="s">
        <v>656</v>
      </c>
      <c r="B102" s="73" t="s">
        <v>657</v>
      </c>
      <c r="C102" s="31" t="s">
        <v>49</v>
      </c>
      <c r="D102" s="5"/>
      <c r="E102" s="21">
        <v>1</v>
      </c>
      <c r="F102" s="22">
        <f>VLOOKUP($A102,'Master File June-26'!$C$3:$L$670,6,0)</f>
        <v>0</v>
      </c>
      <c r="G102" s="22">
        <f>VLOOKUP($A102,'Master File June-26'!$C$3:$L$670,7,0)</f>
        <v>5</v>
      </c>
      <c r="H102" s="5">
        <f>VLOOKUP($A102,'Master File June-26'!$C$3:$L$670,8,0)</f>
        <v>14</v>
      </c>
      <c r="I102" s="5">
        <f>VLOOKUP($A102,'Master File June-26'!$C$3:$L$670,9,0)</f>
        <v>2.5</v>
      </c>
      <c r="J102" s="5">
        <f>VLOOKUP($A102,'Master File June-26'!$C$3:$L$670,10,0)</f>
        <v>0</v>
      </c>
      <c r="K102" s="24">
        <f t="shared" si="3"/>
        <v>0</v>
      </c>
      <c r="L102" s="25" t="str">
        <f t="shared" si="4"/>
        <v>ORDER NOW</v>
      </c>
      <c r="M102" s="25" t="str">
        <f t="shared" si="5"/>
        <v>CRITICAL</v>
      </c>
      <c r="N102" s="79">
        <v>0</v>
      </c>
    </row>
    <row r="103" spans="1:14" ht="18.75" x14ac:dyDescent="0.25">
      <c r="A103" s="41" t="s">
        <v>658</v>
      </c>
      <c r="B103" s="73" t="s">
        <v>659</v>
      </c>
      <c r="C103" s="31" t="s">
        <v>49</v>
      </c>
      <c r="D103" s="5"/>
      <c r="E103" s="21">
        <v>1</v>
      </c>
      <c r="F103" s="22">
        <f>VLOOKUP($A103,'Master File June-26'!$C$3:$L$670,6,0)</f>
        <v>0</v>
      </c>
      <c r="G103" s="22">
        <f>VLOOKUP($A103,'Master File June-26'!$C$3:$L$670,7,0)</f>
        <v>5</v>
      </c>
      <c r="H103" s="5">
        <f>VLOOKUP($A103,'Master File June-26'!$C$3:$L$670,8,0)</f>
        <v>14</v>
      </c>
      <c r="I103" s="5">
        <f>VLOOKUP($A103,'Master File June-26'!$C$3:$L$670,9,0)</f>
        <v>2.5</v>
      </c>
      <c r="J103" s="5">
        <f>VLOOKUP($A103,'Master File June-26'!$C$3:$L$670,10,0)</f>
        <v>0</v>
      </c>
      <c r="K103" s="24">
        <f t="shared" si="3"/>
        <v>0</v>
      </c>
      <c r="L103" s="25" t="str">
        <f t="shared" si="4"/>
        <v>ORDER NOW</v>
      </c>
      <c r="M103" s="25" t="str">
        <f t="shared" si="5"/>
        <v>CRITICAL</v>
      </c>
      <c r="N103" s="79">
        <v>0</v>
      </c>
    </row>
    <row r="104" spans="1:14" ht="18.75" x14ac:dyDescent="0.25">
      <c r="A104" s="41" t="s">
        <v>660</v>
      </c>
      <c r="B104" s="73" t="s">
        <v>661</v>
      </c>
      <c r="C104" s="31" t="s">
        <v>49</v>
      </c>
      <c r="D104" s="5"/>
      <c r="E104" s="21">
        <v>1</v>
      </c>
      <c r="F104" s="22">
        <f>VLOOKUP($A104,'Master File June-26'!$C$3:$L$670,6,0)</f>
        <v>0</v>
      </c>
      <c r="G104" s="22">
        <f>VLOOKUP($A104,'Master File June-26'!$C$3:$L$670,7,0)</f>
        <v>10</v>
      </c>
      <c r="H104" s="5">
        <f>VLOOKUP($A104,'Master File June-26'!$C$3:$L$670,8,0)</f>
        <v>14</v>
      </c>
      <c r="I104" s="5">
        <f>VLOOKUP($A104,'Master File June-26'!$C$3:$L$670,9,0)</f>
        <v>5</v>
      </c>
      <c r="J104" s="5">
        <f>VLOOKUP($A104,'Master File June-26'!$C$3:$L$670,10,0)</f>
        <v>0</v>
      </c>
      <c r="K104" s="24">
        <f t="shared" si="3"/>
        <v>0</v>
      </c>
      <c r="L104" s="25" t="str">
        <f t="shared" si="4"/>
        <v>ORDER NOW</v>
      </c>
      <c r="M104" s="25" t="str">
        <f t="shared" si="5"/>
        <v>CRITICAL</v>
      </c>
      <c r="N104" s="79">
        <v>0</v>
      </c>
    </row>
    <row r="105" spans="1:14" ht="18.75" x14ac:dyDescent="0.25">
      <c r="A105" s="41" t="s">
        <v>665</v>
      </c>
      <c r="B105" s="28" t="s">
        <v>666</v>
      </c>
      <c r="C105" s="27" t="s">
        <v>67</v>
      </c>
      <c r="D105" s="5" t="s">
        <v>49</v>
      </c>
      <c r="E105" s="21">
        <v>2</v>
      </c>
      <c r="F105" s="22">
        <f>VLOOKUP($A105,'Master File June-26'!$C$3:$L$670,6,0)</f>
        <v>44</v>
      </c>
      <c r="G105" s="22">
        <f>VLOOKUP($A105,'Master File June-26'!$C$3:$L$670,7,0)</f>
        <v>22</v>
      </c>
      <c r="H105" s="5">
        <f>VLOOKUP($A105,'Master File June-26'!$C$3:$L$670,8,0)</f>
        <v>14</v>
      </c>
      <c r="I105" s="5">
        <f>VLOOKUP($A105,'Master File June-26'!$C$3:$L$670,9,0)</f>
        <v>11</v>
      </c>
      <c r="J105" s="5">
        <f>VLOOKUP($A105,'Master File June-26'!$C$3:$L$670,10,0)</f>
        <v>0</v>
      </c>
      <c r="K105" s="24">
        <f t="shared" si="3"/>
        <v>0</v>
      </c>
      <c r="L105" s="25" t="str">
        <f t="shared" si="4"/>
        <v>ORDER NOW</v>
      </c>
      <c r="M105" s="25" t="str">
        <f t="shared" si="5"/>
        <v>CRITICAL</v>
      </c>
      <c r="N105" s="79">
        <v>0</v>
      </c>
    </row>
    <row r="106" spans="1:14" ht="18.75" x14ac:dyDescent="0.25">
      <c r="A106" s="41" t="s">
        <v>682</v>
      </c>
      <c r="B106" s="28" t="s">
        <v>683</v>
      </c>
      <c r="C106" s="27" t="s">
        <v>684</v>
      </c>
      <c r="D106" s="5" t="s">
        <v>22</v>
      </c>
      <c r="E106" s="21">
        <v>0.10416666666666666</v>
      </c>
      <c r="F106" s="22">
        <f>VLOOKUP($A106,'Master File June-26'!$C$3:$L$670,6,0)</f>
        <v>70</v>
      </c>
      <c r="G106" s="22">
        <f>VLOOKUP($A106,'Master File June-26'!$C$3:$L$670,7,0)</f>
        <v>672.00000000000011</v>
      </c>
      <c r="H106" s="5">
        <f>VLOOKUP($A106,'Master File June-26'!$C$3:$L$670,8,0)</f>
        <v>14</v>
      </c>
      <c r="I106" s="5">
        <f>VLOOKUP($A106,'Master File June-26'!$C$3:$L$670,9,0)</f>
        <v>336.00000000000006</v>
      </c>
      <c r="J106" s="5">
        <f>VLOOKUP($A106,'Master File June-26'!$C$3:$L$670,10,0)</f>
        <v>0</v>
      </c>
      <c r="K106" s="24">
        <f t="shared" si="3"/>
        <v>0</v>
      </c>
      <c r="L106" s="25" t="str">
        <f t="shared" si="4"/>
        <v>ORDER NOW</v>
      </c>
      <c r="M106" s="25" t="str">
        <f t="shared" si="5"/>
        <v>CRITICAL</v>
      </c>
      <c r="N106" s="79">
        <v>0</v>
      </c>
    </row>
    <row r="107" spans="1:14" ht="18.75" x14ac:dyDescent="0.25">
      <c r="A107" s="41" t="s">
        <v>688</v>
      </c>
      <c r="B107" s="40" t="s">
        <v>689</v>
      </c>
      <c r="C107" s="31" t="s">
        <v>690</v>
      </c>
      <c r="D107" s="5" t="s">
        <v>22</v>
      </c>
      <c r="E107" s="21">
        <v>5.7803468208092484E-2</v>
      </c>
      <c r="F107" s="22">
        <f>VLOOKUP($A107,'Master File June-26'!$C$3:$L$670,6,0)</f>
        <v>25</v>
      </c>
      <c r="G107" s="22">
        <f>VLOOKUP($A107,'Master File June-26'!$C$3:$L$670,7,0)</f>
        <v>432.5</v>
      </c>
      <c r="H107" s="5">
        <f>VLOOKUP($A107,'Master File June-26'!$C$3:$L$670,8,0)</f>
        <v>14</v>
      </c>
      <c r="I107" s="5">
        <f>VLOOKUP($A107,'Master File June-26'!$C$3:$L$670,9,0)</f>
        <v>216.25</v>
      </c>
      <c r="J107" s="5">
        <f>VLOOKUP($A107,'Master File June-26'!$C$3:$L$670,10,0)</f>
        <v>208.8</v>
      </c>
      <c r="K107" s="24">
        <f t="shared" si="3"/>
        <v>14.483236994219654</v>
      </c>
      <c r="L107" s="25" t="str">
        <f t="shared" si="4"/>
        <v>IN STOCK</v>
      </c>
      <c r="M107" s="25" t="str">
        <f t="shared" si="5"/>
        <v>FOLLOW UP DELIVERY</v>
      </c>
      <c r="N107" s="79">
        <v>0</v>
      </c>
    </row>
    <row r="108" spans="1:14" ht="18.75" x14ac:dyDescent="0.25">
      <c r="A108" s="41" t="s">
        <v>691</v>
      </c>
      <c r="B108" s="40" t="s">
        <v>692</v>
      </c>
      <c r="C108" s="31" t="s">
        <v>22</v>
      </c>
      <c r="D108" s="5" t="s">
        <v>22</v>
      </c>
      <c r="E108" s="21">
        <v>1</v>
      </c>
      <c r="F108" s="22">
        <f>VLOOKUP($A108,'Master File June-26'!$C$3:$L$670,6,0)</f>
        <v>5</v>
      </c>
      <c r="G108" s="22">
        <f>VLOOKUP($A108,'Master File June-26'!$C$3:$L$670,7,0)</f>
        <v>5</v>
      </c>
      <c r="H108" s="5">
        <f>VLOOKUP($A108,'Master File June-26'!$C$3:$L$670,8,0)</f>
        <v>14</v>
      </c>
      <c r="I108" s="5">
        <f>VLOOKUP($A108,'Master File June-26'!$C$3:$L$670,9,0)</f>
        <v>2.5</v>
      </c>
      <c r="J108" s="5">
        <f>VLOOKUP($A108,'Master File June-26'!$C$3:$L$670,10,0)</f>
        <v>0</v>
      </c>
      <c r="K108" s="24">
        <f t="shared" si="3"/>
        <v>0</v>
      </c>
      <c r="L108" s="25" t="str">
        <f t="shared" si="4"/>
        <v>ORDER NOW</v>
      </c>
      <c r="M108" s="25" t="str">
        <f t="shared" si="5"/>
        <v>CRITICAL</v>
      </c>
      <c r="N108" s="79">
        <v>1</v>
      </c>
    </row>
    <row r="109" spans="1:14" ht="18.75" x14ac:dyDescent="0.25">
      <c r="A109" s="41" t="s">
        <v>700</v>
      </c>
      <c r="B109" s="40" t="s">
        <v>701</v>
      </c>
      <c r="C109" s="31" t="s">
        <v>22</v>
      </c>
      <c r="D109" s="5" t="s">
        <v>22</v>
      </c>
      <c r="E109" s="21">
        <v>1</v>
      </c>
      <c r="F109" s="22">
        <f>VLOOKUP($A109,'Master File June-26'!$C$3:$L$670,6,0)</f>
        <v>10</v>
      </c>
      <c r="G109" s="22">
        <f>VLOOKUP($A109,'Master File June-26'!$C$3:$L$670,7,0)</f>
        <v>10</v>
      </c>
      <c r="H109" s="5">
        <f>VLOOKUP($A109,'Master File June-26'!$C$3:$L$670,8,0)</f>
        <v>14</v>
      </c>
      <c r="I109" s="5">
        <f>VLOOKUP($A109,'Master File June-26'!$C$3:$L$670,9,0)</f>
        <v>5</v>
      </c>
      <c r="J109" s="5">
        <f>VLOOKUP($A109,'Master File June-26'!$C$3:$L$670,10,0)</f>
        <v>0</v>
      </c>
      <c r="K109" s="24">
        <f t="shared" si="3"/>
        <v>0</v>
      </c>
      <c r="L109" s="25" t="str">
        <f t="shared" si="4"/>
        <v>ORDER NOW</v>
      </c>
      <c r="M109" s="25" t="str">
        <f t="shared" si="5"/>
        <v>CRITICAL</v>
      </c>
      <c r="N109" s="79">
        <v>1</v>
      </c>
    </row>
    <row r="110" spans="1:14" ht="18.75" x14ac:dyDescent="0.25">
      <c r="A110" s="41" t="s">
        <v>702</v>
      </c>
      <c r="B110" s="40" t="s">
        <v>703</v>
      </c>
      <c r="C110" s="31" t="s">
        <v>64</v>
      </c>
      <c r="D110" s="5" t="s">
        <v>22</v>
      </c>
      <c r="E110" s="21">
        <v>0.1</v>
      </c>
      <c r="F110" s="22">
        <f>VLOOKUP($A110,'Master File June-26'!$C$3:$L$670,6,0)</f>
        <v>100</v>
      </c>
      <c r="G110" s="22">
        <f>VLOOKUP($A110,'Master File June-26'!$C$3:$L$670,7,0)</f>
        <v>1000</v>
      </c>
      <c r="H110" s="5">
        <f>VLOOKUP($A110,'Master File June-26'!$C$3:$L$670,8,0)</f>
        <v>14</v>
      </c>
      <c r="I110" s="5">
        <f>VLOOKUP($A110,'Master File June-26'!$C$3:$L$670,9,0)</f>
        <v>500</v>
      </c>
      <c r="J110" s="5">
        <f>VLOOKUP($A110,'Master File June-26'!$C$3:$L$670,10,0)</f>
        <v>80</v>
      </c>
      <c r="K110" s="24">
        <f t="shared" si="3"/>
        <v>2.4</v>
      </c>
      <c r="L110" s="25" t="str">
        <f t="shared" si="4"/>
        <v>ORDER NOW</v>
      </c>
      <c r="M110" s="25" t="str">
        <f t="shared" si="5"/>
        <v>CRITICAL</v>
      </c>
      <c r="N110" s="79">
        <v>0</v>
      </c>
    </row>
    <row r="111" spans="1:14" ht="18.75" x14ac:dyDescent="0.25">
      <c r="A111" s="41" t="s">
        <v>713</v>
      </c>
      <c r="B111" s="28" t="s">
        <v>714</v>
      </c>
      <c r="C111" s="27" t="s">
        <v>715</v>
      </c>
      <c r="D111" s="5" t="s">
        <v>54</v>
      </c>
      <c r="E111" s="21">
        <v>2.5000000000000001E-2</v>
      </c>
      <c r="F111" s="22">
        <f>VLOOKUP($A111,'Master File June-26'!$C$3:$L$670,6,0)</f>
        <v>149</v>
      </c>
      <c r="G111" s="22">
        <f>VLOOKUP($A111,'Master File June-26'!$C$3:$L$670,7,0)</f>
        <v>5960</v>
      </c>
      <c r="H111" s="5">
        <f>VLOOKUP($A111,'Master File June-26'!$C$3:$L$670,8,0)</f>
        <v>14</v>
      </c>
      <c r="I111" s="5">
        <f>VLOOKUP($A111,'Master File June-26'!$C$3:$L$670,9,0)</f>
        <v>2980</v>
      </c>
      <c r="J111" s="5">
        <f>VLOOKUP($A111,'Master File June-26'!$C$3:$L$670,10,0)</f>
        <v>0</v>
      </c>
      <c r="K111" s="24">
        <f t="shared" si="3"/>
        <v>0</v>
      </c>
      <c r="L111" s="25" t="str">
        <f t="shared" si="4"/>
        <v>ORDER NOW</v>
      </c>
      <c r="M111" s="25" t="str">
        <f t="shared" si="5"/>
        <v>CRITICAL</v>
      </c>
      <c r="N111" s="79">
        <v>1</v>
      </c>
    </row>
    <row r="112" spans="1:14" ht="18.75" x14ac:dyDescent="0.25">
      <c r="A112" s="41" t="s">
        <v>716</v>
      </c>
      <c r="B112" s="28" t="s">
        <v>717</v>
      </c>
      <c r="C112" s="27" t="s">
        <v>718</v>
      </c>
      <c r="D112" s="5" t="s">
        <v>22</v>
      </c>
      <c r="E112" s="21">
        <v>0.1</v>
      </c>
      <c r="F112" s="22">
        <f>VLOOKUP($A112,'Master File June-26'!$C$3:$L$670,6,0)</f>
        <v>160</v>
      </c>
      <c r="G112" s="22">
        <f>VLOOKUP($A112,'Master File June-26'!$C$3:$L$670,7,0)</f>
        <v>1600</v>
      </c>
      <c r="H112" s="5">
        <f>VLOOKUP($A112,'Master File June-26'!$C$3:$L$670,8,0)</f>
        <v>14</v>
      </c>
      <c r="I112" s="5">
        <f>VLOOKUP($A112,'Master File June-26'!$C$3:$L$670,9,0)</f>
        <v>800</v>
      </c>
      <c r="J112" s="5">
        <f>VLOOKUP($A112,'Master File June-26'!$C$3:$L$670,10,0)</f>
        <v>0</v>
      </c>
      <c r="K112" s="24">
        <f t="shared" si="3"/>
        <v>0</v>
      </c>
      <c r="L112" s="25" t="str">
        <f t="shared" si="4"/>
        <v>ORDER NOW</v>
      </c>
      <c r="M112" s="25" t="str">
        <f t="shared" si="5"/>
        <v>CRITICAL</v>
      </c>
      <c r="N112" s="79">
        <v>1</v>
      </c>
    </row>
    <row r="113" spans="1:14" ht="18.75" x14ac:dyDescent="0.25">
      <c r="A113" s="41" t="s">
        <v>719</v>
      </c>
      <c r="B113" s="40" t="s">
        <v>720</v>
      </c>
      <c r="C113" s="31" t="s">
        <v>22</v>
      </c>
      <c r="D113" s="5" t="s">
        <v>22</v>
      </c>
      <c r="E113" s="21">
        <v>3.3333333333333333E-2</v>
      </c>
      <c r="F113" s="22">
        <f>VLOOKUP($A113,'Master File June-26'!$C$3:$L$670,6,0)</f>
        <v>10</v>
      </c>
      <c r="G113" s="22">
        <f>VLOOKUP($A113,'Master File June-26'!$C$3:$L$670,7,0)</f>
        <v>300</v>
      </c>
      <c r="H113" s="5">
        <f>VLOOKUP($A113,'Master File June-26'!$C$3:$L$670,8,0)</f>
        <v>14</v>
      </c>
      <c r="I113" s="5">
        <f>VLOOKUP($A113,'Master File June-26'!$C$3:$L$670,9,0)</f>
        <v>150</v>
      </c>
      <c r="J113" s="5">
        <f>VLOOKUP($A113,'Master File June-26'!$C$3:$L$670,10,0)</f>
        <v>120</v>
      </c>
      <c r="K113" s="24">
        <f t="shared" si="3"/>
        <v>12</v>
      </c>
      <c r="L113" s="25" t="str">
        <f t="shared" si="4"/>
        <v>ORDER NOW</v>
      </c>
      <c r="M113" s="25" t="str">
        <f t="shared" si="5"/>
        <v>CRITICAL</v>
      </c>
      <c r="N113" s="79">
        <v>0</v>
      </c>
    </row>
    <row r="114" spans="1:14" ht="18.75" x14ac:dyDescent="0.25">
      <c r="A114" s="41" t="s">
        <v>743</v>
      </c>
      <c r="B114" s="28" t="s">
        <v>744</v>
      </c>
      <c r="C114" s="27" t="s">
        <v>381</v>
      </c>
      <c r="D114" s="5" t="s">
        <v>22</v>
      </c>
      <c r="E114" s="21">
        <v>8.3333333333333329E-2</v>
      </c>
      <c r="F114" s="22">
        <f>VLOOKUP($A114,'Master File June-26'!$C$3:$L$670,6,0)</f>
        <v>608</v>
      </c>
      <c r="G114" s="22">
        <f>VLOOKUP($A114,'Master File June-26'!$C$3:$L$670,7,0)</f>
        <v>7296</v>
      </c>
      <c r="H114" s="5">
        <f>VLOOKUP($A114,'Master File June-26'!$C$3:$L$670,8,0)</f>
        <v>14</v>
      </c>
      <c r="I114" s="5">
        <f>VLOOKUP($A114,'Master File June-26'!$C$3:$L$670,9,0)</f>
        <v>3648</v>
      </c>
      <c r="J114" s="5">
        <f>VLOOKUP($A114,'Master File June-26'!$C$3:$L$670,10,0)</f>
        <v>2400</v>
      </c>
      <c r="K114" s="24">
        <f t="shared" si="3"/>
        <v>9.8684210526315788</v>
      </c>
      <c r="L114" s="25" t="str">
        <f t="shared" si="4"/>
        <v>ORDER NOW</v>
      </c>
      <c r="M114" s="25" t="str">
        <f t="shared" si="5"/>
        <v>CRITICAL</v>
      </c>
      <c r="N114" s="79">
        <v>0</v>
      </c>
    </row>
    <row r="115" spans="1:14" ht="18.75" x14ac:dyDescent="0.25">
      <c r="A115" s="41" t="s">
        <v>749</v>
      </c>
      <c r="B115" s="28" t="s">
        <v>750</v>
      </c>
      <c r="C115" s="27" t="s">
        <v>751</v>
      </c>
      <c r="D115" s="5" t="s">
        <v>49</v>
      </c>
      <c r="E115" s="21">
        <v>0.05</v>
      </c>
      <c r="F115" s="22">
        <f>VLOOKUP($A115,'Master File June-26'!$C$3:$L$670,6,0)</f>
        <v>60</v>
      </c>
      <c r="G115" s="22">
        <f>VLOOKUP($A115,'Master File June-26'!$C$3:$L$670,7,0)</f>
        <v>1200</v>
      </c>
      <c r="H115" s="5">
        <f>VLOOKUP($A115,'Master File June-26'!$C$3:$L$670,8,0)</f>
        <v>14</v>
      </c>
      <c r="I115" s="5">
        <f>VLOOKUP($A115,'Master File June-26'!$C$3:$L$670,9,0)</f>
        <v>600</v>
      </c>
      <c r="J115" s="5">
        <f>VLOOKUP($A115,'Master File June-26'!$C$3:$L$670,10,0)</f>
        <v>0</v>
      </c>
      <c r="K115" s="24">
        <f t="shared" si="3"/>
        <v>0</v>
      </c>
      <c r="L115" s="25" t="str">
        <f t="shared" si="4"/>
        <v>ORDER NOW</v>
      </c>
      <c r="M115" s="25" t="str">
        <f t="shared" si="5"/>
        <v>CRITICAL</v>
      </c>
      <c r="N115" s="79">
        <v>0</v>
      </c>
    </row>
    <row r="116" spans="1:14" ht="18.75" x14ac:dyDescent="0.25">
      <c r="A116" s="41" t="s">
        <v>769</v>
      </c>
      <c r="B116" s="28" t="s">
        <v>770</v>
      </c>
      <c r="C116" s="27" t="s">
        <v>70</v>
      </c>
      <c r="D116" s="5" t="s">
        <v>54</v>
      </c>
      <c r="E116" s="21">
        <v>0.1</v>
      </c>
      <c r="F116" s="22">
        <f>VLOOKUP($A116,'Master File June-26'!$C$3:$L$670,6,0)</f>
        <v>30.25</v>
      </c>
      <c r="G116" s="22">
        <f>VLOOKUP($A116,'Master File June-26'!$C$3:$L$670,7,0)</f>
        <v>302.5</v>
      </c>
      <c r="H116" s="5">
        <f>VLOOKUP($A116,'Master File June-26'!$C$3:$L$670,8,0)</f>
        <v>14</v>
      </c>
      <c r="I116" s="5">
        <f>VLOOKUP($A116,'Master File June-26'!$C$3:$L$670,9,0)</f>
        <v>151.25</v>
      </c>
      <c r="J116" s="5">
        <f>VLOOKUP($A116,'Master File June-26'!$C$3:$L$670,10,0)</f>
        <v>10</v>
      </c>
      <c r="K116" s="24">
        <f t="shared" si="3"/>
        <v>0.99173553719008267</v>
      </c>
      <c r="L116" s="25" t="str">
        <f t="shared" si="4"/>
        <v>ORDER NOW</v>
      </c>
      <c r="M116" s="25" t="str">
        <f t="shared" si="5"/>
        <v>CRITICAL</v>
      </c>
      <c r="N116" s="79">
        <v>1</v>
      </c>
    </row>
    <row r="117" spans="1:14" ht="18.75" x14ac:dyDescent="0.25">
      <c r="A117" s="41" t="s">
        <v>771</v>
      </c>
      <c r="B117" s="28" t="s">
        <v>772</v>
      </c>
      <c r="C117" s="27" t="s">
        <v>773</v>
      </c>
      <c r="D117" s="5" t="s">
        <v>22</v>
      </c>
      <c r="E117" s="21">
        <v>0.33333333333333331</v>
      </c>
      <c r="F117" s="22">
        <f>VLOOKUP($A117,'Master File June-26'!$C$3:$L$670,6,0)</f>
        <v>120</v>
      </c>
      <c r="G117" s="22">
        <f>VLOOKUP($A117,'Master File June-26'!$C$3:$L$670,7,0)</f>
        <v>360</v>
      </c>
      <c r="H117" s="5">
        <f>VLOOKUP($A117,'Master File June-26'!$C$3:$L$670,8,0)</f>
        <v>14</v>
      </c>
      <c r="I117" s="5">
        <f>VLOOKUP($A117,'Master File June-26'!$C$3:$L$670,9,0)</f>
        <v>180</v>
      </c>
      <c r="J117" s="5">
        <f>VLOOKUP($A117,'Master File June-26'!$C$3:$L$670,10,0)</f>
        <v>0</v>
      </c>
      <c r="K117" s="24">
        <f t="shared" si="3"/>
        <v>0</v>
      </c>
      <c r="L117" s="25" t="str">
        <f t="shared" si="4"/>
        <v>ORDER NOW</v>
      </c>
      <c r="M117" s="25" t="str">
        <f t="shared" si="5"/>
        <v>CRITICAL</v>
      </c>
      <c r="N117" s="79">
        <v>0</v>
      </c>
    </row>
    <row r="118" spans="1:14" ht="18.75" x14ac:dyDescent="0.25">
      <c r="A118" s="41" t="s">
        <v>786</v>
      </c>
      <c r="B118" s="28" t="s">
        <v>787</v>
      </c>
      <c r="C118" s="27" t="s">
        <v>101</v>
      </c>
      <c r="D118" s="5" t="s">
        <v>22</v>
      </c>
      <c r="E118" s="21">
        <v>0.16666666666666666</v>
      </c>
      <c r="F118" s="22">
        <f>VLOOKUP($A118,'Master File June-26'!$C$3:$L$670,6,0)</f>
        <v>55</v>
      </c>
      <c r="G118" s="22">
        <f>VLOOKUP($A118,'Master File June-26'!$C$3:$L$670,7,0)</f>
        <v>330</v>
      </c>
      <c r="H118" s="5">
        <f>VLOOKUP($A118,'Master File June-26'!$C$3:$L$670,8,0)</f>
        <v>14</v>
      </c>
      <c r="I118" s="5">
        <f>VLOOKUP($A118,'Master File June-26'!$C$3:$L$670,9,0)</f>
        <v>165</v>
      </c>
      <c r="J118" s="5">
        <f>VLOOKUP($A118,'Master File June-26'!$C$3:$L$670,10,0)</f>
        <v>48</v>
      </c>
      <c r="K118" s="24">
        <f t="shared" si="3"/>
        <v>4.3636363636363633</v>
      </c>
      <c r="L118" s="25" t="str">
        <f t="shared" si="4"/>
        <v>ORDER NOW</v>
      </c>
      <c r="M118" s="25" t="str">
        <f t="shared" si="5"/>
        <v>CRITICAL</v>
      </c>
      <c r="N118" s="79">
        <v>0</v>
      </c>
    </row>
    <row r="119" spans="1:14" ht="18.75" x14ac:dyDescent="0.25">
      <c r="A119" s="41" t="s">
        <v>788</v>
      </c>
      <c r="B119" s="28" t="s">
        <v>789</v>
      </c>
      <c r="C119" s="27" t="s">
        <v>790</v>
      </c>
      <c r="D119" s="5" t="s">
        <v>22</v>
      </c>
      <c r="E119" s="21">
        <v>0.20990764063811923</v>
      </c>
      <c r="F119" s="22">
        <f>VLOOKUP($A119,'Master File June-26'!$C$3:$L$670,6,0)</f>
        <v>1500</v>
      </c>
      <c r="G119" s="22">
        <f>VLOOKUP($A119,'Master File June-26'!$C$3:$L$670,7,0)</f>
        <v>7146</v>
      </c>
      <c r="H119" s="5">
        <f>VLOOKUP($A119,'Master File June-26'!$C$3:$L$670,8,0)</f>
        <v>14</v>
      </c>
      <c r="I119" s="5">
        <f>VLOOKUP($A119,'Master File June-26'!$C$3:$L$670,9,0)</f>
        <v>3573</v>
      </c>
      <c r="J119" s="5">
        <f>VLOOKUP($A119,'Master File June-26'!$C$3:$L$670,10,0)</f>
        <v>476.4</v>
      </c>
      <c r="K119" s="24">
        <f t="shared" si="3"/>
        <v>2</v>
      </c>
      <c r="L119" s="25" t="str">
        <f t="shared" si="4"/>
        <v>ORDER NOW</v>
      </c>
      <c r="M119" s="25" t="str">
        <f t="shared" si="5"/>
        <v>CRITICAL</v>
      </c>
      <c r="N119" s="79">
        <v>0</v>
      </c>
    </row>
    <row r="120" spans="1:14" ht="18.75" x14ac:dyDescent="0.25">
      <c r="A120" s="41" t="s">
        <v>807</v>
      </c>
      <c r="B120" s="28" t="s">
        <v>808</v>
      </c>
      <c r="C120" s="27" t="s">
        <v>809</v>
      </c>
      <c r="D120" s="5" t="s">
        <v>49</v>
      </c>
      <c r="E120" s="21">
        <v>0.16666666666666666</v>
      </c>
      <c r="F120" s="22">
        <f>VLOOKUP($A120,'Master File June-26'!$C$3:$L$670,6,0)</f>
        <v>70</v>
      </c>
      <c r="G120" s="22">
        <f>VLOOKUP($A120,'Master File June-26'!$C$3:$L$670,7,0)</f>
        <v>420</v>
      </c>
      <c r="H120" s="5">
        <f>VLOOKUP($A120,'Master File June-26'!$C$3:$L$670,8,0)</f>
        <v>14</v>
      </c>
      <c r="I120" s="5">
        <f>VLOOKUP($A120,'Master File June-26'!$C$3:$L$670,9,0)</f>
        <v>210</v>
      </c>
      <c r="J120" s="5">
        <f>VLOOKUP($A120,'Master File June-26'!$C$3:$L$670,10,0)</f>
        <v>102</v>
      </c>
      <c r="K120" s="24">
        <f t="shared" si="3"/>
        <v>7.2857142857142856</v>
      </c>
      <c r="L120" s="25" t="str">
        <f t="shared" si="4"/>
        <v>ORDER NOW</v>
      </c>
      <c r="M120" s="25" t="str">
        <f t="shared" si="5"/>
        <v>CRITICAL</v>
      </c>
      <c r="N120" s="79">
        <v>0</v>
      </c>
    </row>
    <row r="121" spans="1:14" ht="18.75" x14ac:dyDescent="0.25">
      <c r="A121" s="41" t="s">
        <v>810</v>
      </c>
      <c r="B121" s="28" t="s">
        <v>811</v>
      </c>
      <c r="C121" s="27" t="s">
        <v>101</v>
      </c>
      <c r="D121" s="5" t="s">
        <v>22</v>
      </c>
      <c r="E121" s="21">
        <v>0.16666666666666666</v>
      </c>
      <c r="F121" s="22">
        <f>VLOOKUP($A121,'Master File June-26'!$C$3:$L$670,6,0)</f>
        <v>30.5</v>
      </c>
      <c r="G121" s="22">
        <f>VLOOKUP($A121,'Master File June-26'!$C$3:$L$670,7,0)</f>
        <v>183</v>
      </c>
      <c r="H121" s="5">
        <f>VLOOKUP($A121,'Master File June-26'!$C$3:$L$670,8,0)</f>
        <v>14</v>
      </c>
      <c r="I121" s="5">
        <f>VLOOKUP($A121,'Master File June-26'!$C$3:$L$670,9,0)</f>
        <v>91.5</v>
      </c>
      <c r="J121" s="5">
        <f>VLOOKUP($A121,'Master File June-26'!$C$3:$L$670,10,0)</f>
        <v>0</v>
      </c>
      <c r="K121" s="24">
        <f t="shared" si="3"/>
        <v>0</v>
      </c>
      <c r="L121" s="25" t="str">
        <f t="shared" si="4"/>
        <v>ORDER NOW</v>
      </c>
      <c r="M121" s="25" t="str">
        <f t="shared" si="5"/>
        <v>CRITICAL</v>
      </c>
      <c r="N121" s="79">
        <v>0</v>
      </c>
    </row>
    <row r="122" spans="1:14" ht="18.75" x14ac:dyDescent="0.25">
      <c r="A122" s="41" t="s">
        <v>812</v>
      </c>
      <c r="B122" s="28" t="s">
        <v>813</v>
      </c>
      <c r="C122" s="27" t="s">
        <v>814</v>
      </c>
      <c r="D122" s="5" t="s">
        <v>49</v>
      </c>
      <c r="E122" s="21">
        <v>5.5555555555555552E-2</v>
      </c>
      <c r="F122" s="22">
        <f>VLOOKUP($A122,'Master File June-26'!$C$3:$L$670,6,0)</f>
        <v>190</v>
      </c>
      <c r="G122" s="22">
        <f>VLOOKUP($A122,'Master File June-26'!$C$3:$L$670,7,0)</f>
        <v>3420</v>
      </c>
      <c r="H122" s="5">
        <f>VLOOKUP($A122,'Master File June-26'!$C$3:$L$670,8,0)</f>
        <v>14</v>
      </c>
      <c r="I122" s="5">
        <f>VLOOKUP($A122,'Master File June-26'!$C$3:$L$670,9,0)</f>
        <v>1710</v>
      </c>
      <c r="J122" s="5">
        <f>VLOOKUP($A122,'Master File June-26'!$C$3:$L$670,10,0)</f>
        <v>0</v>
      </c>
      <c r="K122" s="24">
        <f t="shared" si="3"/>
        <v>0</v>
      </c>
      <c r="L122" s="25" t="str">
        <f t="shared" si="4"/>
        <v>ORDER NOW</v>
      </c>
      <c r="M122" s="25" t="str">
        <f t="shared" si="5"/>
        <v>CRITICAL</v>
      </c>
      <c r="N122" s="79">
        <v>1</v>
      </c>
    </row>
    <row r="123" spans="1:14" ht="18.75" x14ac:dyDescent="0.25">
      <c r="A123" s="41" t="s">
        <v>817</v>
      </c>
      <c r="B123" s="40" t="s">
        <v>818</v>
      </c>
      <c r="C123" s="31" t="s">
        <v>64</v>
      </c>
      <c r="D123" s="5" t="s">
        <v>49</v>
      </c>
      <c r="E123" s="21">
        <v>1</v>
      </c>
      <c r="F123" s="22">
        <f>VLOOKUP($A123,'Master File June-26'!$C$3:$L$670,6,0)</f>
        <v>15</v>
      </c>
      <c r="G123" s="22">
        <f>VLOOKUP($A123,'Master File June-26'!$C$3:$L$670,7,0)</f>
        <v>15</v>
      </c>
      <c r="H123" s="5">
        <f>VLOOKUP($A123,'Master File June-26'!$C$3:$L$670,8,0)</f>
        <v>14</v>
      </c>
      <c r="I123" s="5">
        <f>VLOOKUP($A123,'Master File June-26'!$C$3:$L$670,9,0)</f>
        <v>7.5</v>
      </c>
      <c r="J123" s="5">
        <f>VLOOKUP($A123,'Master File June-26'!$C$3:$L$670,10,0)</f>
        <v>0</v>
      </c>
      <c r="K123" s="24">
        <f t="shared" si="3"/>
        <v>0</v>
      </c>
      <c r="L123" s="25" t="str">
        <f t="shared" si="4"/>
        <v>ORDER NOW</v>
      </c>
      <c r="M123" s="25" t="str">
        <f t="shared" si="5"/>
        <v>CRITICAL</v>
      </c>
      <c r="N123" s="79">
        <v>0</v>
      </c>
    </row>
    <row r="124" spans="1:14" ht="18.75" x14ac:dyDescent="0.25">
      <c r="A124" s="41" t="s">
        <v>819</v>
      </c>
      <c r="B124" s="28" t="s">
        <v>820</v>
      </c>
      <c r="C124" s="27" t="s">
        <v>821</v>
      </c>
      <c r="D124" s="5" t="s">
        <v>54</v>
      </c>
      <c r="E124" s="21">
        <v>0.02</v>
      </c>
      <c r="F124" s="22">
        <f>VLOOKUP($A124,'Master File June-26'!$C$3:$L$670,6,0)</f>
        <v>450</v>
      </c>
      <c r="G124" s="22">
        <f>VLOOKUP($A124,'Master File June-26'!$C$3:$L$670,7,0)</f>
        <v>22500</v>
      </c>
      <c r="H124" s="5">
        <f>VLOOKUP($A124,'Master File June-26'!$C$3:$L$670,8,0)</f>
        <v>14</v>
      </c>
      <c r="I124" s="5">
        <f>VLOOKUP($A124,'Master File June-26'!$C$3:$L$670,9,0)</f>
        <v>11250</v>
      </c>
      <c r="J124" s="5">
        <f>VLOOKUP($A124,'Master File June-26'!$C$3:$L$670,10,0)</f>
        <v>6000</v>
      </c>
      <c r="K124" s="24">
        <f t="shared" si="3"/>
        <v>8</v>
      </c>
      <c r="L124" s="25" t="str">
        <f t="shared" si="4"/>
        <v>ORDER NOW</v>
      </c>
      <c r="M124" s="25" t="str">
        <f t="shared" si="5"/>
        <v>CRITICAL</v>
      </c>
      <c r="N124" s="79">
        <v>0</v>
      </c>
    </row>
    <row r="125" spans="1:14" ht="18.75" x14ac:dyDescent="0.25">
      <c r="A125" s="41" t="s">
        <v>824</v>
      </c>
      <c r="B125" s="28" t="s">
        <v>825</v>
      </c>
      <c r="C125" s="27" t="s">
        <v>826</v>
      </c>
      <c r="D125" s="5" t="s">
        <v>49</v>
      </c>
      <c r="E125" s="21">
        <v>1</v>
      </c>
      <c r="F125" s="22">
        <f>VLOOKUP($A125,'Master File June-26'!$C$3:$L$670,6,0)</f>
        <v>160</v>
      </c>
      <c r="G125" s="22">
        <f>VLOOKUP($A125,'Master File June-26'!$C$3:$L$670,7,0)</f>
        <v>160</v>
      </c>
      <c r="H125" s="5">
        <f>VLOOKUP($A125,'Master File June-26'!$C$3:$L$670,8,0)</f>
        <v>14</v>
      </c>
      <c r="I125" s="5">
        <f>VLOOKUP($A125,'Master File June-26'!$C$3:$L$670,9,0)</f>
        <v>80</v>
      </c>
      <c r="J125" s="5">
        <f>VLOOKUP($A125,'Master File June-26'!$C$3:$L$670,10,0)</f>
        <v>80</v>
      </c>
      <c r="K125" s="24">
        <f t="shared" si="3"/>
        <v>15</v>
      </c>
      <c r="L125" s="25" t="str">
        <f t="shared" si="4"/>
        <v>IN STOCK</v>
      </c>
      <c r="M125" s="25" t="str">
        <f t="shared" si="5"/>
        <v>FOLLOW UP DELIVERY</v>
      </c>
      <c r="N125" s="79">
        <v>0</v>
      </c>
    </row>
    <row r="126" spans="1:14" ht="18.75" x14ac:dyDescent="0.25">
      <c r="A126" s="41" t="s">
        <v>827</v>
      </c>
      <c r="B126" s="28" t="s">
        <v>828</v>
      </c>
      <c r="C126" s="27" t="s">
        <v>829</v>
      </c>
      <c r="D126" s="5" t="s">
        <v>22</v>
      </c>
      <c r="E126" s="21">
        <v>1.25E-4</v>
      </c>
      <c r="F126" s="22">
        <f>VLOOKUP($A126,'Master File June-26'!$C$3:$L$670,6,0)</f>
        <v>27.5</v>
      </c>
      <c r="G126" s="22">
        <f>VLOOKUP($A126,'Master File June-26'!$C$3:$L$670,7,0)</f>
        <v>220</v>
      </c>
      <c r="H126" s="5">
        <f>VLOOKUP($A126,'Master File June-26'!$C$3:$L$670,8,0)</f>
        <v>14</v>
      </c>
      <c r="I126" s="5">
        <f>VLOOKUP($A126,'Master File June-26'!$C$3:$L$670,9,0)</f>
        <v>110</v>
      </c>
      <c r="J126" s="5">
        <f>VLOOKUP($A126,'Master File June-26'!$C$3:$L$670,10,0)</f>
        <v>0</v>
      </c>
      <c r="K126" s="24">
        <f t="shared" si="3"/>
        <v>0</v>
      </c>
      <c r="L126" s="25" t="str">
        <f t="shared" si="4"/>
        <v>ORDER NOW</v>
      </c>
      <c r="M126" s="25" t="str">
        <f t="shared" si="5"/>
        <v>CRITICAL</v>
      </c>
      <c r="N126" s="79">
        <v>1</v>
      </c>
    </row>
    <row r="127" spans="1:14" ht="18.75" x14ac:dyDescent="0.25">
      <c r="A127" s="41" t="s">
        <v>835</v>
      </c>
      <c r="B127" s="28" t="s">
        <v>836</v>
      </c>
      <c r="C127" s="27" t="s">
        <v>837</v>
      </c>
      <c r="D127" s="5" t="s">
        <v>22</v>
      </c>
      <c r="E127" s="21">
        <v>0.12254901960784313</v>
      </c>
      <c r="F127" s="22">
        <f>VLOOKUP($A127,'Master File June-26'!$C$3:$L$670,6,0)</f>
        <v>290</v>
      </c>
      <c r="G127" s="22">
        <f>VLOOKUP($A127,'Master File June-26'!$C$3:$L$670,7,0)</f>
        <v>2366.4</v>
      </c>
      <c r="H127" s="5">
        <f>VLOOKUP($A127,'Master File June-26'!$C$3:$L$670,8,0)</f>
        <v>14</v>
      </c>
      <c r="I127" s="5">
        <f>VLOOKUP($A127,'Master File June-26'!$C$3:$L$670,9,0)</f>
        <v>1183.2</v>
      </c>
      <c r="J127" s="5">
        <f>VLOOKUP($A127,'Master File June-26'!$C$3:$L$670,10,0)</f>
        <v>0</v>
      </c>
      <c r="K127" s="24">
        <f t="shared" si="3"/>
        <v>0</v>
      </c>
      <c r="L127" s="25" t="str">
        <f t="shared" si="4"/>
        <v>ORDER NOW</v>
      </c>
      <c r="M127" s="25" t="str">
        <f t="shared" si="5"/>
        <v>CRITICAL</v>
      </c>
      <c r="N127" s="79">
        <v>0</v>
      </c>
    </row>
    <row r="128" spans="1:14" ht="18.75" x14ac:dyDescent="0.25">
      <c r="A128" s="41" t="s">
        <v>851</v>
      </c>
      <c r="B128" s="28" t="s">
        <v>852</v>
      </c>
      <c r="C128" s="27" t="s">
        <v>853</v>
      </c>
      <c r="D128" s="5" t="s">
        <v>22</v>
      </c>
      <c r="E128" s="21">
        <v>0.14285714285714285</v>
      </c>
      <c r="F128" s="22">
        <f>VLOOKUP($A128,'Master File June-26'!$C$3:$L$670,6,0)</f>
        <v>150</v>
      </c>
      <c r="G128" s="22">
        <f>VLOOKUP($A128,'Master File June-26'!$C$3:$L$670,7,0)</f>
        <v>1050</v>
      </c>
      <c r="H128" s="5">
        <f>VLOOKUP($A128,'Master File June-26'!$C$3:$L$670,8,0)</f>
        <v>14</v>
      </c>
      <c r="I128" s="5">
        <f>VLOOKUP($A128,'Master File June-26'!$C$3:$L$670,9,0)</f>
        <v>525</v>
      </c>
      <c r="J128" s="5">
        <f>VLOOKUP($A128,'Master File June-26'!$C$3:$L$670,10,0)</f>
        <v>0</v>
      </c>
      <c r="K128" s="24">
        <f t="shared" si="3"/>
        <v>0</v>
      </c>
      <c r="L128" s="25" t="str">
        <f t="shared" si="4"/>
        <v>ORDER NOW</v>
      </c>
      <c r="M128" s="25" t="str">
        <f t="shared" si="5"/>
        <v>CRITICAL</v>
      </c>
      <c r="N128" s="79">
        <v>1</v>
      </c>
    </row>
    <row r="129" spans="1:14" ht="18.75" x14ac:dyDescent="0.25">
      <c r="A129" s="41" t="s">
        <v>865</v>
      </c>
      <c r="B129" s="28" t="s">
        <v>866</v>
      </c>
      <c r="C129" s="27" t="s">
        <v>867</v>
      </c>
      <c r="D129" s="5" t="s">
        <v>22</v>
      </c>
      <c r="E129" s="21">
        <v>8.3333333333333329E-2</v>
      </c>
      <c r="F129" s="22">
        <f>VLOOKUP($A129,'Master File June-26'!$C$3:$L$670,6,0)</f>
        <v>103.5</v>
      </c>
      <c r="G129" s="22">
        <f>VLOOKUP($A129,'Master File June-26'!$C$3:$L$670,7,0)</f>
        <v>1242</v>
      </c>
      <c r="H129" s="5">
        <f>VLOOKUP($A129,'Master File June-26'!$C$3:$L$670,8,0)</f>
        <v>14</v>
      </c>
      <c r="I129" s="5">
        <f>VLOOKUP($A129,'Master File June-26'!$C$3:$L$670,9,0)</f>
        <v>621</v>
      </c>
      <c r="J129" s="5">
        <f>VLOOKUP($A129,'Master File June-26'!$C$3:$L$670,10,0)</f>
        <v>200</v>
      </c>
      <c r="K129" s="24">
        <f t="shared" si="3"/>
        <v>4.8309178743961354</v>
      </c>
      <c r="L129" s="25" t="str">
        <f t="shared" si="4"/>
        <v>ORDER NOW</v>
      </c>
      <c r="M129" s="25" t="str">
        <f t="shared" si="5"/>
        <v>CRITICAL</v>
      </c>
      <c r="N129" s="79">
        <v>1</v>
      </c>
    </row>
    <row r="130" spans="1:14" ht="18.75" x14ac:dyDescent="0.25">
      <c r="A130" s="41" t="s">
        <v>868</v>
      </c>
      <c r="B130" s="28" t="s">
        <v>869</v>
      </c>
      <c r="C130" s="27" t="s">
        <v>870</v>
      </c>
      <c r="D130" s="5" t="s">
        <v>22</v>
      </c>
      <c r="E130" s="21">
        <v>5.2476910159529801E-2</v>
      </c>
      <c r="F130" s="22">
        <f>VLOOKUP($A130,'Master File June-26'!$C$3:$L$670,6,0)</f>
        <v>300</v>
      </c>
      <c r="G130" s="22">
        <f>VLOOKUP($A130,'Master File June-26'!$C$3:$L$670,7,0)</f>
        <v>5716.8000000000011</v>
      </c>
      <c r="H130" s="5">
        <f>VLOOKUP($A130,'Master File June-26'!$C$3:$L$670,8,0)</f>
        <v>14</v>
      </c>
      <c r="I130" s="5">
        <f>VLOOKUP($A130,'Master File June-26'!$C$3:$L$670,9,0)</f>
        <v>2858.4000000000005</v>
      </c>
      <c r="J130" s="5">
        <f>VLOOKUP($A130,'Master File June-26'!$C$3:$L$670,10,0)</f>
        <v>0</v>
      </c>
      <c r="K130" s="24">
        <f t="shared" si="3"/>
        <v>0</v>
      </c>
      <c r="L130" s="25" t="str">
        <f t="shared" si="4"/>
        <v>ORDER NOW</v>
      </c>
      <c r="M130" s="25" t="str">
        <f t="shared" si="5"/>
        <v>CRITICAL</v>
      </c>
      <c r="N130" s="79">
        <v>0</v>
      </c>
    </row>
    <row r="131" spans="1:14" ht="18.75" x14ac:dyDescent="0.25">
      <c r="A131" s="41" t="s">
        <v>874</v>
      </c>
      <c r="B131" s="28" t="s">
        <v>875</v>
      </c>
      <c r="C131" s="27" t="s">
        <v>876</v>
      </c>
      <c r="D131" s="5" t="s">
        <v>49</v>
      </c>
      <c r="E131" s="21">
        <v>1.639344262295082</v>
      </c>
      <c r="F131" s="22">
        <f>VLOOKUP($A131,'Master File June-26'!$C$3:$L$670,6,0)</f>
        <v>82.5</v>
      </c>
      <c r="G131" s="22">
        <f>VLOOKUP($A131,'Master File June-26'!$C$3:$L$670,7,0)</f>
        <v>50.324999999999996</v>
      </c>
      <c r="H131" s="5">
        <f>VLOOKUP($A131,'Master File June-26'!$C$3:$L$670,8,0)</f>
        <v>14</v>
      </c>
      <c r="I131" s="5">
        <f>VLOOKUP($A131,'Master File June-26'!$C$3:$L$670,9,0)</f>
        <v>25.162499999999998</v>
      </c>
      <c r="J131" s="5">
        <f>VLOOKUP($A131,'Master File June-26'!$C$3:$L$670,10,0)</f>
        <v>140</v>
      </c>
      <c r="K131" s="24">
        <f t="shared" ref="K131:K194" si="6">IFERROR((J131/G131*30),0)</f>
        <v>83.45752608047691</v>
      </c>
      <c r="L131" s="25" t="str">
        <f t="shared" ref="L131:L194" si="7">IF(K131&lt;H131,"ORDER NOW","IN STOCK")</f>
        <v>IN STOCK</v>
      </c>
      <c r="M131" s="25" t="str">
        <f t="shared" ref="M131:M194" si="8">IF(K131&lt;H131,"CRITICAL","FOLLOW UP DELIVERY")</f>
        <v>FOLLOW UP DELIVERY</v>
      </c>
      <c r="N131" s="79">
        <v>0</v>
      </c>
    </row>
    <row r="132" spans="1:14" ht="18.75" x14ac:dyDescent="0.25">
      <c r="A132" s="41" t="s">
        <v>888</v>
      </c>
      <c r="B132" s="28" t="s">
        <v>889</v>
      </c>
      <c r="C132" s="27" t="s">
        <v>890</v>
      </c>
      <c r="D132" s="5" t="s">
        <v>22</v>
      </c>
      <c r="E132" s="21">
        <v>0.23809523809523814</v>
      </c>
      <c r="F132" s="22">
        <f>VLOOKUP($A132,'Master File June-26'!$C$3:$L$670,6,0)</f>
        <v>90.5</v>
      </c>
      <c r="G132" s="22">
        <f>VLOOKUP($A132,'Master File June-26'!$C$3:$L$670,7,0)</f>
        <v>380.09999999999991</v>
      </c>
      <c r="H132" s="5">
        <f>VLOOKUP($A132,'Master File June-26'!$C$3:$L$670,8,0)</f>
        <v>14</v>
      </c>
      <c r="I132" s="5">
        <f>VLOOKUP($A132,'Master File June-26'!$C$3:$L$670,9,0)</f>
        <v>190.04999999999995</v>
      </c>
      <c r="J132" s="5">
        <f>VLOOKUP($A132,'Master File June-26'!$C$3:$L$670,10,0)</f>
        <v>0</v>
      </c>
      <c r="K132" s="24">
        <f t="shared" si="6"/>
        <v>0</v>
      </c>
      <c r="L132" s="25" t="str">
        <f t="shared" si="7"/>
        <v>ORDER NOW</v>
      </c>
      <c r="M132" s="25" t="str">
        <f t="shared" si="8"/>
        <v>CRITICAL</v>
      </c>
      <c r="N132" s="79">
        <v>1</v>
      </c>
    </row>
    <row r="133" spans="1:14" ht="18.75" x14ac:dyDescent="0.25">
      <c r="A133" s="41" t="s">
        <v>897</v>
      </c>
      <c r="B133" s="28" t="s">
        <v>898</v>
      </c>
      <c r="C133" s="27" t="s">
        <v>899</v>
      </c>
      <c r="D133" s="5" t="s">
        <v>22</v>
      </c>
      <c r="E133" s="21">
        <v>0.15151515151515152</v>
      </c>
      <c r="F133" s="22">
        <f>VLOOKUP($A133,'Master File June-26'!$C$3:$L$670,6,0)</f>
        <v>1700</v>
      </c>
      <c r="G133" s="22">
        <f>VLOOKUP($A133,'Master File June-26'!$C$3:$L$670,7,0)</f>
        <v>11220</v>
      </c>
      <c r="H133" s="5">
        <f>VLOOKUP($A133,'Master File June-26'!$C$3:$L$670,8,0)</f>
        <v>14</v>
      </c>
      <c r="I133" s="5">
        <f>VLOOKUP($A133,'Master File June-26'!$C$3:$L$670,9,0)</f>
        <v>5610</v>
      </c>
      <c r="J133" s="5">
        <f>VLOOKUP($A133,'Master File June-26'!$C$3:$L$670,10,0)</f>
        <v>3320</v>
      </c>
      <c r="K133" s="24">
        <f t="shared" si="6"/>
        <v>8.8770053475935828</v>
      </c>
      <c r="L133" s="25" t="str">
        <f t="shared" si="7"/>
        <v>ORDER NOW</v>
      </c>
      <c r="M133" s="25" t="str">
        <f t="shared" si="8"/>
        <v>CRITICAL</v>
      </c>
      <c r="N133" s="79">
        <v>1</v>
      </c>
    </row>
    <row r="134" spans="1:14" ht="18.75" x14ac:dyDescent="0.25">
      <c r="A134" s="41" t="s">
        <v>903</v>
      </c>
      <c r="B134" s="73" t="s">
        <v>904</v>
      </c>
      <c r="C134" s="31" t="s">
        <v>49</v>
      </c>
      <c r="D134" s="5"/>
      <c r="E134" s="21">
        <v>1</v>
      </c>
      <c r="F134" s="22">
        <f>VLOOKUP($A134,'Master File June-26'!$C$3:$L$670,6,0)</f>
        <v>0</v>
      </c>
      <c r="G134" s="22">
        <f>VLOOKUP($A134,'Master File June-26'!$C$3:$L$670,7,0)</f>
        <v>10</v>
      </c>
      <c r="H134" s="5">
        <f>VLOOKUP($A134,'Master File June-26'!$C$3:$L$670,8,0)</f>
        <v>14</v>
      </c>
      <c r="I134" s="5">
        <f>VLOOKUP($A134,'Master File June-26'!$C$3:$L$670,9,0)</f>
        <v>5</v>
      </c>
      <c r="J134" s="5">
        <f>VLOOKUP($A134,'Master File June-26'!$C$3:$L$670,10,0)</f>
        <v>0</v>
      </c>
      <c r="K134" s="24">
        <f t="shared" si="6"/>
        <v>0</v>
      </c>
      <c r="L134" s="25" t="str">
        <f t="shared" si="7"/>
        <v>ORDER NOW</v>
      </c>
      <c r="M134" s="25" t="str">
        <f t="shared" si="8"/>
        <v>CRITICAL</v>
      </c>
      <c r="N134" s="79">
        <v>1</v>
      </c>
    </row>
    <row r="135" spans="1:14" ht="18.75" x14ac:dyDescent="0.25">
      <c r="A135" s="41" t="s">
        <v>905</v>
      </c>
      <c r="B135" s="28" t="s">
        <v>906</v>
      </c>
      <c r="C135" s="27" t="s">
        <v>907</v>
      </c>
      <c r="D135" s="5" t="s">
        <v>22</v>
      </c>
      <c r="E135" s="21">
        <v>8.3333333333333329E-2</v>
      </c>
      <c r="F135" s="22">
        <f>VLOOKUP($A135,'Master File June-26'!$C$3:$L$670,6,0)</f>
        <v>2700</v>
      </c>
      <c r="G135" s="22">
        <f>VLOOKUP($A135,'Master File June-26'!$C$3:$L$670,7,0)</f>
        <v>32400</v>
      </c>
      <c r="H135" s="5">
        <f>VLOOKUP($A135,'Master File June-26'!$C$3:$L$670,8,0)</f>
        <v>14</v>
      </c>
      <c r="I135" s="5">
        <f>VLOOKUP($A135,'Master File June-26'!$C$3:$L$670,9,0)</f>
        <v>16200</v>
      </c>
      <c r="J135" s="5">
        <f>VLOOKUP($A135,'Master File June-26'!$C$3:$L$670,10,0)</f>
        <v>9168</v>
      </c>
      <c r="K135" s="24">
        <f t="shared" si="6"/>
        <v>8.4888888888888889</v>
      </c>
      <c r="L135" s="25" t="str">
        <f t="shared" si="7"/>
        <v>ORDER NOW</v>
      </c>
      <c r="M135" s="25" t="str">
        <f t="shared" si="8"/>
        <v>CRITICAL</v>
      </c>
      <c r="N135" s="79">
        <v>1</v>
      </c>
    </row>
    <row r="136" spans="1:14" ht="18.75" x14ac:dyDescent="0.25">
      <c r="A136" s="41" t="s">
        <v>905</v>
      </c>
      <c r="B136" s="28" t="s">
        <v>908</v>
      </c>
      <c r="C136" s="27" t="s">
        <v>907</v>
      </c>
      <c r="D136" s="5" t="s">
        <v>22</v>
      </c>
      <c r="E136" s="21">
        <v>8.3333333333333329E-2</v>
      </c>
      <c r="F136" s="22">
        <f>VLOOKUP($A136,'Master File June-26'!$C$3:$L$670,6,0)</f>
        <v>2700</v>
      </c>
      <c r="G136" s="22">
        <f>VLOOKUP($A136,'Master File June-26'!$C$3:$L$670,7,0)</f>
        <v>32400</v>
      </c>
      <c r="H136" s="5">
        <f>VLOOKUP($A136,'Master File June-26'!$C$3:$L$670,8,0)</f>
        <v>14</v>
      </c>
      <c r="I136" s="5">
        <f>VLOOKUP($A136,'Master File June-26'!$C$3:$L$670,9,0)</f>
        <v>16200</v>
      </c>
      <c r="J136" s="5">
        <f>VLOOKUP($A136,'Master File June-26'!$C$3:$L$670,10,0)</f>
        <v>9168</v>
      </c>
      <c r="K136" s="24">
        <f t="shared" si="6"/>
        <v>8.4888888888888889</v>
      </c>
      <c r="L136" s="25" t="str">
        <f t="shared" si="7"/>
        <v>ORDER NOW</v>
      </c>
      <c r="M136" s="25" t="str">
        <f t="shared" si="8"/>
        <v>CRITICAL</v>
      </c>
      <c r="N136" s="79">
        <v>1</v>
      </c>
    </row>
    <row r="137" spans="1:14" ht="18.75" x14ac:dyDescent="0.25">
      <c r="A137" s="41" t="s">
        <v>912</v>
      </c>
      <c r="B137" s="28" t="s">
        <v>913</v>
      </c>
      <c r="C137" s="27" t="s">
        <v>101</v>
      </c>
      <c r="D137" s="5" t="s">
        <v>22</v>
      </c>
      <c r="E137" s="21">
        <v>0.16666666666666666</v>
      </c>
      <c r="F137" s="22">
        <f>VLOOKUP($A137,'Master File June-26'!$C$3:$L$670,6,0)</f>
        <v>64.5</v>
      </c>
      <c r="G137" s="22">
        <f>VLOOKUP($A137,'Master File June-26'!$C$3:$L$670,7,0)</f>
        <v>387</v>
      </c>
      <c r="H137" s="5">
        <f>VLOOKUP($A137,'Master File June-26'!$C$3:$L$670,8,0)</f>
        <v>14</v>
      </c>
      <c r="I137" s="5">
        <f>VLOOKUP($A137,'Master File June-26'!$C$3:$L$670,9,0)</f>
        <v>193.5</v>
      </c>
      <c r="J137" s="5">
        <f>VLOOKUP($A137,'Master File June-26'!$C$3:$L$670,10,0)</f>
        <v>864</v>
      </c>
      <c r="K137" s="24">
        <f t="shared" si="6"/>
        <v>66.976744186046517</v>
      </c>
      <c r="L137" s="25" t="str">
        <f t="shared" si="7"/>
        <v>IN STOCK</v>
      </c>
      <c r="M137" s="25" t="str">
        <f t="shared" si="8"/>
        <v>FOLLOW UP DELIVERY</v>
      </c>
      <c r="N137" s="79">
        <v>1</v>
      </c>
    </row>
    <row r="138" spans="1:14" ht="18.75" x14ac:dyDescent="0.25">
      <c r="A138" s="41" t="s">
        <v>919</v>
      </c>
      <c r="B138" s="28" t="s">
        <v>920</v>
      </c>
      <c r="C138" s="27" t="s">
        <v>921</v>
      </c>
      <c r="D138" s="5" t="s">
        <v>22</v>
      </c>
      <c r="E138" s="21">
        <v>4.1666666666666669E-4</v>
      </c>
      <c r="F138" s="22">
        <f>VLOOKUP($A138,'Master File June-26'!$C$3:$L$670,6,0)</f>
        <v>60.5</v>
      </c>
      <c r="G138" s="22">
        <f>VLOOKUP($A138,'Master File June-26'!$C$3:$L$670,7,0)</f>
        <v>1452</v>
      </c>
      <c r="H138" s="5">
        <f>VLOOKUP($A138,'Master File June-26'!$C$3:$L$670,8,0)</f>
        <v>14</v>
      </c>
      <c r="I138" s="5">
        <f>VLOOKUP($A138,'Master File June-26'!$C$3:$L$670,9,0)</f>
        <v>726</v>
      </c>
      <c r="J138" s="5">
        <f>VLOOKUP($A138,'Master File June-26'!$C$3:$L$670,10,0)</f>
        <v>2</v>
      </c>
      <c r="K138" s="24">
        <f t="shared" si="6"/>
        <v>4.1322314049586778E-2</v>
      </c>
      <c r="L138" s="25" t="str">
        <f t="shared" si="7"/>
        <v>ORDER NOW</v>
      </c>
      <c r="M138" s="25" t="str">
        <f t="shared" si="8"/>
        <v>CRITICAL</v>
      </c>
      <c r="N138" s="79">
        <v>0</v>
      </c>
    </row>
    <row r="139" spans="1:14" ht="18.75" x14ac:dyDescent="0.25">
      <c r="A139" s="41" t="s">
        <v>936</v>
      </c>
      <c r="B139" s="28" t="s">
        <v>937</v>
      </c>
      <c r="C139" s="27" t="s">
        <v>254</v>
      </c>
      <c r="D139" s="5" t="s">
        <v>49</v>
      </c>
      <c r="E139" s="21">
        <v>2E-3</v>
      </c>
      <c r="F139" s="22">
        <f>VLOOKUP($A139,'Master File June-26'!$C$3:$L$670,6,0)</f>
        <v>180</v>
      </c>
      <c r="G139" s="22">
        <f>VLOOKUP($A139,'Master File June-26'!$C$3:$L$670,7,0)</f>
        <v>8640</v>
      </c>
      <c r="H139" s="5">
        <f>VLOOKUP($A139,'Master File June-26'!$C$3:$L$670,8,0)</f>
        <v>14</v>
      </c>
      <c r="I139" s="5">
        <f>VLOOKUP($A139,'Master File June-26'!$C$3:$L$670,9,0)</f>
        <v>4320</v>
      </c>
      <c r="J139" s="5">
        <f>VLOOKUP($A139,'Master File June-26'!$C$3:$L$670,10,0)</f>
        <v>1014</v>
      </c>
      <c r="K139" s="24">
        <f t="shared" si="6"/>
        <v>3.5208333333333335</v>
      </c>
      <c r="L139" s="25" t="str">
        <f t="shared" si="7"/>
        <v>ORDER NOW</v>
      </c>
      <c r="M139" s="25" t="str">
        <f t="shared" si="8"/>
        <v>CRITICAL</v>
      </c>
      <c r="N139" s="79">
        <v>1</v>
      </c>
    </row>
    <row r="140" spans="1:14" ht="18.75" x14ac:dyDescent="0.25">
      <c r="A140" s="41" t="s">
        <v>938</v>
      </c>
      <c r="B140" s="73" t="s">
        <v>939</v>
      </c>
      <c r="C140" s="31" t="s">
        <v>49</v>
      </c>
      <c r="D140" s="5"/>
      <c r="E140" s="21">
        <v>1</v>
      </c>
      <c r="F140" s="22">
        <f>VLOOKUP($A140,'Master File June-26'!$C$3:$L$670,6,0)</f>
        <v>0</v>
      </c>
      <c r="G140" s="22">
        <f>VLOOKUP($A140,'Master File June-26'!$C$3:$L$670,7,0)</f>
        <v>10</v>
      </c>
      <c r="H140" s="5">
        <f>VLOOKUP($A140,'Master File June-26'!$C$3:$L$670,8,0)</f>
        <v>14</v>
      </c>
      <c r="I140" s="5">
        <f>VLOOKUP($A140,'Master File June-26'!$C$3:$L$670,9,0)</f>
        <v>5</v>
      </c>
      <c r="J140" s="5">
        <f>VLOOKUP($A140,'Master File June-26'!$C$3:$L$670,10,0)</f>
        <v>0</v>
      </c>
      <c r="K140" s="24">
        <f t="shared" si="6"/>
        <v>0</v>
      </c>
      <c r="L140" s="25" t="str">
        <f t="shared" si="7"/>
        <v>ORDER NOW</v>
      </c>
      <c r="M140" s="25" t="str">
        <f t="shared" si="8"/>
        <v>CRITICAL</v>
      </c>
      <c r="N140" s="79">
        <v>0</v>
      </c>
    </row>
    <row r="141" spans="1:14" ht="18.75" x14ac:dyDescent="0.25">
      <c r="A141" s="41" t="s">
        <v>961</v>
      </c>
      <c r="B141" s="28" t="s">
        <v>962</v>
      </c>
      <c r="C141" s="27" t="s">
        <v>963</v>
      </c>
      <c r="D141" s="5" t="s">
        <v>22</v>
      </c>
      <c r="E141" s="21">
        <v>4.1666666666666664E-2</v>
      </c>
      <c r="F141" s="22">
        <f>VLOOKUP($A141,'Master File June-26'!$C$3:$L$670,6,0)</f>
        <v>12</v>
      </c>
      <c r="G141" s="22">
        <f>VLOOKUP($A141,'Master File June-26'!$C$3:$L$670,7,0)</f>
        <v>288</v>
      </c>
      <c r="H141" s="5">
        <f>VLOOKUP($A141,'Master File June-26'!$C$3:$L$670,8,0)</f>
        <v>14</v>
      </c>
      <c r="I141" s="5">
        <f>VLOOKUP($A141,'Master File June-26'!$C$3:$L$670,9,0)</f>
        <v>144</v>
      </c>
      <c r="J141" s="5">
        <f>VLOOKUP($A141,'Master File June-26'!$C$3:$L$670,10,0)</f>
        <v>0</v>
      </c>
      <c r="K141" s="24">
        <f t="shared" si="6"/>
        <v>0</v>
      </c>
      <c r="L141" s="25" t="str">
        <f t="shared" si="7"/>
        <v>ORDER NOW</v>
      </c>
      <c r="M141" s="25" t="str">
        <f t="shared" si="8"/>
        <v>CRITICAL</v>
      </c>
      <c r="N141" s="79">
        <v>0</v>
      </c>
    </row>
    <row r="142" spans="1:14" ht="18.75" x14ac:dyDescent="0.25">
      <c r="A142" s="41" t="s">
        <v>978</v>
      </c>
      <c r="B142" s="28" t="s">
        <v>979</v>
      </c>
      <c r="C142" s="27" t="s">
        <v>980</v>
      </c>
      <c r="D142" s="5" t="s">
        <v>22</v>
      </c>
      <c r="E142" s="21">
        <v>0.53333333333333333</v>
      </c>
      <c r="F142" s="22">
        <f>VLOOKUP($A142,'Master File June-26'!$C$3:$L$670,6,0)</f>
        <v>300</v>
      </c>
      <c r="G142" s="22">
        <f>VLOOKUP($A142,'Master File June-26'!$C$3:$L$670,7,0)</f>
        <v>562.5</v>
      </c>
      <c r="H142" s="5">
        <f>VLOOKUP($A142,'Master File June-26'!$C$3:$L$670,8,0)</f>
        <v>14</v>
      </c>
      <c r="I142" s="5">
        <f>VLOOKUP($A142,'Master File June-26'!$C$3:$L$670,9,0)</f>
        <v>281.25</v>
      </c>
      <c r="J142" s="5">
        <f>VLOOKUP($A142,'Master File June-26'!$C$3:$L$670,10,0)</f>
        <v>0</v>
      </c>
      <c r="K142" s="24">
        <f t="shared" si="6"/>
        <v>0</v>
      </c>
      <c r="L142" s="25" t="str">
        <f t="shared" si="7"/>
        <v>ORDER NOW</v>
      </c>
      <c r="M142" s="25" t="str">
        <f t="shared" si="8"/>
        <v>CRITICAL</v>
      </c>
      <c r="N142" s="79">
        <v>0</v>
      </c>
    </row>
    <row r="143" spans="1:14" ht="18.75" x14ac:dyDescent="0.25">
      <c r="A143" s="41" t="s">
        <v>983</v>
      </c>
      <c r="B143" s="28" t="s">
        <v>984</v>
      </c>
      <c r="C143" s="27" t="s">
        <v>440</v>
      </c>
      <c r="D143" s="5" t="s">
        <v>22</v>
      </c>
      <c r="E143" s="21">
        <v>0.1</v>
      </c>
      <c r="F143" s="22">
        <f>VLOOKUP($A143,'Master File June-26'!$C$3:$L$670,6,0)</f>
        <v>60</v>
      </c>
      <c r="G143" s="22">
        <f>VLOOKUP($A143,'Master File June-26'!$C$3:$L$670,7,0)</f>
        <v>600</v>
      </c>
      <c r="H143" s="5">
        <f>VLOOKUP($A143,'Master File June-26'!$C$3:$L$670,8,0)</f>
        <v>14</v>
      </c>
      <c r="I143" s="5">
        <f>VLOOKUP($A143,'Master File June-26'!$C$3:$L$670,9,0)</f>
        <v>300</v>
      </c>
      <c r="J143" s="5">
        <f>VLOOKUP($A143,'Master File June-26'!$C$3:$L$670,10,0)</f>
        <v>0</v>
      </c>
      <c r="K143" s="24">
        <f t="shared" si="6"/>
        <v>0</v>
      </c>
      <c r="L143" s="25" t="str">
        <f t="shared" si="7"/>
        <v>ORDER NOW</v>
      </c>
      <c r="M143" s="25" t="str">
        <f t="shared" si="8"/>
        <v>CRITICAL</v>
      </c>
      <c r="N143" s="79">
        <v>1</v>
      </c>
    </row>
    <row r="144" spans="1:14" ht="18.75" x14ac:dyDescent="0.25">
      <c r="A144" s="41" t="s">
        <v>985</v>
      </c>
      <c r="B144" s="40" t="s">
        <v>986</v>
      </c>
      <c r="C144" s="31" t="s">
        <v>64</v>
      </c>
      <c r="D144" s="5" t="s">
        <v>49</v>
      </c>
      <c r="E144" s="21">
        <v>1</v>
      </c>
      <c r="F144" s="22">
        <f>VLOOKUP($A144,'Master File June-26'!$C$3:$L$670,6,0)</f>
        <v>10</v>
      </c>
      <c r="G144" s="22">
        <f>VLOOKUP($A144,'Master File June-26'!$C$3:$L$670,7,0)</f>
        <v>10</v>
      </c>
      <c r="H144" s="5">
        <f>VLOOKUP($A144,'Master File June-26'!$C$3:$L$670,8,0)</f>
        <v>14</v>
      </c>
      <c r="I144" s="5">
        <f>VLOOKUP($A144,'Master File June-26'!$C$3:$L$670,9,0)</f>
        <v>5</v>
      </c>
      <c r="J144" s="5">
        <f>VLOOKUP($A144,'Master File June-26'!$C$3:$L$670,10,0)</f>
        <v>0</v>
      </c>
      <c r="K144" s="24">
        <f t="shared" si="6"/>
        <v>0</v>
      </c>
      <c r="L144" s="25" t="str">
        <f t="shared" si="7"/>
        <v>ORDER NOW</v>
      </c>
      <c r="M144" s="25" t="str">
        <f t="shared" si="8"/>
        <v>CRITICAL</v>
      </c>
      <c r="N144" s="79">
        <v>0</v>
      </c>
    </row>
    <row r="145" spans="1:14" ht="18.75" x14ac:dyDescent="0.25">
      <c r="A145" s="41" t="s">
        <v>987</v>
      </c>
      <c r="B145" s="28" t="s">
        <v>988</v>
      </c>
      <c r="C145" s="27" t="s">
        <v>989</v>
      </c>
      <c r="D145" s="5" t="s">
        <v>22</v>
      </c>
      <c r="E145" s="21">
        <v>0.125</v>
      </c>
      <c r="F145" s="22">
        <f>VLOOKUP($A145,'Master File June-26'!$C$3:$L$670,6,0)</f>
        <v>70.5</v>
      </c>
      <c r="G145" s="22">
        <f>VLOOKUP($A145,'Master File June-26'!$C$3:$L$670,7,0)</f>
        <v>564</v>
      </c>
      <c r="H145" s="5">
        <f>VLOOKUP($A145,'Master File June-26'!$C$3:$L$670,8,0)</f>
        <v>14</v>
      </c>
      <c r="I145" s="5">
        <f>VLOOKUP($A145,'Master File June-26'!$C$3:$L$670,9,0)</f>
        <v>282</v>
      </c>
      <c r="J145" s="5">
        <f>VLOOKUP($A145,'Master File June-26'!$C$3:$L$670,10,0)</f>
        <v>120</v>
      </c>
      <c r="K145" s="24">
        <f t="shared" si="6"/>
        <v>6.3829787234042552</v>
      </c>
      <c r="L145" s="25" t="str">
        <f t="shared" si="7"/>
        <v>ORDER NOW</v>
      </c>
      <c r="M145" s="25" t="str">
        <f t="shared" si="8"/>
        <v>CRITICAL</v>
      </c>
      <c r="N145" s="79">
        <v>1</v>
      </c>
    </row>
    <row r="146" spans="1:14" ht="18.75" x14ac:dyDescent="0.25">
      <c r="A146" s="41" t="s">
        <v>992</v>
      </c>
      <c r="B146" s="28" t="s">
        <v>993</v>
      </c>
      <c r="C146" s="27" t="s">
        <v>994</v>
      </c>
      <c r="D146" s="5" t="s">
        <v>22</v>
      </c>
      <c r="E146" s="21">
        <v>5.9523809523809534E-2</v>
      </c>
      <c r="F146" s="22">
        <f>VLOOKUP($A146,'Master File June-26'!$C$3:$L$670,6,0)</f>
        <v>16</v>
      </c>
      <c r="G146" s="22">
        <f>VLOOKUP($A146,'Master File June-26'!$C$3:$L$670,7,0)</f>
        <v>268.79999999999995</v>
      </c>
      <c r="H146" s="5">
        <f>VLOOKUP($A146,'Master File June-26'!$C$3:$L$670,8,0)</f>
        <v>14</v>
      </c>
      <c r="I146" s="5">
        <f>VLOOKUP($A146,'Master File June-26'!$C$3:$L$670,9,0)</f>
        <v>134.39999999999998</v>
      </c>
      <c r="J146" s="5">
        <f>VLOOKUP($A146,'Master File June-26'!$C$3:$L$670,10,0)</f>
        <v>0</v>
      </c>
      <c r="K146" s="24">
        <f t="shared" si="6"/>
        <v>0</v>
      </c>
      <c r="L146" s="25" t="str">
        <f t="shared" si="7"/>
        <v>ORDER NOW</v>
      </c>
      <c r="M146" s="25" t="str">
        <f t="shared" si="8"/>
        <v>CRITICAL</v>
      </c>
      <c r="N146" s="79">
        <v>1</v>
      </c>
    </row>
    <row r="147" spans="1:14" ht="18.75" x14ac:dyDescent="0.25">
      <c r="A147" s="41" t="s">
        <v>1004</v>
      </c>
      <c r="B147" s="30" t="s">
        <v>1005</v>
      </c>
      <c r="C147" s="27" t="s">
        <v>1006</v>
      </c>
      <c r="D147" s="5" t="s">
        <v>49</v>
      </c>
      <c r="E147" s="21">
        <v>1.25</v>
      </c>
      <c r="F147" s="22">
        <f>VLOOKUP($A147,'Master File June-26'!$C$3:$L$670,6,0)</f>
        <v>40</v>
      </c>
      <c r="G147" s="22">
        <f>VLOOKUP($A147,'Master File June-26'!$C$3:$L$670,7,0)</f>
        <v>32</v>
      </c>
      <c r="H147" s="5">
        <f>VLOOKUP($A147,'Master File June-26'!$C$3:$L$670,8,0)</f>
        <v>14</v>
      </c>
      <c r="I147" s="5">
        <f>VLOOKUP($A147,'Master File June-26'!$C$3:$L$670,9,0)</f>
        <v>16</v>
      </c>
      <c r="J147" s="5">
        <f>VLOOKUP($A147,'Master File June-26'!$C$3:$L$670,10,0)</f>
        <v>17</v>
      </c>
      <c r="K147" s="24">
        <f t="shared" si="6"/>
        <v>15.9375</v>
      </c>
      <c r="L147" s="25" t="str">
        <f t="shared" si="7"/>
        <v>IN STOCK</v>
      </c>
      <c r="M147" s="25" t="str">
        <f t="shared" si="8"/>
        <v>FOLLOW UP DELIVERY</v>
      </c>
      <c r="N147" s="79">
        <v>1</v>
      </c>
    </row>
    <row r="148" spans="1:14" ht="18.75" x14ac:dyDescent="0.25">
      <c r="A148" s="41" t="s">
        <v>1015</v>
      </c>
      <c r="B148" s="28" t="s">
        <v>1016</v>
      </c>
      <c r="C148" s="27" t="s">
        <v>1017</v>
      </c>
      <c r="D148" s="5" t="s">
        <v>22</v>
      </c>
      <c r="E148" s="21">
        <v>0.1</v>
      </c>
      <c r="F148" s="22">
        <f>VLOOKUP($A148,'Master File June-26'!$C$3:$L$670,6,0)</f>
        <v>80</v>
      </c>
      <c r="G148" s="22">
        <f>VLOOKUP($A148,'Master File June-26'!$C$3:$L$670,7,0)</f>
        <v>800</v>
      </c>
      <c r="H148" s="5">
        <f>VLOOKUP($A148,'Master File June-26'!$C$3:$L$670,8,0)</f>
        <v>14</v>
      </c>
      <c r="I148" s="5">
        <f>VLOOKUP($A148,'Master File June-26'!$C$3:$L$670,9,0)</f>
        <v>400</v>
      </c>
      <c r="J148" s="5">
        <f>VLOOKUP($A148,'Master File June-26'!$C$3:$L$670,10,0)</f>
        <v>0</v>
      </c>
      <c r="K148" s="24">
        <f t="shared" si="6"/>
        <v>0</v>
      </c>
      <c r="L148" s="25" t="str">
        <f t="shared" si="7"/>
        <v>ORDER NOW</v>
      </c>
      <c r="M148" s="25" t="str">
        <f t="shared" si="8"/>
        <v>CRITICAL</v>
      </c>
      <c r="N148" s="79">
        <v>0</v>
      </c>
    </row>
    <row r="149" spans="1:14" ht="18.75" x14ac:dyDescent="0.25">
      <c r="A149" s="41" t="s">
        <v>1021</v>
      </c>
      <c r="B149" s="28" t="s">
        <v>1022</v>
      </c>
      <c r="C149" s="27" t="s">
        <v>1023</v>
      </c>
      <c r="D149" s="5" t="s">
        <v>22</v>
      </c>
      <c r="E149" s="21">
        <v>8.3333333333333339E-4</v>
      </c>
      <c r="F149" s="22">
        <f>VLOOKUP($A149,'Master File June-26'!$C$3:$L$670,6,0)</f>
        <v>22</v>
      </c>
      <c r="G149" s="22">
        <f>VLOOKUP($A149,'Master File June-26'!$C$3:$L$670,7,0)</f>
        <v>528</v>
      </c>
      <c r="H149" s="5">
        <f>VLOOKUP($A149,'Master File June-26'!$C$3:$L$670,8,0)</f>
        <v>14</v>
      </c>
      <c r="I149" s="5">
        <f>VLOOKUP($A149,'Master File June-26'!$C$3:$L$670,9,0)</f>
        <v>264</v>
      </c>
      <c r="J149" s="5">
        <f>VLOOKUP($A149,'Master File June-26'!$C$3:$L$670,10,0)</f>
        <v>0</v>
      </c>
      <c r="K149" s="24">
        <f t="shared" si="6"/>
        <v>0</v>
      </c>
      <c r="L149" s="25" t="str">
        <f t="shared" si="7"/>
        <v>ORDER NOW</v>
      </c>
      <c r="M149" s="25" t="str">
        <f t="shared" si="8"/>
        <v>CRITICAL</v>
      </c>
      <c r="N149" s="79">
        <v>0</v>
      </c>
    </row>
    <row r="150" spans="1:14" ht="18.75" x14ac:dyDescent="0.25">
      <c r="A150" s="41" t="s">
        <v>1027</v>
      </c>
      <c r="B150" s="28" t="s">
        <v>1028</v>
      </c>
      <c r="C150" s="27" t="s">
        <v>1029</v>
      </c>
      <c r="D150" s="5" t="s">
        <v>22</v>
      </c>
      <c r="E150" s="21">
        <v>1E-3</v>
      </c>
      <c r="F150" s="22">
        <f>VLOOKUP($A150,'Master File June-26'!$C$3:$L$670,6,0)</f>
        <v>24</v>
      </c>
      <c r="G150" s="22">
        <f>VLOOKUP($A150,'Master File June-26'!$C$3:$L$670,7,0)</f>
        <v>24000</v>
      </c>
      <c r="H150" s="5">
        <f>VLOOKUP($A150,'Master File June-26'!$C$3:$L$670,8,0)</f>
        <v>14</v>
      </c>
      <c r="I150" s="5">
        <f>VLOOKUP($A150,'Master File June-26'!$C$3:$L$670,9,0)</f>
        <v>12000</v>
      </c>
      <c r="J150" s="5">
        <f>VLOOKUP($A150,'Master File June-26'!$C$3:$L$670,10,0)</f>
        <v>0</v>
      </c>
      <c r="K150" s="24">
        <f t="shared" si="6"/>
        <v>0</v>
      </c>
      <c r="L150" s="25" t="str">
        <f t="shared" si="7"/>
        <v>ORDER NOW</v>
      </c>
      <c r="M150" s="25" t="str">
        <f t="shared" si="8"/>
        <v>CRITICAL</v>
      </c>
      <c r="N150" s="79">
        <v>1</v>
      </c>
    </row>
    <row r="151" spans="1:14" ht="18.75" x14ac:dyDescent="0.25">
      <c r="A151" s="41" t="s">
        <v>1042</v>
      </c>
      <c r="B151" s="33" t="s">
        <v>1043</v>
      </c>
      <c r="C151" s="27" t="s">
        <v>101</v>
      </c>
      <c r="D151" s="5" t="s">
        <v>22</v>
      </c>
      <c r="E151" s="21">
        <v>0.16666666666666666</v>
      </c>
      <c r="F151" s="22">
        <f>VLOOKUP($A151,'Master File June-26'!$C$3:$L$670,6,0)</f>
        <v>17</v>
      </c>
      <c r="G151" s="22">
        <f>VLOOKUP($A151,'Master File June-26'!$C$3:$L$670,7,0)</f>
        <v>102</v>
      </c>
      <c r="H151" s="5">
        <f>VLOOKUP($A151,'Master File June-26'!$C$3:$L$670,8,0)</f>
        <v>14</v>
      </c>
      <c r="I151" s="5">
        <f>VLOOKUP($A151,'Master File June-26'!$C$3:$L$670,9,0)</f>
        <v>51</v>
      </c>
      <c r="J151" s="5">
        <f>VLOOKUP($A151,'Master File June-26'!$C$3:$L$670,10,0)</f>
        <v>0</v>
      </c>
      <c r="K151" s="24">
        <f t="shared" si="6"/>
        <v>0</v>
      </c>
      <c r="L151" s="25" t="str">
        <f t="shared" si="7"/>
        <v>ORDER NOW</v>
      </c>
      <c r="M151" s="25" t="str">
        <f t="shared" si="8"/>
        <v>CRITICAL</v>
      </c>
      <c r="N151" s="79">
        <v>1</v>
      </c>
    </row>
    <row r="152" spans="1:14" ht="18.75" x14ac:dyDescent="0.25">
      <c r="A152" s="41" t="s">
        <v>1047</v>
      </c>
      <c r="B152" s="28" t="s">
        <v>1048</v>
      </c>
      <c r="C152" s="27" t="s">
        <v>1049</v>
      </c>
      <c r="D152" s="5" t="s">
        <v>22</v>
      </c>
      <c r="E152" s="21">
        <v>0.14172335600907029</v>
      </c>
      <c r="F152" s="22">
        <f>VLOOKUP($A152,'Master File June-26'!$C$3:$L$670,6,0)</f>
        <v>15</v>
      </c>
      <c r="G152" s="22">
        <f>VLOOKUP($A152,'Master File June-26'!$C$3:$L$670,7,0)</f>
        <v>105.84</v>
      </c>
      <c r="H152" s="5">
        <f>VLOOKUP($A152,'Master File June-26'!$C$3:$L$670,8,0)</f>
        <v>14</v>
      </c>
      <c r="I152" s="5">
        <f>VLOOKUP($A152,'Master File June-26'!$C$3:$L$670,9,0)</f>
        <v>52.92</v>
      </c>
      <c r="J152" s="5">
        <f>VLOOKUP($A152,'Master File June-26'!$C$3:$L$670,10,0)</f>
        <v>306.04599999999999</v>
      </c>
      <c r="K152" s="24">
        <f t="shared" si="6"/>
        <v>86.747732426303855</v>
      </c>
      <c r="L152" s="25" t="str">
        <f t="shared" si="7"/>
        <v>IN STOCK</v>
      </c>
      <c r="M152" s="25" t="str">
        <f t="shared" si="8"/>
        <v>FOLLOW UP DELIVERY</v>
      </c>
      <c r="N152" s="79">
        <v>1</v>
      </c>
    </row>
    <row r="153" spans="1:14" ht="18.75" x14ac:dyDescent="0.25">
      <c r="A153" s="41" t="s">
        <v>1052</v>
      </c>
      <c r="B153" s="28" t="s">
        <v>1053</v>
      </c>
      <c r="C153" s="27" t="s">
        <v>1054</v>
      </c>
      <c r="D153" s="5" t="s">
        <v>22</v>
      </c>
      <c r="E153" s="21">
        <v>0.19379844961240308</v>
      </c>
      <c r="F153" s="22">
        <f>VLOOKUP($A153,'Master File June-26'!$C$3:$L$670,6,0)</f>
        <v>550</v>
      </c>
      <c r="G153" s="22">
        <f>VLOOKUP($A153,'Master File June-26'!$C$3:$L$670,7,0)</f>
        <v>2838.0000000000005</v>
      </c>
      <c r="H153" s="5">
        <f>VLOOKUP($A153,'Master File June-26'!$C$3:$L$670,8,0)</f>
        <v>14</v>
      </c>
      <c r="I153" s="5">
        <f>VLOOKUP($A153,'Master File June-26'!$C$3:$L$670,9,0)</f>
        <v>1419.0000000000002</v>
      </c>
      <c r="J153" s="5">
        <f>VLOOKUP($A153,'Master File June-26'!$C$3:$L$670,10,0)</f>
        <v>913</v>
      </c>
      <c r="K153" s="24">
        <f t="shared" si="6"/>
        <v>9.6511627906976738</v>
      </c>
      <c r="L153" s="25" t="str">
        <f t="shared" si="7"/>
        <v>ORDER NOW</v>
      </c>
      <c r="M153" s="25" t="str">
        <f t="shared" si="8"/>
        <v>CRITICAL</v>
      </c>
      <c r="N153" s="79">
        <v>1</v>
      </c>
    </row>
    <row r="154" spans="1:14" ht="18.75" x14ac:dyDescent="0.25">
      <c r="A154" s="41" t="s">
        <v>1057</v>
      </c>
      <c r="B154" s="28" t="s">
        <v>1058</v>
      </c>
      <c r="C154" s="27" t="s">
        <v>1059</v>
      </c>
      <c r="D154" s="5" t="s">
        <v>54</v>
      </c>
      <c r="E154" s="21">
        <v>0.04</v>
      </c>
      <c r="F154" s="22">
        <f>VLOOKUP($A154,'Master File June-26'!$C$3:$L$670,6,0)</f>
        <v>40</v>
      </c>
      <c r="G154" s="22">
        <f>VLOOKUP($A154,'Master File June-26'!$C$3:$L$670,7,0)</f>
        <v>1000</v>
      </c>
      <c r="H154" s="5">
        <f>VLOOKUP($A154,'Master File June-26'!$C$3:$L$670,8,0)</f>
        <v>14</v>
      </c>
      <c r="I154" s="5">
        <f>VLOOKUP($A154,'Master File June-26'!$C$3:$L$670,9,0)</f>
        <v>500</v>
      </c>
      <c r="J154" s="5">
        <f>VLOOKUP($A154,'Master File June-26'!$C$3:$L$670,10,0)</f>
        <v>0</v>
      </c>
      <c r="K154" s="24">
        <f t="shared" si="6"/>
        <v>0</v>
      </c>
      <c r="L154" s="25" t="str">
        <f t="shared" si="7"/>
        <v>ORDER NOW</v>
      </c>
      <c r="M154" s="25" t="str">
        <f t="shared" si="8"/>
        <v>CRITICAL</v>
      </c>
      <c r="N154" s="79">
        <v>0</v>
      </c>
    </row>
    <row r="155" spans="1:14" ht="18.75" x14ac:dyDescent="0.25">
      <c r="A155" s="41" t="s">
        <v>1078</v>
      </c>
      <c r="B155" s="28" t="s">
        <v>1079</v>
      </c>
      <c r="C155" s="27" t="s">
        <v>1080</v>
      </c>
      <c r="D155" s="5" t="s">
        <v>22</v>
      </c>
      <c r="E155" s="21">
        <v>0.1</v>
      </c>
      <c r="F155" s="22">
        <f>VLOOKUP($A155,'Master File June-26'!$C$3:$L$670,6,0)</f>
        <v>5</v>
      </c>
      <c r="G155" s="22">
        <f>VLOOKUP($A155,'Master File June-26'!$C$3:$L$670,7,0)</f>
        <v>50</v>
      </c>
      <c r="H155" s="5">
        <f>VLOOKUP($A155,'Master File June-26'!$C$3:$L$670,8,0)</f>
        <v>14</v>
      </c>
      <c r="I155" s="5">
        <f>VLOOKUP($A155,'Master File June-26'!$C$3:$L$670,9,0)</f>
        <v>25</v>
      </c>
      <c r="J155" s="5">
        <f>VLOOKUP($A155,'Master File June-26'!$C$3:$L$670,10,0)</f>
        <v>0</v>
      </c>
      <c r="K155" s="24">
        <f t="shared" si="6"/>
        <v>0</v>
      </c>
      <c r="L155" s="25" t="str">
        <f t="shared" si="7"/>
        <v>ORDER NOW</v>
      </c>
      <c r="M155" s="25" t="str">
        <f t="shared" si="8"/>
        <v>CRITICAL</v>
      </c>
      <c r="N155" s="79">
        <v>0</v>
      </c>
    </row>
    <row r="156" spans="1:14" ht="18.75" x14ac:dyDescent="0.25">
      <c r="A156" s="41" t="s">
        <v>1086</v>
      </c>
      <c r="B156" s="28" t="s">
        <v>1087</v>
      </c>
      <c r="C156" s="27" t="s">
        <v>1088</v>
      </c>
      <c r="D156" s="5" t="s">
        <v>22</v>
      </c>
      <c r="E156" s="21">
        <v>0.16666666666666666</v>
      </c>
      <c r="F156" s="22">
        <f>VLOOKUP($A156,'Master File June-26'!$C$3:$L$670,6,0)</f>
        <v>16.5</v>
      </c>
      <c r="G156" s="22">
        <f>VLOOKUP($A156,'Master File June-26'!$C$3:$L$670,7,0)</f>
        <v>99</v>
      </c>
      <c r="H156" s="5">
        <f>VLOOKUP($A156,'Master File June-26'!$C$3:$L$670,8,0)</f>
        <v>14</v>
      </c>
      <c r="I156" s="5">
        <f>VLOOKUP($A156,'Master File June-26'!$C$3:$L$670,9,0)</f>
        <v>49.5</v>
      </c>
      <c r="J156" s="5">
        <f>VLOOKUP($A156,'Master File June-26'!$C$3:$L$670,10,0)</f>
        <v>109</v>
      </c>
      <c r="K156" s="24">
        <f t="shared" si="6"/>
        <v>33.030303030303031</v>
      </c>
      <c r="L156" s="25" t="str">
        <f t="shared" si="7"/>
        <v>IN STOCK</v>
      </c>
      <c r="M156" s="25" t="str">
        <f t="shared" si="8"/>
        <v>FOLLOW UP DELIVERY</v>
      </c>
      <c r="N156" s="79">
        <v>1</v>
      </c>
    </row>
    <row r="157" spans="1:14" ht="18.75" x14ac:dyDescent="0.25">
      <c r="A157" s="41" t="s">
        <v>1091</v>
      </c>
      <c r="B157" s="28" t="s">
        <v>1092</v>
      </c>
      <c r="C157" s="27" t="s">
        <v>1093</v>
      </c>
      <c r="D157" s="5" t="s">
        <v>89</v>
      </c>
      <c r="E157" s="21">
        <v>0.1111111111111111</v>
      </c>
      <c r="F157" s="22">
        <f>VLOOKUP($A157,'Master File June-26'!$C$3:$L$670,6,0)</f>
        <v>5.5</v>
      </c>
      <c r="G157" s="22">
        <f>VLOOKUP($A157,'Master File June-26'!$C$3:$L$670,7,0)</f>
        <v>49.5</v>
      </c>
      <c r="H157" s="5">
        <f>VLOOKUP($A157,'Master File June-26'!$C$3:$L$670,8,0)</f>
        <v>14</v>
      </c>
      <c r="I157" s="5">
        <f>VLOOKUP($A157,'Master File June-26'!$C$3:$L$670,9,0)</f>
        <v>24.75</v>
      </c>
      <c r="J157" s="5">
        <f>VLOOKUP($A157,'Master File June-26'!$C$3:$L$670,10,0)</f>
        <v>0</v>
      </c>
      <c r="K157" s="24">
        <f t="shared" si="6"/>
        <v>0</v>
      </c>
      <c r="L157" s="25" t="str">
        <f t="shared" si="7"/>
        <v>ORDER NOW</v>
      </c>
      <c r="M157" s="25" t="str">
        <f t="shared" si="8"/>
        <v>CRITICAL</v>
      </c>
      <c r="N157" s="79">
        <v>1</v>
      </c>
    </row>
    <row r="158" spans="1:14" ht="18.75" x14ac:dyDescent="0.25">
      <c r="A158" s="41" t="s">
        <v>1094</v>
      </c>
      <c r="B158" s="35" t="s">
        <v>1095</v>
      </c>
      <c r="C158" s="27" t="s">
        <v>64</v>
      </c>
      <c r="D158" s="5" t="s">
        <v>49</v>
      </c>
      <c r="E158" s="21">
        <v>1</v>
      </c>
      <c r="F158" s="22">
        <f>VLOOKUP($A158,'Master File June-26'!$C$3:$L$670,6,0)</f>
        <v>10</v>
      </c>
      <c r="G158" s="22">
        <f>VLOOKUP($A158,'Master File June-26'!$C$3:$L$670,7,0)</f>
        <v>10</v>
      </c>
      <c r="H158" s="5">
        <f>VLOOKUP($A158,'Master File June-26'!$C$3:$L$670,8,0)</f>
        <v>14</v>
      </c>
      <c r="I158" s="5">
        <f>VLOOKUP($A158,'Master File June-26'!$C$3:$L$670,9,0)</f>
        <v>5</v>
      </c>
      <c r="J158" s="5">
        <f>VLOOKUP($A158,'Master File June-26'!$C$3:$L$670,10,0)</f>
        <v>0</v>
      </c>
      <c r="K158" s="24">
        <f t="shared" si="6"/>
        <v>0</v>
      </c>
      <c r="L158" s="25" t="str">
        <f t="shared" si="7"/>
        <v>ORDER NOW</v>
      </c>
      <c r="M158" s="25" t="str">
        <f t="shared" si="8"/>
        <v>CRITICAL</v>
      </c>
      <c r="N158" s="79">
        <v>1</v>
      </c>
    </row>
    <row r="159" spans="1:14" ht="18.75" x14ac:dyDescent="0.25">
      <c r="A159" s="41" t="s">
        <v>1096</v>
      </c>
      <c r="B159" s="28" t="s">
        <v>1097</v>
      </c>
      <c r="C159" s="27" t="s">
        <v>1098</v>
      </c>
      <c r="D159" s="5" t="s">
        <v>22</v>
      </c>
      <c r="E159" s="21">
        <v>0.1</v>
      </c>
      <c r="F159" s="22">
        <f>VLOOKUP($A159,'Master File June-26'!$C$3:$L$670,6,0)</f>
        <v>210</v>
      </c>
      <c r="G159" s="22">
        <f>VLOOKUP($A159,'Master File June-26'!$C$3:$L$670,7,0)</f>
        <v>2100</v>
      </c>
      <c r="H159" s="5">
        <f>VLOOKUP($A159,'Master File June-26'!$C$3:$L$670,8,0)</f>
        <v>14</v>
      </c>
      <c r="I159" s="5">
        <f>VLOOKUP($A159,'Master File June-26'!$C$3:$L$670,9,0)</f>
        <v>1050</v>
      </c>
      <c r="J159" s="5">
        <f>VLOOKUP($A159,'Master File June-26'!$C$3:$L$670,10,0)</f>
        <v>0</v>
      </c>
      <c r="K159" s="24">
        <f t="shared" si="6"/>
        <v>0</v>
      </c>
      <c r="L159" s="25" t="str">
        <f t="shared" si="7"/>
        <v>ORDER NOW</v>
      </c>
      <c r="M159" s="25" t="str">
        <f t="shared" si="8"/>
        <v>CRITICAL</v>
      </c>
      <c r="N159" s="79">
        <v>0</v>
      </c>
    </row>
    <row r="160" spans="1:14" ht="18.75" x14ac:dyDescent="0.25">
      <c r="A160" s="41" t="s">
        <v>1103</v>
      </c>
      <c r="B160" s="57" t="s">
        <v>1104</v>
      </c>
      <c r="C160" s="27" t="s">
        <v>907</v>
      </c>
      <c r="D160" s="5" t="s">
        <v>22</v>
      </c>
      <c r="E160" s="21">
        <v>8.3333333333333329E-2</v>
      </c>
      <c r="F160" s="22">
        <f>VLOOKUP($A160,'Master File June-26'!$C$3:$L$670,6,0)</f>
        <v>1200</v>
      </c>
      <c r="G160" s="22">
        <f>VLOOKUP($A160,'Master File June-26'!$C$3:$L$670,7,0)</f>
        <v>14400</v>
      </c>
      <c r="H160" s="5">
        <f>VLOOKUP($A160,'Master File June-26'!$C$3:$L$670,8,0)</f>
        <v>14</v>
      </c>
      <c r="I160" s="5">
        <f>VLOOKUP($A160,'Master File June-26'!$C$3:$L$670,9,0)</f>
        <v>7200</v>
      </c>
      <c r="J160" s="5">
        <f>VLOOKUP($A160,'Master File June-26'!$C$3:$L$670,10,0)</f>
        <v>4088</v>
      </c>
      <c r="K160" s="24">
        <f t="shared" si="6"/>
        <v>8.5166666666666675</v>
      </c>
      <c r="L160" s="25" t="str">
        <f t="shared" si="7"/>
        <v>ORDER NOW</v>
      </c>
      <c r="M160" s="25" t="str">
        <f t="shared" si="8"/>
        <v>CRITICAL</v>
      </c>
      <c r="N160" s="79">
        <v>1</v>
      </c>
    </row>
    <row r="161" spans="1:14" ht="18.75" x14ac:dyDescent="0.25">
      <c r="A161" s="41" t="s">
        <v>1110</v>
      </c>
      <c r="B161" s="28" t="s">
        <v>1111</v>
      </c>
      <c r="C161" s="27" t="s">
        <v>1112</v>
      </c>
      <c r="D161" s="5" t="s">
        <v>49</v>
      </c>
      <c r="E161" s="21">
        <v>0.1</v>
      </c>
      <c r="F161" s="22">
        <f>VLOOKUP($A161,'Master File June-26'!$C$3:$L$670,6,0)</f>
        <v>13.5</v>
      </c>
      <c r="G161" s="22">
        <f>VLOOKUP($A161,'Master File June-26'!$C$3:$L$670,7,0)</f>
        <v>135</v>
      </c>
      <c r="H161" s="5">
        <f>VLOOKUP($A161,'Master File June-26'!$C$3:$L$670,8,0)</f>
        <v>14</v>
      </c>
      <c r="I161" s="5">
        <f>VLOOKUP($A161,'Master File June-26'!$C$3:$L$670,9,0)</f>
        <v>67.5</v>
      </c>
      <c r="J161" s="5">
        <f>VLOOKUP($A161,'Master File June-26'!$C$3:$L$670,10,0)</f>
        <v>0</v>
      </c>
      <c r="K161" s="24">
        <f t="shared" si="6"/>
        <v>0</v>
      </c>
      <c r="L161" s="25" t="str">
        <f t="shared" si="7"/>
        <v>ORDER NOW</v>
      </c>
      <c r="M161" s="25" t="str">
        <f t="shared" si="8"/>
        <v>CRITICAL</v>
      </c>
      <c r="N161" s="79">
        <v>1</v>
      </c>
    </row>
    <row r="162" spans="1:14" ht="18.75" x14ac:dyDescent="0.25">
      <c r="A162" s="41" t="s">
        <v>1122</v>
      </c>
      <c r="B162" s="28" t="s">
        <v>1123</v>
      </c>
      <c r="C162" s="27" t="s">
        <v>64</v>
      </c>
      <c r="D162" s="5" t="s">
        <v>49</v>
      </c>
      <c r="E162" s="21">
        <v>1</v>
      </c>
      <c r="F162" s="22">
        <f>VLOOKUP($A162,'Master File June-26'!$C$3:$L$670,6,0)</f>
        <v>10</v>
      </c>
      <c r="G162" s="22">
        <f>VLOOKUP($A162,'Master File June-26'!$C$3:$L$670,7,0)</f>
        <v>10</v>
      </c>
      <c r="H162" s="5">
        <f>VLOOKUP($A162,'Master File June-26'!$C$3:$L$670,8,0)</f>
        <v>14</v>
      </c>
      <c r="I162" s="5">
        <f>VLOOKUP($A162,'Master File June-26'!$C$3:$L$670,9,0)</f>
        <v>5</v>
      </c>
      <c r="J162" s="5">
        <f>VLOOKUP($A162,'Master File June-26'!$C$3:$L$670,10,0)</f>
        <v>0</v>
      </c>
      <c r="K162" s="24">
        <f t="shared" si="6"/>
        <v>0</v>
      </c>
      <c r="L162" s="25" t="str">
        <f t="shared" si="7"/>
        <v>ORDER NOW</v>
      </c>
      <c r="M162" s="25" t="str">
        <f t="shared" si="8"/>
        <v>CRITICAL</v>
      </c>
      <c r="N162" s="79">
        <v>1</v>
      </c>
    </row>
    <row r="163" spans="1:14" ht="18.75" x14ac:dyDescent="0.25">
      <c r="A163" s="41" t="s">
        <v>1120</v>
      </c>
      <c r="B163" s="28" t="s">
        <v>1121</v>
      </c>
      <c r="C163" s="27" t="s">
        <v>826</v>
      </c>
      <c r="D163" s="5" t="s">
        <v>49</v>
      </c>
      <c r="E163" s="21">
        <v>1</v>
      </c>
      <c r="F163" s="22">
        <f>VLOOKUP($A163,'Master File June-26'!$C$3:$L$670,6,0)</f>
        <v>4</v>
      </c>
      <c r="G163" s="22">
        <f>VLOOKUP($A163,'Master File June-26'!$C$3:$L$670,7,0)</f>
        <v>4</v>
      </c>
      <c r="H163" s="5">
        <f>VLOOKUP($A163,'Master File June-26'!$C$3:$L$670,8,0)</f>
        <v>14</v>
      </c>
      <c r="I163" s="5">
        <f>VLOOKUP($A163,'Master File June-26'!$C$3:$L$670,9,0)</f>
        <v>2</v>
      </c>
      <c r="J163" s="5">
        <f>VLOOKUP($A163,'Master File June-26'!$C$3:$L$670,10,0)</f>
        <v>0</v>
      </c>
      <c r="K163" s="24">
        <f t="shared" si="6"/>
        <v>0</v>
      </c>
      <c r="L163" s="25" t="str">
        <f t="shared" si="7"/>
        <v>ORDER NOW</v>
      </c>
      <c r="M163" s="25" t="str">
        <f t="shared" si="8"/>
        <v>CRITICAL</v>
      </c>
      <c r="N163" s="79">
        <v>1</v>
      </c>
    </row>
    <row r="164" spans="1:14" ht="18.75" x14ac:dyDescent="0.25">
      <c r="A164" s="41" t="s">
        <v>1126</v>
      </c>
      <c r="B164" s="35" t="s">
        <v>1127</v>
      </c>
      <c r="C164" s="27" t="s">
        <v>1128</v>
      </c>
      <c r="D164" s="5" t="s">
        <v>54</v>
      </c>
      <c r="E164" s="21">
        <v>0.2</v>
      </c>
      <c r="F164" s="22">
        <f>VLOOKUP($A164,'Master File June-26'!$C$3:$L$670,6,0)</f>
        <v>10</v>
      </c>
      <c r="G164" s="22">
        <f>VLOOKUP($A164,'Master File June-26'!$C$3:$L$670,7,0)</f>
        <v>50</v>
      </c>
      <c r="H164" s="5">
        <f>VLOOKUP($A164,'Master File June-26'!$C$3:$L$670,8,0)</f>
        <v>14</v>
      </c>
      <c r="I164" s="5">
        <f>VLOOKUP($A164,'Master File June-26'!$C$3:$L$670,9,0)</f>
        <v>25</v>
      </c>
      <c r="J164" s="5">
        <f>VLOOKUP($A164,'Master File June-26'!$C$3:$L$670,10,0)</f>
        <v>0</v>
      </c>
      <c r="K164" s="24">
        <f t="shared" si="6"/>
        <v>0</v>
      </c>
      <c r="L164" s="25" t="str">
        <f t="shared" si="7"/>
        <v>ORDER NOW</v>
      </c>
      <c r="M164" s="25" t="str">
        <f t="shared" si="8"/>
        <v>CRITICAL</v>
      </c>
      <c r="N164" s="79">
        <v>1</v>
      </c>
    </row>
    <row r="165" spans="1:14" ht="18.75" x14ac:dyDescent="0.25">
      <c r="A165" s="41" t="s">
        <v>1129</v>
      </c>
      <c r="B165" s="28" t="s">
        <v>1130</v>
      </c>
      <c r="C165" s="27" t="s">
        <v>826</v>
      </c>
      <c r="D165" s="5" t="s">
        <v>49</v>
      </c>
      <c r="E165" s="21">
        <v>1</v>
      </c>
      <c r="F165" s="22">
        <f>VLOOKUP($A165,'Master File June-26'!$C$3:$L$670,6,0)</f>
        <v>1</v>
      </c>
      <c r="G165" s="22">
        <f>VLOOKUP($A165,'Master File June-26'!$C$3:$L$670,7,0)</f>
        <v>1</v>
      </c>
      <c r="H165" s="5">
        <f>VLOOKUP($A165,'Master File June-26'!$C$3:$L$670,8,0)</f>
        <v>14</v>
      </c>
      <c r="I165" s="5">
        <f>VLOOKUP($A165,'Master File June-26'!$C$3:$L$670,9,0)</f>
        <v>0.5</v>
      </c>
      <c r="J165" s="5">
        <f>VLOOKUP($A165,'Master File June-26'!$C$3:$L$670,10,0)</f>
        <v>0</v>
      </c>
      <c r="K165" s="24">
        <f t="shared" si="6"/>
        <v>0</v>
      </c>
      <c r="L165" s="25" t="str">
        <f t="shared" si="7"/>
        <v>ORDER NOW</v>
      </c>
      <c r="M165" s="25" t="str">
        <f t="shared" si="8"/>
        <v>CRITICAL</v>
      </c>
      <c r="N165" s="79">
        <v>1</v>
      </c>
    </row>
    <row r="166" spans="1:14" ht="18.75" x14ac:dyDescent="0.25">
      <c r="A166" s="41" t="s">
        <v>1131</v>
      </c>
      <c r="B166" s="28" t="s">
        <v>1132</v>
      </c>
      <c r="C166" s="27" t="s">
        <v>1133</v>
      </c>
      <c r="D166" s="5" t="s">
        <v>49</v>
      </c>
      <c r="E166" s="21">
        <v>1</v>
      </c>
      <c r="F166" s="22">
        <f>VLOOKUP($A166,'Master File June-26'!$C$3:$L$670,6,0)</f>
        <v>10</v>
      </c>
      <c r="G166" s="22">
        <f>VLOOKUP($A166,'Master File June-26'!$C$3:$L$670,7,0)</f>
        <v>10</v>
      </c>
      <c r="H166" s="5">
        <f>VLOOKUP($A166,'Master File June-26'!$C$3:$L$670,8,0)</f>
        <v>14</v>
      </c>
      <c r="I166" s="5">
        <f>VLOOKUP($A166,'Master File June-26'!$C$3:$L$670,9,0)</f>
        <v>5</v>
      </c>
      <c r="J166" s="5">
        <f>VLOOKUP($A166,'Master File June-26'!$C$3:$L$670,10,0)</f>
        <v>0</v>
      </c>
      <c r="K166" s="24">
        <f t="shared" si="6"/>
        <v>0</v>
      </c>
      <c r="L166" s="25" t="str">
        <f t="shared" si="7"/>
        <v>ORDER NOW</v>
      </c>
      <c r="M166" s="25" t="str">
        <f t="shared" si="8"/>
        <v>CRITICAL</v>
      </c>
      <c r="N166" s="79">
        <v>1</v>
      </c>
    </row>
    <row r="167" spans="1:14" ht="18.75" x14ac:dyDescent="0.25">
      <c r="A167" s="41" t="s">
        <v>1134</v>
      </c>
      <c r="B167" s="40" t="s">
        <v>1135</v>
      </c>
      <c r="C167" s="31" t="s">
        <v>64</v>
      </c>
      <c r="D167" s="5" t="s">
        <v>22</v>
      </c>
      <c r="E167" s="21">
        <v>1</v>
      </c>
      <c r="F167" s="22">
        <f>VLOOKUP($A167,'Master File June-26'!$C$3:$L$670,6,0)</f>
        <v>5</v>
      </c>
      <c r="G167" s="22">
        <f>VLOOKUP($A167,'Master File June-26'!$C$3:$L$670,7,0)</f>
        <v>5</v>
      </c>
      <c r="H167" s="5">
        <f>VLOOKUP($A167,'Master File June-26'!$C$3:$L$670,8,0)</f>
        <v>14</v>
      </c>
      <c r="I167" s="5">
        <f>VLOOKUP($A167,'Master File June-26'!$C$3:$L$670,9,0)</f>
        <v>2.5</v>
      </c>
      <c r="J167" s="5">
        <f>VLOOKUP($A167,'Master File June-26'!$C$3:$L$670,10,0)</f>
        <v>0</v>
      </c>
      <c r="K167" s="24">
        <f t="shared" si="6"/>
        <v>0</v>
      </c>
      <c r="L167" s="25" t="str">
        <f t="shared" si="7"/>
        <v>ORDER NOW</v>
      </c>
      <c r="M167" s="25" t="str">
        <f t="shared" si="8"/>
        <v>CRITICAL</v>
      </c>
      <c r="N167" s="79">
        <v>1</v>
      </c>
    </row>
    <row r="168" spans="1:14" ht="18.75" x14ac:dyDescent="0.25">
      <c r="A168" s="41" t="s">
        <v>1136</v>
      </c>
      <c r="B168" s="40" t="s">
        <v>1137</v>
      </c>
      <c r="C168" s="31" t="s">
        <v>22</v>
      </c>
      <c r="D168" s="5" t="s">
        <v>22</v>
      </c>
      <c r="E168" s="21">
        <v>0.1</v>
      </c>
      <c r="F168" s="22">
        <f>VLOOKUP($A168,'Master File June-26'!$C$3:$L$670,6,0)</f>
        <v>1</v>
      </c>
      <c r="G168" s="22">
        <f>VLOOKUP($A168,'Master File June-26'!$C$3:$L$670,7,0)</f>
        <v>10</v>
      </c>
      <c r="H168" s="5">
        <f>VLOOKUP($A168,'Master File June-26'!$C$3:$L$670,8,0)</f>
        <v>14</v>
      </c>
      <c r="I168" s="5">
        <f>VLOOKUP($A168,'Master File June-26'!$C$3:$L$670,9,0)</f>
        <v>5</v>
      </c>
      <c r="J168" s="5">
        <f>VLOOKUP($A168,'Master File June-26'!$C$3:$L$670,10,0)</f>
        <v>0</v>
      </c>
      <c r="K168" s="24">
        <f t="shared" si="6"/>
        <v>0</v>
      </c>
      <c r="L168" s="25" t="str">
        <f t="shared" si="7"/>
        <v>ORDER NOW</v>
      </c>
      <c r="M168" s="25" t="str">
        <f t="shared" si="8"/>
        <v>CRITICAL</v>
      </c>
      <c r="N168" s="79">
        <v>1</v>
      </c>
    </row>
    <row r="169" spans="1:14" ht="18.75" x14ac:dyDescent="0.25">
      <c r="A169" s="41" t="s">
        <v>1138</v>
      </c>
      <c r="B169" s="28" t="s">
        <v>1139</v>
      </c>
      <c r="C169" s="27" t="s">
        <v>466</v>
      </c>
      <c r="D169" s="5" t="s">
        <v>49</v>
      </c>
      <c r="E169" s="21">
        <v>0.04</v>
      </c>
      <c r="F169" s="22">
        <f>VLOOKUP($A169,'Master File June-26'!$C$3:$L$670,6,0)</f>
        <v>90</v>
      </c>
      <c r="G169" s="22">
        <f>VLOOKUP($A169,'Master File June-26'!$C$3:$L$670,7,0)</f>
        <v>2250</v>
      </c>
      <c r="H169" s="5">
        <f>VLOOKUP($A169,'Master File June-26'!$C$3:$L$670,8,0)</f>
        <v>14</v>
      </c>
      <c r="I169" s="5">
        <f>VLOOKUP($A169,'Master File June-26'!$C$3:$L$670,9,0)</f>
        <v>1125</v>
      </c>
      <c r="J169" s="5">
        <f>VLOOKUP($A169,'Master File June-26'!$C$3:$L$670,10,0)</f>
        <v>0</v>
      </c>
      <c r="K169" s="24">
        <f t="shared" si="6"/>
        <v>0</v>
      </c>
      <c r="L169" s="25" t="str">
        <f t="shared" si="7"/>
        <v>ORDER NOW</v>
      </c>
      <c r="M169" s="25" t="str">
        <f t="shared" si="8"/>
        <v>CRITICAL</v>
      </c>
      <c r="N169" s="79">
        <v>1</v>
      </c>
    </row>
    <row r="170" spans="1:14" ht="18.75" x14ac:dyDescent="0.25">
      <c r="A170" s="41" t="s">
        <v>1143</v>
      </c>
      <c r="B170" s="28" t="s">
        <v>1144</v>
      </c>
      <c r="C170" s="27" t="s">
        <v>101</v>
      </c>
      <c r="D170" s="5" t="s">
        <v>22</v>
      </c>
      <c r="E170" s="21">
        <v>0.16666666666666666</v>
      </c>
      <c r="F170" s="22">
        <f>VLOOKUP($A170,'Master File June-26'!$C$3:$L$670,6,0)</f>
        <v>50</v>
      </c>
      <c r="G170" s="22">
        <f>VLOOKUP($A170,'Master File June-26'!$C$3:$L$670,7,0)</f>
        <v>300</v>
      </c>
      <c r="H170" s="5">
        <f>VLOOKUP($A170,'Master File June-26'!$C$3:$L$670,8,0)</f>
        <v>14</v>
      </c>
      <c r="I170" s="5">
        <f>VLOOKUP($A170,'Master File June-26'!$C$3:$L$670,9,0)</f>
        <v>150</v>
      </c>
      <c r="J170" s="5">
        <f>VLOOKUP($A170,'Master File June-26'!$C$3:$L$670,10,0)</f>
        <v>390</v>
      </c>
      <c r="K170" s="24">
        <f t="shared" si="6"/>
        <v>39</v>
      </c>
      <c r="L170" s="25" t="str">
        <f t="shared" si="7"/>
        <v>IN STOCK</v>
      </c>
      <c r="M170" s="25" t="str">
        <f t="shared" si="8"/>
        <v>FOLLOW UP DELIVERY</v>
      </c>
      <c r="N170" s="79">
        <v>1</v>
      </c>
    </row>
    <row r="171" spans="1:14" ht="18.75" x14ac:dyDescent="0.25">
      <c r="A171" s="41" t="s">
        <v>1149</v>
      </c>
      <c r="B171" s="28" t="s">
        <v>1150</v>
      </c>
      <c r="C171" s="27" t="s">
        <v>70</v>
      </c>
      <c r="D171" s="5" t="s">
        <v>54</v>
      </c>
      <c r="E171" s="21">
        <v>0.1</v>
      </c>
      <c r="F171" s="22">
        <f>VLOOKUP($A171,'Master File June-26'!$C$3:$L$670,6,0)</f>
        <v>105.5</v>
      </c>
      <c r="G171" s="22">
        <f>VLOOKUP($A171,'Master File June-26'!$C$3:$L$670,7,0)</f>
        <v>1055</v>
      </c>
      <c r="H171" s="5">
        <f>VLOOKUP($A171,'Master File June-26'!$C$3:$L$670,8,0)</f>
        <v>14</v>
      </c>
      <c r="I171" s="5">
        <f>VLOOKUP($A171,'Master File June-26'!$C$3:$L$670,9,0)</f>
        <v>527.5</v>
      </c>
      <c r="J171" s="5">
        <f>VLOOKUP($A171,'Master File June-26'!$C$3:$L$670,10,0)</f>
        <v>300</v>
      </c>
      <c r="K171" s="24">
        <f t="shared" si="6"/>
        <v>8.5308056872037916</v>
      </c>
      <c r="L171" s="25" t="str">
        <f t="shared" si="7"/>
        <v>ORDER NOW</v>
      </c>
      <c r="M171" s="25" t="str">
        <f t="shared" si="8"/>
        <v>CRITICAL</v>
      </c>
      <c r="N171" s="79">
        <v>1</v>
      </c>
    </row>
    <row r="172" spans="1:14" ht="18.75" x14ac:dyDescent="0.25">
      <c r="A172" s="41" t="s">
        <v>1151</v>
      </c>
      <c r="B172" s="28" t="s">
        <v>1152</v>
      </c>
      <c r="C172" s="27" t="s">
        <v>1153</v>
      </c>
      <c r="D172" s="5" t="s">
        <v>54</v>
      </c>
      <c r="E172" s="21">
        <v>2.2222222222222223E-2</v>
      </c>
      <c r="F172" s="22">
        <f>VLOOKUP($A172,'Master File June-26'!$C$3:$L$670,6,0)</f>
        <v>160</v>
      </c>
      <c r="G172" s="22">
        <f>VLOOKUP($A172,'Master File June-26'!$C$3:$L$670,7,0)</f>
        <v>7200</v>
      </c>
      <c r="H172" s="5">
        <f>VLOOKUP($A172,'Master File June-26'!$C$3:$L$670,8,0)</f>
        <v>14</v>
      </c>
      <c r="I172" s="5">
        <f>VLOOKUP($A172,'Master File June-26'!$C$3:$L$670,9,0)</f>
        <v>3600</v>
      </c>
      <c r="J172" s="5">
        <f>VLOOKUP($A172,'Master File June-26'!$C$3:$L$670,10,0)</f>
        <v>4840</v>
      </c>
      <c r="K172" s="24">
        <f t="shared" si="6"/>
        <v>20.166666666666668</v>
      </c>
      <c r="L172" s="25" t="str">
        <f t="shared" si="7"/>
        <v>IN STOCK</v>
      </c>
      <c r="M172" s="25" t="str">
        <f t="shared" si="8"/>
        <v>FOLLOW UP DELIVERY</v>
      </c>
      <c r="N172" s="79">
        <v>0</v>
      </c>
    </row>
    <row r="173" spans="1:14" ht="18.75" x14ac:dyDescent="0.25">
      <c r="A173" s="41" t="s">
        <v>1156</v>
      </c>
      <c r="B173" s="28" t="s">
        <v>1157</v>
      </c>
      <c r="C173" s="27" t="s">
        <v>64</v>
      </c>
      <c r="D173" s="5" t="s">
        <v>49</v>
      </c>
      <c r="E173" s="21">
        <v>1</v>
      </c>
      <c r="F173" s="22">
        <f>VLOOKUP($A173,'Master File June-26'!$C$3:$L$670,6,0)</f>
        <v>27.5</v>
      </c>
      <c r="G173" s="22">
        <f>VLOOKUP($A173,'Master File June-26'!$C$3:$L$670,7,0)</f>
        <v>27.5</v>
      </c>
      <c r="H173" s="5">
        <f>VLOOKUP($A173,'Master File June-26'!$C$3:$L$670,8,0)</f>
        <v>14</v>
      </c>
      <c r="I173" s="5">
        <f>VLOOKUP($A173,'Master File June-26'!$C$3:$L$670,9,0)</f>
        <v>13.75</v>
      </c>
      <c r="J173" s="5">
        <f>VLOOKUP($A173,'Master File June-26'!$C$3:$L$670,10,0)</f>
        <v>5</v>
      </c>
      <c r="K173" s="24">
        <f t="shared" si="6"/>
        <v>5.454545454545455</v>
      </c>
      <c r="L173" s="25" t="str">
        <f t="shared" si="7"/>
        <v>ORDER NOW</v>
      </c>
      <c r="M173" s="25" t="str">
        <f t="shared" si="8"/>
        <v>CRITICAL</v>
      </c>
      <c r="N173" s="79">
        <v>1</v>
      </c>
    </row>
    <row r="174" spans="1:14" ht="18.75" x14ac:dyDescent="0.25">
      <c r="A174" s="41" t="s">
        <v>1165</v>
      </c>
      <c r="B174" s="28" t="s">
        <v>1166</v>
      </c>
      <c r="C174" s="27" t="s">
        <v>70</v>
      </c>
      <c r="D174" s="5" t="s">
        <v>54</v>
      </c>
      <c r="E174" s="21">
        <v>0.1388888888888889</v>
      </c>
      <c r="F174" s="22">
        <f>VLOOKUP($A174,'Master File June-26'!$C$3:$L$670,6,0)</f>
        <v>70</v>
      </c>
      <c r="G174" s="22">
        <f>VLOOKUP($A174,'Master File June-26'!$C$3:$L$670,7,0)</f>
        <v>504</v>
      </c>
      <c r="H174" s="5">
        <f>VLOOKUP($A174,'Master File June-26'!$C$3:$L$670,8,0)</f>
        <v>14</v>
      </c>
      <c r="I174" s="5">
        <f>VLOOKUP($A174,'Master File June-26'!$C$3:$L$670,9,0)</f>
        <v>252</v>
      </c>
      <c r="J174" s="5">
        <f>VLOOKUP($A174,'Master File June-26'!$C$3:$L$670,10,0)</f>
        <v>0</v>
      </c>
      <c r="K174" s="24">
        <f t="shared" si="6"/>
        <v>0</v>
      </c>
      <c r="L174" s="25" t="str">
        <f t="shared" si="7"/>
        <v>ORDER NOW</v>
      </c>
      <c r="M174" s="25" t="str">
        <f t="shared" si="8"/>
        <v>CRITICAL</v>
      </c>
      <c r="N174" s="79">
        <v>1</v>
      </c>
    </row>
    <row r="175" spans="1:14" ht="18.75" x14ac:dyDescent="0.25">
      <c r="A175" s="41" t="s">
        <v>1167</v>
      </c>
      <c r="B175" s="40" t="s">
        <v>1168</v>
      </c>
      <c r="C175" s="31" t="s">
        <v>22</v>
      </c>
      <c r="D175" s="5" t="s">
        <v>22</v>
      </c>
      <c r="E175" s="21">
        <v>1</v>
      </c>
      <c r="F175" s="22">
        <f>VLOOKUP($A175,'Master File June-26'!$C$3:$L$670,6,0)</f>
        <v>5</v>
      </c>
      <c r="G175" s="22">
        <f>VLOOKUP($A175,'Master File June-26'!$C$3:$L$670,7,0)</f>
        <v>5</v>
      </c>
      <c r="H175" s="5">
        <f>VLOOKUP($A175,'Master File June-26'!$C$3:$L$670,8,0)</f>
        <v>14</v>
      </c>
      <c r="I175" s="5">
        <f>VLOOKUP($A175,'Master File June-26'!$C$3:$L$670,9,0)</f>
        <v>2.5</v>
      </c>
      <c r="J175" s="5">
        <f>VLOOKUP($A175,'Master File June-26'!$C$3:$L$670,10,0)</f>
        <v>0</v>
      </c>
      <c r="K175" s="24">
        <f t="shared" si="6"/>
        <v>0</v>
      </c>
      <c r="L175" s="25" t="str">
        <f t="shared" si="7"/>
        <v>ORDER NOW</v>
      </c>
      <c r="M175" s="25" t="str">
        <f t="shared" si="8"/>
        <v>CRITICAL</v>
      </c>
      <c r="N175" s="79">
        <v>1</v>
      </c>
    </row>
    <row r="176" spans="1:14" ht="18.75" x14ac:dyDescent="0.25">
      <c r="A176" s="41" t="s">
        <v>1169</v>
      </c>
      <c r="B176" s="40" t="s">
        <v>1170</v>
      </c>
      <c r="C176" s="31" t="s">
        <v>22</v>
      </c>
      <c r="D176" s="5" t="s">
        <v>22</v>
      </c>
      <c r="E176" s="21">
        <v>1</v>
      </c>
      <c r="F176" s="22">
        <f>VLOOKUP($A176,'Master File June-26'!$C$3:$L$670,6,0)</f>
        <v>5</v>
      </c>
      <c r="G176" s="22">
        <f>VLOOKUP($A176,'Master File June-26'!$C$3:$L$670,7,0)</f>
        <v>5</v>
      </c>
      <c r="H176" s="5">
        <f>VLOOKUP($A176,'Master File June-26'!$C$3:$L$670,8,0)</f>
        <v>14</v>
      </c>
      <c r="I176" s="5">
        <f>VLOOKUP($A176,'Master File June-26'!$C$3:$L$670,9,0)</f>
        <v>2.5</v>
      </c>
      <c r="J176" s="5">
        <f>VLOOKUP($A176,'Master File June-26'!$C$3:$L$670,10,0)</f>
        <v>0</v>
      </c>
      <c r="K176" s="24">
        <f t="shared" si="6"/>
        <v>0</v>
      </c>
      <c r="L176" s="25" t="str">
        <f t="shared" si="7"/>
        <v>ORDER NOW</v>
      </c>
      <c r="M176" s="25" t="str">
        <f t="shared" si="8"/>
        <v>CRITICAL</v>
      </c>
      <c r="N176" s="79">
        <v>1</v>
      </c>
    </row>
    <row r="177" spans="1:14" ht="18.75" x14ac:dyDescent="0.25">
      <c r="A177" s="41" t="s">
        <v>1175</v>
      </c>
      <c r="B177" s="28" t="s">
        <v>1176</v>
      </c>
      <c r="C177" s="27" t="s">
        <v>1177</v>
      </c>
      <c r="D177" s="5" t="s">
        <v>49</v>
      </c>
      <c r="E177" s="21">
        <v>6.6666666666666666E-2</v>
      </c>
      <c r="F177" s="22">
        <f>VLOOKUP($A177,'Master File June-26'!$C$3:$L$670,6,0)</f>
        <v>110</v>
      </c>
      <c r="G177" s="22">
        <f>VLOOKUP($A177,'Master File June-26'!$C$3:$L$670,7,0)</f>
        <v>1650</v>
      </c>
      <c r="H177" s="5">
        <f>VLOOKUP($A177,'Master File June-26'!$C$3:$L$670,8,0)</f>
        <v>14</v>
      </c>
      <c r="I177" s="5">
        <f>VLOOKUP($A177,'Master File June-26'!$C$3:$L$670,9,0)</f>
        <v>825</v>
      </c>
      <c r="J177" s="5">
        <f>VLOOKUP($A177,'Master File June-26'!$C$3:$L$670,10,0)</f>
        <v>570</v>
      </c>
      <c r="K177" s="24">
        <f t="shared" si="6"/>
        <v>10.363636363636363</v>
      </c>
      <c r="L177" s="25" t="str">
        <f t="shared" si="7"/>
        <v>ORDER NOW</v>
      </c>
      <c r="M177" s="25" t="str">
        <f t="shared" si="8"/>
        <v>CRITICAL</v>
      </c>
      <c r="N177" s="79">
        <v>1</v>
      </c>
    </row>
    <row r="178" spans="1:14" ht="18.75" x14ac:dyDescent="0.25">
      <c r="A178" s="41" t="s">
        <v>1181</v>
      </c>
      <c r="B178" s="28" t="s">
        <v>1182</v>
      </c>
      <c r="C178" s="27" t="s">
        <v>867</v>
      </c>
      <c r="D178" s="5" t="s">
        <v>22</v>
      </c>
      <c r="E178" s="21">
        <v>8.3333333333333329E-2</v>
      </c>
      <c r="F178" s="22">
        <f>VLOOKUP($A178,'Master File June-26'!$C$3:$L$670,6,0)</f>
        <v>30</v>
      </c>
      <c r="G178" s="22">
        <f>VLOOKUP($A178,'Master File June-26'!$C$3:$L$670,7,0)</f>
        <v>360</v>
      </c>
      <c r="H178" s="5">
        <f>VLOOKUP($A178,'Master File June-26'!$C$3:$L$670,8,0)</f>
        <v>14</v>
      </c>
      <c r="I178" s="5">
        <f>VLOOKUP($A178,'Master File June-26'!$C$3:$L$670,9,0)</f>
        <v>180</v>
      </c>
      <c r="J178" s="5">
        <f>VLOOKUP($A178,'Master File June-26'!$C$3:$L$670,10,0)</f>
        <v>84</v>
      </c>
      <c r="K178" s="24">
        <f t="shared" si="6"/>
        <v>7</v>
      </c>
      <c r="L178" s="25" t="str">
        <f t="shared" si="7"/>
        <v>ORDER NOW</v>
      </c>
      <c r="M178" s="25" t="str">
        <f t="shared" si="8"/>
        <v>CRITICAL</v>
      </c>
      <c r="N178" s="79">
        <v>1</v>
      </c>
    </row>
    <row r="179" spans="1:14" ht="18.75" x14ac:dyDescent="0.25">
      <c r="A179" s="41" t="s">
        <v>1185</v>
      </c>
      <c r="B179" s="28" t="s">
        <v>1186</v>
      </c>
      <c r="C179" s="27" t="s">
        <v>1187</v>
      </c>
      <c r="D179" s="5" t="s">
        <v>22</v>
      </c>
      <c r="E179" s="21">
        <v>4.1666666666666664E-2</v>
      </c>
      <c r="F179" s="22">
        <f>VLOOKUP($A179,'Master File June-26'!$C$3:$L$670,6,0)</f>
        <v>100</v>
      </c>
      <c r="G179" s="22">
        <f>VLOOKUP($A179,'Master File June-26'!$C$3:$L$670,7,0)</f>
        <v>2400</v>
      </c>
      <c r="H179" s="5">
        <f>VLOOKUP($A179,'Master File June-26'!$C$3:$L$670,8,0)</f>
        <v>14</v>
      </c>
      <c r="I179" s="5">
        <f>VLOOKUP($A179,'Master File June-26'!$C$3:$L$670,9,0)</f>
        <v>1200</v>
      </c>
      <c r="J179" s="5">
        <f>VLOOKUP($A179,'Master File June-26'!$C$3:$L$670,10,0)</f>
        <v>480</v>
      </c>
      <c r="K179" s="24">
        <f t="shared" si="6"/>
        <v>6</v>
      </c>
      <c r="L179" s="25" t="str">
        <f t="shared" si="7"/>
        <v>ORDER NOW</v>
      </c>
      <c r="M179" s="25" t="str">
        <f t="shared" si="8"/>
        <v>CRITICAL</v>
      </c>
      <c r="N179" s="79">
        <v>1</v>
      </c>
    </row>
    <row r="180" spans="1:14" ht="18.75" x14ac:dyDescent="0.25">
      <c r="A180" s="41" t="s">
        <v>1196</v>
      </c>
      <c r="B180" s="30" t="s">
        <v>1197</v>
      </c>
      <c r="C180" s="29" t="s">
        <v>1198</v>
      </c>
      <c r="D180" s="5" t="s">
        <v>22</v>
      </c>
      <c r="E180" s="21">
        <v>4.1666666666666664E-2</v>
      </c>
      <c r="F180" s="22">
        <f>VLOOKUP($A180,'Master File June-26'!$C$3:$L$670,6,0)</f>
        <v>132</v>
      </c>
      <c r="G180" s="22">
        <f>VLOOKUP($A180,'Master File June-26'!$C$3:$L$670,7,0)</f>
        <v>3168</v>
      </c>
      <c r="H180" s="5">
        <f>VLOOKUP($A180,'Master File June-26'!$C$3:$L$670,8,0)</f>
        <v>14</v>
      </c>
      <c r="I180" s="5">
        <f>VLOOKUP($A180,'Master File June-26'!$C$3:$L$670,9,0)</f>
        <v>1584</v>
      </c>
      <c r="J180" s="5">
        <f>VLOOKUP($A180,'Master File June-26'!$C$3:$L$670,10,0)</f>
        <v>2110</v>
      </c>
      <c r="K180" s="24">
        <f t="shared" si="6"/>
        <v>19.981060606060606</v>
      </c>
      <c r="L180" s="25" t="str">
        <f t="shared" si="7"/>
        <v>IN STOCK</v>
      </c>
      <c r="M180" s="25" t="str">
        <f t="shared" si="8"/>
        <v>FOLLOW UP DELIVERY</v>
      </c>
      <c r="N180" s="79">
        <v>1</v>
      </c>
    </row>
    <row r="181" spans="1:14" ht="18.75" x14ac:dyDescent="0.25">
      <c r="A181" s="41" t="s">
        <v>1202</v>
      </c>
      <c r="B181" s="28" t="s">
        <v>1203</v>
      </c>
      <c r="C181" s="27" t="s">
        <v>1204</v>
      </c>
      <c r="D181" s="5" t="s">
        <v>22</v>
      </c>
      <c r="E181" s="21">
        <v>0.8771929824561403</v>
      </c>
      <c r="F181" s="22">
        <f>VLOOKUP($A181,'Master File June-26'!$C$3:$L$670,6,0)</f>
        <v>90</v>
      </c>
      <c r="G181" s="22">
        <f>VLOOKUP($A181,'Master File June-26'!$C$3:$L$670,7,0)</f>
        <v>102.60000000000001</v>
      </c>
      <c r="H181" s="5">
        <f>VLOOKUP($A181,'Master File June-26'!$C$3:$L$670,8,0)</f>
        <v>14</v>
      </c>
      <c r="I181" s="5">
        <f>VLOOKUP($A181,'Master File June-26'!$C$3:$L$670,9,0)</f>
        <v>51.300000000000004</v>
      </c>
      <c r="J181" s="5">
        <f>VLOOKUP($A181,'Master File June-26'!$C$3:$L$670,10,0)</f>
        <v>22.8</v>
      </c>
      <c r="K181" s="24">
        <f t="shared" si="6"/>
        <v>6.6666666666666661</v>
      </c>
      <c r="L181" s="25" t="str">
        <f t="shared" si="7"/>
        <v>ORDER NOW</v>
      </c>
      <c r="M181" s="25" t="str">
        <f t="shared" si="8"/>
        <v>CRITICAL</v>
      </c>
      <c r="N181" s="79">
        <v>1</v>
      </c>
    </row>
    <row r="182" spans="1:14" ht="18.75" x14ac:dyDescent="0.25">
      <c r="A182" s="41" t="s">
        <v>1208</v>
      </c>
      <c r="B182" s="28" t="s">
        <v>1209</v>
      </c>
      <c r="C182" s="27" t="s">
        <v>1210</v>
      </c>
      <c r="D182" s="5" t="s">
        <v>22</v>
      </c>
      <c r="E182" s="21">
        <v>0.1388888888888889</v>
      </c>
      <c r="F182" s="22">
        <f>VLOOKUP($A182,'Master File June-26'!$C$3:$L$670,6,0)</f>
        <v>70</v>
      </c>
      <c r="G182" s="22">
        <f>VLOOKUP($A182,'Master File June-26'!$C$3:$L$670,7,0)</f>
        <v>504</v>
      </c>
      <c r="H182" s="5">
        <f>VLOOKUP($A182,'Master File June-26'!$C$3:$L$670,8,0)</f>
        <v>14</v>
      </c>
      <c r="I182" s="5">
        <f>VLOOKUP($A182,'Master File June-26'!$C$3:$L$670,9,0)</f>
        <v>252</v>
      </c>
      <c r="J182" s="5">
        <f>VLOOKUP($A182,'Master File June-26'!$C$3:$L$670,10,0)</f>
        <v>0</v>
      </c>
      <c r="K182" s="24">
        <f t="shared" si="6"/>
        <v>0</v>
      </c>
      <c r="L182" s="25" t="str">
        <f t="shared" si="7"/>
        <v>ORDER NOW</v>
      </c>
      <c r="M182" s="25" t="str">
        <f t="shared" si="8"/>
        <v>CRITICAL</v>
      </c>
      <c r="N182" s="79">
        <v>1</v>
      </c>
    </row>
    <row r="183" spans="1:14" ht="18.75" x14ac:dyDescent="0.25">
      <c r="A183" s="41" t="s">
        <v>1211</v>
      </c>
      <c r="B183" s="28" t="s">
        <v>1212</v>
      </c>
      <c r="C183" s="27" t="s">
        <v>482</v>
      </c>
      <c r="D183" s="5" t="s">
        <v>54</v>
      </c>
      <c r="E183" s="21">
        <v>6.6666666666666666E-2</v>
      </c>
      <c r="F183" s="22">
        <f>VLOOKUP($A183,'Master File June-26'!$C$3:$L$670,6,0)</f>
        <v>2</v>
      </c>
      <c r="G183" s="22">
        <f>VLOOKUP($A183,'Master File June-26'!$C$3:$L$670,7,0)</f>
        <v>30</v>
      </c>
      <c r="H183" s="5">
        <f>VLOOKUP($A183,'Master File June-26'!$C$3:$L$670,8,0)</f>
        <v>14</v>
      </c>
      <c r="I183" s="5">
        <f>VLOOKUP($A183,'Master File June-26'!$C$3:$L$670,9,0)</f>
        <v>15</v>
      </c>
      <c r="J183" s="5">
        <f>VLOOKUP($A183,'Master File June-26'!$C$3:$L$670,10,0)</f>
        <v>0</v>
      </c>
      <c r="K183" s="24">
        <f t="shared" si="6"/>
        <v>0</v>
      </c>
      <c r="L183" s="25" t="str">
        <f t="shared" si="7"/>
        <v>ORDER NOW</v>
      </c>
      <c r="M183" s="25" t="str">
        <f t="shared" si="8"/>
        <v>CRITICAL</v>
      </c>
      <c r="N183" s="79">
        <v>1</v>
      </c>
    </row>
    <row r="184" spans="1:14" ht="18.75" x14ac:dyDescent="0.25">
      <c r="A184" s="41" t="s">
        <v>1213</v>
      </c>
      <c r="B184" s="28" t="s">
        <v>1214</v>
      </c>
      <c r="C184" s="27" t="s">
        <v>826</v>
      </c>
      <c r="D184" s="5" t="s">
        <v>49</v>
      </c>
      <c r="E184" s="21">
        <v>1</v>
      </c>
      <c r="F184" s="22">
        <f>VLOOKUP($A184,'Master File June-26'!$C$3:$L$670,6,0)</f>
        <v>5</v>
      </c>
      <c r="G184" s="22">
        <f>VLOOKUP($A184,'Master File June-26'!$C$3:$L$670,7,0)</f>
        <v>5</v>
      </c>
      <c r="H184" s="5">
        <f>VLOOKUP($A184,'Master File June-26'!$C$3:$L$670,8,0)</f>
        <v>14</v>
      </c>
      <c r="I184" s="5">
        <f>VLOOKUP($A184,'Master File June-26'!$C$3:$L$670,9,0)</f>
        <v>2.5</v>
      </c>
      <c r="J184" s="5">
        <f>VLOOKUP($A184,'Master File June-26'!$C$3:$L$670,10,0)</f>
        <v>0</v>
      </c>
      <c r="K184" s="24">
        <f t="shared" si="6"/>
        <v>0</v>
      </c>
      <c r="L184" s="25" t="str">
        <f t="shared" si="7"/>
        <v>ORDER NOW</v>
      </c>
      <c r="M184" s="25" t="str">
        <f t="shared" si="8"/>
        <v>CRITICAL</v>
      </c>
      <c r="N184" s="79">
        <v>1</v>
      </c>
    </row>
    <row r="185" spans="1:14" ht="18.75" x14ac:dyDescent="0.25">
      <c r="A185" s="41" t="s">
        <v>1215</v>
      </c>
      <c r="B185" s="28" t="s">
        <v>1216</v>
      </c>
      <c r="C185" s="27" t="s">
        <v>1217</v>
      </c>
      <c r="D185" s="5" t="s">
        <v>22</v>
      </c>
      <c r="E185" s="21">
        <v>0.05</v>
      </c>
      <c r="F185" s="22">
        <f>VLOOKUP($A185,'Master File June-26'!$C$3:$L$670,6,0)</f>
        <v>1</v>
      </c>
      <c r="G185" s="22">
        <f>VLOOKUP($A185,'Master File June-26'!$C$3:$L$670,7,0)</f>
        <v>20</v>
      </c>
      <c r="H185" s="5">
        <f>VLOOKUP($A185,'Master File June-26'!$C$3:$L$670,8,0)</f>
        <v>14</v>
      </c>
      <c r="I185" s="5">
        <f>VLOOKUP($A185,'Master File June-26'!$C$3:$L$670,9,0)</f>
        <v>10</v>
      </c>
      <c r="J185" s="5">
        <f>VLOOKUP($A185,'Master File June-26'!$C$3:$L$670,10,0)</f>
        <v>0</v>
      </c>
      <c r="K185" s="24">
        <f t="shared" si="6"/>
        <v>0</v>
      </c>
      <c r="L185" s="25" t="str">
        <f t="shared" si="7"/>
        <v>ORDER NOW</v>
      </c>
      <c r="M185" s="25" t="str">
        <f t="shared" si="8"/>
        <v>CRITICAL</v>
      </c>
      <c r="N185" s="79">
        <v>0</v>
      </c>
    </row>
    <row r="186" spans="1:14" ht="18.75" x14ac:dyDescent="0.25">
      <c r="A186" s="41" t="s">
        <v>1218</v>
      </c>
      <c r="B186" s="28" t="s">
        <v>1219</v>
      </c>
      <c r="C186" s="27" t="s">
        <v>101</v>
      </c>
      <c r="D186" s="5" t="s">
        <v>22</v>
      </c>
      <c r="E186" s="21">
        <v>0.16666666666666666</v>
      </c>
      <c r="F186" s="22">
        <f>VLOOKUP($A186,'Master File June-26'!$C$3:$L$670,6,0)</f>
        <v>99.25</v>
      </c>
      <c r="G186" s="22">
        <f>VLOOKUP($A186,'Master File June-26'!$C$3:$L$670,7,0)</f>
        <v>595.5</v>
      </c>
      <c r="H186" s="5">
        <f>VLOOKUP($A186,'Master File June-26'!$C$3:$L$670,8,0)</f>
        <v>14</v>
      </c>
      <c r="I186" s="5">
        <f>VLOOKUP($A186,'Master File June-26'!$C$3:$L$670,9,0)</f>
        <v>297.75</v>
      </c>
      <c r="J186" s="5">
        <f>VLOOKUP($A186,'Master File June-26'!$C$3:$L$670,10,0)</f>
        <v>462</v>
      </c>
      <c r="K186" s="24">
        <f t="shared" si="6"/>
        <v>23.274559193954659</v>
      </c>
      <c r="L186" s="25" t="str">
        <f t="shared" si="7"/>
        <v>IN STOCK</v>
      </c>
      <c r="M186" s="25" t="str">
        <f t="shared" si="8"/>
        <v>FOLLOW UP DELIVERY</v>
      </c>
      <c r="N186" s="79">
        <v>0</v>
      </c>
    </row>
    <row r="187" spans="1:14" ht="18.75" x14ac:dyDescent="0.25">
      <c r="A187" s="41" t="s">
        <v>1220</v>
      </c>
      <c r="B187" s="28" t="s">
        <v>1221</v>
      </c>
      <c r="C187" s="27" t="s">
        <v>1222</v>
      </c>
      <c r="D187" s="5" t="s">
        <v>22</v>
      </c>
      <c r="E187" s="21">
        <v>0.16666666666666666</v>
      </c>
      <c r="F187" s="22">
        <f>VLOOKUP($A187,'Master File June-26'!$C$3:$L$670,6,0)</f>
        <v>75.5</v>
      </c>
      <c r="G187" s="22">
        <f>VLOOKUP($A187,'Master File June-26'!$C$3:$L$670,7,0)</f>
        <v>453</v>
      </c>
      <c r="H187" s="5">
        <f>VLOOKUP($A187,'Master File June-26'!$C$3:$L$670,8,0)</f>
        <v>14</v>
      </c>
      <c r="I187" s="5">
        <f>VLOOKUP($A187,'Master File June-26'!$C$3:$L$670,9,0)</f>
        <v>226.5</v>
      </c>
      <c r="J187" s="5">
        <f>VLOOKUP($A187,'Master File June-26'!$C$3:$L$670,10,0)</f>
        <v>0</v>
      </c>
      <c r="K187" s="24">
        <f t="shared" si="6"/>
        <v>0</v>
      </c>
      <c r="L187" s="25" t="str">
        <f t="shared" si="7"/>
        <v>ORDER NOW</v>
      </c>
      <c r="M187" s="25" t="str">
        <f t="shared" si="8"/>
        <v>CRITICAL</v>
      </c>
      <c r="N187" s="79">
        <v>0</v>
      </c>
    </row>
    <row r="188" spans="1:14" ht="18.75" x14ac:dyDescent="0.25">
      <c r="A188" s="41" t="s">
        <v>1236</v>
      </c>
      <c r="B188" s="40" t="s">
        <v>1237</v>
      </c>
      <c r="C188" s="31" t="s">
        <v>22</v>
      </c>
      <c r="D188" s="5" t="s">
        <v>22</v>
      </c>
      <c r="E188" s="21">
        <v>1</v>
      </c>
      <c r="F188" s="22">
        <f>VLOOKUP($A188,'Master File June-26'!$C$3:$L$670,6,0)</f>
        <v>5</v>
      </c>
      <c r="G188" s="22">
        <f>VLOOKUP($A188,'Master File June-26'!$C$3:$L$670,7,0)</f>
        <v>5</v>
      </c>
      <c r="H188" s="5">
        <f>VLOOKUP($A188,'Master File June-26'!$C$3:$L$670,8,0)</f>
        <v>14</v>
      </c>
      <c r="I188" s="5">
        <f>VLOOKUP($A188,'Master File June-26'!$C$3:$L$670,9,0)</f>
        <v>2.5</v>
      </c>
      <c r="J188" s="5">
        <f>VLOOKUP($A188,'Master File June-26'!$C$3:$L$670,10,0)</f>
        <v>0</v>
      </c>
      <c r="K188" s="24">
        <f t="shared" si="6"/>
        <v>0</v>
      </c>
      <c r="L188" s="25" t="str">
        <f t="shared" si="7"/>
        <v>ORDER NOW</v>
      </c>
      <c r="M188" s="25" t="str">
        <f t="shared" si="8"/>
        <v>CRITICAL</v>
      </c>
      <c r="N188" s="79">
        <v>1</v>
      </c>
    </row>
    <row r="189" spans="1:14" ht="18.75" x14ac:dyDescent="0.25">
      <c r="A189" s="41" t="s">
        <v>1242</v>
      </c>
      <c r="B189" s="28" t="s">
        <v>1243</v>
      </c>
      <c r="C189" s="27" t="s">
        <v>1244</v>
      </c>
      <c r="D189" s="5" t="s">
        <v>22</v>
      </c>
      <c r="E189" s="21">
        <v>0.2</v>
      </c>
      <c r="F189" s="22">
        <f>VLOOKUP($A189,'Master File June-26'!$C$3:$L$670,6,0)</f>
        <v>33</v>
      </c>
      <c r="G189" s="22">
        <f>VLOOKUP($A189,'Master File June-26'!$C$3:$L$670,7,0)</f>
        <v>165</v>
      </c>
      <c r="H189" s="5">
        <f>VLOOKUP($A189,'Master File June-26'!$C$3:$L$670,8,0)</f>
        <v>14</v>
      </c>
      <c r="I189" s="5">
        <f>VLOOKUP($A189,'Master File June-26'!$C$3:$L$670,9,0)</f>
        <v>82.5</v>
      </c>
      <c r="J189" s="5">
        <f>VLOOKUP($A189,'Master File June-26'!$C$3:$L$670,10,0)</f>
        <v>50</v>
      </c>
      <c r="K189" s="24">
        <f t="shared" si="6"/>
        <v>9.0909090909090917</v>
      </c>
      <c r="L189" s="25" t="str">
        <f t="shared" si="7"/>
        <v>ORDER NOW</v>
      </c>
      <c r="M189" s="25" t="str">
        <f t="shared" si="8"/>
        <v>CRITICAL</v>
      </c>
      <c r="N189" s="79">
        <v>1</v>
      </c>
    </row>
    <row r="190" spans="1:14" ht="18.75" x14ac:dyDescent="0.25">
      <c r="A190" s="41" t="s">
        <v>1245</v>
      </c>
      <c r="B190" s="40" t="s">
        <v>1246</v>
      </c>
      <c r="C190" s="31" t="s">
        <v>22</v>
      </c>
      <c r="D190" s="5" t="s">
        <v>22</v>
      </c>
      <c r="E190" s="21">
        <v>1</v>
      </c>
      <c r="F190" s="22">
        <f>VLOOKUP($A190,'Master File June-26'!$C$3:$L$670,6,0)</f>
        <v>1</v>
      </c>
      <c r="G190" s="22">
        <f>VLOOKUP($A190,'Master File June-26'!$C$3:$L$670,7,0)</f>
        <v>1</v>
      </c>
      <c r="H190" s="5">
        <f>VLOOKUP($A190,'Master File June-26'!$C$3:$L$670,8,0)</f>
        <v>14</v>
      </c>
      <c r="I190" s="5">
        <f>VLOOKUP($A190,'Master File June-26'!$C$3:$L$670,9,0)</f>
        <v>0.5</v>
      </c>
      <c r="J190" s="5">
        <f>VLOOKUP($A190,'Master File June-26'!$C$3:$L$670,10,0)</f>
        <v>0</v>
      </c>
      <c r="K190" s="24">
        <f t="shared" si="6"/>
        <v>0</v>
      </c>
      <c r="L190" s="25" t="str">
        <f t="shared" si="7"/>
        <v>ORDER NOW</v>
      </c>
      <c r="M190" s="25" t="str">
        <f t="shared" si="8"/>
        <v>CRITICAL</v>
      </c>
      <c r="N190" s="79">
        <v>1</v>
      </c>
    </row>
    <row r="191" spans="1:14" ht="18.75" x14ac:dyDescent="0.25">
      <c r="A191" s="41" t="s">
        <v>1247</v>
      </c>
      <c r="B191" s="28" t="s">
        <v>1248</v>
      </c>
      <c r="C191" s="27" t="s">
        <v>101</v>
      </c>
      <c r="D191" s="5" t="s">
        <v>22</v>
      </c>
      <c r="E191" s="21">
        <v>0.16666666666666666</v>
      </c>
      <c r="F191" s="22">
        <f>VLOOKUP($A191,'Master File June-26'!$C$3:$L$670,6,0)</f>
        <v>16.5</v>
      </c>
      <c r="G191" s="22">
        <f>VLOOKUP($A191,'Master File June-26'!$C$3:$L$670,7,0)</f>
        <v>99</v>
      </c>
      <c r="H191" s="5">
        <f>VLOOKUP($A191,'Master File June-26'!$C$3:$L$670,8,0)</f>
        <v>14</v>
      </c>
      <c r="I191" s="5">
        <f>VLOOKUP($A191,'Master File June-26'!$C$3:$L$670,9,0)</f>
        <v>49.5</v>
      </c>
      <c r="J191" s="5">
        <f>VLOOKUP($A191,'Master File June-26'!$C$3:$L$670,10,0)</f>
        <v>94</v>
      </c>
      <c r="K191" s="24">
        <f t="shared" si="6"/>
        <v>28.484848484848484</v>
      </c>
      <c r="L191" s="25" t="str">
        <f t="shared" si="7"/>
        <v>IN STOCK</v>
      </c>
      <c r="M191" s="25" t="str">
        <f t="shared" si="8"/>
        <v>FOLLOW UP DELIVERY</v>
      </c>
      <c r="N191" s="79">
        <v>1</v>
      </c>
    </row>
    <row r="192" spans="1:14" ht="18.75" x14ac:dyDescent="0.25">
      <c r="A192" s="41" t="s">
        <v>1252</v>
      </c>
      <c r="B192" s="28" t="s">
        <v>1253</v>
      </c>
      <c r="C192" s="27" t="s">
        <v>1059</v>
      </c>
      <c r="D192" s="5" t="s">
        <v>54</v>
      </c>
      <c r="E192" s="21">
        <v>0.04</v>
      </c>
      <c r="F192" s="22">
        <f>VLOOKUP($A192,'Master File June-26'!$C$3:$L$670,6,0)</f>
        <v>25</v>
      </c>
      <c r="G192" s="22">
        <f>VLOOKUP($A192,'Master File June-26'!$C$3:$L$670,7,0)</f>
        <v>625</v>
      </c>
      <c r="H192" s="5">
        <f>VLOOKUP($A192,'Master File June-26'!$C$3:$L$670,8,0)</f>
        <v>14</v>
      </c>
      <c r="I192" s="5">
        <f>VLOOKUP($A192,'Master File June-26'!$C$3:$L$670,9,0)</f>
        <v>312.5</v>
      </c>
      <c r="J192" s="5">
        <f>VLOOKUP($A192,'Master File June-26'!$C$3:$L$670,10,0)</f>
        <v>0</v>
      </c>
      <c r="K192" s="24">
        <f t="shared" si="6"/>
        <v>0</v>
      </c>
      <c r="L192" s="25" t="str">
        <f t="shared" si="7"/>
        <v>ORDER NOW</v>
      </c>
      <c r="M192" s="25" t="str">
        <f t="shared" si="8"/>
        <v>CRITICAL</v>
      </c>
      <c r="N192" s="79">
        <v>0</v>
      </c>
    </row>
    <row r="193" spans="1:14" ht="18.75" x14ac:dyDescent="0.25">
      <c r="A193" s="41" t="s">
        <v>1254</v>
      </c>
      <c r="B193" s="28" t="s">
        <v>1255</v>
      </c>
      <c r="C193" s="31" t="s">
        <v>606</v>
      </c>
      <c r="D193" s="44" t="s">
        <v>22</v>
      </c>
      <c r="E193" s="21">
        <v>1.1100000000000001</v>
      </c>
      <c r="F193" s="22">
        <f>VLOOKUP($A193,'Master File June-26'!$C$3:$L$670,6,0)</f>
        <v>10</v>
      </c>
      <c r="G193" s="22">
        <f>VLOOKUP($A193,'Master File June-26'!$C$3:$L$670,7,0)</f>
        <v>9.0090090090090076</v>
      </c>
      <c r="H193" s="5">
        <f>VLOOKUP($A193,'Master File June-26'!$C$3:$L$670,8,0)</f>
        <v>14</v>
      </c>
      <c r="I193" s="5">
        <f>VLOOKUP($A193,'Master File June-26'!$C$3:$L$670,9,0)</f>
        <v>4.5045045045045038</v>
      </c>
      <c r="J193" s="5">
        <f>VLOOKUP($A193,'Master File June-26'!$C$3:$L$670,10,0)</f>
        <v>0</v>
      </c>
      <c r="K193" s="24">
        <f t="shared" si="6"/>
        <v>0</v>
      </c>
      <c r="L193" s="25" t="str">
        <f t="shared" si="7"/>
        <v>ORDER NOW</v>
      </c>
      <c r="M193" s="25" t="str">
        <f t="shared" si="8"/>
        <v>CRITICAL</v>
      </c>
      <c r="N193" s="79">
        <v>1</v>
      </c>
    </row>
    <row r="194" spans="1:14" ht="18.75" x14ac:dyDescent="0.25">
      <c r="A194" s="41" t="s">
        <v>1269</v>
      </c>
      <c r="B194" s="28" t="s">
        <v>1270</v>
      </c>
      <c r="C194" s="27" t="s">
        <v>1271</v>
      </c>
      <c r="D194" s="5" t="s">
        <v>22</v>
      </c>
      <c r="E194" s="21">
        <v>0.42735042735042739</v>
      </c>
      <c r="F194" s="22">
        <f>VLOOKUP($A194,'Master File June-26'!$C$3:$L$670,6,0)</f>
        <v>36</v>
      </c>
      <c r="G194" s="22">
        <f>VLOOKUP($A194,'Master File June-26'!$C$3:$L$670,7,0)</f>
        <v>84.24</v>
      </c>
      <c r="H194" s="5">
        <f>VLOOKUP($A194,'Master File June-26'!$C$3:$L$670,8,0)</f>
        <v>14</v>
      </c>
      <c r="I194" s="5">
        <f>VLOOKUP($A194,'Master File June-26'!$C$3:$L$670,9,0)</f>
        <v>42.12</v>
      </c>
      <c r="J194" s="5">
        <f>VLOOKUP($A194,'Master File June-26'!$C$3:$L$670,10,0)</f>
        <v>7.02</v>
      </c>
      <c r="K194" s="24">
        <f t="shared" si="6"/>
        <v>2.5</v>
      </c>
      <c r="L194" s="25" t="str">
        <f t="shared" si="7"/>
        <v>ORDER NOW</v>
      </c>
      <c r="M194" s="25" t="str">
        <f t="shared" si="8"/>
        <v>CRITICAL</v>
      </c>
      <c r="N194" s="79">
        <v>1</v>
      </c>
    </row>
    <row r="195" spans="1:14" ht="18.75" x14ac:dyDescent="0.25">
      <c r="A195" s="41" t="s">
        <v>1272</v>
      </c>
      <c r="B195" s="28" t="s">
        <v>1273</v>
      </c>
      <c r="C195" s="27" t="s">
        <v>1274</v>
      </c>
      <c r="D195" s="5" t="s">
        <v>22</v>
      </c>
      <c r="E195" s="21">
        <v>0.11261261261261263</v>
      </c>
      <c r="F195" s="22">
        <f>VLOOKUP($A195,'Master File June-26'!$C$3:$L$670,6,0)</f>
        <v>28</v>
      </c>
      <c r="G195" s="22">
        <f>VLOOKUP($A195,'Master File June-26'!$C$3:$L$670,7,0)</f>
        <v>248.63999999999996</v>
      </c>
      <c r="H195" s="5">
        <f>VLOOKUP($A195,'Master File June-26'!$C$3:$L$670,8,0)</f>
        <v>14</v>
      </c>
      <c r="I195" s="5">
        <f>VLOOKUP($A195,'Master File June-26'!$C$3:$L$670,9,0)</f>
        <v>124.31999999999998</v>
      </c>
      <c r="J195" s="5">
        <f>VLOOKUP($A195,'Master File June-26'!$C$3:$L$670,10,0)</f>
        <v>0</v>
      </c>
      <c r="K195" s="24">
        <f t="shared" ref="K195:K258" si="9">IFERROR((J195/G195*30),0)</f>
        <v>0</v>
      </c>
      <c r="L195" s="25" t="str">
        <f t="shared" ref="L195:L258" si="10">IF(K195&lt;H195,"ORDER NOW","IN STOCK")</f>
        <v>ORDER NOW</v>
      </c>
      <c r="M195" s="25" t="str">
        <f t="shared" ref="M195:M258" si="11">IF(K195&lt;H195,"CRITICAL","FOLLOW UP DELIVERY")</f>
        <v>CRITICAL</v>
      </c>
      <c r="N195" s="79">
        <v>1</v>
      </c>
    </row>
    <row r="196" spans="1:14" ht="18.75" x14ac:dyDescent="0.25">
      <c r="A196" s="41" t="s">
        <v>1278</v>
      </c>
      <c r="B196" s="40" t="s">
        <v>1279</v>
      </c>
      <c r="C196" s="31" t="s">
        <v>22</v>
      </c>
      <c r="D196" s="5" t="s">
        <v>22</v>
      </c>
      <c r="E196" s="21">
        <v>1</v>
      </c>
      <c r="F196" s="22">
        <f>VLOOKUP($A196,'Master File June-26'!$C$3:$L$670,6,0)</f>
        <v>1</v>
      </c>
      <c r="G196" s="22">
        <f>VLOOKUP($A196,'Master File June-26'!$C$3:$L$670,7,0)</f>
        <v>1</v>
      </c>
      <c r="H196" s="5">
        <f>VLOOKUP($A196,'Master File June-26'!$C$3:$L$670,8,0)</f>
        <v>14</v>
      </c>
      <c r="I196" s="5">
        <f>VLOOKUP($A196,'Master File June-26'!$C$3:$L$670,9,0)</f>
        <v>0.5</v>
      </c>
      <c r="J196" s="5">
        <f>VLOOKUP($A196,'Master File June-26'!$C$3:$L$670,10,0)</f>
        <v>0</v>
      </c>
      <c r="K196" s="24">
        <f t="shared" si="9"/>
        <v>0</v>
      </c>
      <c r="L196" s="25" t="str">
        <f t="shared" si="10"/>
        <v>ORDER NOW</v>
      </c>
      <c r="M196" s="25" t="str">
        <f t="shared" si="11"/>
        <v>CRITICAL</v>
      </c>
      <c r="N196" s="79">
        <v>0</v>
      </c>
    </row>
    <row r="197" spans="1:14" ht="18.75" x14ac:dyDescent="0.25">
      <c r="A197" s="41" t="s">
        <v>1282</v>
      </c>
      <c r="B197" s="28" t="s">
        <v>1283</v>
      </c>
      <c r="C197" s="27" t="s">
        <v>1284</v>
      </c>
      <c r="D197" s="5" t="s">
        <v>89</v>
      </c>
      <c r="E197" s="21">
        <v>8.1666666666666665E-2</v>
      </c>
      <c r="F197" s="22">
        <f>VLOOKUP($A197,'Master File June-26'!$C$3:$L$670,6,0)</f>
        <v>1</v>
      </c>
      <c r="G197" s="22">
        <f>VLOOKUP($A197,'Master File June-26'!$C$3:$L$670,7,0)</f>
        <v>12.244897959183673</v>
      </c>
      <c r="H197" s="5">
        <f>VLOOKUP($A197,'Master File June-26'!$C$3:$L$670,8,0)</f>
        <v>14</v>
      </c>
      <c r="I197" s="5">
        <f>VLOOKUP($A197,'Master File June-26'!$C$3:$L$670,9,0)</f>
        <v>6.1224489795918364</v>
      </c>
      <c r="J197" s="5">
        <f>VLOOKUP($A197,'Master File June-26'!$C$3:$L$670,10,0)</f>
        <v>0</v>
      </c>
      <c r="K197" s="24">
        <f t="shared" si="9"/>
        <v>0</v>
      </c>
      <c r="L197" s="25" t="str">
        <f t="shared" si="10"/>
        <v>ORDER NOW</v>
      </c>
      <c r="M197" s="25" t="str">
        <f t="shared" si="11"/>
        <v>CRITICAL</v>
      </c>
      <c r="N197" s="79">
        <v>1</v>
      </c>
    </row>
    <row r="198" spans="1:14" ht="18.75" x14ac:dyDescent="0.25">
      <c r="A198" s="41" t="s">
        <v>1285</v>
      </c>
      <c r="B198" s="45" t="s">
        <v>1286</v>
      </c>
      <c r="C198" s="31" t="s">
        <v>64</v>
      </c>
      <c r="D198" s="5" t="s">
        <v>49</v>
      </c>
      <c r="E198" s="21">
        <v>1</v>
      </c>
      <c r="F198" s="22">
        <f>VLOOKUP($A198,'Master File June-26'!$C$3:$L$670,6,0)</f>
        <v>1</v>
      </c>
      <c r="G198" s="22">
        <f>VLOOKUP($A198,'Master File June-26'!$C$3:$L$670,7,0)</f>
        <v>1</v>
      </c>
      <c r="H198" s="5">
        <f>VLOOKUP($A198,'Master File June-26'!$C$3:$L$670,8,0)</f>
        <v>14</v>
      </c>
      <c r="I198" s="5">
        <f>VLOOKUP($A198,'Master File June-26'!$C$3:$L$670,9,0)</f>
        <v>0.5</v>
      </c>
      <c r="J198" s="5">
        <f>VLOOKUP($A198,'Master File June-26'!$C$3:$L$670,10,0)</f>
        <v>0</v>
      </c>
      <c r="K198" s="24">
        <f t="shared" si="9"/>
        <v>0</v>
      </c>
      <c r="L198" s="25" t="str">
        <f t="shared" si="10"/>
        <v>ORDER NOW</v>
      </c>
      <c r="M198" s="25" t="str">
        <f t="shared" si="11"/>
        <v>CRITICAL</v>
      </c>
      <c r="N198" s="79">
        <v>1</v>
      </c>
    </row>
    <row r="199" spans="1:14" ht="18.75" x14ac:dyDescent="0.25">
      <c r="A199" s="41" t="s">
        <v>1287</v>
      </c>
      <c r="B199" s="45" t="s">
        <v>1288</v>
      </c>
      <c r="C199" s="31" t="s">
        <v>22</v>
      </c>
      <c r="D199" s="5" t="s">
        <v>22</v>
      </c>
      <c r="E199" s="21">
        <v>0.18518518518518517</v>
      </c>
      <c r="F199" s="22">
        <f>VLOOKUP($A199,'Master File June-26'!$C$3:$L$670,6,0)</f>
        <v>1</v>
      </c>
      <c r="G199" s="22">
        <f>VLOOKUP($A199,'Master File June-26'!$C$3:$L$670,7,0)</f>
        <v>5.4</v>
      </c>
      <c r="H199" s="5">
        <f>VLOOKUP($A199,'Master File June-26'!$C$3:$L$670,8,0)</f>
        <v>14</v>
      </c>
      <c r="I199" s="5">
        <f>VLOOKUP($A199,'Master File June-26'!$C$3:$L$670,9,0)</f>
        <v>2.7</v>
      </c>
      <c r="J199" s="5">
        <f>VLOOKUP($A199,'Master File June-26'!$C$3:$L$670,10,0)</f>
        <v>2</v>
      </c>
      <c r="K199" s="24">
        <f t="shared" si="9"/>
        <v>11.111111111111111</v>
      </c>
      <c r="L199" s="25" t="str">
        <f t="shared" si="10"/>
        <v>ORDER NOW</v>
      </c>
      <c r="M199" s="25" t="str">
        <f t="shared" si="11"/>
        <v>CRITICAL</v>
      </c>
      <c r="N199" s="79">
        <v>1</v>
      </c>
    </row>
    <row r="200" spans="1:14" ht="18.75" x14ac:dyDescent="0.25">
      <c r="A200" s="41" t="s">
        <v>1289</v>
      </c>
      <c r="B200" s="30" t="s">
        <v>1290</v>
      </c>
      <c r="C200" s="6" t="s">
        <v>1291</v>
      </c>
      <c r="D200" s="5" t="s">
        <v>64</v>
      </c>
      <c r="E200" s="21">
        <v>0.10508617065994115</v>
      </c>
      <c r="F200" s="22">
        <f>VLOOKUP($A200,'Master File June-26'!$C$3:$L$670,6,0)</f>
        <v>1</v>
      </c>
      <c r="G200" s="22">
        <f>VLOOKUP($A200,'Master File June-26'!$C$3:$L$670,7,0)</f>
        <v>9.516</v>
      </c>
      <c r="H200" s="5">
        <f>VLOOKUP($A200,'Master File June-26'!$C$3:$L$670,8,0)</f>
        <v>14</v>
      </c>
      <c r="I200" s="5">
        <f>VLOOKUP($A200,'Master File June-26'!$C$3:$L$670,9,0)</f>
        <v>4.758</v>
      </c>
      <c r="J200" s="5">
        <f>VLOOKUP($A200,'Master File June-26'!$C$3:$L$670,10,0)</f>
        <v>0</v>
      </c>
      <c r="K200" s="24">
        <f t="shared" si="9"/>
        <v>0</v>
      </c>
      <c r="L200" s="25" t="str">
        <f t="shared" si="10"/>
        <v>ORDER NOW</v>
      </c>
      <c r="M200" s="25" t="str">
        <f t="shared" si="11"/>
        <v>CRITICAL</v>
      </c>
      <c r="N200" s="79">
        <v>1</v>
      </c>
    </row>
    <row r="201" spans="1:14" ht="18.75" x14ac:dyDescent="0.25">
      <c r="A201" s="41" t="s">
        <v>1292</v>
      </c>
      <c r="B201" s="28" t="s">
        <v>1293</v>
      </c>
      <c r="C201" s="27" t="s">
        <v>1294</v>
      </c>
      <c r="D201" s="5" t="s">
        <v>22</v>
      </c>
      <c r="E201" s="21">
        <v>0.16666666666666666</v>
      </c>
      <c r="F201" s="22">
        <f>VLOOKUP($A201,'Master File June-26'!$C$3:$L$670,6,0)</f>
        <v>10</v>
      </c>
      <c r="G201" s="22">
        <f>VLOOKUP($A201,'Master File June-26'!$C$3:$L$670,7,0)</f>
        <v>60</v>
      </c>
      <c r="H201" s="5">
        <f>VLOOKUP($A201,'Master File June-26'!$C$3:$L$670,8,0)</f>
        <v>14</v>
      </c>
      <c r="I201" s="5">
        <f>VLOOKUP($A201,'Master File June-26'!$C$3:$L$670,9,0)</f>
        <v>30</v>
      </c>
      <c r="J201" s="5">
        <f>VLOOKUP($A201,'Master File June-26'!$C$3:$L$670,10,0)</f>
        <v>0</v>
      </c>
      <c r="K201" s="24">
        <f t="shared" si="9"/>
        <v>0</v>
      </c>
      <c r="L201" s="25" t="str">
        <f t="shared" si="10"/>
        <v>ORDER NOW</v>
      </c>
      <c r="M201" s="25" t="str">
        <f t="shared" si="11"/>
        <v>CRITICAL</v>
      </c>
      <c r="N201" s="79">
        <v>1</v>
      </c>
    </row>
    <row r="202" spans="1:14" ht="18.75" x14ac:dyDescent="0.25">
      <c r="A202" s="41" t="s">
        <v>1295</v>
      </c>
      <c r="B202" s="28" t="s">
        <v>1296</v>
      </c>
      <c r="C202" s="27" t="s">
        <v>160</v>
      </c>
      <c r="D202" s="5" t="s">
        <v>49</v>
      </c>
      <c r="E202" s="21">
        <v>1</v>
      </c>
      <c r="F202" s="22">
        <f>VLOOKUP($A202,'Master File June-26'!$C$3:$L$670,6,0)</f>
        <v>30</v>
      </c>
      <c r="G202" s="22">
        <f>VLOOKUP($A202,'Master File June-26'!$C$3:$L$670,7,0)</f>
        <v>30</v>
      </c>
      <c r="H202" s="5">
        <f>VLOOKUP($A202,'Master File June-26'!$C$3:$L$670,8,0)</f>
        <v>14</v>
      </c>
      <c r="I202" s="5">
        <f>VLOOKUP($A202,'Master File June-26'!$C$3:$L$670,9,0)</f>
        <v>15</v>
      </c>
      <c r="J202" s="5">
        <f>VLOOKUP($A202,'Master File June-26'!$C$3:$L$670,10,0)</f>
        <v>0</v>
      </c>
      <c r="K202" s="24">
        <f t="shared" si="9"/>
        <v>0</v>
      </c>
      <c r="L202" s="25" t="str">
        <f t="shared" si="10"/>
        <v>ORDER NOW</v>
      </c>
      <c r="M202" s="25" t="str">
        <f t="shared" si="11"/>
        <v>CRITICAL</v>
      </c>
      <c r="N202" s="79">
        <v>1</v>
      </c>
    </row>
    <row r="203" spans="1:14" ht="18.75" x14ac:dyDescent="0.25">
      <c r="A203" s="41" t="s">
        <v>1308</v>
      </c>
      <c r="B203" s="28" t="s">
        <v>1309</v>
      </c>
      <c r="C203" s="27" t="s">
        <v>1310</v>
      </c>
      <c r="D203" s="5" t="s">
        <v>22</v>
      </c>
      <c r="E203" s="21">
        <v>8.3333333333333329E-2</v>
      </c>
      <c r="F203" s="22">
        <f>VLOOKUP($A203,'Master File June-26'!$C$3:$L$670,6,0)</f>
        <v>16</v>
      </c>
      <c r="G203" s="22">
        <f>VLOOKUP($A203,'Master File June-26'!$C$3:$L$670,7,0)</f>
        <v>192</v>
      </c>
      <c r="H203" s="5">
        <f>VLOOKUP($A203,'Master File June-26'!$C$3:$L$670,8,0)</f>
        <v>14</v>
      </c>
      <c r="I203" s="5">
        <f>VLOOKUP($A203,'Master File June-26'!$C$3:$L$670,9,0)</f>
        <v>96</v>
      </c>
      <c r="J203" s="5">
        <f>VLOOKUP($A203,'Master File June-26'!$C$3:$L$670,10,0)</f>
        <v>36</v>
      </c>
      <c r="K203" s="24">
        <f t="shared" si="9"/>
        <v>5.625</v>
      </c>
      <c r="L203" s="25" t="str">
        <f t="shared" si="10"/>
        <v>ORDER NOW</v>
      </c>
      <c r="M203" s="25" t="str">
        <f t="shared" si="11"/>
        <v>CRITICAL</v>
      </c>
      <c r="N203" s="79">
        <v>0</v>
      </c>
    </row>
    <row r="204" spans="1:14" ht="18.75" x14ac:dyDescent="0.25">
      <c r="A204" s="41" t="s">
        <v>1311</v>
      </c>
      <c r="B204" s="118" t="s">
        <v>1312</v>
      </c>
      <c r="C204" s="31" t="s">
        <v>890</v>
      </c>
      <c r="D204" s="5" t="s">
        <v>22</v>
      </c>
      <c r="E204" s="21">
        <v>0.23809523809523814</v>
      </c>
      <c r="F204" s="22">
        <f>VLOOKUP($A204,'Master File June-26'!$C$3:$L$670,6,0)</f>
        <v>23.5</v>
      </c>
      <c r="G204" s="22">
        <f>VLOOKUP($A204,'Master File June-26'!$C$3:$L$670,7,0)</f>
        <v>98.699999999999989</v>
      </c>
      <c r="H204" s="5">
        <f>VLOOKUP($A204,'Master File June-26'!$C$3:$L$670,8,0)</f>
        <v>14</v>
      </c>
      <c r="I204" s="5">
        <f>VLOOKUP($A204,'Master File June-26'!$C$3:$L$670,9,0)</f>
        <v>49.349999999999994</v>
      </c>
      <c r="J204" s="5">
        <f>VLOOKUP($A204,'Master File June-26'!$C$3:$L$670,10,0)</f>
        <v>0</v>
      </c>
      <c r="K204" s="24">
        <f t="shared" si="9"/>
        <v>0</v>
      </c>
      <c r="L204" s="25" t="str">
        <f t="shared" si="10"/>
        <v>ORDER NOW</v>
      </c>
      <c r="M204" s="25" t="str">
        <f t="shared" si="11"/>
        <v>CRITICAL</v>
      </c>
      <c r="N204" s="79">
        <v>1</v>
      </c>
    </row>
    <row r="205" spans="1:14" ht="18.75" x14ac:dyDescent="0.25">
      <c r="A205" s="41" t="s">
        <v>1313</v>
      </c>
      <c r="B205" s="28" t="s">
        <v>1314</v>
      </c>
      <c r="C205" s="27" t="s">
        <v>1315</v>
      </c>
      <c r="D205" s="5" t="s">
        <v>22</v>
      </c>
      <c r="E205" s="21">
        <v>6.9444444444444441E-3</v>
      </c>
      <c r="F205" s="22">
        <f>VLOOKUP($A205,'Master File June-26'!$C$3:$L$670,6,0)</f>
        <v>60.5</v>
      </c>
      <c r="G205" s="22">
        <f>VLOOKUP($A205,'Master File June-26'!$C$3:$L$670,7,0)</f>
        <v>8712.0000000000055</v>
      </c>
      <c r="H205" s="5">
        <f>VLOOKUP($A205,'Master File June-26'!$C$3:$L$670,8,0)</f>
        <v>14</v>
      </c>
      <c r="I205" s="5">
        <f>VLOOKUP($A205,'Master File June-26'!$C$3:$L$670,9,0)</f>
        <v>4356.0000000000027</v>
      </c>
      <c r="J205" s="5">
        <f>VLOOKUP($A205,'Master File June-26'!$C$3:$L$670,10,0)</f>
        <v>28.704000000000001</v>
      </c>
      <c r="K205" s="24">
        <f t="shared" si="9"/>
        <v>9.8842975206611505E-2</v>
      </c>
      <c r="L205" s="25" t="str">
        <f t="shared" si="10"/>
        <v>ORDER NOW</v>
      </c>
      <c r="M205" s="25" t="str">
        <f t="shared" si="11"/>
        <v>CRITICAL</v>
      </c>
      <c r="N205" s="79">
        <v>0</v>
      </c>
    </row>
    <row r="206" spans="1:14" ht="18.75" x14ac:dyDescent="0.25">
      <c r="A206" s="41" t="s">
        <v>1321</v>
      </c>
      <c r="B206" s="28" t="s">
        <v>1322</v>
      </c>
      <c r="C206" s="27" t="s">
        <v>67</v>
      </c>
      <c r="D206" s="5" t="s">
        <v>49</v>
      </c>
      <c r="E206" s="21">
        <v>2</v>
      </c>
      <c r="F206" s="22">
        <f>VLOOKUP($A206,'Master File June-26'!$C$3:$L$670,6,0)</f>
        <v>44</v>
      </c>
      <c r="G206" s="22">
        <f>VLOOKUP($A206,'Master File June-26'!$C$3:$L$670,7,0)</f>
        <v>22</v>
      </c>
      <c r="H206" s="5">
        <f>VLOOKUP($A206,'Master File June-26'!$C$3:$L$670,8,0)</f>
        <v>14</v>
      </c>
      <c r="I206" s="5">
        <f>VLOOKUP($A206,'Master File June-26'!$C$3:$L$670,9,0)</f>
        <v>11</v>
      </c>
      <c r="J206" s="5">
        <f>VLOOKUP($A206,'Master File June-26'!$C$3:$L$670,10,0)</f>
        <v>0</v>
      </c>
      <c r="K206" s="24">
        <f t="shared" si="9"/>
        <v>0</v>
      </c>
      <c r="L206" s="25" t="str">
        <f t="shared" si="10"/>
        <v>ORDER NOW</v>
      </c>
      <c r="M206" s="25" t="str">
        <f t="shared" si="11"/>
        <v>CRITICAL</v>
      </c>
      <c r="N206" s="79">
        <v>1</v>
      </c>
    </row>
    <row r="207" spans="1:14" ht="18.75" x14ac:dyDescent="0.25">
      <c r="A207" s="41" t="s">
        <v>1323</v>
      </c>
      <c r="B207" s="40" t="s">
        <v>1324</v>
      </c>
      <c r="C207" s="31" t="s">
        <v>22</v>
      </c>
      <c r="D207" s="5" t="s">
        <v>22</v>
      </c>
      <c r="E207" s="21">
        <v>1</v>
      </c>
      <c r="F207" s="22">
        <f>VLOOKUP($A207,'Master File June-26'!$C$3:$L$670,6,0)</f>
        <v>5</v>
      </c>
      <c r="G207" s="22">
        <f>VLOOKUP($A207,'Master File June-26'!$C$3:$L$670,7,0)</f>
        <v>5</v>
      </c>
      <c r="H207" s="5">
        <f>VLOOKUP($A207,'Master File June-26'!$C$3:$L$670,8,0)</f>
        <v>14</v>
      </c>
      <c r="I207" s="5">
        <f>VLOOKUP($A207,'Master File June-26'!$C$3:$L$670,9,0)</f>
        <v>2.5</v>
      </c>
      <c r="J207" s="5">
        <f>VLOOKUP($A207,'Master File June-26'!$C$3:$L$670,10,0)</f>
        <v>0</v>
      </c>
      <c r="K207" s="24">
        <f t="shared" si="9"/>
        <v>0</v>
      </c>
      <c r="L207" s="25" t="str">
        <f t="shared" si="10"/>
        <v>ORDER NOW</v>
      </c>
      <c r="M207" s="25" t="str">
        <f t="shared" si="11"/>
        <v>CRITICAL</v>
      </c>
      <c r="N207" s="79">
        <v>1</v>
      </c>
    </row>
    <row r="208" spans="1:14" ht="18.75" x14ac:dyDescent="0.25">
      <c r="A208" s="41" t="s">
        <v>1330</v>
      </c>
      <c r="B208" s="28" t="s">
        <v>1331</v>
      </c>
      <c r="C208" s="27" t="s">
        <v>1332</v>
      </c>
      <c r="D208" s="5" t="s">
        <v>22</v>
      </c>
      <c r="E208" s="21">
        <v>0.5</v>
      </c>
      <c r="F208" s="22">
        <f>VLOOKUP($A208,'Master File June-26'!$C$3:$L$670,6,0)</f>
        <v>100</v>
      </c>
      <c r="G208" s="22">
        <f>VLOOKUP($A208,'Master File June-26'!$C$3:$L$670,7,0)</f>
        <v>200</v>
      </c>
      <c r="H208" s="5">
        <f>VLOOKUP($A208,'Master File June-26'!$C$3:$L$670,8,0)</f>
        <v>14</v>
      </c>
      <c r="I208" s="5">
        <f>VLOOKUP($A208,'Master File June-26'!$C$3:$L$670,9,0)</f>
        <v>100</v>
      </c>
      <c r="J208" s="5">
        <f>VLOOKUP($A208,'Master File June-26'!$C$3:$L$670,10,0)</f>
        <v>0</v>
      </c>
      <c r="K208" s="24">
        <f t="shared" si="9"/>
        <v>0</v>
      </c>
      <c r="L208" s="25" t="str">
        <f t="shared" si="10"/>
        <v>ORDER NOW</v>
      </c>
      <c r="M208" s="25" t="str">
        <f t="shared" si="11"/>
        <v>CRITICAL</v>
      </c>
      <c r="N208" s="79">
        <v>0</v>
      </c>
    </row>
    <row r="209" spans="1:14" ht="18.75" x14ac:dyDescent="0.25">
      <c r="A209" s="41" t="s">
        <v>1335</v>
      </c>
      <c r="B209" s="20" t="s">
        <v>1336</v>
      </c>
      <c r="C209" s="34" t="s">
        <v>64</v>
      </c>
      <c r="D209" s="5" t="s">
        <v>49</v>
      </c>
      <c r="E209" s="21">
        <v>1</v>
      </c>
      <c r="F209" s="22">
        <f>VLOOKUP($A209,'Master File June-26'!$C$3:$L$670,6,0)</f>
        <v>3</v>
      </c>
      <c r="G209" s="22">
        <f>VLOOKUP($A209,'Master File June-26'!$C$3:$L$670,7,0)</f>
        <v>3</v>
      </c>
      <c r="H209" s="5">
        <f>VLOOKUP($A209,'Master File June-26'!$C$3:$L$670,8,0)</f>
        <v>14</v>
      </c>
      <c r="I209" s="5">
        <f>VLOOKUP($A209,'Master File June-26'!$C$3:$L$670,9,0)</f>
        <v>1.5</v>
      </c>
      <c r="J209" s="5">
        <f>VLOOKUP($A209,'Master File June-26'!$C$3:$L$670,10,0)</f>
        <v>0</v>
      </c>
      <c r="K209" s="24">
        <f t="shared" si="9"/>
        <v>0</v>
      </c>
      <c r="L209" s="25" t="str">
        <f t="shared" si="10"/>
        <v>ORDER NOW</v>
      </c>
      <c r="M209" s="25" t="str">
        <f t="shared" si="11"/>
        <v>CRITICAL</v>
      </c>
      <c r="N209" s="79">
        <v>1</v>
      </c>
    </row>
    <row r="210" spans="1:14" ht="18.75" x14ac:dyDescent="0.25">
      <c r="A210" s="41" t="s">
        <v>1341</v>
      </c>
      <c r="B210" s="28" t="s">
        <v>1342</v>
      </c>
      <c r="C210" s="28" t="s">
        <v>64</v>
      </c>
      <c r="D210" s="5" t="s">
        <v>49</v>
      </c>
      <c r="E210" s="21">
        <v>0.04</v>
      </c>
      <c r="F210" s="22">
        <f>VLOOKUP($A210,'Master File June-26'!$C$3:$L$670,6,0)</f>
        <v>30</v>
      </c>
      <c r="G210" s="22">
        <f>VLOOKUP($A210,'Master File June-26'!$C$3:$L$670,7,0)</f>
        <v>750</v>
      </c>
      <c r="H210" s="5">
        <f>VLOOKUP($A210,'Master File June-26'!$C$3:$L$670,8,0)</f>
        <v>14</v>
      </c>
      <c r="I210" s="5">
        <f>VLOOKUP($A210,'Master File June-26'!$C$3:$L$670,9,0)</f>
        <v>375</v>
      </c>
      <c r="J210" s="5">
        <f>VLOOKUP($A210,'Master File June-26'!$C$3:$L$670,10,0)</f>
        <v>0</v>
      </c>
      <c r="K210" s="24">
        <f t="shared" si="9"/>
        <v>0</v>
      </c>
      <c r="L210" s="25" t="str">
        <f t="shared" si="10"/>
        <v>ORDER NOW</v>
      </c>
      <c r="M210" s="25" t="str">
        <f t="shared" si="11"/>
        <v>CRITICAL</v>
      </c>
      <c r="N210" s="79">
        <v>1</v>
      </c>
    </row>
    <row r="211" spans="1:14" ht="18.75" x14ac:dyDescent="0.25">
      <c r="A211" s="41" t="s">
        <v>1345</v>
      </c>
      <c r="B211" s="40" t="s">
        <v>1346</v>
      </c>
      <c r="C211" s="34" t="s">
        <v>64</v>
      </c>
      <c r="D211" s="5" t="s">
        <v>49</v>
      </c>
      <c r="E211" s="21">
        <v>1</v>
      </c>
      <c r="F211" s="22">
        <f>VLOOKUP($A211,'Master File June-26'!$C$3:$L$670,6,0)</f>
        <v>1</v>
      </c>
      <c r="G211" s="22">
        <f>VLOOKUP($A211,'Master File June-26'!$C$3:$L$670,7,0)</f>
        <v>1</v>
      </c>
      <c r="H211" s="5">
        <f>VLOOKUP($A211,'Master File June-26'!$C$3:$L$670,8,0)</f>
        <v>14</v>
      </c>
      <c r="I211" s="5">
        <f>VLOOKUP($A211,'Master File June-26'!$C$3:$L$670,9,0)</f>
        <v>0.5</v>
      </c>
      <c r="J211" s="5">
        <f>VLOOKUP($A211,'Master File June-26'!$C$3:$L$670,10,0)</f>
        <v>0</v>
      </c>
      <c r="K211" s="24">
        <f t="shared" si="9"/>
        <v>0</v>
      </c>
      <c r="L211" s="25" t="str">
        <f t="shared" si="10"/>
        <v>ORDER NOW</v>
      </c>
      <c r="M211" s="25" t="str">
        <f t="shared" si="11"/>
        <v>CRITICAL</v>
      </c>
      <c r="N211" s="79">
        <v>0</v>
      </c>
    </row>
    <row r="212" spans="1:14" ht="18.75" x14ac:dyDescent="0.25">
      <c r="A212" s="41" t="s">
        <v>1350</v>
      </c>
      <c r="B212" s="40" t="s">
        <v>1351</v>
      </c>
      <c r="C212" s="34" t="s">
        <v>22</v>
      </c>
      <c r="D212" s="5" t="s">
        <v>22</v>
      </c>
      <c r="E212" s="21">
        <v>3.3333333333333333E-2</v>
      </c>
      <c r="F212" s="22">
        <f>VLOOKUP($A212,'Master File June-26'!$C$3:$L$670,6,0)</f>
        <v>20</v>
      </c>
      <c r="G212" s="22">
        <f>VLOOKUP($A212,'Master File June-26'!$C$3:$L$670,7,0)</f>
        <v>600</v>
      </c>
      <c r="H212" s="5">
        <f>VLOOKUP($A212,'Master File June-26'!$C$3:$L$670,8,0)</f>
        <v>14</v>
      </c>
      <c r="I212" s="5">
        <f>VLOOKUP($A212,'Master File June-26'!$C$3:$L$670,9,0)</f>
        <v>300</v>
      </c>
      <c r="J212" s="5">
        <f>VLOOKUP($A212,'Master File June-26'!$C$3:$L$670,10,0)</f>
        <v>240</v>
      </c>
      <c r="K212" s="24">
        <f t="shared" si="9"/>
        <v>12</v>
      </c>
      <c r="L212" s="25" t="str">
        <f t="shared" si="10"/>
        <v>ORDER NOW</v>
      </c>
      <c r="M212" s="25" t="str">
        <f t="shared" si="11"/>
        <v>CRITICAL</v>
      </c>
      <c r="N212" s="79">
        <v>0</v>
      </c>
    </row>
    <row r="213" spans="1:14" ht="18.75" x14ac:dyDescent="0.25">
      <c r="A213" s="41" t="s">
        <v>1352</v>
      </c>
      <c r="B213" s="33" t="s">
        <v>1353</v>
      </c>
      <c r="C213" s="28" t="s">
        <v>890</v>
      </c>
      <c r="D213" s="5" t="s">
        <v>22</v>
      </c>
      <c r="E213" s="21">
        <v>0.23809523809523814</v>
      </c>
      <c r="F213" s="22">
        <f>VLOOKUP($A213,'Master File June-26'!$C$3:$L$670,6,0)</f>
        <v>30</v>
      </c>
      <c r="G213" s="22">
        <f>VLOOKUP($A213,'Master File June-26'!$C$3:$L$670,7,0)</f>
        <v>125.99999999999997</v>
      </c>
      <c r="H213" s="5">
        <f>VLOOKUP($A213,'Master File June-26'!$C$3:$L$670,8,0)</f>
        <v>14</v>
      </c>
      <c r="I213" s="5">
        <f>VLOOKUP($A213,'Master File June-26'!$C$3:$L$670,9,0)</f>
        <v>62.999999999999986</v>
      </c>
      <c r="J213" s="5">
        <f>VLOOKUP($A213,'Master File June-26'!$C$3:$L$670,10,0)</f>
        <v>24</v>
      </c>
      <c r="K213" s="24">
        <f t="shared" si="9"/>
        <v>5.7142857142857153</v>
      </c>
      <c r="L213" s="25" t="str">
        <f t="shared" si="10"/>
        <v>ORDER NOW</v>
      </c>
      <c r="M213" s="25" t="str">
        <f t="shared" si="11"/>
        <v>CRITICAL</v>
      </c>
      <c r="N213" s="79">
        <v>1</v>
      </c>
    </row>
    <row r="214" spans="1:14" ht="18.75" x14ac:dyDescent="0.25">
      <c r="A214" s="41" t="s">
        <v>1354</v>
      </c>
      <c r="B214" s="28" t="s">
        <v>1355</v>
      </c>
      <c r="C214" s="28" t="s">
        <v>1356</v>
      </c>
      <c r="D214" s="5" t="s">
        <v>49</v>
      </c>
      <c r="E214" s="21">
        <v>0.25</v>
      </c>
      <c r="F214" s="22">
        <f>VLOOKUP($A214,'Master File June-26'!$C$3:$L$670,6,0)</f>
        <v>50</v>
      </c>
      <c r="G214" s="22">
        <f>VLOOKUP($A214,'Master File June-26'!$C$3:$L$670,7,0)</f>
        <v>200</v>
      </c>
      <c r="H214" s="5">
        <f>VLOOKUP($A214,'Master File June-26'!$C$3:$L$670,8,0)</f>
        <v>14</v>
      </c>
      <c r="I214" s="5">
        <f>VLOOKUP($A214,'Master File June-26'!$C$3:$L$670,9,0)</f>
        <v>100</v>
      </c>
      <c r="J214" s="5">
        <f>VLOOKUP($A214,'Master File June-26'!$C$3:$L$670,10,0)</f>
        <v>0</v>
      </c>
      <c r="K214" s="24">
        <f t="shared" si="9"/>
        <v>0</v>
      </c>
      <c r="L214" s="25" t="str">
        <f t="shared" si="10"/>
        <v>ORDER NOW</v>
      </c>
      <c r="M214" s="25" t="str">
        <f t="shared" si="11"/>
        <v>CRITICAL</v>
      </c>
      <c r="N214" s="79">
        <v>1</v>
      </c>
    </row>
    <row r="215" spans="1:14" ht="18.75" x14ac:dyDescent="0.25">
      <c r="A215" s="41" t="s">
        <v>1357</v>
      </c>
      <c r="B215" s="28" t="s">
        <v>1358</v>
      </c>
      <c r="C215" s="28" t="s">
        <v>1359</v>
      </c>
      <c r="D215" s="5" t="s">
        <v>22</v>
      </c>
      <c r="E215" s="21">
        <v>8.3333333333333329E-2</v>
      </c>
      <c r="F215" s="22">
        <f>VLOOKUP($A215,'Master File June-26'!$C$3:$L$670,6,0)</f>
        <v>34</v>
      </c>
      <c r="G215" s="22">
        <f>VLOOKUP($A215,'Master File June-26'!$C$3:$L$670,7,0)</f>
        <v>408</v>
      </c>
      <c r="H215" s="5">
        <f>VLOOKUP($A215,'Master File June-26'!$C$3:$L$670,8,0)</f>
        <v>14</v>
      </c>
      <c r="I215" s="5">
        <f>VLOOKUP($A215,'Master File June-26'!$C$3:$L$670,9,0)</f>
        <v>204</v>
      </c>
      <c r="J215" s="5">
        <f>VLOOKUP($A215,'Master File June-26'!$C$3:$L$670,10,0)</f>
        <v>0</v>
      </c>
      <c r="K215" s="24">
        <f t="shared" si="9"/>
        <v>0</v>
      </c>
      <c r="L215" s="25" t="str">
        <f t="shared" si="10"/>
        <v>ORDER NOW</v>
      </c>
      <c r="M215" s="25" t="str">
        <f t="shared" si="11"/>
        <v>CRITICAL</v>
      </c>
      <c r="N215" s="79">
        <v>1</v>
      </c>
    </row>
    <row r="216" spans="1:14" ht="18.75" x14ac:dyDescent="0.25">
      <c r="A216" s="41" t="s">
        <v>1360</v>
      </c>
      <c r="B216" s="28" t="s">
        <v>1361</v>
      </c>
      <c r="C216" s="28" t="s">
        <v>1362</v>
      </c>
      <c r="D216" s="5" t="s">
        <v>49</v>
      </c>
      <c r="E216" s="21">
        <v>6.6666666666666666E-2</v>
      </c>
      <c r="F216" s="22">
        <f>VLOOKUP($A216,'Master File June-26'!$C$3:$L$670,6,0)</f>
        <v>125</v>
      </c>
      <c r="G216" s="22">
        <f>VLOOKUP($A216,'Master File June-26'!$C$3:$L$670,7,0)</f>
        <v>1875</v>
      </c>
      <c r="H216" s="5">
        <f>VLOOKUP($A216,'Master File June-26'!$C$3:$L$670,8,0)</f>
        <v>14</v>
      </c>
      <c r="I216" s="5">
        <f>VLOOKUP($A216,'Master File June-26'!$C$3:$L$670,9,0)</f>
        <v>937.5</v>
      </c>
      <c r="J216" s="5">
        <f>VLOOKUP($A216,'Master File June-26'!$C$3:$L$670,10,0)</f>
        <v>0</v>
      </c>
      <c r="K216" s="24">
        <f t="shared" si="9"/>
        <v>0</v>
      </c>
      <c r="L216" s="25" t="str">
        <f t="shared" si="10"/>
        <v>ORDER NOW</v>
      </c>
      <c r="M216" s="25" t="str">
        <f t="shared" si="11"/>
        <v>CRITICAL</v>
      </c>
      <c r="N216" s="79">
        <v>1</v>
      </c>
    </row>
    <row r="217" spans="1:14" ht="18.75" x14ac:dyDescent="0.25">
      <c r="A217" s="41" t="s">
        <v>1365</v>
      </c>
      <c r="B217" s="119" t="s">
        <v>1366</v>
      </c>
      <c r="C217" s="28" t="s">
        <v>1367</v>
      </c>
      <c r="D217" s="5" t="s">
        <v>22</v>
      </c>
      <c r="E217" s="21">
        <v>2E-3</v>
      </c>
      <c r="F217" s="22">
        <f>VLOOKUP($A217,'Master File June-26'!$C$3:$L$670,6,0)</f>
        <v>40</v>
      </c>
      <c r="G217" s="22">
        <f>VLOOKUP($A217,'Master File June-26'!$C$3:$L$670,7,0)</f>
        <v>20000</v>
      </c>
      <c r="H217" s="5">
        <f>VLOOKUP($A217,'Master File June-26'!$C$3:$L$670,8,0)</f>
        <v>14</v>
      </c>
      <c r="I217" s="5">
        <f>VLOOKUP($A217,'Master File June-26'!$C$3:$L$670,9,0)</f>
        <v>10000</v>
      </c>
      <c r="J217" s="5">
        <f>VLOOKUP($A217,'Master File June-26'!$C$3:$L$670,10,0)</f>
        <v>57200</v>
      </c>
      <c r="K217" s="24">
        <f t="shared" si="9"/>
        <v>85.8</v>
      </c>
      <c r="L217" s="25" t="str">
        <f t="shared" si="10"/>
        <v>IN STOCK</v>
      </c>
      <c r="M217" s="25" t="str">
        <f t="shared" si="11"/>
        <v>FOLLOW UP DELIVERY</v>
      </c>
      <c r="N217" s="79">
        <v>1</v>
      </c>
    </row>
    <row r="218" spans="1:14" ht="18.75" x14ac:dyDescent="0.25">
      <c r="A218" s="41" t="s">
        <v>1373</v>
      </c>
      <c r="B218" s="28" t="s">
        <v>1374</v>
      </c>
      <c r="C218" s="28" t="s">
        <v>1375</v>
      </c>
      <c r="D218" s="5" t="s">
        <v>49</v>
      </c>
      <c r="E218" s="21">
        <v>0.05</v>
      </c>
      <c r="F218" s="22">
        <f>VLOOKUP($A218,'Master File June-26'!$C$3:$L$670,6,0)</f>
        <v>50</v>
      </c>
      <c r="G218" s="22">
        <f>VLOOKUP($A218,'Master File June-26'!$C$3:$L$670,7,0)</f>
        <v>1000</v>
      </c>
      <c r="H218" s="5">
        <f>VLOOKUP($A218,'Master File June-26'!$C$3:$L$670,8,0)</f>
        <v>14</v>
      </c>
      <c r="I218" s="5">
        <f>VLOOKUP($A218,'Master File June-26'!$C$3:$L$670,9,0)</f>
        <v>500</v>
      </c>
      <c r="J218" s="5">
        <f>VLOOKUP($A218,'Master File June-26'!$C$3:$L$670,10,0)</f>
        <v>0</v>
      </c>
      <c r="K218" s="24">
        <f t="shared" si="9"/>
        <v>0</v>
      </c>
      <c r="L218" s="25" t="str">
        <f t="shared" si="10"/>
        <v>ORDER NOW</v>
      </c>
      <c r="M218" s="25" t="str">
        <f t="shared" si="11"/>
        <v>CRITICAL</v>
      </c>
      <c r="N218" s="79">
        <v>1</v>
      </c>
    </row>
    <row r="219" spans="1:14" ht="18.75" x14ac:dyDescent="0.25">
      <c r="A219" s="41" t="s">
        <v>1378</v>
      </c>
      <c r="B219" s="28" t="s">
        <v>1379</v>
      </c>
      <c r="C219" s="28" t="s">
        <v>1380</v>
      </c>
      <c r="D219" s="5" t="s">
        <v>22</v>
      </c>
      <c r="E219" s="21">
        <v>0.22222222222222221</v>
      </c>
      <c r="F219" s="22">
        <f>VLOOKUP($A219,'Master File June-26'!$C$3:$L$670,6,0)</f>
        <v>27.5</v>
      </c>
      <c r="G219" s="22">
        <f>VLOOKUP($A219,'Master File June-26'!$C$3:$L$670,7,0)</f>
        <v>123.75</v>
      </c>
      <c r="H219" s="5">
        <f>VLOOKUP($A219,'Master File June-26'!$C$3:$L$670,8,0)</f>
        <v>14</v>
      </c>
      <c r="I219" s="5">
        <f>VLOOKUP($A219,'Master File June-26'!$C$3:$L$670,9,0)</f>
        <v>61.875</v>
      </c>
      <c r="J219" s="5">
        <f>VLOOKUP($A219,'Master File June-26'!$C$3:$L$670,10,0)</f>
        <v>6</v>
      </c>
      <c r="K219" s="24">
        <f t="shared" si="9"/>
        <v>1.4545454545454546</v>
      </c>
      <c r="L219" s="25" t="str">
        <f t="shared" si="10"/>
        <v>ORDER NOW</v>
      </c>
      <c r="M219" s="25" t="str">
        <f t="shared" si="11"/>
        <v>CRITICAL</v>
      </c>
      <c r="N219" s="79">
        <v>1</v>
      </c>
    </row>
    <row r="220" spans="1:14" ht="18.75" x14ac:dyDescent="0.25">
      <c r="A220" s="41" t="s">
        <v>1381</v>
      </c>
      <c r="B220" s="28" t="s">
        <v>1382</v>
      </c>
      <c r="C220" s="28" t="s">
        <v>1383</v>
      </c>
      <c r="D220" s="5" t="s">
        <v>22</v>
      </c>
      <c r="E220" s="21">
        <v>0.1</v>
      </c>
      <c r="F220" s="22">
        <f>VLOOKUP($A220,'Master File June-26'!$C$3:$L$670,6,0)</f>
        <v>313.5</v>
      </c>
      <c r="G220" s="22">
        <f>VLOOKUP($A220,'Master File June-26'!$C$3:$L$670,7,0)</f>
        <v>3135</v>
      </c>
      <c r="H220" s="5">
        <f>VLOOKUP($A220,'Master File June-26'!$C$3:$L$670,8,0)</f>
        <v>14</v>
      </c>
      <c r="I220" s="5">
        <f>VLOOKUP($A220,'Master File June-26'!$C$3:$L$670,9,0)</f>
        <v>1567.5</v>
      </c>
      <c r="J220" s="5">
        <f>VLOOKUP($A220,'Master File June-26'!$C$3:$L$670,10,0)</f>
        <v>950</v>
      </c>
      <c r="K220" s="24">
        <f t="shared" si="9"/>
        <v>9.0909090909090917</v>
      </c>
      <c r="L220" s="25" t="str">
        <f t="shared" si="10"/>
        <v>ORDER NOW</v>
      </c>
      <c r="M220" s="25" t="str">
        <f t="shared" si="11"/>
        <v>CRITICAL</v>
      </c>
      <c r="N220" s="79">
        <v>0</v>
      </c>
    </row>
    <row r="221" spans="1:14" ht="18.75" x14ac:dyDescent="0.25">
      <c r="A221" s="41" t="s">
        <v>1386</v>
      </c>
      <c r="B221" s="40" t="s">
        <v>1387</v>
      </c>
      <c r="C221" s="34" t="s">
        <v>22</v>
      </c>
      <c r="D221" s="5" t="s">
        <v>22</v>
      </c>
      <c r="E221" s="21">
        <v>1</v>
      </c>
      <c r="F221" s="22">
        <f>VLOOKUP($A221,'Master File June-26'!$C$3:$L$670,6,0)</f>
        <v>2</v>
      </c>
      <c r="G221" s="22">
        <f>VLOOKUP($A221,'Master File June-26'!$C$3:$L$670,7,0)</f>
        <v>2</v>
      </c>
      <c r="H221" s="5">
        <f>VLOOKUP($A221,'Master File June-26'!$C$3:$L$670,8,0)</f>
        <v>14</v>
      </c>
      <c r="I221" s="5">
        <f>VLOOKUP($A221,'Master File June-26'!$C$3:$L$670,9,0)</f>
        <v>1</v>
      </c>
      <c r="J221" s="5">
        <f>VLOOKUP($A221,'Master File June-26'!$C$3:$L$670,10,0)</f>
        <v>4.8</v>
      </c>
      <c r="K221" s="24">
        <f t="shared" si="9"/>
        <v>72</v>
      </c>
      <c r="L221" s="25" t="str">
        <f t="shared" si="10"/>
        <v>IN STOCK</v>
      </c>
      <c r="M221" s="25" t="str">
        <f t="shared" si="11"/>
        <v>FOLLOW UP DELIVERY</v>
      </c>
      <c r="N221" s="79">
        <v>1</v>
      </c>
    </row>
    <row r="222" spans="1:14" ht="18.75" x14ac:dyDescent="0.25">
      <c r="A222" s="41" t="s">
        <v>1388</v>
      </c>
      <c r="B222" s="47" t="s">
        <v>1389</v>
      </c>
      <c r="C222" s="34" t="s">
        <v>22</v>
      </c>
      <c r="D222" s="5" t="s">
        <v>22</v>
      </c>
      <c r="E222" s="21">
        <v>0.25</v>
      </c>
      <c r="F222" s="22">
        <f>VLOOKUP($A222,'Master File June-26'!$C$3:$L$670,6,0)</f>
        <v>1</v>
      </c>
      <c r="G222" s="22">
        <f>VLOOKUP($A222,'Master File June-26'!$C$3:$L$670,7,0)</f>
        <v>4</v>
      </c>
      <c r="H222" s="5">
        <f>VLOOKUP($A222,'Master File June-26'!$C$3:$L$670,8,0)</f>
        <v>14</v>
      </c>
      <c r="I222" s="5">
        <f>VLOOKUP($A222,'Master File June-26'!$C$3:$L$670,9,0)</f>
        <v>2</v>
      </c>
      <c r="J222" s="5">
        <f>VLOOKUP($A222,'Master File June-26'!$C$3:$L$670,10,0)</f>
        <v>0</v>
      </c>
      <c r="K222" s="24">
        <f t="shared" si="9"/>
        <v>0</v>
      </c>
      <c r="L222" s="25" t="str">
        <f t="shared" si="10"/>
        <v>ORDER NOW</v>
      </c>
      <c r="M222" s="25" t="str">
        <f t="shared" si="11"/>
        <v>CRITICAL</v>
      </c>
      <c r="N222" s="79">
        <v>1</v>
      </c>
    </row>
    <row r="223" spans="1:14" ht="18.75" x14ac:dyDescent="0.25">
      <c r="A223" s="41" t="s">
        <v>1390</v>
      </c>
      <c r="B223" s="40" t="s">
        <v>1391</v>
      </c>
      <c r="C223" s="34" t="s">
        <v>22</v>
      </c>
      <c r="D223" s="5" t="s">
        <v>22</v>
      </c>
      <c r="E223" s="21">
        <v>1</v>
      </c>
      <c r="F223" s="22">
        <f>VLOOKUP($A223,'Master File June-26'!$C$3:$L$670,6,0)</f>
        <v>1</v>
      </c>
      <c r="G223" s="22">
        <f>VLOOKUP($A223,'Master File June-26'!$C$3:$L$670,7,0)</f>
        <v>1</v>
      </c>
      <c r="H223" s="5">
        <f>VLOOKUP($A223,'Master File June-26'!$C$3:$L$670,8,0)</f>
        <v>14</v>
      </c>
      <c r="I223" s="5">
        <f>VLOOKUP($A223,'Master File June-26'!$C$3:$L$670,9,0)</f>
        <v>0.5</v>
      </c>
      <c r="J223" s="5">
        <f>VLOOKUP($A223,'Master File June-26'!$C$3:$L$670,10,0)</f>
        <v>0</v>
      </c>
      <c r="K223" s="24">
        <f t="shared" si="9"/>
        <v>0</v>
      </c>
      <c r="L223" s="25" t="str">
        <f t="shared" si="10"/>
        <v>ORDER NOW</v>
      </c>
      <c r="M223" s="25" t="str">
        <f t="shared" si="11"/>
        <v>CRITICAL</v>
      </c>
      <c r="N223" s="79">
        <v>1</v>
      </c>
    </row>
    <row r="224" spans="1:14" ht="18.75" x14ac:dyDescent="0.25">
      <c r="A224" s="41" t="s">
        <v>1398</v>
      </c>
      <c r="B224" s="28" t="s">
        <v>1399</v>
      </c>
      <c r="C224" s="28" t="s">
        <v>1400</v>
      </c>
      <c r="D224" s="5" t="s">
        <v>22</v>
      </c>
      <c r="E224" s="21">
        <v>0.16666666666666666</v>
      </c>
      <c r="F224" s="22">
        <f>VLOOKUP($A224,'Master File June-26'!$C$3:$L$670,6,0)</f>
        <v>10</v>
      </c>
      <c r="G224" s="22">
        <f>VLOOKUP($A224,'Master File June-26'!$C$3:$L$670,7,0)</f>
        <v>60</v>
      </c>
      <c r="H224" s="5">
        <f>VLOOKUP($A224,'Master File June-26'!$C$3:$L$670,8,0)</f>
        <v>14</v>
      </c>
      <c r="I224" s="5">
        <f>VLOOKUP($A224,'Master File June-26'!$C$3:$L$670,9,0)</f>
        <v>30</v>
      </c>
      <c r="J224" s="5">
        <f>VLOOKUP($A224,'Master File June-26'!$C$3:$L$670,10,0)</f>
        <v>0</v>
      </c>
      <c r="K224" s="24">
        <f t="shared" si="9"/>
        <v>0</v>
      </c>
      <c r="L224" s="25" t="str">
        <f t="shared" si="10"/>
        <v>ORDER NOW</v>
      </c>
      <c r="M224" s="25" t="str">
        <f t="shared" si="11"/>
        <v>CRITICAL</v>
      </c>
      <c r="N224" s="79">
        <v>0</v>
      </c>
    </row>
    <row r="225" spans="1:14" ht="18.75" x14ac:dyDescent="0.25">
      <c r="A225" s="41" t="s">
        <v>1401</v>
      </c>
      <c r="B225" s="28" t="s">
        <v>1402</v>
      </c>
      <c r="C225" s="28" t="s">
        <v>101</v>
      </c>
      <c r="D225" s="5" t="s">
        <v>22</v>
      </c>
      <c r="E225" s="21">
        <v>0.16666666666666666</v>
      </c>
      <c r="F225" s="22">
        <f>VLOOKUP($A225,'Master File June-26'!$C$3:$L$670,6,0)</f>
        <v>8</v>
      </c>
      <c r="G225" s="22">
        <f>VLOOKUP($A225,'Master File June-26'!$C$3:$L$670,7,0)</f>
        <v>48</v>
      </c>
      <c r="H225" s="5">
        <f>VLOOKUP($A225,'Master File June-26'!$C$3:$L$670,8,0)</f>
        <v>14</v>
      </c>
      <c r="I225" s="5">
        <f>VLOOKUP($A225,'Master File June-26'!$C$3:$L$670,9,0)</f>
        <v>24</v>
      </c>
      <c r="J225" s="5">
        <f>VLOOKUP($A225,'Master File June-26'!$C$3:$L$670,10,0)</f>
        <v>17</v>
      </c>
      <c r="K225" s="24">
        <f t="shared" si="9"/>
        <v>10.625</v>
      </c>
      <c r="L225" s="25" t="str">
        <f t="shared" si="10"/>
        <v>ORDER NOW</v>
      </c>
      <c r="M225" s="25" t="str">
        <f t="shared" si="11"/>
        <v>CRITICAL</v>
      </c>
      <c r="N225" s="79">
        <v>0</v>
      </c>
    </row>
    <row r="226" spans="1:14" ht="18.75" x14ac:dyDescent="0.25">
      <c r="A226" s="41" t="s">
        <v>1407</v>
      </c>
      <c r="B226" s="28" t="s">
        <v>1408</v>
      </c>
      <c r="C226" s="28" t="s">
        <v>1244</v>
      </c>
      <c r="D226" s="5" t="s">
        <v>22</v>
      </c>
      <c r="E226" s="21">
        <v>0.2</v>
      </c>
      <c r="F226" s="22">
        <f>VLOOKUP($A226,'Master File June-26'!$C$3:$L$670,6,0)</f>
        <v>88</v>
      </c>
      <c r="G226" s="22">
        <f>VLOOKUP($A226,'Master File June-26'!$C$3:$L$670,7,0)</f>
        <v>88000</v>
      </c>
      <c r="H226" s="5">
        <f>VLOOKUP($A226,'Master File June-26'!$C$3:$L$670,8,0)</f>
        <v>14</v>
      </c>
      <c r="I226" s="5">
        <f>VLOOKUP($A226,'Master File June-26'!$C$3:$L$670,9,0)</f>
        <v>44000</v>
      </c>
      <c r="J226" s="5">
        <f>VLOOKUP($A226,'Master File June-26'!$C$3:$L$670,10,0)</f>
        <v>0</v>
      </c>
      <c r="K226" s="24">
        <f t="shared" si="9"/>
        <v>0</v>
      </c>
      <c r="L226" s="25" t="str">
        <f t="shared" si="10"/>
        <v>ORDER NOW</v>
      </c>
      <c r="M226" s="25" t="str">
        <f t="shared" si="11"/>
        <v>CRITICAL</v>
      </c>
      <c r="N226" s="79">
        <v>1</v>
      </c>
    </row>
    <row r="227" spans="1:14" ht="18.75" x14ac:dyDescent="0.25">
      <c r="A227" s="41" t="s">
        <v>1411</v>
      </c>
      <c r="B227" s="28" t="s">
        <v>1412</v>
      </c>
      <c r="C227" s="28" t="s">
        <v>826</v>
      </c>
      <c r="D227" s="5" t="s">
        <v>49</v>
      </c>
      <c r="E227" s="21">
        <v>1</v>
      </c>
      <c r="F227" s="22">
        <f>VLOOKUP($A227,'Master File June-26'!$C$3:$L$670,6,0)</f>
        <v>8</v>
      </c>
      <c r="G227" s="22">
        <f>VLOOKUP($A227,'Master File June-26'!$C$3:$L$670,7,0)</f>
        <v>8</v>
      </c>
      <c r="H227" s="5">
        <f>VLOOKUP($A227,'Master File June-26'!$C$3:$L$670,8,0)</f>
        <v>14</v>
      </c>
      <c r="I227" s="5">
        <f>VLOOKUP($A227,'Master File June-26'!$C$3:$L$670,9,0)</f>
        <v>4</v>
      </c>
      <c r="J227" s="5">
        <f>VLOOKUP($A227,'Master File June-26'!$C$3:$L$670,10,0)</f>
        <v>0</v>
      </c>
      <c r="K227" s="24">
        <f t="shared" si="9"/>
        <v>0</v>
      </c>
      <c r="L227" s="25" t="str">
        <f t="shared" si="10"/>
        <v>ORDER NOW</v>
      </c>
      <c r="M227" s="25" t="str">
        <f t="shared" si="11"/>
        <v>CRITICAL</v>
      </c>
      <c r="N227" s="79">
        <v>1</v>
      </c>
    </row>
    <row r="228" spans="1:14" ht="18.75" x14ac:dyDescent="0.25">
      <c r="A228" s="41" t="s">
        <v>1416</v>
      </c>
      <c r="B228" s="30" t="s">
        <v>1417</v>
      </c>
      <c r="C228" s="30"/>
      <c r="D228" s="5"/>
      <c r="E228" s="21">
        <v>1</v>
      </c>
      <c r="F228" s="22">
        <f>VLOOKUP($A228,'Master File June-26'!$C$3:$L$670,6,0)</f>
        <v>27.5</v>
      </c>
      <c r="G228" s="22">
        <f>VLOOKUP($A228,'Master File June-26'!$C$3:$L$670,7,0)</f>
        <v>27.5</v>
      </c>
      <c r="H228" s="5">
        <f>VLOOKUP($A228,'Master File June-26'!$C$3:$L$670,8,0)</f>
        <v>14</v>
      </c>
      <c r="I228" s="5">
        <f>VLOOKUP($A228,'Master File June-26'!$C$3:$L$670,9,0)</f>
        <v>13.75</v>
      </c>
      <c r="J228" s="5">
        <f>VLOOKUP($A228,'Master File June-26'!$C$3:$L$670,10,0)</f>
        <v>0</v>
      </c>
      <c r="K228" s="24">
        <f t="shared" si="9"/>
        <v>0</v>
      </c>
      <c r="L228" s="25" t="str">
        <f t="shared" si="10"/>
        <v>ORDER NOW</v>
      </c>
      <c r="M228" s="25" t="str">
        <f t="shared" si="11"/>
        <v>CRITICAL</v>
      </c>
      <c r="N228" s="79">
        <v>1</v>
      </c>
    </row>
    <row r="229" spans="1:14" ht="18.75" x14ac:dyDescent="0.25">
      <c r="A229" s="41" t="s">
        <v>1432</v>
      </c>
      <c r="B229" s="55" t="s">
        <v>1433</v>
      </c>
      <c r="C229" s="34" t="s">
        <v>64</v>
      </c>
      <c r="D229" s="5" t="s">
        <v>49</v>
      </c>
      <c r="E229" s="21">
        <v>1</v>
      </c>
      <c r="F229" s="22">
        <f>VLOOKUP($A229,'Master File June-26'!$C$3:$L$670,6,0)</f>
        <v>5</v>
      </c>
      <c r="G229" s="22">
        <f>VLOOKUP($A229,'Master File June-26'!$C$3:$L$670,7,0)</f>
        <v>5</v>
      </c>
      <c r="H229" s="5">
        <f>VLOOKUP($A229,'Master File June-26'!$C$3:$L$670,8,0)</f>
        <v>14</v>
      </c>
      <c r="I229" s="5">
        <f>VLOOKUP($A229,'Master File June-26'!$C$3:$L$670,9,0)</f>
        <v>2.5</v>
      </c>
      <c r="J229" s="5">
        <f>VLOOKUP($A229,'Master File June-26'!$C$3:$L$670,10,0)</f>
        <v>0</v>
      </c>
      <c r="K229" s="24">
        <f t="shared" si="9"/>
        <v>0</v>
      </c>
      <c r="L229" s="25" t="str">
        <f t="shared" si="10"/>
        <v>ORDER NOW</v>
      </c>
      <c r="M229" s="25" t="str">
        <f t="shared" si="11"/>
        <v>CRITICAL</v>
      </c>
      <c r="N229" s="79">
        <v>1</v>
      </c>
    </row>
    <row r="230" spans="1:14" ht="18.75" x14ac:dyDescent="0.25">
      <c r="A230" s="41" t="s">
        <v>1436</v>
      </c>
      <c r="B230" s="40" t="s">
        <v>1437</v>
      </c>
      <c r="C230" s="34" t="s">
        <v>22</v>
      </c>
      <c r="D230" s="5" t="s">
        <v>22</v>
      </c>
      <c r="E230" s="21">
        <v>1</v>
      </c>
      <c r="F230" s="22">
        <f>VLOOKUP($A230,'Master File June-26'!$C$3:$L$670,6,0)</f>
        <v>1</v>
      </c>
      <c r="G230" s="22">
        <f>VLOOKUP($A230,'Master File June-26'!$C$3:$L$670,7,0)</f>
        <v>1</v>
      </c>
      <c r="H230" s="5">
        <f>VLOOKUP($A230,'Master File June-26'!$C$3:$L$670,8,0)</f>
        <v>14</v>
      </c>
      <c r="I230" s="5">
        <f>VLOOKUP($A230,'Master File June-26'!$C$3:$L$670,9,0)</f>
        <v>0.5</v>
      </c>
      <c r="J230" s="5">
        <f>VLOOKUP($A230,'Master File June-26'!$C$3:$L$670,10,0)</f>
        <v>0</v>
      </c>
      <c r="K230" s="24">
        <f t="shared" si="9"/>
        <v>0</v>
      </c>
      <c r="L230" s="25" t="str">
        <f t="shared" si="10"/>
        <v>ORDER NOW</v>
      </c>
      <c r="M230" s="25" t="str">
        <f t="shared" si="11"/>
        <v>CRITICAL</v>
      </c>
      <c r="N230" s="79">
        <v>1</v>
      </c>
    </row>
    <row r="231" spans="1:14" ht="18.75" x14ac:dyDescent="0.25">
      <c r="A231" s="41" t="s">
        <v>1438</v>
      </c>
      <c r="B231" s="28" t="s">
        <v>1439</v>
      </c>
      <c r="C231" s="28" t="s">
        <v>101</v>
      </c>
      <c r="D231" s="5" t="s">
        <v>22</v>
      </c>
      <c r="E231" s="21">
        <v>0.16666666666666666</v>
      </c>
      <c r="F231" s="22">
        <f>VLOOKUP($A231,'Master File June-26'!$C$3:$L$670,6,0)</f>
        <v>21</v>
      </c>
      <c r="G231" s="22">
        <f>VLOOKUP($A231,'Master File June-26'!$C$3:$L$670,7,0)</f>
        <v>126</v>
      </c>
      <c r="H231" s="5">
        <f>VLOOKUP($A231,'Master File June-26'!$C$3:$L$670,8,0)</f>
        <v>14</v>
      </c>
      <c r="I231" s="5">
        <f>VLOOKUP($A231,'Master File June-26'!$C$3:$L$670,9,0)</f>
        <v>63</v>
      </c>
      <c r="J231" s="5">
        <f>VLOOKUP($A231,'Master File June-26'!$C$3:$L$670,10,0)</f>
        <v>25</v>
      </c>
      <c r="K231" s="24">
        <f t="shared" si="9"/>
        <v>5.9523809523809517</v>
      </c>
      <c r="L231" s="25" t="str">
        <f t="shared" si="10"/>
        <v>ORDER NOW</v>
      </c>
      <c r="M231" s="25" t="str">
        <f t="shared" si="11"/>
        <v>CRITICAL</v>
      </c>
      <c r="N231" s="79">
        <v>0</v>
      </c>
    </row>
    <row r="232" spans="1:14" ht="18.75" x14ac:dyDescent="0.25">
      <c r="A232" s="41" t="s">
        <v>1440</v>
      </c>
      <c r="B232" s="28" t="s">
        <v>1441</v>
      </c>
      <c r="C232" s="28" t="s">
        <v>1442</v>
      </c>
      <c r="D232" s="5" t="s">
        <v>22</v>
      </c>
      <c r="E232" s="21">
        <v>0.11737089201877934</v>
      </c>
      <c r="F232" s="22">
        <f>VLOOKUP($A232,'Master File June-26'!$C$3:$L$670,6,0)</f>
        <v>15</v>
      </c>
      <c r="G232" s="22">
        <f>VLOOKUP($A232,'Master File June-26'!$C$3:$L$670,7,0)</f>
        <v>127.8</v>
      </c>
      <c r="H232" s="5">
        <f>VLOOKUP($A232,'Master File June-26'!$C$3:$L$670,8,0)</f>
        <v>14</v>
      </c>
      <c r="I232" s="5">
        <f>VLOOKUP($A232,'Master File June-26'!$C$3:$L$670,9,0)</f>
        <v>63.9</v>
      </c>
      <c r="J232" s="5">
        <f>VLOOKUP($A232,'Master File June-26'!$C$3:$L$670,10,0)</f>
        <v>153.36000000000001</v>
      </c>
      <c r="K232" s="24">
        <f t="shared" si="9"/>
        <v>36.000000000000007</v>
      </c>
      <c r="L232" s="25" t="str">
        <f t="shared" si="10"/>
        <v>IN STOCK</v>
      </c>
      <c r="M232" s="25" t="str">
        <f t="shared" si="11"/>
        <v>FOLLOW UP DELIVERY</v>
      </c>
      <c r="N232" s="79">
        <v>1</v>
      </c>
    </row>
    <row r="233" spans="1:14" ht="18.75" x14ac:dyDescent="0.25">
      <c r="A233" s="41" t="s">
        <v>1443</v>
      </c>
      <c r="B233" s="28" t="s">
        <v>1444</v>
      </c>
      <c r="C233" s="27" t="s">
        <v>1445</v>
      </c>
      <c r="D233" s="48" t="s">
        <v>49</v>
      </c>
      <c r="E233" s="21">
        <v>0.37037037037037035</v>
      </c>
      <c r="F233" s="22">
        <f>VLOOKUP($A233,'Master File June-26'!$C$3:$L$670,6,0)</f>
        <v>11</v>
      </c>
      <c r="G233" s="22">
        <f>VLOOKUP($A233,'Master File June-26'!$C$3:$L$670,7,0)</f>
        <v>29.700000000000003</v>
      </c>
      <c r="H233" s="5">
        <f>VLOOKUP($A233,'Master File June-26'!$C$3:$L$670,8,0)</f>
        <v>14</v>
      </c>
      <c r="I233" s="5">
        <f>VLOOKUP($A233,'Master File June-26'!$C$3:$L$670,9,0)</f>
        <v>14.850000000000001</v>
      </c>
      <c r="J233" s="5">
        <f>VLOOKUP($A233,'Master File June-26'!$C$3:$L$670,10,0)</f>
        <v>0</v>
      </c>
      <c r="K233" s="24">
        <f t="shared" si="9"/>
        <v>0</v>
      </c>
      <c r="L233" s="25" t="str">
        <f t="shared" si="10"/>
        <v>ORDER NOW</v>
      </c>
      <c r="M233" s="25" t="str">
        <f t="shared" si="11"/>
        <v>CRITICAL</v>
      </c>
      <c r="N233" s="79">
        <v>1</v>
      </c>
    </row>
    <row r="234" spans="1:14" ht="18.75" x14ac:dyDescent="0.25">
      <c r="A234" s="41" t="s">
        <v>1453</v>
      </c>
      <c r="B234" s="28" t="s">
        <v>1454</v>
      </c>
      <c r="C234" s="27" t="s">
        <v>101</v>
      </c>
      <c r="D234" s="5" t="s">
        <v>22</v>
      </c>
      <c r="E234" s="21">
        <v>0.16666666666666666</v>
      </c>
      <c r="F234" s="22">
        <f>VLOOKUP($A234,'Master File June-26'!$C$3:$L$670,6,0)</f>
        <v>30.5</v>
      </c>
      <c r="G234" s="22">
        <f>VLOOKUP($A234,'Master File June-26'!$C$3:$L$670,7,0)</f>
        <v>183</v>
      </c>
      <c r="H234" s="5">
        <f>VLOOKUP($A234,'Master File June-26'!$C$3:$L$670,8,0)</f>
        <v>14</v>
      </c>
      <c r="I234" s="5">
        <f>VLOOKUP($A234,'Master File June-26'!$C$3:$L$670,9,0)</f>
        <v>91.5</v>
      </c>
      <c r="J234" s="5">
        <f>VLOOKUP($A234,'Master File June-26'!$C$3:$L$670,10,0)</f>
        <v>198</v>
      </c>
      <c r="K234" s="24">
        <f t="shared" si="9"/>
        <v>32.459016393442624</v>
      </c>
      <c r="L234" s="25" t="str">
        <f t="shared" si="10"/>
        <v>IN STOCK</v>
      </c>
      <c r="M234" s="25" t="str">
        <f t="shared" si="11"/>
        <v>FOLLOW UP DELIVERY</v>
      </c>
      <c r="N234" s="79">
        <v>0</v>
      </c>
    </row>
    <row r="235" spans="1:14" ht="18.75" x14ac:dyDescent="0.25">
      <c r="A235" s="41" t="s">
        <v>1460</v>
      </c>
      <c r="B235" s="28" t="s">
        <v>1461</v>
      </c>
      <c r="C235" s="27" t="s">
        <v>1462</v>
      </c>
      <c r="D235" s="5" t="s">
        <v>22</v>
      </c>
      <c r="E235" s="21">
        <v>0.29411764705882354</v>
      </c>
      <c r="F235" s="22">
        <f>VLOOKUP($A235,'Master File June-26'!$C$3:$L$670,6,0)</f>
        <v>5</v>
      </c>
      <c r="G235" s="22">
        <f>VLOOKUP($A235,'Master File June-26'!$C$3:$L$670,7,0)</f>
        <v>17</v>
      </c>
      <c r="H235" s="5">
        <f>VLOOKUP($A235,'Master File June-26'!$C$3:$L$670,8,0)</f>
        <v>14</v>
      </c>
      <c r="I235" s="5">
        <f>VLOOKUP($A235,'Master File June-26'!$C$3:$L$670,9,0)</f>
        <v>8.5</v>
      </c>
      <c r="J235" s="5">
        <f>VLOOKUP($A235,'Master File June-26'!$C$3:$L$670,10,0)</f>
        <v>8.7119999999999997</v>
      </c>
      <c r="K235" s="24">
        <f t="shared" si="9"/>
        <v>15.374117647058824</v>
      </c>
      <c r="L235" s="25" t="str">
        <f t="shared" si="10"/>
        <v>IN STOCK</v>
      </c>
      <c r="M235" s="25" t="str">
        <f t="shared" si="11"/>
        <v>FOLLOW UP DELIVERY</v>
      </c>
      <c r="N235" s="79">
        <v>1</v>
      </c>
    </row>
    <row r="236" spans="1:14" ht="18.75" x14ac:dyDescent="0.25">
      <c r="A236" s="41" t="s">
        <v>1463</v>
      </c>
      <c r="B236" s="34" t="s">
        <v>1464</v>
      </c>
      <c r="C236" s="34" t="s">
        <v>1465</v>
      </c>
      <c r="D236" s="5" t="s">
        <v>49</v>
      </c>
      <c r="E236" s="21">
        <v>0.26455026455026459</v>
      </c>
      <c r="F236" s="22">
        <f>VLOOKUP($A236,'Master File June-26'!$C$3:$L$670,6,0)</f>
        <v>1</v>
      </c>
      <c r="G236" s="22">
        <f>VLOOKUP($A236,'Master File June-26'!$C$3:$L$670,7,0)</f>
        <v>3.7799999999999994</v>
      </c>
      <c r="H236" s="5">
        <f>VLOOKUP($A236,'Master File June-26'!$C$3:$L$670,8,0)</f>
        <v>14</v>
      </c>
      <c r="I236" s="5">
        <f>VLOOKUP($A236,'Master File June-26'!$C$3:$L$670,9,0)</f>
        <v>1.8899999999999997</v>
      </c>
      <c r="J236" s="5">
        <f>VLOOKUP($A236,'Master File June-26'!$C$3:$L$670,10,0)</f>
        <v>19</v>
      </c>
      <c r="K236" s="24">
        <f t="shared" si="9"/>
        <v>150.79365079365081</v>
      </c>
      <c r="L236" s="25" t="str">
        <f t="shared" si="10"/>
        <v>IN STOCK</v>
      </c>
      <c r="M236" s="25" t="str">
        <f t="shared" si="11"/>
        <v>FOLLOW UP DELIVERY</v>
      </c>
      <c r="N236" s="79">
        <v>1</v>
      </c>
    </row>
    <row r="237" spans="1:14" ht="18.75" x14ac:dyDescent="0.25">
      <c r="A237" s="41" t="s">
        <v>1466</v>
      </c>
      <c r="B237" s="105" t="s">
        <v>1467</v>
      </c>
      <c r="C237" s="34" t="s">
        <v>1468</v>
      </c>
      <c r="D237" s="5" t="s">
        <v>22</v>
      </c>
      <c r="E237" s="21">
        <v>1E-3</v>
      </c>
      <c r="F237" s="22">
        <f>VLOOKUP($A237,'Master File June-26'!$C$3:$L$670,6,0)</f>
        <v>25</v>
      </c>
      <c r="G237" s="22">
        <f>VLOOKUP($A237,'Master File June-26'!$C$3:$L$670,7,0)</f>
        <v>25000</v>
      </c>
      <c r="H237" s="5">
        <f>VLOOKUP($A237,'Master File June-26'!$C$3:$L$670,8,0)</f>
        <v>14</v>
      </c>
      <c r="I237" s="5">
        <f>VLOOKUP($A237,'Master File June-26'!$C$3:$L$670,9,0)</f>
        <v>12500</v>
      </c>
      <c r="J237" s="5">
        <f>VLOOKUP($A237,'Master File June-26'!$C$3:$L$670,10,0)</f>
        <v>17000</v>
      </c>
      <c r="K237" s="24">
        <f t="shared" si="9"/>
        <v>20.400000000000002</v>
      </c>
      <c r="L237" s="25" t="str">
        <f t="shared" si="10"/>
        <v>IN STOCK</v>
      </c>
      <c r="M237" s="25" t="str">
        <f t="shared" si="11"/>
        <v>FOLLOW UP DELIVERY</v>
      </c>
      <c r="N237" s="79">
        <v>1</v>
      </c>
    </row>
    <row r="238" spans="1:14" ht="18.75" x14ac:dyDescent="0.25">
      <c r="A238" s="41" t="s">
        <v>1471</v>
      </c>
      <c r="B238" s="30" t="s">
        <v>1472</v>
      </c>
      <c r="C238" s="30" t="s">
        <v>1473</v>
      </c>
      <c r="D238" s="5" t="s">
        <v>22</v>
      </c>
      <c r="E238" s="21">
        <v>1.5432098765432098E-4</v>
      </c>
      <c r="F238" s="22">
        <f>VLOOKUP($A238,'Master File June-26'!$C$3:$L$670,6,0)</f>
        <v>55</v>
      </c>
      <c r="G238" s="22">
        <f>VLOOKUP($A238,'Master File June-26'!$C$3:$L$670,7,0)</f>
        <v>356400</v>
      </c>
      <c r="H238" s="5">
        <f>VLOOKUP($A238,'Master File June-26'!$C$3:$L$670,8,0)</f>
        <v>14</v>
      </c>
      <c r="I238" s="5">
        <f>VLOOKUP($A238,'Master File June-26'!$C$3:$L$670,9,0)</f>
        <v>178200</v>
      </c>
      <c r="J238" s="5">
        <f>VLOOKUP($A238,'Master File June-26'!$C$3:$L$670,10,0)</f>
        <v>0</v>
      </c>
      <c r="K238" s="24">
        <f t="shared" si="9"/>
        <v>0</v>
      </c>
      <c r="L238" s="25" t="str">
        <f t="shared" si="10"/>
        <v>ORDER NOW</v>
      </c>
      <c r="M238" s="25" t="str">
        <f t="shared" si="11"/>
        <v>CRITICAL</v>
      </c>
      <c r="N238" s="79">
        <v>1</v>
      </c>
    </row>
    <row r="239" spans="1:14" ht="18.75" x14ac:dyDescent="0.25">
      <c r="A239" s="41" t="s">
        <v>1478</v>
      </c>
      <c r="B239" s="45" t="s">
        <v>1479</v>
      </c>
      <c r="C239" s="34" t="s">
        <v>22</v>
      </c>
      <c r="D239" s="5" t="s">
        <v>22</v>
      </c>
      <c r="E239" s="21">
        <v>1</v>
      </c>
      <c r="F239" s="22">
        <f>VLOOKUP($A239,'Master File June-26'!$C$3:$L$670,6,0)</f>
        <v>2</v>
      </c>
      <c r="G239" s="22">
        <f>VLOOKUP($A239,'Master File June-26'!$C$3:$L$670,7,0)</f>
        <v>2</v>
      </c>
      <c r="H239" s="5">
        <f>VLOOKUP($A239,'Master File June-26'!$C$3:$L$670,8,0)</f>
        <v>14</v>
      </c>
      <c r="I239" s="5">
        <f>VLOOKUP($A239,'Master File June-26'!$C$3:$L$670,9,0)</f>
        <v>1</v>
      </c>
      <c r="J239" s="5">
        <f>VLOOKUP($A239,'Master File June-26'!$C$3:$L$670,10,0)</f>
        <v>0</v>
      </c>
      <c r="K239" s="24">
        <f t="shared" si="9"/>
        <v>0</v>
      </c>
      <c r="L239" s="25" t="str">
        <f t="shared" si="10"/>
        <v>ORDER NOW</v>
      </c>
      <c r="M239" s="25" t="str">
        <f t="shared" si="11"/>
        <v>CRITICAL</v>
      </c>
      <c r="N239" s="79">
        <v>1</v>
      </c>
    </row>
    <row r="240" spans="1:14" ht="18.75" x14ac:dyDescent="0.25">
      <c r="A240" s="41" t="s">
        <v>1480</v>
      </c>
      <c r="B240" s="40" t="s">
        <v>1481</v>
      </c>
      <c r="C240" s="34" t="s">
        <v>22</v>
      </c>
      <c r="D240" s="5" t="s">
        <v>22</v>
      </c>
      <c r="E240" s="21">
        <v>1</v>
      </c>
      <c r="F240" s="22">
        <f>VLOOKUP($A240,'Master File June-26'!$C$3:$L$670,6,0)</f>
        <v>2</v>
      </c>
      <c r="G240" s="22">
        <f>VLOOKUP($A240,'Master File June-26'!$C$3:$L$670,7,0)</f>
        <v>80</v>
      </c>
      <c r="H240" s="5">
        <f>VLOOKUP($A240,'Master File June-26'!$C$3:$L$670,8,0)</f>
        <v>14</v>
      </c>
      <c r="I240" s="5">
        <f>VLOOKUP($A240,'Master File June-26'!$C$3:$L$670,9,0)</f>
        <v>40</v>
      </c>
      <c r="J240" s="5">
        <f>VLOOKUP($A240,'Master File June-26'!$C$3:$L$670,10,0)</f>
        <v>0</v>
      </c>
      <c r="K240" s="24">
        <f t="shared" si="9"/>
        <v>0</v>
      </c>
      <c r="L240" s="25" t="str">
        <f t="shared" si="10"/>
        <v>ORDER NOW</v>
      </c>
      <c r="M240" s="25" t="str">
        <f t="shared" si="11"/>
        <v>CRITICAL</v>
      </c>
      <c r="N240" s="79">
        <v>1</v>
      </c>
    </row>
    <row r="241" spans="1:14" ht="18.75" x14ac:dyDescent="0.25">
      <c r="A241" s="41" t="s">
        <v>1487</v>
      </c>
      <c r="B241" s="28" t="s">
        <v>1488</v>
      </c>
      <c r="C241" s="28" t="s">
        <v>1489</v>
      </c>
      <c r="D241" s="5" t="s">
        <v>22</v>
      </c>
      <c r="E241" s="21">
        <v>9.0909090909090912E-2</v>
      </c>
      <c r="F241" s="22">
        <f>VLOOKUP($A241,'Master File June-26'!$C$3:$L$670,6,0)</f>
        <v>5</v>
      </c>
      <c r="G241" s="22">
        <f>VLOOKUP($A241,'Master File June-26'!$C$3:$L$670,7,0)</f>
        <v>55</v>
      </c>
      <c r="H241" s="5">
        <f>VLOOKUP($A241,'Master File June-26'!$C$3:$L$670,8,0)</f>
        <v>14</v>
      </c>
      <c r="I241" s="5">
        <f>VLOOKUP($A241,'Master File June-26'!$C$3:$L$670,9,0)</f>
        <v>27.5</v>
      </c>
      <c r="J241" s="5">
        <f>VLOOKUP($A241,'Master File June-26'!$C$3:$L$670,10,0)</f>
        <v>0</v>
      </c>
      <c r="K241" s="24">
        <f t="shared" si="9"/>
        <v>0</v>
      </c>
      <c r="L241" s="25" t="str">
        <f t="shared" si="10"/>
        <v>ORDER NOW</v>
      </c>
      <c r="M241" s="25" t="str">
        <f t="shared" si="11"/>
        <v>CRITICAL</v>
      </c>
      <c r="N241" s="79">
        <v>1</v>
      </c>
    </row>
    <row r="242" spans="1:14" ht="18.75" x14ac:dyDescent="0.25">
      <c r="A242" s="41" t="s">
        <v>1490</v>
      </c>
      <c r="B242" s="27" t="s">
        <v>1491</v>
      </c>
      <c r="C242" s="28" t="s">
        <v>1492</v>
      </c>
      <c r="D242" s="5" t="s">
        <v>49</v>
      </c>
      <c r="E242" s="21">
        <v>6.6666666666666666E-2</v>
      </c>
      <c r="F242" s="22">
        <f>VLOOKUP($A242,'Master File June-26'!$C$3:$L$670,6,0)</f>
        <v>1</v>
      </c>
      <c r="G242" s="22">
        <f>VLOOKUP($A242,'Master File June-26'!$C$3:$L$670,7,0)</f>
        <v>15</v>
      </c>
      <c r="H242" s="5">
        <f>VLOOKUP($A242,'Master File June-26'!$C$3:$L$670,8,0)</f>
        <v>14</v>
      </c>
      <c r="I242" s="5">
        <f>VLOOKUP($A242,'Master File June-26'!$C$3:$L$670,9,0)</f>
        <v>7.5</v>
      </c>
      <c r="J242" s="5">
        <f>VLOOKUP($A242,'Master File June-26'!$C$3:$L$670,10,0)</f>
        <v>0</v>
      </c>
      <c r="K242" s="24">
        <f t="shared" si="9"/>
        <v>0</v>
      </c>
      <c r="L242" s="25" t="str">
        <f t="shared" si="10"/>
        <v>ORDER NOW</v>
      </c>
      <c r="M242" s="25" t="str">
        <f t="shared" si="11"/>
        <v>CRITICAL</v>
      </c>
      <c r="N242" s="79">
        <v>1</v>
      </c>
    </row>
    <row r="243" spans="1:14" ht="18.75" x14ac:dyDescent="0.25">
      <c r="A243" s="63" t="s">
        <v>1493</v>
      </c>
      <c r="B243" s="37" t="s">
        <v>1494</v>
      </c>
      <c r="C243" s="34" t="s">
        <v>22</v>
      </c>
      <c r="D243" s="5" t="s">
        <v>22</v>
      </c>
      <c r="E243" s="21">
        <v>1</v>
      </c>
      <c r="F243" s="22">
        <f>VLOOKUP($A243,'Master File June-26'!$C$3:$L$670,6,0)</f>
        <v>1</v>
      </c>
      <c r="G243" s="22">
        <f>VLOOKUP($A243,'Master File June-26'!$C$3:$L$670,7,0)</f>
        <v>1</v>
      </c>
      <c r="H243" s="5">
        <f>VLOOKUP($A243,'Master File June-26'!$C$3:$L$670,8,0)</f>
        <v>14</v>
      </c>
      <c r="I243" s="5">
        <f>VLOOKUP($A243,'Master File June-26'!$C$3:$L$670,9,0)</f>
        <v>0.5</v>
      </c>
      <c r="J243" s="5">
        <f>VLOOKUP($A243,'Master File June-26'!$C$3:$L$670,10,0)</f>
        <v>0</v>
      </c>
      <c r="K243" s="24">
        <f t="shared" si="9"/>
        <v>0</v>
      </c>
      <c r="L243" s="25" t="str">
        <f t="shared" si="10"/>
        <v>ORDER NOW</v>
      </c>
      <c r="M243" s="25" t="str">
        <f t="shared" si="11"/>
        <v>CRITICAL</v>
      </c>
      <c r="N243" s="79">
        <v>1</v>
      </c>
    </row>
    <row r="244" spans="1:14" ht="18.75" x14ac:dyDescent="0.25">
      <c r="A244" s="63" t="s">
        <v>1495</v>
      </c>
      <c r="B244" s="27" t="s">
        <v>1496</v>
      </c>
      <c r="C244" s="28" t="s">
        <v>1244</v>
      </c>
      <c r="D244" s="5" t="s">
        <v>22</v>
      </c>
      <c r="E244" s="21">
        <v>0.2</v>
      </c>
      <c r="F244" s="22">
        <f>VLOOKUP($A244,'Master File June-26'!$C$3:$L$670,6,0)</f>
        <v>27.5</v>
      </c>
      <c r="G244" s="22">
        <f>VLOOKUP($A244,'Master File June-26'!$C$3:$L$670,7,0)</f>
        <v>137.5</v>
      </c>
      <c r="H244" s="5">
        <f>VLOOKUP($A244,'Master File June-26'!$C$3:$L$670,8,0)</f>
        <v>14</v>
      </c>
      <c r="I244" s="5">
        <f>VLOOKUP($A244,'Master File June-26'!$C$3:$L$670,9,0)</f>
        <v>68.75</v>
      </c>
      <c r="J244" s="5">
        <f>VLOOKUP($A244,'Master File June-26'!$C$3:$L$670,10,0)</f>
        <v>105</v>
      </c>
      <c r="K244" s="24">
        <f t="shared" si="9"/>
        <v>22.90909090909091</v>
      </c>
      <c r="L244" s="25" t="str">
        <f t="shared" si="10"/>
        <v>IN STOCK</v>
      </c>
      <c r="M244" s="25" t="str">
        <f t="shared" si="11"/>
        <v>FOLLOW UP DELIVERY</v>
      </c>
      <c r="N244" s="79">
        <v>1</v>
      </c>
    </row>
    <row r="245" spans="1:14" ht="18.75" x14ac:dyDescent="0.25">
      <c r="A245" s="63" t="s">
        <v>1502</v>
      </c>
      <c r="B245" s="27" t="s">
        <v>1503</v>
      </c>
      <c r="C245" s="28" t="s">
        <v>1059</v>
      </c>
      <c r="D245" s="5" t="s">
        <v>54</v>
      </c>
      <c r="E245" s="21">
        <v>0.04</v>
      </c>
      <c r="F245" s="22">
        <f>VLOOKUP($A245,'Master File June-26'!$C$3:$L$670,6,0)</f>
        <v>8</v>
      </c>
      <c r="G245" s="22">
        <f>VLOOKUP($A245,'Master File June-26'!$C$3:$L$670,7,0)</f>
        <v>200</v>
      </c>
      <c r="H245" s="5">
        <f>VLOOKUP($A245,'Master File June-26'!$C$3:$L$670,8,0)</f>
        <v>14</v>
      </c>
      <c r="I245" s="5">
        <f>VLOOKUP($A245,'Master File June-26'!$C$3:$L$670,9,0)</f>
        <v>100</v>
      </c>
      <c r="J245" s="5">
        <f>VLOOKUP($A245,'Master File June-26'!$C$3:$L$670,10,0)</f>
        <v>0</v>
      </c>
      <c r="K245" s="24">
        <f t="shared" si="9"/>
        <v>0</v>
      </c>
      <c r="L245" s="25" t="str">
        <f t="shared" si="10"/>
        <v>ORDER NOW</v>
      </c>
      <c r="M245" s="25" t="str">
        <f t="shared" si="11"/>
        <v>CRITICAL</v>
      </c>
      <c r="N245" s="79">
        <v>0</v>
      </c>
    </row>
    <row r="246" spans="1:14" ht="18.75" x14ac:dyDescent="0.25">
      <c r="A246" s="63" t="s">
        <v>1504</v>
      </c>
      <c r="B246" s="27" t="s">
        <v>1505</v>
      </c>
      <c r="C246" s="28" t="s">
        <v>1506</v>
      </c>
      <c r="D246" s="5" t="s">
        <v>22</v>
      </c>
      <c r="E246" s="21">
        <v>0.2</v>
      </c>
      <c r="F246" s="22">
        <f>VLOOKUP($A246,'Master File June-26'!$C$3:$L$670,6,0)</f>
        <v>3</v>
      </c>
      <c r="G246" s="22">
        <f>VLOOKUP($A246,'Master File June-26'!$C$3:$L$670,7,0)</f>
        <v>15</v>
      </c>
      <c r="H246" s="5">
        <f>VLOOKUP($A246,'Master File June-26'!$C$3:$L$670,8,0)</f>
        <v>14</v>
      </c>
      <c r="I246" s="5">
        <f>VLOOKUP($A246,'Master File June-26'!$C$3:$L$670,9,0)</f>
        <v>7.5</v>
      </c>
      <c r="J246" s="5">
        <f>VLOOKUP($A246,'Master File June-26'!$C$3:$L$670,10,0)</f>
        <v>0</v>
      </c>
      <c r="K246" s="24">
        <f t="shared" si="9"/>
        <v>0</v>
      </c>
      <c r="L246" s="25" t="str">
        <f t="shared" si="10"/>
        <v>ORDER NOW</v>
      </c>
      <c r="M246" s="25" t="str">
        <f t="shared" si="11"/>
        <v>CRITICAL</v>
      </c>
      <c r="N246" s="79">
        <v>1</v>
      </c>
    </row>
    <row r="247" spans="1:14" ht="18.75" x14ac:dyDescent="0.25">
      <c r="A247" s="63" t="s">
        <v>1511</v>
      </c>
      <c r="B247" s="27" t="s">
        <v>1512</v>
      </c>
      <c r="C247" s="28" t="s">
        <v>101</v>
      </c>
      <c r="D247" s="5" t="s">
        <v>22</v>
      </c>
      <c r="E247" s="21">
        <v>0.16666666666666666</v>
      </c>
      <c r="F247" s="22">
        <f>VLOOKUP($A247,'Master File June-26'!$C$3:$L$670,6,0)</f>
        <v>21.75</v>
      </c>
      <c r="G247" s="22">
        <f>VLOOKUP($A247,'Master File June-26'!$C$3:$L$670,7,0)</f>
        <v>130.5</v>
      </c>
      <c r="H247" s="5">
        <f>VLOOKUP($A247,'Master File June-26'!$C$3:$L$670,8,0)</f>
        <v>14</v>
      </c>
      <c r="I247" s="5">
        <f>VLOOKUP($A247,'Master File June-26'!$C$3:$L$670,9,0)</f>
        <v>65.25</v>
      </c>
      <c r="J247" s="5">
        <f>VLOOKUP($A247,'Master File June-26'!$C$3:$L$670,10,0)</f>
        <v>67</v>
      </c>
      <c r="K247" s="24">
        <f t="shared" si="9"/>
        <v>15.402298850574713</v>
      </c>
      <c r="L247" s="25" t="str">
        <f t="shared" si="10"/>
        <v>IN STOCK</v>
      </c>
      <c r="M247" s="25" t="str">
        <f t="shared" si="11"/>
        <v>FOLLOW UP DELIVERY</v>
      </c>
      <c r="N247" s="79">
        <v>0</v>
      </c>
    </row>
    <row r="248" spans="1:14" ht="18.75" x14ac:dyDescent="0.25">
      <c r="A248" s="63" t="s">
        <v>1513</v>
      </c>
      <c r="B248" s="27" t="s">
        <v>1514</v>
      </c>
      <c r="C248" s="28" t="s">
        <v>1515</v>
      </c>
      <c r="D248" s="5" t="s">
        <v>22</v>
      </c>
      <c r="E248" s="21">
        <v>6.9444444444444441E-3</v>
      </c>
      <c r="F248" s="22">
        <f>VLOOKUP($A248,'Master File June-26'!$C$3:$L$670,6,0)</f>
        <v>1</v>
      </c>
      <c r="G248" s="22">
        <f>VLOOKUP($A248,'Master File June-26'!$C$3:$L$670,7,0)</f>
        <v>144</v>
      </c>
      <c r="H248" s="5">
        <f>VLOOKUP($A248,'Master File June-26'!$C$3:$L$670,8,0)</f>
        <v>14</v>
      </c>
      <c r="I248" s="5">
        <f>VLOOKUP($A248,'Master File June-26'!$C$3:$L$670,9,0)</f>
        <v>72</v>
      </c>
      <c r="J248" s="5">
        <f>VLOOKUP($A248,'Master File June-26'!$C$3:$L$670,10,0)</f>
        <v>0</v>
      </c>
      <c r="K248" s="24">
        <f t="shared" si="9"/>
        <v>0</v>
      </c>
      <c r="L248" s="25" t="str">
        <f t="shared" si="10"/>
        <v>ORDER NOW</v>
      </c>
      <c r="M248" s="25" t="str">
        <f t="shared" si="11"/>
        <v>CRITICAL</v>
      </c>
      <c r="N248" s="79">
        <v>1</v>
      </c>
    </row>
    <row r="249" spans="1:14" ht="18.75" x14ac:dyDescent="0.25">
      <c r="A249" s="63" t="s">
        <v>1521</v>
      </c>
      <c r="B249" s="27" t="s">
        <v>1522</v>
      </c>
      <c r="C249" s="28" t="s">
        <v>1442</v>
      </c>
      <c r="D249" s="5" t="s">
        <v>22</v>
      </c>
      <c r="E249" s="21">
        <v>0.11737089201877934</v>
      </c>
      <c r="F249" s="22">
        <f>VLOOKUP($A249,'Master File June-26'!$C$3:$L$670,6,0)</f>
        <v>12</v>
      </c>
      <c r="G249" s="22">
        <f>VLOOKUP($A249,'Master File June-26'!$C$3:$L$670,7,0)</f>
        <v>102.24</v>
      </c>
      <c r="H249" s="5">
        <f>VLOOKUP($A249,'Master File June-26'!$C$3:$L$670,8,0)</f>
        <v>14</v>
      </c>
      <c r="I249" s="5">
        <f>VLOOKUP($A249,'Master File June-26'!$C$3:$L$670,9,0)</f>
        <v>51.12</v>
      </c>
      <c r="J249" s="5">
        <f>VLOOKUP($A249,'Master File June-26'!$C$3:$L$670,10,0)</f>
        <v>42.6</v>
      </c>
      <c r="K249" s="24">
        <f t="shared" si="9"/>
        <v>12.5</v>
      </c>
      <c r="L249" s="25" t="str">
        <f t="shared" si="10"/>
        <v>ORDER NOW</v>
      </c>
      <c r="M249" s="25" t="str">
        <f t="shared" si="11"/>
        <v>CRITICAL</v>
      </c>
      <c r="N249" s="79">
        <v>1</v>
      </c>
    </row>
    <row r="250" spans="1:14" ht="18.75" x14ac:dyDescent="0.25">
      <c r="A250" s="63" t="s">
        <v>1523</v>
      </c>
      <c r="B250" s="27" t="s">
        <v>1524</v>
      </c>
      <c r="C250" s="28" t="s">
        <v>1525</v>
      </c>
      <c r="D250" s="5" t="s">
        <v>49</v>
      </c>
      <c r="E250" s="21">
        <v>1</v>
      </c>
      <c r="F250" s="22">
        <f>VLOOKUP($A250,'Master File June-26'!$C$3:$L$670,6,0)</f>
        <v>2</v>
      </c>
      <c r="G250" s="22">
        <f>VLOOKUP($A250,'Master File June-26'!$C$3:$L$670,7,0)</f>
        <v>2</v>
      </c>
      <c r="H250" s="5">
        <f>VLOOKUP($A250,'Master File June-26'!$C$3:$L$670,8,0)</f>
        <v>14</v>
      </c>
      <c r="I250" s="5">
        <f>VLOOKUP($A250,'Master File June-26'!$C$3:$L$670,9,0)</f>
        <v>1</v>
      </c>
      <c r="J250" s="5">
        <f>VLOOKUP($A250,'Master File June-26'!$C$3:$L$670,10,0)</f>
        <v>0</v>
      </c>
      <c r="K250" s="24">
        <f t="shared" si="9"/>
        <v>0</v>
      </c>
      <c r="L250" s="25" t="str">
        <f t="shared" si="10"/>
        <v>ORDER NOW</v>
      </c>
      <c r="M250" s="25" t="str">
        <f t="shared" si="11"/>
        <v>CRITICAL</v>
      </c>
      <c r="N250" s="79">
        <v>1</v>
      </c>
    </row>
    <row r="251" spans="1:14" ht="18.75" x14ac:dyDescent="0.25">
      <c r="A251" s="63" t="s">
        <v>1526</v>
      </c>
      <c r="B251" s="37" t="s">
        <v>1527</v>
      </c>
      <c r="C251" s="34" t="s">
        <v>22</v>
      </c>
      <c r="D251" s="5" t="s">
        <v>22</v>
      </c>
      <c r="E251" s="21">
        <v>1</v>
      </c>
      <c r="F251" s="22">
        <f>VLOOKUP($A251,'Master File June-26'!$C$3:$L$670,6,0)</f>
        <v>5</v>
      </c>
      <c r="G251" s="22">
        <f>VLOOKUP($A251,'Master File June-26'!$C$3:$L$670,7,0)</f>
        <v>5</v>
      </c>
      <c r="H251" s="5">
        <f>VLOOKUP($A251,'Master File June-26'!$C$3:$L$670,8,0)</f>
        <v>14</v>
      </c>
      <c r="I251" s="5">
        <f>VLOOKUP($A251,'Master File June-26'!$C$3:$L$670,9,0)</f>
        <v>2.5</v>
      </c>
      <c r="J251" s="5">
        <f>VLOOKUP($A251,'Master File June-26'!$C$3:$L$670,10,0)</f>
        <v>0.46700000000000003</v>
      </c>
      <c r="K251" s="24">
        <f t="shared" si="9"/>
        <v>2.8020000000000005</v>
      </c>
      <c r="L251" s="25" t="str">
        <f t="shared" si="10"/>
        <v>ORDER NOW</v>
      </c>
      <c r="M251" s="25" t="str">
        <f t="shared" si="11"/>
        <v>CRITICAL</v>
      </c>
      <c r="N251" s="79">
        <v>1</v>
      </c>
    </row>
    <row r="252" spans="1:14" ht="18.75" x14ac:dyDescent="0.25">
      <c r="A252" s="63" t="s">
        <v>1533</v>
      </c>
      <c r="B252" s="27" t="s">
        <v>1534</v>
      </c>
      <c r="C252" s="28" t="s">
        <v>1535</v>
      </c>
      <c r="D252" s="5" t="s">
        <v>22</v>
      </c>
      <c r="E252" s="21">
        <v>7.407407407407407E-2</v>
      </c>
      <c r="F252" s="22">
        <f>VLOOKUP($A252,'Master File June-26'!$C$3:$L$670,6,0)</f>
        <v>1</v>
      </c>
      <c r="G252" s="22">
        <f>VLOOKUP($A252,'Master File June-26'!$C$3:$L$670,7,0)</f>
        <v>13.5</v>
      </c>
      <c r="H252" s="5">
        <f>VLOOKUP($A252,'Master File June-26'!$C$3:$L$670,8,0)</f>
        <v>14</v>
      </c>
      <c r="I252" s="5">
        <f>VLOOKUP($A252,'Master File June-26'!$C$3:$L$670,9,0)</f>
        <v>6.75</v>
      </c>
      <c r="J252" s="5">
        <f>VLOOKUP($A252,'Master File June-26'!$C$3:$L$670,10,0)</f>
        <v>0</v>
      </c>
      <c r="K252" s="24">
        <f t="shared" si="9"/>
        <v>0</v>
      </c>
      <c r="L252" s="25" t="str">
        <f t="shared" si="10"/>
        <v>ORDER NOW</v>
      </c>
      <c r="M252" s="25" t="str">
        <f t="shared" si="11"/>
        <v>CRITICAL</v>
      </c>
      <c r="N252" s="79">
        <v>1</v>
      </c>
    </row>
    <row r="253" spans="1:14" ht="18.75" x14ac:dyDescent="0.25">
      <c r="A253" s="63" t="s">
        <v>1538</v>
      </c>
      <c r="B253" s="27" t="s">
        <v>1539</v>
      </c>
      <c r="C253" s="28" t="s">
        <v>1540</v>
      </c>
      <c r="D253" s="5" t="s">
        <v>22</v>
      </c>
      <c r="E253" s="21">
        <v>5.9523809523809534E-2</v>
      </c>
      <c r="F253" s="22">
        <f>VLOOKUP($A253,'Master File June-26'!$C$3:$L$670,6,0)</f>
        <v>6</v>
      </c>
      <c r="G253" s="22">
        <f>VLOOKUP($A253,'Master File June-26'!$C$3:$L$670,7,0)</f>
        <v>100.79999999999998</v>
      </c>
      <c r="H253" s="5">
        <f>VLOOKUP($A253,'Master File June-26'!$C$3:$L$670,8,0)</f>
        <v>14</v>
      </c>
      <c r="I253" s="5">
        <f>VLOOKUP($A253,'Master File June-26'!$C$3:$L$670,9,0)</f>
        <v>50.399999999999991</v>
      </c>
      <c r="J253" s="5">
        <f>VLOOKUP($A253,'Master File June-26'!$C$3:$L$670,10,0)</f>
        <v>0</v>
      </c>
      <c r="K253" s="24">
        <f t="shared" si="9"/>
        <v>0</v>
      </c>
      <c r="L253" s="25" t="str">
        <f t="shared" si="10"/>
        <v>ORDER NOW</v>
      </c>
      <c r="M253" s="25" t="str">
        <f t="shared" si="11"/>
        <v>CRITICAL</v>
      </c>
      <c r="N253" s="79">
        <v>1</v>
      </c>
    </row>
    <row r="254" spans="1:14" ht="18.75" x14ac:dyDescent="0.25">
      <c r="A254" s="63" t="s">
        <v>1541</v>
      </c>
      <c r="B254" s="27" t="s">
        <v>1542</v>
      </c>
      <c r="C254" s="27" t="s">
        <v>1543</v>
      </c>
      <c r="D254" s="5" t="s">
        <v>22</v>
      </c>
      <c r="E254" s="21">
        <v>5.9523809523809534E-2</v>
      </c>
      <c r="F254" s="22">
        <f>VLOOKUP($A254,'Master File June-26'!$C$3:$L$670,6,0)</f>
        <v>1</v>
      </c>
      <c r="G254" s="22">
        <f>VLOOKUP($A254,'Master File June-26'!$C$3:$L$670,7,0)</f>
        <v>25</v>
      </c>
      <c r="H254" s="5">
        <f>VLOOKUP($A254,'Master File June-26'!$C$3:$L$670,8,0)</f>
        <v>14</v>
      </c>
      <c r="I254" s="5">
        <f>VLOOKUP($A254,'Master File June-26'!$C$3:$L$670,9,0)</f>
        <v>12.5</v>
      </c>
      <c r="J254" s="5">
        <f>VLOOKUP($A254,'Master File June-26'!$C$3:$L$670,10,0)</f>
        <v>0</v>
      </c>
      <c r="K254" s="24">
        <f t="shared" si="9"/>
        <v>0</v>
      </c>
      <c r="L254" s="25" t="str">
        <f t="shared" si="10"/>
        <v>ORDER NOW</v>
      </c>
      <c r="M254" s="25" t="str">
        <f t="shared" si="11"/>
        <v>CRITICAL</v>
      </c>
      <c r="N254" s="79">
        <v>1</v>
      </c>
    </row>
    <row r="255" spans="1:14" ht="18.75" x14ac:dyDescent="0.25">
      <c r="A255" s="63" t="s">
        <v>1541</v>
      </c>
      <c r="B255" s="52" t="s">
        <v>1542</v>
      </c>
      <c r="C255" s="76" t="s">
        <v>1544</v>
      </c>
      <c r="D255" s="5" t="s">
        <v>64</v>
      </c>
      <c r="E255" s="21">
        <v>0.04</v>
      </c>
      <c r="F255" s="22">
        <f>VLOOKUP($A255,'Master File June-26'!$C$3:$L$670,6,0)</f>
        <v>1</v>
      </c>
      <c r="G255" s="22">
        <f>VLOOKUP($A255,'Master File June-26'!$C$3:$L$670,7,0)</f>
        <v>25</v>
      </c>
      <c r="H255" s="5">
        <f>VLOOKUP($A255,'Master File June-26'!$C$3:$L$670,8,0)</f>
        <v>14</v>
      </c>
      <c r="I255" s="5">
        <f>VLOOKUP($A255,'Master File June-26'!$C$3:$L$670,9,0)</f>
        <v>12.5</v>
      </c>
      <c r="J255" s="5">
        <f>VLOOKUP($A255,'Master File June-26'!$C$3:$L$670,10,0)</f>
        <v>0</v>
      </c>
      <c r="K255" s="24">
        <f t="shared" si="9"/>
        <v>0</v>
      </c>
      <c r="L255" s="25" t="str">
        <f t="shared" si="10"/>
        <v>ORDER NOW</v>
      </c>
      <c r="M255" s="25" t="str">
        <f t="shared" si="11"/>
        <v>CRITICAL</v>
      </c>
      <c r="N255" s="79">
        <v>1</v>
      </c>
    </row>
    <row r="256" spans="1:14" ht="18.75" x14ac:dyDescent="0.25">
      <c r="A256" s="63" t="s">
        <v>1547</v>
      </c>
      <c r="B256" s="27" t="s">
        <v>1548</v>
      </c>
      <c r="C256" s="28" t="s">
        <v>1549</v>
      </c>
      <c r="D256" s="5" t="s">
        <v>22</v>
      </c>
      <c r="E256" s="21">
        <v>0.2</v>
      </c>
      <c r="F256" s="22">
        <f>VLOOKUP($A256,'Master File June-26'!$C$3:$L$670,6,0)</f>
        <v>1</v>
      </c>
      <c r="G256" s="22">
        <f>VLOOKUP($A256,'Master File June-26'!$C$3:$L$670,7,0)</f>
        <v>5</v>
      </c>
      <c r="H256" s="5">
        <f>VLOOKUP($A256,'Master File June-26'!$C$3:$L$670,8,0)</f>
        <v>14</v>
      </c>
      <c r="I256" s="5">
        <f>VLOOKUP($A256,'Master File June-26'!$C$3:$L$670,9,0)</f>
        <v>2.5</v>
      </c>
      <c r="J256" s="5">
        <f>VLOOKUP($A256,'Master File June-26'!$C$3:$L$670,10,0)</f>
        <v>10</v>
      </c>
      <c r="K256" s="24">
        <f t="shared" si="9"/>
        <v>60</v>
      </c>
      <c r="L256" s="25" t="str">
        <f t="shared" si="10"/>
        <v>IN STOCK</v>
      </c>
      <c r="M256" s="25" t="str">
        <f t="shared" si="11"/>
        <v>FOLLOW UP DELIVERY</v>
      </c>
      <c r="N256" s="79">
        <v>1</v>
      </c>
    </row>
    <row r="257" spans="1:14" ht="18.75" x14ac:dyDescent="0.25">
      <c r="A257" s="41" t="s">
        <v>1552</v>
      </c>
      <c r="B257" s="27" t="s">
        <v>1553</v>
      </c>
      <c r="C257" s="27" t="s">
        <v>1554</v>
      </c>
      <c r="D257" s="5" t="s">
        <v>22</v>
      </c>
      <c r="E257" s="21">
        <v>0.1</v>
      </c>
      <c r="F257" s="22">
        <f>VLOOKUP($A257,'Master File June-26'!$C$3:$L$670,6,0)</f>
        <v>59</v>
      </c>
      <c r="G257" s="22">
        <f>VLOOKUP($A257,'Master File June-26'!$C$3:$L$670,7,0)</f>
        <v>590</v>
      </c>
      <c r="H257" s="5">
        <f>VLOOKUP($A257,'Master File June-26'!$C$3:$L$670,8,0)</f>
        <v>14</v>
      </c>
      <c r="I257" s="5">
        <f>VLOOKUP($A257,'Master File June-26'!$C$3:$L$670,9,0)</f>
        <v>295</v>
      </c>
      <c r="J257" s="5">
        <f>VLOOKUP($A257,'Master File June-26'!$C$3:$L$670,10,0)</f>
        <v>30</v>
      </c>
      <c r="K257" s="24">
        <f t="shared" si="9"/>
        <v>1.5254237288135595</v>
      </c>
      <c r="L257" s="25" t="str">
        <f t="shared" si="10"/>
        <v>ORDER NOW</v>
      </c>
      <c r="M257" s="25" t="str">
        <f t="shared" si="11"/>
        <v>CRITICAL</v>
      </c>
      <c r="N257" s="79">
        <v>0</v>
      </c>
    </row>
    <row r="258" spans="1:14" ht="18.75" x14ac:dyDescent="0.25">
      <c r="A258" s="41" t="s">
        <v>1555</v>
      </c>
      <c r="B258" s="27" t="s">
        <v>1556</v>
      </c>
      <c r="C258" s="27" t="s">
        <v>1557</v>
      </c>
      <c r="D258" s="5" t="s">
        <v>54</v>
      </c>
      <c r="E258" s="21">
        <v>0.1</v>
      </c>
      <c r="F258" s="22">
        <f>VLOOKUP($A258,'Master File June-26'!$C$3:$L$670,6,0)</f>
        <v>1</v>
      </c>
      <c r="G258" s="22">
        <f>VLOOKUP($A258,'Master File June-26'!$C$3:$L$670,7,0)</f>
        <v>10</v>
      </c>
      <c r="H258" s="5">
        <f>VLOOKUP($A258,'Master File June-26'!$C$3:$L$670,8,0)</f>
        <v>14</v>
      </c>
      <c r="I258" s="5">
        <f>VLOOKUP($A258,'Master File June-26'!$C$3:$L$670,9,0)</f>
        <v>5</v>
      </c>
      <c r="J258" s="5">
        <f>VLOOKUP($A258,'Master File June-26'!$C$3:$L$670,10,0)</f>
        <v>0</v>
      </c>
      <c r="K258" s="24">
        <f t="shared" si="9"/>
        <v>0</v>
      </c>
      <c r="L258" s="25" t="str">
        <f t="shared" si="10"/>
        <v>ORDER NOW</v>
      </c>
      <c r="M258" s="25" t="str">
        <f t="shared" si="11"/>
        <v>CRITICAL</v>
      </c>
      <c r="N258" s="79">
        <v>1</v>
      </c>
    </row>
    <row r="259" spans="1:14" ht="18.75" x14ac:dyDescent="0.25">
      <c r="A259" s="41" t="s">
        <v>1558</v>
      </c>
      <c r="B259" s="27" t="s">
        <v>1559</v>
      </c>
      <c r="C259" s="27" t="s">
        <v>1310</v>
      </c>
      <c r="D259" s="5" t="s">
        <v>22</v>
      </c>
      <c r="E259" s="21">
        <v>8.3333333333333329E-2</v>
      </c>
      <c r="F259" s="22">
        <f>VLOOKUP($A259,'Master File June-26'!$C$3:$L$670,6,0)</f>
        <v>12</v>
      </c>
      <c r="G259" s="22">
        <f>VLOOKUP($A259,'Master File June-26'!$C$3:$L$670,7,0)</f>
        <v>144</v>
      </c>
      <c r="H259" s="5">
        <f>VLOOKUP($A259,'Master File June-26'!$C$3:$L$670,8,0)</f>
        <v>14</v>
      </c>
      <c r="I259" s="5">
        <f>VLOOKUP($A259,'Master File June-26'!$C$3:$L$670,9,0)</f>
        <v>72</v>
      </c>
      <c r="J259" s="5">
        <f>VLOOKUP($A259,'Master File June-26'!$C$3:$L$670,10,0)</f>
        <v>0</v>
      </c>
      <c r="K259" s="24">
        <f t="shared" ref="K259:K264" si="12">IFERROR((J259/G259*30),0)</f>
        <v>0</v>
      </c>
      <c r="L259" s="25" t="str">
        <f t="shared" ref="L259:L264" si="13">IF(K259&lt;H259,"ORDER NOW","IN STOCK")</f>
        <v>ORDER NOW</v>
      </c>
      <c r="M259" s="25" t="str">
        <f t="shared" ref="M259:M264" si="14">IF(K259&lt;H259,"CRITICAL","FOLLOW UP DELIVERY")</f>
        <v>CRITICAL</v>
      </c>
      <c r="N259" s="79">
        <v>1</v>
      </c>
    </row>
    <row r="260" spans="1:14" ht="18.75" x14ac:dyDescent="0.25">
      <c r="A260" s="41" t="s">
        <v>1562</v>
      </c>
      <c r="B260" s="27" t="s">
        <v>1563</v>
      </c>
      <c r="C260" s="27" t="s">
        <v>1564</v>
      </c>
      <c r="D260" s="5" t="s">
        <v>49</v>
      </c>
      <c r="E260" s="21">
        <v>0.11904761904761907</v>
      </c>
      <c r="F260" s="22">
        <f>VLOOKUP($A260,'Master File June-26'!$C$3:$L$670,6,0)</f>
        <v>8</v>
      </c>
      <c r="G260" s="22">
        <f>VLOOKUP($A260,'Master File June-26'!$C$3:$L$670,7,0)</f>
        <v>67.199999999999989</v>
      </c>
      <c r="H260" s="5">
        <f>VLOOKUP($A260,'Master File June-26'!$C$3:$L$670,8,0)</f>
        <v>14</v>
      </c>
      <c r="I260" s="5">
        <f>VLOOKUP($A260,'Master File June-26'!$C$3:$L$670,9,0)</f>
        <v>33.599999999999994</v>
      </c>
      <c r="J260" s="5">
        <f>VLOOKUP($A260,'Master File June-26'!$C$3:$L$670,10,0)</f>
        <v>0</v>
      </c>
      <c r="K260" s="24">
        <f t="shared" si="12"/>
        <v>0</v>
      </c>
      <c r="L260" s="25" t="str">
        <f t="shared" si="13"/>
        <v>ORDER NOW</v>
      </c>
      <c r="M260" s="25" t="str">
        <f t="shared" si="14"/>
        <v>CRITICAL</v>
      </c>
      <c r="N260" s="79">
        <v>1</v>
      </c>
    </row>
    <row r="261" spans="1:14" ht="18.75" x14ac:dyDescent="0.25">
      <c r="A261" s="41" t="s">
        <v>1576</v>
      </c>
      <c r="B261" s="37" t="s">
        <v>1577</v>
      </c>
      <c r="C261" s="31" t="s">
        <v>22</v>
      </c>
      <c r="D261" s="5" t="s">
        <v>22</v>
      </c>
      <c r="E261" s="21">
        <v>0.13333333333333333</v>
      </c>
      <c r="F261" s="22">
        <f>VLOOKUP($A261,'Master File June-26'!$C$3:$L$670,6,0)</f>
        <v>1</v>
      </c>
      <c r="G261" s="22">
        <f>VLOOKUP($A261,'Master File June-26'!$C$3:$L$670,7,0)</f>
        <v>7.5</v>
      </c>
      <c r="H261" s="5">
        <f>VLOOKUP($A261,'Master File June-26'!$C$3:$L$670,8,0)</f>
        <v>14</v>
      </c>
      <c r="I261" s="5">
        <f>VLOOKUP($A261,'Master File June-26'!$C$3:$L$670,9,0)</f>
        <v>3.75</v>
      </c>
      <c r="J261" s="5">
        <f>VLOOKUP($A261,'Master File June-26'!$C$3:$L$670,10,0)</f>
        <v>0</v>
      </c>
      <c r="K261" s="24">
        <f t="shared" si="12"/>
        <v>0</v>
      </c>
      <c r="L261" s="25" t="str">
        <f t="shared" si="13"/>
        <v>ORDER NOW</v>
      </c>
      <c r="M261" s="25" t="str">
        <f t="shared" si="14"/>
        <v>CRITICAL</v>
      </c>
      <c r="N261" s="79">
        <v>1</v>
      </c>
    </row>
    <row r="262" spans="1:14" ht="18.75" x14ac:dyDescent="0.25">
      <c r="A262" s="41" t="s">
        <v>1582</v>
      </c>
      <c r="B262" s="27" t="s">
        <v>1583</v>
      </c>
      <c r="C262" s="27" t="s">
        <v>1244</v>
      </c>
      <c r="D262" s="5" t="s">
        <v>22</v>
      </c>
      <c r="E262" s="21">
        <v>0.2</v>
      </c>
      <c r="F262" s="22">
        <f>VLOOKUP($A262,'Master File June-26'!$C$3:$L$670,6,0)</f>
        <v>1</v>
      </c>
      <c r="G262" s="22">
        <f>VLOOKUP($A262,'Master File June-26'!$C$3:$L$670,7,0)</f>
        <v>5</v>
      </c>
      <c r="H262" s="5">
        <f>VLOOKUP($A262,'Master File June-26'!$C$3:$L$670,8,0)</f>
        <v>14</v>
      </c>
      <c r="I262" s="5">
        <f>VLOOKUP($A262,'Master File June-26'!$C$3:$L$670,9,0)</f>
        <v>2.5</v>
      </c>
      <c r="J262" s="5">
        <f>VLOOKUP($A262,'Master File June-26'!$C$3:$L$670,10,0)</f>
        <v>6</v>
      </c>
      <c r="K262" s="24">
        <f t="shared" si="12"/>
        <v>36</v>
      </c>
      <c r="L262" s="25" t="str">
        <f t="shared" si="13"/>
        <v>IN STOCK</v>
      </c>
      <c r="M262" s="25" t="str">
        <f t="shared" si="14"/>
        <v>FOLLOW UP DELIVERY</v>
      </c>
      <c r="N262" s="79">
        <v>0</v>
      </c>
    </row>
    <row r="263" spans="1:14" ht="18.75" x14ac:dyDescent="0.25">
      <c r="A263" s="41" t="s">
        <v>1584</v>
      </c>
      <c r="B263" s="27" t="s">
        <v>1585</v>
      </c>
      <c r="C263" s="27" t="s">
        <v>1586</v>
      </c>
      <c r="D263" s="5" t="s">
        <v>22</v>
      </c>
      <c r="E263" s="21">
        <v>0.52083333333333337</v>
      </c>
      <c r="F263" s="22">
        <f>VLOOKUP($A263,'Master File June-26'!$C$3:$L$670,6,0)</f>
        <v>10</v>
      </c>
      <c r="G263" s="22">
        <f>VLOOKUP($A263,'Master File June-26'!$C$3:$L$670,7,0)</f>
        <v>19.2</v>
      </c>
      <c r="H263" s="5">
        <f>VLOOKUP($A263,'Master File June-26'!$C$3:$L$670,8,0)</f>
        <v>14</v>
      </c>
      <c r="I263" s="5">
        <f>VLOOKUP($A263,'Master File June-26'!$C$3:$L$670,9,0)</f>
        <v>9.6</v>
      </c>
      <c r="J263" s="5">
        <f>VLOOKUP($A263,'Master File June-26'!$C$3:$L$670,10,0)</f>
        <v>0</v>
      </c>
      <c r="K263" s="24">
        <f t="shared" si="12"/>
        <v>0</v>
      </c>
      <c r="L263" s="25" t="str">
        <f t="shared" si="13"/>
        <v>ORDER NOW</v>
      </c>
      <c r="M263" s="25" t="str">
        <f t="shared" si="14"/>
        <v>CRITICAL</v>
      </c>
      <c r="N263" s="79">
        <v>1</v>
      </c>
    </row>
    <row r="264" spans="1:14" ht="18.75" x14ac:dyDescent="0.25">
      <c r="A264" s="41" t="s">
        <v>1592</v>
      </c>
      <c r="B264" s="27" t="s">
        <v>1593</v>
      </c>
      <c r="C264" s="31" t="s">
        <v>606</v>
      </c>
      <c r="D264" s="5" t="s">
        <v>22</v>
      </c>
      <c r="E264" s="21">
        <v>1</v>
      </c>
      <c r="F264" s="22">
        <f>VLOOKUP($A264,'Master File June-26'!$C$3:$L$670,6,0)</f>
        <v>2</v>
      </c>
      <c r="G264" s="22">
        <f>VLOOKUP($A264,'Master File June-26'!$C$3:$L$670,7,0)</f>
        <v>15.36</v>
      </c>
      <c r="H264" s="5">
        <f>VLOOKUP($A264,'Master File June-26'!$C$3:$L$670,8,0)</f>
        <v>14</v>
      </c>
      <c r="I264" s="5">
        <f>VLOOKUP($A264,'Master File June-26'!$C$3:$L$670,9,0)</f>
        <v>7.68</v>
      </c>
      <c r="J264" s="5">
        <f>VLOOKUP($A264,'Master File June-26'!$C$3:$L$670,10,0)</f>
        <v>0</v>
      </c>
      <c r="K264" s="24">
        <f t="shared" si="12"/>
        <v>0</v>
      </c>
      <c r="L264" s="25" t="str">
        <f t="shared" si="13"/>
        <v>ORDER NOW</v>
      </c>
      <c r="M264" s="25" t="str">
        <f t="shared" si="14"/>
        <v>CRITICAL</v>
      </c>
      <c r="N264" s="79">
        <v>0</v>
      </c>
    </row>
    <row r="265" spans="1:14" x14ac:dyDescent="0.25">
      <c r="N265" s="80">
        <f>SUM(N3:N264)</f>
        <v>143</v>
      </c>
    </row>
    <row r="266" spans="1:14" x14ac:dyDescent="0.25">
      <c r="N266" s="79">
        <f>N265/265</f>
        <v>0.53962264150943395</v>
      </c>
    </row>
  </sheetData>
  <autoFilter ref="A2:N266" xr:uid="{02F57DA8-E17D-493C-8DCC-EB3BE343E972}">
    <sortState xmlns:xlrd2="http://schemas.microsoft.com/office/spreadsheetml/2017/richdata2" ref="A3:N266">
      <sortCondition ref="K2:K266"/>
    </sortState>
  </autoFilter>
  <conditionalFormatting sqref="A2">
    <cfRule type="duplicateValues" dxfId="556" priority="43"/>
    <cfRule type="duplicateValues" dxfId="555" priority="45"/>
    <cfRule type="duplicateValues" dxfId="554" priority="46"/>
  </conditionalFormatting>
  <conditionalFormatting sqref="A243:B251 B241:B242">
    <cfRule type="duplicateValues" dxfId="553" priority="12"/>
  </conditionalFormatting>
  <conditionalFormatting sqref="A243:B256 B241:B242">
    <cfRule type="duplicateValues" dxfId="552" priority="10"/>
  </conditionalFormatting>
  <conditionalFormatting sqref="A252:B256">
    <cfRule type="duplicateValues" dxfId="551" priority="9"/>
  </conditionalFormatting>
  <conditionalFormatting sqref="B2">
    <cfRule type="duplicateValues" dxfId="550" priority="44"/>
  </conditionalFormatting>
  <conditionalFormatting sqref="B3:B29">
    <cfRule type="duplicateValues" dxfId="549" priority="3749"/>
  </conditionalFormatting>
  <conditionalFormatting sqref="B3:B45">
    <cfRule type="duplicateValues" dxfId="548" priority="3751"/>
  </conditionalFormatting>
  <conditionalFormatting sqref="B32:B39 B3:B29">
    <cfRule type="duplicateValues" dxfId="547" priority="39"/>
  </conditionalFormatting>
  <conditionalFormatting sqref="B40">
    <cfRule type="duplicateValues" dxfId="546" priority="36"/>
  </conditionalFormatting>
  <conditionalFormatting sqref="B40:B45">
    <cfRule type="duplicateValues" dxfId="545" priority="38"/>
  </conditionalFormatting>
  <conditionalFormatting sqref="B41">
    <cfRule type="duplicateValues" dxfId="544" priority="35"/>
  </conditionalFormatting>
  <conditionalFormatting sqref="B42:B45">
    <cfRule type="duplicateValues" dxfId="543" priority="37"/>
  </conditionalFormatting>
  <conditionalFormatting sqref="B46:B120">
    <cfRule type="duplicateValues" dxfId="542" priority="3842"/>
  </conditionalFormatting>
  <conditionalFormatting sqref="B46:B122">
    <cfRule type="duplicateValues" dxfId="541" priority="3844"/>
    <cfRule type="duplicateValues" dxfId="540" priority="3845"/>
  </conditionalFormatting>
  <conditionalFormatting sqref="B123:B191">
    <cfRule type="duplicateValues" dxfId="539" priority="3742"/>
  </conditionalFormatting>
  <conditionalFormatting sqref="B123:B215">
    <cfRule type="duplicateValues" dxfId="538" priority="3744"/>
  </conditionalFormatting>
  <conditionalFormatting sqref="B123:B221">
    <cfRule type="duplicateValues" dxfId="537" priority="3746"/>
  </conditionalFormatting>
  <conditionalFormatting sqref="B218:B221 B216">
    <cfRule type="duplicateValues" dxfId="536" priority="22"/>
  </conditionalFormatting>
  <conditionalFormatting sqref="B222:B229">
    <cfRule type="duplicateValues" dxfId="535" priority="20"/>
  </conditionalFormatting>
  <conditionalFormatting sqref="B222:B232">
    <cfRule type="duplicateValues" dxfId="534" priority="19"/>
    <cfRule type="duplicateValues" dxfId="533" priority="21"/>
  </conditionalFormatting>
  <conditionalFormatting sqref="B233:B236">
    <cfRule type="duplicateValues" dxfId="532" priority="17"/>
  </conditionalFormatting>
  <conditionalFormatting sqref="B233:B237">
    <cfRule type="duplicateValues" dxfId="531" priority="16"/>
    <cfRule type="duplicateValues" dxfId="530" priority="18"/>
  </conditionalFormatting>
  <conditionalFormatting sqref="B238:B240">
    <cfRule type="duplicateValues" dxfId="529" priority="13"/>
    <cfRule type="duplicateValues" dxfId="528" priority="14"/>
    <cfRule type="duplicateValues" dxfId="527" priority="15"/>
  </conditionalFormatting>
  <conditionalFormatting sqref="B241">
    <cfRule type="duplicateValues" dxfId="526" priority="11"/>
  </conditionalFormatting>
  <conditionalFormatting sqref="B257:B264">
    <cfRule type="duplicateValues" dxfId="525" priority="7"/>
    <cfRule type="duplicateValues" dxfId="524" priority="8"/>
  </conditionalFormatting>
  <conditionalFormatting sqref="B2:J2 L2:M2">
    <cfRule type="duplicateValues" dxfId="523" priority="47"/>
    <cfRule type="duplicateValues" dxfId="522" priority="48"/>
    <cfRule type="duplicateValues" dxfId="521" priority="49"/>
    <cfRule type="duplicateValues" dxfId="520" priority="50"/>
    <cfRule type="duplicateValues" dxfId="519" priority="51"/>
  </conditionalFormatting>
  <conditionalFormatting sqref="C97">
    <cfRule type="duplicateValues" dxfId="518" priority="27"/>
    <cfRule type="duplicateValues" dxfId="517" priority="28"/>
  </conditionalFormatting>
  <conditionalFormatting sqref="C257">
    <cfRule type="duplicateValues" dxfId="516" priority="5"/>
    <cfRule type="duplicateValues" dxfId="515" priority="6"/>
  </conditionalFormatting>
  <conditionalFormatting sqref="K3:K264">
    <cfRule type="cellIs" dxfId="514" priority="1" operator="lessThan">
      <formula>H3</formula>
    </cfRule>
  </conditionalFormatting>
  <conditionalFormatting sqref="L3:L264">
    <cfRule type="containsText" dxfId="513" priority="30" operator="containsText" text="ORDER NOW">
      <formula>NOT(ISERROR(SEARCH("ORDER NOW",L3)))</formula>
    </cfRule>
  </conditionalFormatting>
  <conditionalFormatting sqref="M3:M264">
    <cfRule type="containsText" dxfId="512" priority="29" operator="containsText" text="CRITICAL">
      <formula>NOT(ISERROR(SEARCH("CRITICAL",M3)))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27CD2-7985-4043-9C03-E11EF9ED2A52}">
  <sheetPr codeName="Sheet3"/>
  <dimension ref="A2:O187"/>
  <sheetViews>
    <sheetView zoomScale="50" zoomScaleNormal="50" workbookViewId="0">
      <pane xSplit="3" ySplit="2" topLeftCell="E3" activePane="bottomRight" state="frozen"/>
      <selection pane="topRight" activeCell="D1" sqref="D1"/>
      <selection pane="bottomLeft" activeCell="A3" sqref="A3"/>
      <selection pane="bottomRight" activeCell="AD9" sqref="AD9"/>
    </sheetView>
  </sheetViews>
  <sheetFormatPr defaultRowHeight="15" x14ac:dyDescent="0.25"/>
  <cols>
    <col min="1" max="1" width="4.5703125" bestFit="1" customWidth="1"/>
    <col min="2" max="2" width="21.5703125" bestFit="1" customWidth="1"/>
    <col min="3" max="3" width="111.5703125" bestFit="1" customWidth="1"/>
    <col min="4" max="4" width="33.140625" bestFit="1" customWidth="1"/>
    <col min="5" max="5" width="17.28515625" bestFit="1" customWidth="1"/>
    <col min="6" max="6" width="24.42578125" bestFit="1" customWidth="1"/>
    <col min="7" max="7" width="25.5703125" bestFit="1" customWidth="1"/>
    <col min="8" max="8" width="23" bestFit="1" customWidth="1"/>
    <col min="9" max="9" width="9.5703125" bestFit="1" customWidth="1"/>
    <col min="10" max="10" width="15.140625" bestFit="1" customWidth="1"/>
    <col min="11" max="11" width="11.5703125" bestFit="1" customWidth="1"/>
    <col min="12" max="12" width="13.28515625" bestFit="1" customWidth="1"/>
    <col min="13" max="13" width="18.7109375" bestFit="1" customWidth="1"/>
    <col min="14" max="14" width="31.5703125" bestFit="1" customWidth="1"/>
  </cols>
  <sheetData>
    <row r="2" spans="1:15" ht="15.75" x14ac:dyDescent="0.25">
      <c r="A2" s="15"/>
      <c r="B2" s="16" t="s">
        <v>3</v>
      </c>
      <c r="C2" s="16" t="s">
        <v>4</v>
      </c>
      <c r="D2" s="16" t="s">
        <v>5</v>
      </c>
      <c r="E2" s="16" t="s">
        <v>6</v>
      </c>
      <c r="F2" s="17" t="s">
        <v>7</v>
      </c>
      <c r="G2" s="18" t="s">
        <v>8</v>
      </c>
      <c r="H2" s="16" t="s">
        <v>9</v>
      </c>
      <c r="I2" s="16" t="s">
        <v>10</v>
      </c>
      <c r="J2" s="16" t="s">
        <v>11</v>
      </c>
      <c r="K2" s="18" t="s">
        <v>12</v>
      </c>
      <c r="L2" s="16" t="s">
        <v>13</v>
      </c>
      <c r="M2" s="16" t="s">
        <v>14</v>
      </c>
      <c r="N2" s="16" t="s">
        <v>15</v>
      </c>
      <c r="O2" s="11" t="s">
        <v>17</v>
      </c>
    </row>
    <row r="3" spans="1:15" ht="18.75" x14ac:dyDescent="0.25">
      <c r="A3" s="19">
        <v>11</v>
      </c>
      <c r="B3" s="19" t="s">
        <v>143</v>
      </c>
      <c r="C3" s="29" t="s">
        <v>144</v>
      </c>
      <c r="D3" s="30" t="s">
        <v>145</v>
      </c>
      <c r="E3" s="5" t="s">
        <v>22</v>
      </c>
      <c r="F3" s="21">
        <v>1.25E-4</v>
      </c>
      <c r="G3" s="22">
        <v>8</v>
      </c>
      <c r="H3" s="22">
        <v>64000</v>
      </c>
      <c r="I3" s="5">
        <v>14</v>
      </c>
      <c r="J3" s="23">
        <v>32000</v>
      </c>
      <c r="K3" s="58">
        <v>0</v>
      </c>
      <c r="L3" s="24">
        <f t="shared" ref="L3:L34" si="0">IFERROR((K3/H3*30),0)</f>
        <v>0</v>
      </c>
      <c r="M3" s="25" t="s">
        <v>1595</v>
      </c>
      <c r="N3" s="25" t="s">
        <v>1596</v>
      </c>
      <c r="O3" s="79">
        <v>0</v>
      </c>
    </row>
    <row r="4" spans="1:15" ht="18.75" x14ac:dyDescent="0.25">
      <c r="A4" s="19">
        <v>19</v>
      </c>
      <c r="B4" s="19" t="s">
        <v>146</v>
      </c>
      <c r="C4" s="68" t="s">
        <v>147</v>
      </c>
      <c r="D4" s="28" t="s">
        <v>148</v>
      </c>
      <c r="E4" s="5" t="s">
        <v>22</v>
      </c>
      <c r="F4" s="21">
        <v>2.5000000000000001E-3</v>
      </c>
      <c r="G4" s="22">
        <v>0</v>
      </c>
      <c r="H4" s="22">
        <v>0</v>
      </c>
      <c r="I4" s="5">
        <v>14</v>
      </c>
      <c r="J4" s="23">
        <v>0</v>
      </c>
      <c r="K4" s="58">
        <v>0</v>
      </c>
      <c r="L4" s="24">
        <f t="shared" si="0"/>
        <v>0</v>
      </c>
      <c r="M4" s="25" t="s">
        <v>1595</v>
      </c>
      <c r="N4" s="25" t="s">
        <v>1596</v>
      </c>
      <c r="O4" s="79">
        <v>1</v>
      </c>
    </row>
    <row r="5" spans="1:15" ht="18.75" x14ac:dyDescent="0.25">
      <c r="A5" s="19">
        <v>29</v>
      </c>
      <c r="B5" s="19" t="s">
        <v>149</v>
      </c>
      <c r="C5" s="68" t="s">
        <v>150</v>
      </c>
      <c r="D5" s="28" t="s">
        <v>151</v>
      </c>
      <c r="E5" s="5" t="s">
        <v>22</v>
      </c>
      <c r="F5" s="21">
        <v>1E-3</v>
      </c>
      <c r="G5" s="22">
        <v>0</v>
      </c>
      <c r="H5" s="22">
        <v>0</v>
      </c>
      <c r="I5" s="5">
        <v>60</v>
      </c>
      <c r="J5" s="23">
        <v>0</v>
      </c>
      <c r="K5" s="58">
        <v>197000</v>
      </c>
      <c r="L5" s="24">
        <f t="shared" si="0"/>
        <v>0</v>
      </c>
      <c r="M5" s="25" t="s">
        <v>1595</v>
      </c>
      <c r="N5" s="25" t="s">
        <v>1596</v>
      </c>
      <c r="O5" s="79">
        <v>1</v>
      </c>
    </row>
    <row r="6" spans="1:15" ht="18.75" x14ac:dyDescent="0.25">
      <c r="A6" s="19">
        <v>46</v>
      </c>
      <c r="B6" s="56" t="s">
        <v>152</v>
      </c>
      <c r="C6" s="29" t="s">
        <v>153</v>
      </c>
      <c r="D6" s="30"/>
      <c r="E6" s="5" t="s">
        <v>22</v>
      </c>
      <c r="F6" s="21">
        <v>1</v>
      </c>
      <c r="G6" s="22">
        <v>5.5</v>
      </c>
      <c r="H6" s="22">
        <v>5.5</v>
      </c>
      <c r="I6" s="5">
        <v>14</v>
      </c>
      <c r="J6" s="23">
        <v>2.75</v>
      </c>
      <c r="K6" s="58">
        <v>0</v>
      </c>
      <c r="L6" s="24">
        <f t="shared" si="0"/>
        <v>0</v>
      </c>
      <c r="M6" s="25" t="s">
        <v>1595</v>
      </c>
      <c r="N6" s="25" t="s">
        <v>1596</v>
      </c>
      <c r="O6" s="79">
        <v>0</v>
      </c>
    </row>
    <row r="7" spans="1:15" ht="18.75" x14ac:dyDescent="0.25">
      <c r="A7" s="19">
        <v>49</v>
      </c>
      <c r="B7" s="56" t="s">
        <v>154</v>
      </c>
      <c r="C7" s="68" t="s">
        <v>155</v>
      </c>
      <c r="D7" s="28" t="s">
        <v>156</v>
      </c>
      <c r="E7" s="5" t="s">
        <v>22</v>
      </c>
      <c r="F7" s="21">
        <v>1.25E-4</v>
      </c>
      <c r="G7" s="22">
        <v>0</v>
      </c>
      <c r="H7" s="22">
        <v>0</v>
      </c>
      <c r="I7" s="5">
        <v>14</v>
      </c>
      <c r="J7" s="23">
        <v>0</v>
      </c>
      <c r="K7" s="58">
        <v>56000</v>
      </c>
      <c r="L7" s="24">
        <f t="shared" si="0"/>
        <v>0</v>
      </c>
      <c r="M7" s="25" t="s">
        <v>1595</v>
      </c>
      <c r="N7" s="25" t="s">
        <v>1596</v>
      </c>
      <c r="O7" s="79">
        <v>1</v>
      </c>
    </row>
    <row r="8" spans="1:15" ht="18.75" x14ac:dyDescent="0.25">
      <c r="A8" s="19">
        <v>50</v>
      </c>
      <c r="B8" s="19" t="s">
        <v>158</v>
      </c>
      <c r="C8" s="27" t="s">
        <v>159</v>
      </c>
      <c r="D8" s="28" t="s">
        <v>160</v>
      </c>
      <c r="E8" s="5" t="s">
        <v>49</v>
      </c>
      <c r="F8" s="21">
        <v>1</v>
      </c>
      <c r="G8" s="22">
        <v>44</v>
      </c>
      <c r="H8" s="22">
        <v>44</v>
      </c>
      <c r="I8" s="5">
        <v>14</v>
      </c>
      <c r="J8" s="23">
        <v>22</v>
      </c>
      <c r="K8" s="58">
        <v>0</v>
      </c>
      <c r="L8" s="24">
        <f t="shared" si="0"/>
        <v>0</v>
      </c>
      <c r="M8" s="25" t="s">
        <v>1595</v>
      </c>
      <c r="N8" s="25" t="s">
        <v>1596</v>
      </c>
      <c r="O8" s="79">
        <v>0</v>
      </c>
    </row>
    <row r="9" spans="1:15" ht="18.75" x14ac:dyDescent="0.25">
      <c r="A9" s="19">
        <v>53</v>
      </c>
      <c r="B9" s="19" t="s">
        <v>843</v>
      </c>
      <c r="C9" s="29" t="s">
        <v>844</v>
      </c>
      <c r="D9" s="30" t="s">
        <v>845</v>
      </c>
      <c r="E9" s="5" t="s">
        <v>22</v>
      </c>
      <c r="F9" s="21">
        <v>1.6666666666666668E-3</v>
      </c>
      <c r="G9" s="22">
        <v>20</v>
      </c>
      <c r="H9" s="22">
        <v>12000</v>
      </c>
      <c r="I9" s="5">
        <v>14</v>
      </c>
      <c r="J9" s="23">
        <v>6000</v>
      </c>
      <c r="K9" s="58">
        <v>0</v>
      </c>
      <c r="L9" s="24">
        <f t="shared" si="0"/>
        <v>0</v>
      </c>
      <c r="M9" s="25" t="s">
        <v>1595</v>
      </c>
      <c r="N9" s="25" t="s">
        <v>1596</v>
      </c>
      <c r="O9" s="79">
        <v>0</v>
      </c>
    </row>
    <row r="10" spans="1:15" ht="18.75" x14ac:dyDescent="0.25">
      <c r="A10" s="19">
        <v>55</v>
      </c>
      <c r="B10" s="19" t="s">
        <v>1325</v>
      </c>
      <c r="C10" s="29" t="s">
        <v>1326</v>
      </c>
      <c r="D10" s="30" t="s">
        <v>1327</v>
      </c>
      <c r="E10" s="5" t="s">
        <v>22</v>
      </c>
      <c r="F10" s="21">
        <v>8.3333333333333339E-4</v>
      </c>
      <c r="G10" s="22">
        <v>10</v>
      </c>
      <c r="H10" s="22">
        <v>12000</v>
      </c>
      <c r="I10" s="5">
        <v>14</v>
      </c>
      <c r="J10" s="23">
        <v>6000</v>
      </c>
      <c r="K10" s="58">
        <v>0</v>
      </c>
      <c r="L10" s="24">
        <f t="shared" si="0"/>
        <v>0</v>
      </c>
      <c r="M10" s="25" t="s">
        <v>1595</v>
      </c>
      <c r="N10" s="25" t="s">
        <v>1596</v>
      </c>
      <c r="O10" s="79">
        <v>0</v>
      </c>
    </row>
    <row r="11" spans="1:15" ht="18.75" x14ac:dyDescent="0.25">
      <c r="A11" s="19">
        <v>56</v>
      </c>
      <c r="B11" s="19" t="s">
        <v>1469</v>
      </c>
      <c r="C11" s="69" t="s">
        <v>1470</v>
      </c>
      <c r="D11" s="33" t="s">
        <v>78</v>
      </c>
      <c r="E11" s="5" t="s">
        <v>49</v>
      </c>
      <c r="F11" s="21">
        <v>1</v>
      </c>
      <c r="G11" s="22">
        <v>0</v>
      </c>
      <c r="H11" s="22">
        <v>0</v>
      </c>
      <c r="I11" s="5">
        <v>30</v>
      </c>
      <c r="J11" s="23">
        <v>0</v>
      </c>
      <c r="K11" s="58">
        <v>16</v>
      </c>
      <c r="L11" s="24">
        <f t="shared" si="0"/>
        <v>0</v>
      </c>
      <c r="M11" s="25" t="s">
        <v>1595</v>
      </c>
      <c r="N11" s="25" t="s">
        <v>1596</v>
      </c>
      <c r="O11" s="79">
        <v>1</v>
      </c>
    </row>
    <row r="12" spans="1:15" ht="18.75" x14ac:dyDescent="0.25">
      <c r="A12" s="19">
        <v>57</v>
      </c>
      <c r="B12" s="19" t="s">
        <v>1519</v>
      </c>
      <c r="C12" s="68" t="s">
        <v>1520</v>
      </c>
      <c r="D12" s="33" t="s">
        <v>78</v>
      </c>
      <c r="E12" s="5" t="s">
        <v>49</v>
      </c>
      <c r="F12" s="21">
        <v>1</v>
      </c>
      <c r="G12" s="22">
        <v>0</v>
      </c>
      <c r="H12" s="22">
        <v>0</v>
      </c>
      <c r="I12" s="5">
        <v>30</v>
      </c>
      <c r="J12" s="23">
        <v>0</v>
      </c>
      <c r="K12" s="58">
        <v>531</v>
      </c>
      <c r="L12" s="24">
        <f t="shared" si="0"/>
        <v>0</v>
      </c>
      <c r="M12" s="25" t="s">
        <v>1595</v>
      </c>
      <c r="N12" s="25" t="s">
        <v>1596</v>
      </c>
      <c r="O12" s="79">
        <v>1</v>
      </c>
    </row>
    <row r="13" spans="1:15" ht="18.75" x14ac:dyDescent="0.25">
      <c r="A13" s="19">
        <v>58</v>
      </c>
      <c r="B13" s="19" t="s">
        <v>76</v>
      </c>
      <c r="C13" s="68" t="s">
        <v>77</v>
      </c>
      <c r="D13" s="33" t="s">
        <v>78</v>
      </c>
      <c r="E13" s="5" t="s">
        <v>49</v>
      </c>
      <c r="F13" s="21">
        <v>1</v>
      </c>
      <c r="G13" s="22">
        <v>0</v>
      </c>
      <c r="H13" s="22">
        <v>0</v>
      </c>
      <c r="I13" s="5">
        <v>30</v>
      </c>
      <c r="J13" s="23">
        <v>0</v>
      </c>
      <c r="K13" s="58">
        <v>0</v>
      </c>
      <c r="L13" s="24">
        <f t="shared" si="0"/>
        <v>0</v>
      </c>
      <c r="M13" s="25" t="s">
        <v>1595</v>
      </c>
      <c r="N13" s="25" t="s">
        <v>1596</v>
      </c>
      <c r="O13" s="79">
        <v>1</v>
      </c>
    </row>
    <row r="14" spans="1:15" ht="18.75" x14ac:dyDescent="0.25">
      <c r="A14" s="19">
        <v>59</v>
      </c>
      <c r="B14" s="19" t="s">
        <v>161</v>
      </c>
      <c r="C14" s="68" t="s">
        <v>162</v>
      </c>
      <c r="D14" s="33" t="s">
        <v>78</v>
      </c>
      <c r="E14" s="5" t="s">
        <v>49</v>
      </c>
      <c r="F14" s="21">
        <v>1</v>
      </c>
      <c r="G14" s="22">
        <v>0</v>
      </c>
      <c r="H14" s="22">
        <v>0</v>
      </c>
      <c r="I14" s="5">
        <v>30</v>
      </c>
      <c r="J14" s="23">
        <v>0</v>
      </c>
      <c r="K14" s="58">
        <v>0</v>
      </c>
      <c r="L14" s="24">
        <f t="shared" si="0"/>
        <v>0</v>
      </c>
      <c r="M14" s="25" t="s">
        <v>1595</v>
      </c>
      <c r="N14" s="25" t="s">
        <v>1596</v>
      </c>
      <c r="O14" s="79">
        <v>1</v>
      </c>
    </row>
    <row r="15" spans="1:15" ht="18.75" x14ac:dyDescent="0.25">
      <c r="A15" s="19">
        <v>60</v>
      </c>
      <c r="B15" s="19" t="s">
        <v>163</v>
      </c>
      <c r="C15" s="68" t="s">
        <v>164</v>
      </c>
      <c r="D15" s="33" t="s">
        <v>78</v>
      </c>
      <c r="E15" s="5" t="s">
        <v>49</v>
      </c>
      <c r="F15" s="21">
        <v>1</v>
      </c>
      <c r="G15" s="22">
        <v>0</v>
      </c>
      <c r="H15" s="22">
        <v>0</v>
      </c>
      <c r="I15" s="5">
        <v>30</v>
      </c>
      <c r="J15" s="23">
        <v>0</v>
      </c>
      <c r="K15" s="58">
        <v>2</v>
      </c>
      <c r="L15" s="24">
        <f t="shared" si="0"/>
        <v>0</v>
      </c>
      <c r="M15" s="25" t="s">
        <v>1595</v>
      </c>
      <c r="N15" s="25" t="s">
        <v>1596</v>
      </c>
      <c r="O15" s="79">
        <v>1</v>
      </c>
    </row>
    <row r="16" spans="1:15" ht="18.75" x14ac:dyDescent="0.25">
      <c r="A16" s="19">
        <v>64</v>
      </c>
      <c r="B16" s="19" t="s">
        <v>43</v>
      </c>
      <c r="C16" s="29" t="s">
        <v>44</v>
      </c>
      <c r="D16" s="30" t="s">
        <v>45</v>
      </c>
      <c r="E16" s="5" t="s">
        <v>46</v>
      </c>
      <c r="F16" s="21">
        <v>2E-3</v>
      </c>
      <c r="G16" s="22">
        <v>5.5</v>
      </c>
      <c r="H16" s="22">
        <v>2750</v>
      </c>
      <c r="I16" s="5">
        <v>14</v>
      </c>
      <c r="J16" s="23">
        <v>1375</v>
      </c>
      <c r="K16" s="58">
        <v>0</v>
      </c>
      <c r="L16" s="24">
        <f t="shared" si="0"/>
        <v>0</v>
      </c>
      <c r="M16" s="25" t="s">
        <v>1595</v>
      </c>
      <c r="N16" s="25" t="s">
        <v>1596</v>
      </c>
      <c r="O16" s="79">
        <v>0</v>
      </c>
    </row>
    <row r="17" spans="1:15" ht="18.75" x14ac:dyDescent="0.25">
      <c r="A17" s="19">
        <v>65</v>
      </c>
      <c r="B17" s="19" t="s">
        <v>165</v>
      </c>
      <c r="C17" s="27" t="s">
        <v>166</v>
      </c>
      <c r="D17" s="28" t="s">
        <v>167</v>
      </c>
      <c r="E17" s="5" t="s">
        <v>22</v>
      </c>
      <c r="F17" s="21">
        <v>1E-3</v>
      </c>
      <c r="G17" s="22">
        <v>0</v>
      </c>
      <c r="H17" s="22">
        <v>0</v>
      </c>
      <c r="I17" s="5">
        <v>14</v>
      </c>
      <c r="J17" s="23">
        <v>0</v>
      </c>
      <c r="K17" s="58">
        <v>0</v>
      </c>
      <c r="L17" s="24">
        <f t="shared" si="0"/>
        <v>0</v>
      </c>
      <c r="M17" s="25" t="s">
        <v>1595</v>
      </c>
      <c r="N17" s="25" t="s">
        <v>1596</v>
      </c>
      <c r="O17" s="79">
        <v>1</v>
      </c>
    </row>
    <row r="18" spans="1:15" ht="18.75" x14ac:dyDescent="0.25">
      <c r="A18" s="19">
        <v>66</v>
      </c>
      <c r="B18" s="19" t="s">
        <v>168</v>
      </c>
      <c r="C18" s="27" t="s">
        <v>169</v>
      </c>
      <c r="D18" s="28" t="s">
        <v>170</v>
      </c>
      <c r="E18" s="5" t="s">
        <v>22</v>
      </c>
      <c r="F18" s="21">
        <v>4.1666666666666664E-2</v>
      </c>
      <c r="G18" s="22">
        <v>5.5</v>
      </c>
      <c r="H18" s="22">
        <v>132</v>
      </c>
      <c r="I18" s="5">
        <v>14</v>
      </c>
      <c r="J18" s="23">
        <v>66</v>
      </c>
      <c r="K18" s="58">
        <v>0</v>
      </c>
      <c r="L18" s="24">
        <f t="shared" si="0"/>
        <v>0</v>
      </c>
      <c r="M18" s="25" t="s">
        <v>1595</v>
      </c>
      <c r="N18" s="25" t="s">
        <v>1596</v>
      </c>
      <c r="O18" s="79">
        <v>0</v>
      </c>
    </row>
    <row r="19" spans="1:15" ht="18.75" x14ac:dyDescent="0.25">
      <c r="A19" s="19">
        <v>68</v>
      </c>
      <c r="B19" s="19" t="s">
        <v>1560</v>
      </c>
      <c r="C19" s="27" t="s">
        <v>1561</v>
      </c>
      <c r="D19" s="28" t="s">
        <v>873</v>
      </c>
      <c r="E19" s="5" t="s">
        <v>22</v>
      </c>
      <c r="F19" s="21">
        <v>2E-3</v>
      </c>
      <c r="G19" s="22">
        <v>38.5</v>
      </c>
      <c r="H19" s="22">
        <v>19250</v>
      </c>
      <c r="I19" s="5">
        <v>14</v>
      </c>
      <c r="J19" s="23">
        <v>9625</v>
      </c>
      <c r="K19" s="58">
        <v>0</v>
      </c>
      <c r="L19" s="24">
        <f t="shared" si="0"/>
        <v>0</v>
      </c>
      <c r="M19" s="25" t="s">
        <v>1595</v>
      </c>
      <c r="N19" s="25" t="s">
        <v>1596</v>
      </c>
      <c r="O19" s="79">
        <v>0</v>
      </c>
    </row>
    <row r="20" spans="1:15" ht="18.75" x14ac:dyDescent="0.25">
      <c r="A20" s="19">
        <v>69</v>
      </c>
      <c r="B20" s="19" t="s">
        <v>171</v>
      </c>
      <c r="C20" s="29" t="s">
        <v>172</v>
      </c>
      <c r="D20" s="30"/>
      <c r="E20" s="5"/>
      <c r="F20" s="21">
        <v>1</v>
      </c>
      <c r="G20" s="22">
        <v>5.5</v>
      </c>
      <c r="H20" s="22">
        <v>5.5</v>
      </c>
      <c r="I20" s="5">
        <v>14</v>
      </c>
      <c r="J20" s="23">
        <v>2.75</v>
      </c>
      <c r="K20" s="58">
        <v>0</v>
      </c>
      <c r="L20" s="24">
        <f t="shared" si="0"/>
        <v>0</v>
      </c>
      <c r="M20" s="25" t="s">
        <v>1595</v>
      </c>
      <c r="N20" s="25" t="s">
        <v>1596</v>
      </c>
      <c r="O20" s="79">
        <v>0</v>
      </c>
    </row>
    <row r="21" spans="1:15" ht="18.75" x14ac:dyDescent="0.25">
      <c r="A21" s="19">
        <v>70</v>
      </c>
      <c r="B21" s="19" t="s">
        <v>93</v>
      </c>
      <c r="C21" s="27" t="s">
        <v>94</v>
      </c>
      <c r="D21" s="28" t="s">
        <v>95</v>
      </c>
      <c r="E21" s="5" t="s">
        <v>22</v>
      </c>
      <c r="F21" s="21">
        <v>2E-3</v>
      </c>
      <c r="G21" s="22">
        <v>100</v>
      </c>
      <c r="H21" s="22">
        <v>50000</v>
      </c>
      <c r="I21" s="5">
        <v>14</v>
      </c>
      <c r="J21" s="23">
        <v>25000</v>
      </c>
      <c r="K21" s="58">
        <v>0</v>
      </c>
      <c r="L21" s="24">
        <f t="shared" si="0"/>
        <v>0</v>
      </c>
      <c r="M21" s="25" t="s">
        <v>1595</v>
      </c>
      <c r="N21" s="25" t="s">
        <v>1596</v>
      </c>
      <c r="O21" s="79">
        <v>0</v>
      </c>
    </row>
    <row r="22" spans="1:15" ht="18.75" x14ac:dyDescent="0.25">
      <c r="A22" s="19">
        <v>71</v>
      </c>
      <c r="B22" s="19" t="s">
        <v>959</v>
      </c>
      <c r="C22" s="27" t="s">
        <v>960</v>
      </c>
      <c r="D22" s="28" t="s">
        <v>78</v>
      </c>
      <c r="E22" s="5" t="s">
        <v>49</v>
      </c>
      <c r="F22" s="21">
        <v>1</v>
      </c>
      <c r="G22" s="22">
        <v>400</v>
      </c>
      <c r="H22" s="22">
        <v>400</v>
      </c>
      <c r="I22" s="5">
        <v>14</v>
      </c>
      <c r="J22" s="23">
        <v>200</v>
      </c>
      <c r="K22" s="58">
        <v>0</v>
      </c>
      <c r="L22" s="24">
        <f t="shared" si="0"/>
        <v>0</v>
      </c>
      <c r="M22" s="25" t="s">
        <v>1595</v>
      </c>
      <c r="N22" s="25" t="s">
        <v>1596</v>
      </c>
      <c r="O22" s="79">
        <v>0</v>
      </c>
    </row>
    <row r="23" spans="1:15" ht="18.75" x14ac:dyDescent="0.25">
      <c r="A23" s="19">
        <v>72</v>
      </c>
      <c r="B23" s="19" t="s">
        <v>173</v>
      </c>
      <c r="C23" s="27" t="s">
        <v>174</v>
      </c>
      <c r="D23" s="28" t="s">
        <v>175</v>
      </c>
      <c r="E23" s="5" t="s">
        <v>22</v>
      </c>
      <c r="F23" s="21">
        <v>0.02</v>
      </c>
      <c r="G23" s="22">
        <v>11</v>
      </c>
      <c r="H23" s="22">
        <v>550</v>
      </c>
      <c r="I23" s="5">
        <v>14</v>
      </c>
      <c r="J23" s="23">
        <v>275</v>
      </c>
      <c r="K23" s="58">
        <v>0</v>
      </c>
      <c r="L23" s="24">
        <f t="shared" si="0"/>
        <v>0</v>
      </c>
      <c r="M23" s="25" t="s">
        <v>1595</v>
      </c>
      <c r="N23" s="25" t="s">
        <v>1596</v>
      </c>
      <c r="O23" s="79">
        <v>0</v>
      </c>
    </row>
    <row r="24" spans="1:15" ht="18.75" x14ac:dyDescent="0.25">
      <c r="A24" s="19">
        <v>73</v>
      </c>
      <c r="B24" s="19" t="s">
        <v>1458</v>
      </c>
      <c r="C24" s="32" t="s">
        <v>1459</v>
      </c>
      <c r="D24" s="33" t="s">
        <v>78</v>
      </c>
      <c r="E24" s="5" t="s">
        <v>49</v>
      </c>
      <c r="F24" s="21">
        <v>1</v>
      </c>
      <c r="G24" s="22">
        <v>0</v>
      </c>
      <c r="H24" s="22">
        <v>0</v>
      </c>
      <c r="I24" s="5">
        <v>60</v>
      </c>
      <c r="J24" s="23">
        <v>0</v>
      </c>
      <c r="K24" s="58">
        <v>485</v>
      </c>
      <c r="L24" s="24">
        <f t="shared" si="0"/>
        <v>0</v>
      </c>
      <c r="M24" s="25" t="s">
        <v>1595</v>
      </c>
      <c r="N24" s="25" t="s">
        <v>1596</v>
      </c>
      <c r="O24" s="79">
        <v>1</v>
      </c>
    </row>
    <row r="25" spans="1:15" ht="18.75" x14ac:dyDescent="0.25">
      <c r="A25" s="19">
        <v>74</v>
      </c>
      <c r="B25" s="19" t="s">
        <v>1446</v>
      </c>
      <c r="C25" s="32" t="s">
        <v>1447</v>
      </c>
      <c r="D25" s="33" t="s">
        <v>78</v>
      </c>
      <c r="E25" s="5" t="s">
        <v>49</v>
      </c>
      <c r="F25" s="21">
        <v>1</v>
      </c>
      <c r="G25" s="22">
        <v>0</v>
      </c>
      <c r="H25" s="22">
        <v>0</v>
      </c>
      <c r="I25" s="5">
        <v>60</v>
      </c>
      <c r="J25" s="23">
        <v>0</v>
      </c>
      <c r="K25" s="58">
        <v>413</v>
      </c>
      <c r="L25" s="24">
        <f t="shared" si="0"/>
        <v>0</v>
      </c>
      <c r="M25" s="25" t="s">
        <v>1595</v>
      </c>
      <c r="N25" s="25" t="s">
        <v>1596</v>
      </c>
      <c r="O25" s="79">
        <v>1</v>
      </c>
    </row>
    <row r="26" spans="1:15" ht="18.75" x14ac:dyDescent="0.25">
      <c r="A26" s="19">
        <v>75</v>
      </c>
      <c r="B26" s="19" t="s">
        <v>1343</v>
      </c>
      <c r="C26" s="32" t="s">
        <v>1344</v>
      </c>
      <c r="D26" s="33" t="s">
        <v>78</v>
      </c>
      <c r="E26" s="5" t="s">
        <v>49</v>
      </c>
      <c r="F26" s="21">
        <v>1</v>
      </c>
      <c r="G26" s="22">
        <v>0</v>
      </c>
      <c r="H26" s="22">
        <v>0</v>
      </c>
      <c r="I26" s="5">
        <v>60</v>
      </c>
      <c r="J26" s="23">
        <v>0</v>
      </c>
      <c r="K26" s="58">
        <v>241</v>
      </c>
      <c r="L26" s="24">
        <f t="shared" si="0"/>
        <v>0</v>
      </c>
      <c r="M26" s="25" t="s">
        <v>1595</v>
      </c>
      <c r="N26" s="25" t="s">
        <v>1596</v>
      </c>
      <c r="O26" s="79">
        <v>1</v>
      </c>
    </row>
    <row r="27" spans="1:15" ht="18.75" x14ac:dyDescent="0.25">
      <c r="A27" s="19">
        <v>76</v>
      </c>
      <c r="B27" s="19" t="s">
        <v>1297</v>
      </c>
      <c r="C27" s="32" t="s">
        <v>1298</v>
      </c>
      <c r="D27" s="33" t="s">
        <v>78</v>
      </c>
      <c r="E27" s="5" t="s">
        <v>49</v>
      </c>
      <c r="F27" s="21">
        <v>1</v>
      </c>
      <c r="G27" s="22">
        <v>0</v>
      </c>
      <c r="H27" s="22">
        <v>0</v>
      </c>
      <c r="I27" s="5">
        <v>60</v>
      </c>
      <c r="J27" s="23">
        <v>0</v>
      </c>
      <c r="K27" s="58">
        <v>205</v>
      </c>
      <c r="L27" s="24">
        <f t="shared" si="0"/>
        <v>0</v>
      </c>
      <c r="M27" s="25" t="s">
        <v>1595</v>
      </c>
      <c r="N27" s="25" t="s">
        <v>1596</v>
      </c>
      <c r="O27" s="79">
        <v>1</v>
      </c>
    </row>
    <row r="28" spans="1:15" ht="18.75" x14ac:dyDescent="0.25">
      <c r="A28" s="19">
        <v>77</v>
      </c>
      <c r="B28" s="19" t="s">
        <v>1500</v>
      </c>
      <c r="C28" s="32" t="s">
        <v>1501</v>
      </c>
      <c r="D28" s="33" t="s">
        <v>78</v>
      </c>
      <c r="E28" s="5" t="s">
        <v>49</v>
      </c>
      <c r="F28" s="21">
        <v>1</v>
      </c>
      <c r="G28" s="22">
        <v>0</v>
      </c>
      <c r="H28" s="22">
        <v>0</v>
      </c>
      <c r="I28" s="5">
        <v>60</v>
      </c>
      <c r="J28" s="23">
        <v>0</v>
      </c>
      <c r="K28" s="58">
        <v>613</v>
      </c>
      <c r="L28" s="24">
        <f t="shared" si="0"/>
        <v>0</v>
      </c>
      <c r="M28" s="25" t="s">
        <v>1595</v>
      </c>
      <c r="N28" s="25" t="s">
        <v>1596</v>
      </c>
      <c r="O28" s="79">
        <v>1</v>
      </c>
    </row>
    <row r="29" spans="1:15" ht="18.75" x14ac:dyDescent="0.25">
      <c r="A29" s="19">
        <v>90</v>
      </c>
      <c r="B29" s="19" t="s">
        <v>176</v>
      </c>
      <c r="C29" s="27" t="s">
        <v>177</v>
      </c>
      <c r="D29" s="28" t="s">
        <v>35</v>
      </c>
      <c r="E29" s="5" t="s">
        <v>22</v>
      </c>
      <c r="F29" s="21">
        <v>2E-3</v>
      </c>
      <c r="G29" s="22">
        <v>150</v>
      </c>
      <c r="H29" s="22">
        <v>75000</v>
      </c>
      <c r="I29" s="5">
        <v>14</v>
      </c>
      <c r="J29" s="23">
        <v>37500</v>
      </c>
      <c r="K29" s="58">
        <v>0</v>
      </c>
      <c r="L29" s="24">
        <f t="shared" si="0"/>
        <v>0</v>
      </c>
      <c r="M29" s="25" t="s">
        <v>1595</v>
      </c>
      <c r="N29" s="25" t="s">
        <v>1596</v>
      </c>
      <c r="O29" s="79">
        <v>0</v>
      </c>
    </row>
    <row r="30" spans="1:15" ht="18.75" x14ac:dyDescent="0.25">
      <c r="A30" s="19">
        <v>93</v>
      </c>
      <c r="B30" s="19" t="s">
        <v>33</v>
      </c>
      <c r="C30" s="68" t="s">
        <v>34</v>
      </c>
      <c r="D30" s="28" t="s">
        <v>35</v>
      </c>
      <c r="E30" s="5" t="s">
        <v>22</v>
      </c>
      <c r="F30" s="21">
        <v>2E-3</v>
      </c>
      <c r="G30" s="22">
        <v>8</v>
      </c>
      <c r="H30" s="22">
        <v>4000</v>
      </c>
      <c r="I30" s="5">
        <v>14</v>
      </c>
      <c r="J30" s="23">
        <v>2000</v>
      </c>
      <c r="K30" s="58">
        <v>0</v>
      </c>
      <c r="L30" s="24">
        <f t="shared" si="0"/>
        <v>0</v>
      </c>
      <c r="M30" s="25" t="s">
        <v>1595</v>
      </c>
      <c r="N30" s="25" t="s">
        <v>1596</v>
      </c>
      <c r="O30" s="79">
        <v>0</v>
      </c>
    </row>
    <row r="31" spans="1:15" ht="18.75" x14ac:dyDescent="0.25">
      <c r="A31" s="19">
        <v>94</v>
      </c>
      <c r="B31" s="19" t="s">
        <v>23</v>
      </c>
      <c r="C31" s="68" t="s">
        <v>24</v>
      </c>
      <c r="D31" s="28" t="s">
        <v>25</v>
      </c>
      <c r="E31" s="5" t="s">
        <v>22</v>
      </c>
      <c r="F31" s="21">
        <v>2E-3</v>
      </c>
      <c r="G31" s="22">
        <v>8</v>
      </c>
      <c r="H31" s="22">
        <v>4000</v>
      </c>
      <c r="I31" s="5">
        <v>14</v>
      </c>
      <c r="J31" s="23">
        <v>2000</v>
      </c>
      <c r="K31" s="58">
        <v>0</v>
      </c>
      <c r="L31" s="24">
        <f t="shared" si="0"/>
        <v>0</v>
      </c>
      <c r="M31" s="25" t="s">
        <v>1595</v>
      </c>
      <c r="N31" s="25" t="s">
        <v>1596</v>
      </c>
      <c r="O31" s="79">
        <v>0</v>
      </c>
    </row>
    <row r="32" spans="1:15" ht="18.75" x14ac:dyDescent="0.25">
      <c r="A32" s="19">
        <v>95</v>
      </c>
      <c r="B32" s="19" t="s">
        <v>178</v>
      </c>
      <c r="C32" s="68" t="s">
        <v>179</v>
      </c>
      <c r="D32" s="28" t="s">
        <v>180</v>
      </c>
      <c r="E32" s="5" t="s">
        <v>22</v>
      </c>
      <c r="F32" s="21">
        <v>1E-3</v>
      </c>
      <c r="G32" s="22">
        <v>0</v>
      </c>
      <c r="H32" s="22">
        <v>0</v>
      </c>
      <c r="I32" s="5">
        <v>14</v>
      </c>
      <c r="J32" s="23">
        <v>0</v>
      </c>
      <c r="K32" s="58">
        <v>0</v>
      </c>
      <c r="L32" s="24">
        <f t="shared" si="0"/>
        <v>0</v>
      </c>
      <c r="M32" s="25" t="s">
        <v>1595</v>
      </c>
      <c r="N32" s="25" t="s">
        <v>1596</v>
      </c>
      <c r="O32" s="79">
        <v>1</v>
      </c>
    </row>
    <row r="33" spans="1:15" ht="18.75" x14ac:dyDescent="0.25">
      <c r="A33" s="19">
        <v>96</v>
      </c>
      <c r="B33" s="19" t="s">
        <v>129</v>
      </c>
      <c r="C33" s="27" t="s">
        <v>130</v>
      </c>
      <c r="D33" s="28" t="s">
        <v>119</v>
      </c>
      <c r="E33" s="5" t="s">
        <v>22</v>
      </c>
      <c r="F33" s="21">
        <v>1E-3</v>
      </c>
      <c r="G33" s="22">
        <v>18</v>
      </c>
      <c r="H33" s="22">
        <v>18000</v>
      </c>
      <c r="I33" s="5">
        <v>14</v>
      </c>
      <c r="J33" s="23">
        <v>9000</v>
      </c>
      <c r="K33" s="58">
        <v>0</v>
      </c>
      <c r="L33" s="24">
        <f t="shared" si="0"/>
        <v>0</v>
      </c>
      <c r="M33" s="25" t="s">
        <v>1595</v>
      </c>
      <c r="N33" s="25" t="s">
        <v>1596</v>
      </c>
      <c r="O33" s="79">
        <v>0</v>
      </c>
    </row>
    <row r="34" spans="1:15" ht="18.75" x14ac:dyDescent="0.25">
      <c r="A34" s="19">
        <v>97</v>
      </c>
      <c r="B34" s="19" t="s">
        <v>117</v>
      </c>
      <c r="C34" s="27" t="s">
        <v>118</v>
      </c>
      <c r="D34" s="28" t="s">
        <v>119</v>
      </c>
      <c r="E34" s="5" t="s">
        <v>22</v>
      </c>
      <c r="F34" s="21">
        <v>1E-3</v>
      </c>
      <c r="G34" s="22">
        <v>400</v>
      </c>
      <c r="H34" s="22">
        <v>400000</v>
      </c>
      <c r="I34" s="5">
        <v>14</v>
      </c>
      <c r="J34" s="23">
        <v>200000</v>
      </c>
      <c r="K34" s="58">
        <v>0</v>
      </c>
      <c r="L34" s="24">
        <f t="shared" si="0"/>
        <v>0</v>
      </c>
      <c r="M34" s="25" t="s">
        <v>1595</v>
      </c>
      <c r="N34" s="25" t="s">
        <v>1596</v>
      </c>
      <c r="O34" s="79">
        <v>0</v>
      </c>
    </row>
    <row r="35" spans="1:15" ht="18.75" x14ac:dyDescent="0.25">
      <c r="A35" s="19">
        <v>100</v>
      </c>
      <c r="B35" s="19" t="s">
        <v>698</v>
      </c>
      <c r="C35" s="29" t="s">
        <v>699</v>
      </c>
      <c r="D35" s="28" t="s">
        <v>186</v>
      </c>
      <c r="E35" s="5" t="s">
        <v>22</v>
      </c>
      <c r="F35" s="21">
        <v>2E-3</v>
      </c>
      <c r="G35" s="22">
        <v>10</v>
      </c>
      <c r="H35" s="22">
        <v>5000</v>
      </c>
      <c r="I35" s="5">
        <v>14</v>
      </c>
      <c r="J35" s="23">
        <v>2500</v>
      </c>
      <c r="K35" s="58">
        <v>0</v>
      </c>
      <c r="L35" s="24">
        <f t="shared" ref="L35:L66" si="1">IFERROR((K35/H35*30),0)</f>
        <v>0</v>
      </c>
      <c r="M35" s="25" t="s">
        <v>1595</v>
      </c>
      <c r="N35" s="25" t="s">
        <v>1596</v>
      </c>
      <c r="O35" s="79">
        <v>0</v>
      </c>
    </row>
    <row r="36" spans="1:15" ht="18.75" x14ac:dyDescent="0.25">
      <c r="A36" s="19">
        <v>107</v>
      </c>
      <c r="B36" s="19" t="s">
        <v>181</v>
      </c>
      <c r="C36" s="27" t="s">
        <v>182</v>
      </c>
      <c r="D36" s="28" t="s">
        <v>183</v>
      </c>
      <c r="E36" s="5" t="s">
        <v>22</v>
      </c>
      <c r="F36" s="21">
        <v>5.0000000000000001E-3</v>
      </c>
      <c r="G36" s="22">
        <v>50</v>
      </c>
      <c r="H36" s="22">
        <v>10000</v>
      </c>
      <c r="I36" s="5">
        <v>14</v>
      </c>
      <c r="J36" s="23">
        <v>5000</v>
      </c>
      <c r="K36" s="58">
        <v>0</v>
      </c>
      <c r="L36" s="24">
        <f t="shared" si="1"/>
        <v>0</v>
      </c>
      <c r="M36" s="25" t="s">
        <v>1595</v>
      </c>
      <c r="N36" s="25" t="s">
        <v>1596</v>
      </c>
      <c r="O36" s="79">
        <v>0</v>
      </c>
    </row>
    <row r="37" spans="1:15" ht="18.75" x14ac:dyDescent="0.25">
      <c r="A37" s="19">
        <v>108</v>
      </c>
      <c r="B37" s="19" t="s">
        <v>184</v>
      </c>
      <c r="C37" s="68" t="s">
        <v>185</v>
      </c>
      <c r="D37" s="28" t="s">
        <v>186</v>
      </c>
      <c r="E37" s="5" t="s">
        <v>22</v>
      </c>
      <c r="F37" s="21">
        <v>2E-3</v>
      </c>
      <c r="G37" s="22">
        <v>16</v>
      </c>
      <c r="H37" s="22">
        <v>8000</v>
      </c>
      <c r="I37" s="5">
        <v>14</v>
      </c>
      <c r="J37" s="23">
        <v>4000</v>
      </c>
      <c r="K37" s="58">
        <v>0</v>
      </c>
      <c r="L37" s="24">
        <f t="shared" si="1"/>
        <v>0</v>
      </c>
      <c r="M37" s="25" t="s">
        <v>1595</v>
      </c>
      <c r="N37" s="25" t="s">
        <v>1596</v>
      </c>
      <c r="O37" s="79">
        <v>0</v>
      </c>
    </row>
    <row r="38" spans="1:15" ht="18.75" x14ac:dyDescent="0.25">
      <c r="A38" s="19">
        <v>109</v>
      </c>
      <c r="B38" s="19" t="s">
        <v>1050</v>
      </c>
      <c r="C38" s="68" t="s">
        <v>1051</v>
      </c>
      <c r="D38" s="33" t="s">
        <v>78</v>
      </c>
      <c r="E38" s="5" t="s">
        <v>49</v>
      </c>
      <c r="F38" s="21">
        <v>1</v>
      </c>
      <c r="G38" s="22">
        <v>0</v>
      </c>
      <c r="H38" s="22">
        <v>0</v>
      </c>
      <c r="I38" s="5">
        <v>14</v>
      </c>
      <c r="J38" s="23">
        <v>0</v>
      </c>
      <c r="K38" s="58">
        <v>37</v>
      </c>
      <c r="L38" s="24">
        <f t="shared" si="1"/>
        <v>0</v>
      </c>
      <c r="M38" s="25" t="s">
        <v>1595</v>
      </c>
      <c r="N38" s="25" t="s">
        <v>1596</v>
      </c>
      <c r="O38" s="79">
        <v>1</v>
      </c>
    </row>
    <row r="39" spans="1:15" ht="18.75" x14ac:dyDescent="0.25">
      <c r="A39" s="19">
        <v>110</v>
      </c>
      <c r="B39" s="19" t="s">
        <v>981</v>
      </c>
      <c r="C39" s="27" t="s">
        <v>982</v>
      </c>
      <c r="D39" s="28" t="s">
        <v>186</v>
      </c>
      <c r="E39" s="5" t="s">
        <v>22</v>
      </c>
      <c r="F39" s="21">
        <v>1</v>
      </c>
      <c r="G39" s="22">
        <v>10</v>
      </c>
      <c r="H39" s="22">
        <v>10</v>
      </c>
      <c r="I39" s="5">
        <v>14</v>
      </c>
      <c r="J39" s="23">
        <v>5</v>
      </c>
      <c r="K39" s="58">
        <v>0</v>
      </c>
      <c r="L39" s="24">
        <f t="shared" si="1"/>
        <v>0</v>
      </c>
      <c r="M39" s="25" t="s">
        <v>1595</v>
      </c>
      <c r="N39" s="25" t="s">
        <v>1596</v>
      </c>
      <c r="O39" s="79">
        <v>0</v>
      </c>
    </row>
    <row r="40" spans="1:15" ht="18.75" x14ac:dyDescent="0.25">
      <c r="A40" s="19">
        <v>112</v>
      </c>
      <c r="B40" s="19" t="s">
        <v>187</v>
      </c>
      <c r="C40" s="27" t="s">
        <v>188</v>
      </c>
      <c r="D40" s="28" t="s">
        <v>180</v>
      </c>
      <c r="E40" s="5" t="s">
        <v>22</v>
      </c>
      <c r="F40" s="21">
        <v>1E-3</v>
      </c>
      <c r="G40" s="22">
        <v>15</v>
      </c>
      <c r="H40" s="22">
        <v>15000</v>
      </c>
      <c r="I40" s="5">
        <v>14</v>
      </c>
      <c r="J40" s="23">
        <v>7500</v>
      </c>
      <c r="K40" s="58">
        <v>0</v>
      </c>
      <c r="L40" s="24">
        <f t="shared" si="1"/>
        <v>0</v>
      </c>
      <c r="M40" s="25" t="s">
        <v>1595</v>
      </c>
      <c r="N40" s="25" t="s">
        <v>1596</v>
      </c>
      <c r="O40" s="79">
        <v>0</v>
      </c>
    </row>
    <row r="41" spans="1:15" ht="18.75" x14ac:dyDescent="0.25">
      <c r="A41" s="19">
        <v>116</v>
      </c>
      <c r="B41" s="19" t="s">
        <v>189</v>
      </c>
      <c r="C41" s="27" t="s">
        <v>190</v>
      </c>
      <c r="D41" s="28" t="s">
        <v>191</v>
      </c>
      <c r="E41" s="5" t="s">
        <v>22</v>
      </c>
      <c r="F41" s="21">
        <v>1E-3</v>
      </c>
      <c r="G41" s="22">
        <v>8</v>
      </c>
      <c r="H41" s="22">
        <v>8000</v>
      </c>
      <c r="I41" s="5">
        <v>14</v>
      </c>
      <c r="J41" s="23">
        <v>4000</v>
      </c>
      <c r="K41" s="58">
        <v>0</v>
      </c>
      <c r="L41" s="24">
        <f t="shared" si="1"/>
        <v>0</v>
      </c>
      <c r="M41" s="25" t="s">
        <v>1595</v>
      </c>
      <c r="N41" s="25" t="s">
        <v>1596</v>
      </c>
      <c r="O41" s="79">
        <v>0</v>
      </c>
    </row>
    <row r="42" spans="1:15" ht="18.75" x14ac:dyDescent="0.25">
      <c r="A42" s="19">
        <v>118</v>
      </c>
      <c r="B42" s="19" t="s">
        <v>1597</v>
      </c>
      <c r="C42" s="72" t="s">
        <v>1598</v>
      </c>
      <c r="D42" s="28" t="s">
        <v>1599</v>
      </c>
      <c r="E42" s="5" t="s">
        <v>22</v>
      </c>
      <c r="F42" s="21">
        <v>2E-3</v>
      </c>
      <c r="G42" s="22">
        <v>0</v>
      </c>
      <c r="H42" s="22">
        <v>0</v>
      </c>
      <c r="I42" s="5">
        <v>14</v>
      </c>
      <c r="J42" s="23">
        <v>0</v>
      </c>
      <c r="K42" s="58">
        <v>0</v>
      </c>
      <c r="L42" s="24">
        <f t="shared" si="1"/>
        <v>0</v>
      </c>
      <c r="M42" s="25" t="s">
        <v>1595</v>
      </c>
      <c r="N42" s="25" t="s">
        <v>1596</v>
      </c>
      <c r="O42" s="79">
        <v>1</v>
      </c>
    </row>
    <row r="43" spans="1:15" ht="18.75" x14ac:dyDescent="0.25">
      <c r="A43" s="19">
        <v>120</v>
      </c>
      <c r="B43" s="19" t="s">
        <v>815</v>
      </c>
      <c r="C43" s="27" t="s">
        <v>816</v>
      </c>
      <c r="D43" s="28" t="s">
        <v>186</v>
      </c>
      <c r="E43" s="5" t="s">
        <v>606</v>
      </c>
      <c r="F43" s="21">
        <v>2E-3</v>
      </c>
      <c r="G43" s="22">
        <v>30</v>
      </c>
      <c r="H43" s="22">
        <v>15000</v>
      </c>
      <c r="I43" s="5">
        <v>14</v>
      </c>
      <c r="J43" s="23">
        <v>7500</v>
      </c>
      <c r="K43" s="58">
        <v>0</v>
      </c>
      <c r="L43" s="24">
        <f t="shared" si="1"/>
        <v>0</v>
      </c>
      <c r="M43" s="25" t="s">
        <v>1595</v>
      </c>
      <c r="N43" s="25" t="s">
        <v>1596</v>
      </c>
      <c r="O43" s="79">
        <v>0</v>
      </c>
    </row>
    <row r="44" spans="1:15" ht="18.75" x14ac:dyDescent="0.25">
      <c r="A44" s="19">
        <v>122</v>
      </c>
      <c r="B44" s="19" t="s">
        <v>1600</v>
      </c>
      <c r="C44" s="72" t="s">
        <v>1601</v>
      </c>
      <c r="D44" s="28" t="s">
        <v>98</v>
      </c>
      <c r="E44" s="5" t="s">
        <v>46</v>
      </c>
      <c r="F44" s="21">
        <v>2E-3</v>
      </c>
      <c r="G44" s="22">
        <v>0</v>
      </c>
      <c r="H44" s="22">
        <v>0</v>
      </c>
      <c r="I44" s="5">
        <v>14</v>
      </c>
      <c r="J44" s="23">
        <v>0</v>
      </c>
      <c r="K44" s="58">
        <v>0</v>
      </c>
      <c r="L44" s="24">
        <f t="shared" si="1"/>
        <v>0</v>
      </c>
      <c r="M44" s="25" t="s">
        <v>1595</v>
      </c>
      <c r="N44" s="25" t="s">
        <v>1596</v>
      </c>
      <c r="O44" s="79">
        <v>1</v>
      </c>
    </row>
    <row r="45" spans="1:15" ht="18.75" x14ac:dyDescent="0.25">
      <c r="A45" s="19">
        <v>123</v>
      </c>
      <c r="B45" s="19" t="s">
        <v>192</v>
      </c>
      <c r="C45" s="27" t="s">
        <v>193</v>
      </c>
      <c r="D45" s="28" t="s">
        <v>98</v>
      </c>
      <c r="E45" s="5" t="s">
        <v>46</v>
      </c>
      <c r="F45" s="21">
        <v>2E-3</v>
      </c>
      <c r="G45" s="22">
        <v>15</v>
      </c>
      <c r="H45" s="22">
        <v>7500</v>
      </c>
      <c r="I45" s="5">
        <v>14</v>
      </c>
      <c r="J45" s="23">
        <v>3750</v>
      </c>
      <c r="K45" s="58">
        <v>0</v>
      </c>
      <c r="L45" s="24">
        <f t="shared" si="1"/>
        <v>0</v>
      </c>
      <c r="M45" s="25" t="s">
        <v>1595</v>
      </c>
      <c r="N45" s="25" t="s">
        <v>1596</v>
      </c>
      <c r="O45" s="79">
        <v>0</v>
      </c>
    </row>
    <row r="46" spans="1:15" ht="18.75" x14ac:dyDescent="0.25">
      <c r="A46" s="19">
        <v>125</v>
      </c>
      <c r="B46" s="19" t="s">
        <v>1602</v>
      </c>
      <c r="C46" s="32" t="s">
        <v>1603</v>
      </c>
      <c r="D46" s="28" t="s">
        <v>49</v>
      </c>
      <c r="E46" s="5"/>
      <c r="F46" s="21">
        <v>1</v>
      </c>
      <c r="G46" s="22">
        <v>0</v>
      </c>
      <c r="H46" s="22">
        <v>0</v>
      </c>
      <c r="I46" s="5">
        <v>14</v>
      </c>
      <c r="J46" s="23">
        <v>0</v>
      </c>
      <c r="K46" s="58">
        <v>0</v>
      </c>
      <c r="L46" s="24">
        <f t="shared" si="1"/>
        <v>0</v>
      </c>
      <c r="M46" s="25" t="s">
        <v>1595</v>
      </c>
      <c r="N46" s="25" t="s">
        <v>1596</v>
      </c>
      <c r="O46" s="79">
        <v>1</v>
      </c>
    </row>
    <row r="47" spans="1:15" ht="18.75" x14ac:dyDescent="0.25">
      <c r="A47" s="19">
        <v>127</v>
      </c>
      <c r="B47" s="19" t="s">
        <v>194</v>
      </c>
      <c r="C47" s="27" t="s">
        <v>195</v>
      </c>
      <c r="D47" s="28" t="s">
        <v>196</v>
      </c>
      <c r="E47" s="5" t="s">
        <v>46</v>
      </c>
      <c r="F47" s="21">
        <v>0.01</v>
      </c>
      <c r="G47" s="22">
        <v>300</v>
      </c>
      <c r="H47" s="22">
        <v>30000</v>
      </c>
      <c r="I47" s="5">
        <v>14</v>
      </c>
      <c r="J47" s="23">
        <v>15000</v>
      </c>
      <c r="K47" s="58">
        <v>0</v>
      </c>
      <c r="L47" s="24">
        <f t="shared" si="1"/>
        <v>0</v>
      </c>
      <c r="M47" s="25" t="s">
        <v>1595</v>
      </c>
      <c r="N47" s="25" t="s">
        <v>1596</v>
      </c>
      <c r="O47" s="79">
        <v>0</v>
      </c>
    </row>
    <row r="48" spans="1:15" ht="18.75" x14ac:dyDescent="0.25">
      <c r="A48" s="19">
        <v>129</v>
      </c>
      <c r="B48" s="19" t="s">
        <v>197</v>
      </c>
      <c r="C48" s="27" t="s">
        <v>198</v>
      </c>
      <c r="D48" s="28" t="s">
        <v>183</v>
      </c>
      <c r="E48" s="5" t="s">
        <v>22</v>
      </c>
      <c r="F48" s="21">
        <v>5.0000000000000001E-3</v>
      </c>
      <c r="G48" s="22">
        <v>50</v>
      </c>
      <c r="H48" s="22">
        <v>10000</v>
      </c>
      <c r="I48" s="5">
        <v>14</v>
      </c>
      <c r="J48" s="23">
        <v>5000</v>
      </c>
      <c r="K48" s="58">
        <v>0</v>
      </c>
      <c r="L48" s="24">
        <f t="shared" si="1"/>
        <v>0</v>
      </c>
      <c r="M48" s="25" t="s">
        <v>1595</v>
      </c>
      <c r="N48" s="25" t="s">
        <v>1596</v>
      </c>
      <c r="O48" s="79">
        <v>0</v>
      </c>
    </row>
    <row r="49" spans="1:15" ht="18.75" x14ac:dyDescent="0.25">
      <c r="A49" s="19">
        <v>136</v>
      </c>
      <c r="B49" s="19" t="s">
        <v>199</v>
      </c>
      <c r="C49" s="32" t="s">
        <v>200</v>
      </c>
      <c r="D49" s="33" t="s">
        <v>201</v>
      </c>
      <c r="E49" s="5" t="s">
        <v>46</v>
      </c>
      <c r="F49" s="21">
        <v>0.02</v>
      </c>
      <c r="G49" s="22">
        <v>0</v>
      </c>
      <c r="H49" s="22">
        <v>0</v>
      </c>
      <c r="I49" s="5">
        <v>14</v>
      </c>
      <c r="J49" s="23">
        <v>0</v>
      </c>
      <c r="K49" s="58">
        <v>0</v>
      </c>
      <c r="L49" s="24">
        <f t="shared" si="1"/>
        <v>0</v>
      </c>
      <c r="M49" s="25" t="s">
        <v>1595</v>
      </c>
      <c r="N49" s="25" t="s">
        <v>1596</v>
      </c>
      <c r="O49" s="79">
        <v>1</v>
      </c>
    </row>
    <row r="50" spans="1:15" ht="18.75" x14ac:dyDescent="0.25">
      <c r="A50" s="19">
        <v>141</v>
      </c>
      <c r="B50" s="19" t="s">
        <v>1604</v>
      </c>
      <c r="C50" s="29" t="s">
        <v>1605</v>
      </c>
      <c r="D50" s="28" t="s">
        <v>49</v>
      </c>
      <c r="E50" s="27" t="s">
        <v>49</v>
      </c>
      <c r="F50" s="21">
        <v>1</v>
      </c>
      <c r="G50" s="22">
        <v>0</v>
      </c>
      <c r="H50" s="22">
        <v>0</v>
      </c>
      <c r="I50" s="5">
        <v>14</v>
      </c>
      <c r="J50" s="23">
        <v>0</v>
      </c>
      <c r="K50" s="58">
        <v>0</v>
      </c>
      <c r="L50" s="24">
        <f t="shared" si="1"/>
        <v>0</v>
      </c>
      <c r="M50" s="25" t="s">
        <v>1595</v>
      </c>
      <c r="N50" s="25" t="s">
        <v>1596</v>
      </c>
      <c r="O50" s="79">
        <v>1</v>
      </c>
    </row>
    <row r="51" spans="1:15" ht="18.75" x14ac:dyDescent="0.25">
      <c r="A51" s="19">
        <v>143</v>
      </c>
      <c r="B51" s="19" t="s">
        <v>1234</v>
      </c>
      <c r="C51" s="65" t="s">
        <v>1235</v>
      </c>
      <c r="D51" s="33" t="s">
        <v>49</v>
      </c>
      <c r="E51" s="5" t="s">
        <v>49</v>
      </c>
      <c r="F51" s="21">
        <v>1</v>
      </c>
      <c r="G51" s="22">
        <v>0</v>
      </c>
      <c r="H51" s="22">
        <v>0</v>
      </c>
      <c r="I51" s="5">
        <v>14</v>
      </c>
      <c r="J51" s="23">
        <v>0</v>
      </c>
      <c r="K51" s="58">
        <v>0</v>
      </c>
      <c r="L51" s="24">
        <f t="shared" si="1"/>
        <v>0</v>
      </c>
      <c r="M51" s="25" t="s">
        <v>1595</v>
      </c>
      <c r="N51" s="25" t="s">
        <v>1596</v>
      </c>
      <c r="O51" s="79">
        <v>1</v>
      </c>
    </row>
    <row r="52" spans="1:15" ht="18.75" x14ac:dyDescent="0.25">
      <c r="A52" s="19">
        <v>144</v>
      </c>
      <c r="B52" s="19" t="s">
        <v>202</v>
      </c>
      <c r="C52" s="65" t="s">
        <v>203</v>
      </c>
      <c r="D52" s="33" t="s">
        <v>49</v>
      </c>
      <c r="E52" s="5" t="s">
        <v>49</v>
      </c>
      <c r="F52" s="21">
        <v>1</v>
      </c>
      <c r="G52" s="22">
        <v>0</v>
      </c>
      <c r="H52" s="22">
        <v>0</v>
      </c>
      <c r="I52" s="5">
        <v>14</v>
      </c>
      <c r="J52" s="23">
        <v>0</v>
      </c>
      <c r="K52" s="58">
        <v>0</v>
      </c>
      <c r="L52" s="24">
        <f t="shared" si="1"/>
        <v>0</v>
      </c>
      <c r="M52" s="25" t="s">
        <v>1595</v>
      </c>
      <c r="N52" s="25" t="s">
        <v>1596</v>
      </c>
      <c r="O52" s="79">
        <v>1</v>
      </c>
    </row>
    <row r="53" spans="1:15" ht="18.75" x14ac:dyDescent="0.25">
      <c r="A53" s="19">
        <v>145</v>
      </c>
      <c r="B53" s="19" t="s">
        <v>204</v>
      </c>
      <c r="C53" s="65" t="s">
        <v>205</v>
      </c>
      <c r="D53" s="33" t="s">
        <v>49</v>
      </c>
      <c r="E53" s="5" t="s">
        <v>49</v>
      </c>
      <c r="F53" s="21">
        <v>1</v>
      </c>
      <c r="G53" s="22">
        <v>0</v>
      </c>
      <c r="H53" s="22">
        <v>0</v>
      </c>
      <c r="I53" s="5">
        <v>14</v>
      </c>
      <c r="J53" s="23">
        <v>0</v>
      </c>
      <c r="K53" s="58">
        <v>0</v>
      </c>
      <c r="L53" s="24">
        <f t="shared" si="1"/>
        <v>0</v>
      </c>
      <c r="M53" s="25" t="s">
        <v>1595</v>
      </c>
      <c r="N53" s="25" t="s">
        <v>1596</v>
      </c>
      <c r="O53" s="79">
        <v>1</v>
      </c>
    </row>
    <row r="54" spans="1:15" ht="18.75" x14ac:dyDescent="0.25">
      <c r="A54" s="19">
        <v>146</v>
      </c>
      <c r="B54" s="19" t="s">
        <v>745</v>
      </c>
      <c r="C54" s="65" t="s">
        <v>746</v>
      </c>
      <c r="D54" s="33" t="s">
        <v>49</v>
      </c>
      <c r="E54" s="5" t="s">
        <v>49</v>
      </c>
      <c r="F54" s="21">
        <v>1</v>
      </c>
      <c r="G54" s="22">
        <v>0</v>
      </c>
      <c r="H54" s="22">
        <v>0</v>
      </c>
      <c r="I54" s="5">
        <v>14</v>
      </c>
      <c r="J54" s="23">
        <v>0</v>
      </c>
      <c r="K54" s="58">
        <v>16</v>
      </c>
      <c r="L54" s="24">
        <f t="shared" si="1"/>
        <v>0</v>
      </c>
      <c r="M54" s="25" t="s">
        <v>1595</v>
      </c>
      <c r="N54" s="25" t="s">
        <v>1596</v>
      </c>
      <c r="O54" s="79">
        <v>1</v>
      </c>
    </row>
    <row r="55" spans="1:15" ht="18.75" x14ac:dyDescent="0.25">
      <c r="A55" s="19">
        <v>147</v>
      </c>
      <c r="B55" s="19" t="s">
        <v>741</v>
      </c>
      <c r="C55" s="65" t="s">
        <v>742</v>
      </c>
      <c r="D55" s="33" t="s">
        <v>49</v>
      </c>
      <c r="E55" s="5" t="s">
        <v>49</v>
      </c>
      <c r="F55" s="21">
        <v>1</v>
      </c>
      <c r="G55" s="22">
        <v>0</v>
      </c>
      <c r="H55" s="22">
        <v>0</v>
      </c>
      <c r="I55" s="5">
        <v>14</v>
      </c>
      <c r="J55" s="23">
        <v>0</v>
      </c>
      <c r="K55" s="58">
        <v>0</v>
      </c>
      <c r="L55" s="24">
        <f t="shared" si="1"/>
        <v>0</v>
      </c>
      <c r="M55" s="25" t="s">
        <v>1595</v>
      </c>
      <c r="N55" s="25" t="s">
        <v>1596</v>
      </c>
      <c r="O55" s="79">
        <v>1</v>
      </c>
    </row>
    <row r="56" spans="1:15" ht="18.75" x14ac:dyDescent="0.25">
      <c r="A56" s="19">
        <v>148</v>
      </c>
      <c r="B56" s="19" t="s">
        <v>723</v>
      </c>
      <c r="C56" s="65" t="s">
        <v>724</v>
      </c>
      <c r="D56" s="33" t="s">
        <v>49</v>
      </c>
      <c r="E56" s="5" t="s">
        <v>49</v>
      </c>
      <c r="F56" s="21">
        <v>1</v>
      </c>
      <c r="G56" s="22">
        <v>0</v>
      </c>
      <c r="H56" s="22">
        <v>0</v>
      </c>
      <c r="I56" s="5">
        <v>14</v>
      </c>
      <c r="J56" s="23">
        <v>0</v>
      </c>
      <c r="K56" s="58">
        <v>0</v>
      </c>
      <c r="L56" s="24">
        <f t="shared" si="1"/>
        <v>0</v>
      </c>
      <c r="M56" s="25" t="s">
        <v>1595</v>
      </c>
      <c r="N56" s="25" t="s">
        <v>1596</v>
      </c>
      <c r="O56" s="79">
        <v>1</v>
      </c>
    </row>
    <row r="57" spans="1:15" ht="18.75" x14ac:dyDescent="0.25">
      <c r="A57" s="19">
        <v>149</v>
      </c>
      <c r="B57" s="19" t="s">
        <v>1178</v>
      </c>
      <c r="C57" s="29" t="s">
        <v>1179</v>
      </c>
      <c r="D57" s="28" t="s">
        <v>1180</v>
      </c>
      <c r="E57" s="5" t="s">
        <v>22</v>
      </c>
      <c r="F57" s="21">
        <v>6.2500000000000001E-4</v>
      </c>
      <c r="G57" s="22">
        <v>16</v>
      </c>
      <c r="H57" s="22">
        <v>25600</v>
      </c>
      <c r="I57" s="5">
        <v>14</v>
      </c>
      <c r="J57" s="23">
        <v>12800</v>
      </c>
      <c r="K57" s="58">
        <v>0</v>
      </c>
      <c r="L57" s="24">
        <f t="shared" si="1"/>
        <v>0</v>
      </c>
      <c r="M57" s="25" t="s">
        <v>1595</v>
      </c>
      <c r="N57" s="25" t="s">
        <v>1596</v>
      </c>
      <c r="O57" s="79">
        <v>0</v>
      </c>
    </row>
    <row r="58" spans="1:15" ht="18.75" x14ac:dyDescent="0.25">
      <c r="A58" s="19">
        <v>150</v>
      </c>
      <c r="B58" s="19" t="s">
        <v>206</v>
      </c>
      <c r="C58" s="27" t="s">
        <v>207</v>
      </c>
      <c r="D58" s="28" t="s">
        <v>208</v>
      </c>
      <c r="E58" s="5" t="s">
        <v>46</v>
      </c>
      <c r="F58" s="21">
        <v>2E-3</v>
      </c>
      <c r="G58" s="22">
        <v>6</v>
      </c>
      <c r="H58" s="22">
        <v>3000</v>
      </c>
      <c r="I58" s="5">
        <v>14</v>
      </c>
      <c r="J58" s="23">
        <v>1500</v>
      </c>
      <c r="K58" s="58">
        <v>0</v>
      </c>
      <c r="L58" s="24">
        <f t="shared" si="1"/>
        <v>0</v>
      </c>
      <c r="M58" s="25" t="s">
        <v>1595</v>
      </c>
      <c r="N58" s="25" t="s">
        <v>1596</v>
      </c>
      <c r="O58" s="79">
        <v>0</v>
      </c>
    </row>
    <row r="59" spans="1:15" ht="18.75" x14ac:dyDescent="0.25">
      <c r="A59" s="19">
        <v>154</v>
      </c>
      <c r="B59" s="19" t="s">
        <v>1606</v>
      </c>
      <c r="C59" s="66" t="s">
        <v>1607</v>
      </c>
      <c r="D59" s="28"/>
      <c r="E59" s="5"/>
      <c r="F59" s="21">
        <v>1</v>
      </c>
      <c r="G59" s="22">
        <v>3</v>
      </c>
      <c r="H59" s="22">
        <v>3</v>
      </c>
      <c r="I59" s="5">
        <v>14</v>
      </c>
      <c r="J59" s="23">
        <v>1.5</v>
      </c>
      <c r="K59" s="58">
        <v>0</v>
      </c>
      <c r="L59" s="24">
        <f t="shared" si="1"/>
        <v>0</v>
      </c>
      <c r="M59" s="25" t="s">
        <v>1595</v>
      </c>
      <c r="N59" s="25" t="s">
        <v>1596</v>
      </c>
      <c r="O59" s="79">
        <v>0</v>
      </c>
    </row>
    <row r="60" spans="1:15" ht="18.75" x14ac:dyDescent="0.25">
      <c r="A60" s="19">
        <v>155</v>
      </c>
      <c r="B60" s="19" t="s">
        <v>209</v>
      </c>
      <c r="C60" s="29" t="s">
        <v>210</v>
      </c>
      <c r="D60" s="28" t="s">
        <v>211</v>
      </c>
      <c r="E60" s="5" t="s">
        <v>22</v>
      </c>
      <c r="F60" s="21">
        <v>1.3333333333333333E-3</v>
      </c>
      <c r="G60" s="22">
        <v>28</v>
      </c>
      <c r="H60" s="22">
        <v>21000</v>
      </c>
      <c r="I60" s="5">
        <v>14</v>
      </c>
      <c r="J60" s="23">
        <v>10500</v>
      </c>
      <c r="K60" s="58">
        <v>0</v>
      </c>
      <c r="L60" s="24">
        <f t="shared" si="1"/>
        <v>0</v>
      </c>
      <c r="M60" s="25" t="s">
        <v>1595</v>
      </c>
      <c r="N60" s="25" t="s">
        <v>1596</v>
      </c>
      <c r="O60" s="79">
        <v>0</v>
      </c>
    </row>
    <row r="61" spans="1:15" ht="18.75" x14ac:dyDescent="0.25">
      <c r="A61" s="19">
        <v>156</v>
      </c>
      <c r="B61" s="19" t="s">
        <v>212</v>
      </c>
      <c r="C61" s="29" t="s">
        <v>213</v>
      </c>
      <c r="D61" s="28"/>
      <c r="E61" s="5"/>
      <c r="F61" s="21">
        <v>1</v>
      </c>
      <c r="G61" s="22">
        <v>15000</v>
      </c>
      <c r="H61" s="22">
        <v>15000</v>
      </c>
      <c r="I61" s="5">
        <v>14</v>
      </c>
      <c r="J61" s="23">
        <v>7500</v>
      </c>
      <c r="K61" s="58">
        <v>0</v>
      </c>
      <c r="L61" s="24">
        <f t="shared" si="1"/>
        <v>0</v>
      </c>
      <c r="M61" s="25" t="s">
        <v>1595</v>
      </c>
      <c r="N61" s="25" t="s">
        <v>1596</v>
      </c>
      <c r="O61" s="79">
        <v>0</v>
      </c>
    </row>
    <row r="62" spans="1:15" ht="18.75" x14ac:dyDescent="0.25">
      <c r="A62" s="19">
        <v>157</v>
      </c>
      <c r="B62" s="19" t="s">
        <v>214</v>
      </c>
      <c r="C62" s="29" t="s">
        <v>215</v>
      </c>
      <c r="D62" s="28" t="s">
        <v>216</v>
      </c>
      <c r="E62" s="5" t="s">
        <v>49</v>
      </c>
      <c r="F62" s="21">
        <v>0.04</v>
      </c>
      <c r="G62" s="22">
        <v>400</v>
      </c>
      <c r="H62" s="22">
        <v>10000</v>
      </c>
      <c r="I62" s="5">
        <v>14</v>
      </c>
      <c r="J62" s="23">
        <v>5000</v>
      </c>
      <c r="K62" s="58">
        <v>0</v>
      </c>
      <c r="L62" s="24">
        <f t="shared" si="1"/>
        <v>0</v>
      </c>
      <c r="M62" s="25" t="s">
        <v>1595</v>
      </c>
      <c r="N62" s="25" t="s">
        <v>1596</v>
      </c>
      <c r="O62" s="79">
        <v>0</v>
      </c>
    </row>
    <row r="63" spans="1:15" ht="18.75" x14ac:dyDescent="0.25">
      <c r="A63" s="19">
        <v>158</v>
      </c>
      <c r="B63" s="19" t="s">
        <v>217</v>
      </c>
      <c r="C63" s="27" t="s">
        <v>218</v>
      </c>
      <c r="D63" s="28" t="s">
        <v>78</v>
      </c>
      <c r="E63" s="5" t="s">
        <v>49</v>
      </c>
      <c r="F63" s="21">
        <v>1</v>
      </c>
      <c r="G63" s="22">
        <v>80</v>
      </c>
      <c r="H63" s="22">
        <v>80</v>
      </c>
      <c r="I63" s="5">
        <v>14</v>
      </c>
      <c r="J63" s="23">
        <v>40</v>
      </c>
      <c r="K63" s="58">
        <v>0</v>
      </c>
      <c r="L63" s="24">
        <f t="shared" si="1"/>
        <v>0</v>
      </c>
      <c r="M63" s="25" t="s">
        <v>1595</v>
      </c>
      <c r="N63" s="25" t="s">
        <v>1596</v>
      </c>
      <c r="O63" s="79">
        <v>0</v>
      </c>
    </row>
    <row r="64" spans="1:15" ht="18.75" x14ac:dyDescent="0.25">
      <c r="A64" s="19">
        <v>159</v>
      </c>
      <c r="B64" s="19" t="s">
        <v>219</v>
      </c>
      <c r="C64" s="29" t="s">
        <v>220</v>
      </c>
      <c r="D64" s="28" t="s">
        <v>49</v>
      </c>
      <c r="E64" s="5" t="s">
        <v>49</v>
      </c>
      <c r="F64" s="21">
        <v>1</v>
      </c>
      <c r="G64" s="22">
        <v>3</v>
      </c>
      <c r="H64" s="22"/>
      <c r="I64" s="5">
        <v>14</v>
      </c>
      <c r="J64" s="23">
        <v>0</v>
      </c>
      <c r="K64" s="58">
        <v>9</v>
      </c>
      <c r="L64" s="24">
        <f t="shared" si="1"/>
        <v>0</v>
      </c>
      <c r="M64" s="25" t="s">
        <v>1595</v>
      </c>
      <c r="N64" s="25" t="s">
        <v>1596</v>
      </c>
      <c r="O64" s="79">
        <v>1</v>
      </c>
    </row>
    <row r="65" spans="1:15" ht="18.75" x14ac:dyDescent="0.25">
      <c r="A65" s="19">
        <v>160</v>
      </c>
      <c r="B65" s="19" t="s">
        <v>141</v>
      </c>
      <c r="C65" s="27" t="s">
        <v>142</v>
      </c>
      <c r="D65" s="28" t="s">
        <v>78</v>
      </c>
      <c r="E65" s="5" t="s">
        <v>49</v>
      </c>
      <c r="F65" s="21">
        <v>1</v>
      </c>
      <c r="G65" s="22">
        <v>60000</v>
      </c>
      <c r="H65" s="22">
        <v>60000</v>
      </c>
      <c r="I65" s="5">
        <v>14</v>
      </c>
      <c r="J65" s="23">
        <v>30000</v>
      </c>
      <c r="K65" s="58">
        <v>0</v>
      </c>
      <c r="L65" s="24">
        <f t="shared" si="1"/>
        <v>0</v>
      </c>
      <c r="M65" s="25" t="s">
        <v>1595</v>
      </c>
      <c r="N65" s="25" t="s">
        <v>1596</v>
      </c>
      <c r="O65" s="79">
        <v>0</v>
      </c>
    </row>
    <row r="66" spans="1:15" ht="18.75" x14ac:dyDescent="0.25">
      <c r="A66" s="19">
        <v>164</v>
      </c>
      <c r="B66" s="19" t="s">
        <v>1117</v>
      </c>
      <c r="C66" s="27" t="s">
        <v>1118</v>
      </c>
      <c r="D66" s="28" t="s">
        <v>1119</v>
      </c>
      <c r="E66" s="5" t="s">
        <v>22</v>
      </c>
      <c r="F66" s="21">
        <v>1.25E-4</v>
      </c>
      <c r="G66" s="22">
        <v>10</v>
      </c>
      <c r="H66" s="22">
        <v>80000</v>
      </c>
      <c r="I66" s="5">
        <v>14</v>
      </c>
      <c r="J66" s="23">
        <v>40000</v>
      </c>
      <c r="K66" s="58">
        <v>0</v>
      </c>
      <c r="L66" s="24">
        <f t="shared" si="1"/>
        <v>0</v>
      </c>
      <c r="M66" s="25" t="s">
        <v>1595</v>
      </c>
      <c r="N66" s="25" t="s">
        <v>1596</v>
      </c>
      <c r="O66" s="79">
        <v>0</v>
      </c>
    </row>
    <row r="67" spans="1:15" ht="18.75" x14ac:dyDescent="0.25">
      <c r="A67" s="19">
        <v>168</v>
      </c>
      <c r="B67" s="19" t="s">
        <v>19</v>
      </c>
      <c r="C67" s="27" t="s">
        <v>20</v>
      </c>
      <c r="D67" s="28" t="s">
        <v>21</v>
      </c>
      <c r="E67" s="5" t="s">
        <v>22</v>
      </c>
      <c r="F67" s="21">
        <v>1.6666666666666668E-3</v>
      </c>
      <c r="G67" s="22">
        <v>13</v>
      </c>
      <c r="H67" s="22">
        <v>7799.9999999999991</v>
      </c>
      <c r="I67" s="5">
        <v>14</v>
      </c>
      <c r="J67" s="23">
        <v>3899.9999999999995</v>
      </c>
      <c r="K67" s="58">
        <v>0</v>
      </c>
      <c r="L67" s="24">
        <f t="shared" ref="L67:L98" si="2">IFERROR((K67/H67*30),0)</f>
        <v>0</v>
      </c>
      <c r="M67" s="25" t="s">
        <v>1595</v>
      </c>
      <c r="N67" s="25" t="s">
        <v>1596</v>
      </c>
      <c r="O67" s="79">
        <v>0</v>
      </c>
    </row>
    <row r="68" spans="1:15" ht="18.75" x14ac:dyDescent="0.25">
      <c r="A68" s="19">
        <v>169</v>
      </c>
      <c r="B68" s="19" t="s">
        <v>725</v>
      </c>
      <c r="C68" s="29" t="s">
        <v>726</v>
      </c>
      <c r="D68" s="28" t="s">
        <v>78</v>
      </c>
      <c r="E68" s="5" t="s">
        <v>49</v>
      </c>
      <c r="F68" s="21">
        <v>1</v>
      </c>
      <c r="G68" s="22">
        <v>4000</v>
      </c>
      <c r="H68" s="22">
        <v>4000</v>
      </c>
      <c r="I68" s="5">
        <v>14</v>
      </c>
      <c r="J68" s="23">
        <v>2000</v>
      </c>
      <c r="K68" s="58">
        <v>0</v>
      </c>
      <c r="L68" s="24">
        <f t="shared" si="2"/>
        <v>0</v>
      </c>
      <c r="M68" s="25" t="s">
        <v>1595</v>
      </c>
      <c r="N68" s="25" t="s">
        <v>1596</v>
      </c>
      <c r="O68" s="79">
        <v>0</v>
      </c>
    </row>
    <row r="69" spans="1:15" ht="18.75" x14ac:dyDescent="0.25">
      <c r="A69" s="19">
        <v>170</v>
      </c>
      <c r="B69" s="19" t="s">
        <v>221</v>
      </c>
      <c r="C69" s="27" t="s">
        <v>222</v>
      </c>
      <c r="D69" s="28" t="s">
        <v>223</v>
      </c>
      <c r="E69" s="5" t="s">
        <v>22</v>
      </c>
      <c r="F69" s="21">
        <v>6.6666666666666671E-3</v>
      </c>
      <c r="G69" s="22">
        <v>50</v>
      </c>
      <c r="H69" s="22">
        <v>7499.9999999999991</v>
      </c>
      <c r="I69" s="5">
        <v>14</v>
      </c>
      <c r="J69" s="23">
        <v>3749.9999999999995</v>
      </c>
      <c r="K69" s="58">
        <v>0</v>
      </c>
      <c r="L69" s="24">
        <f t="shared" si="2"/>
        <v>0</v>
      </c>
      <c r="M69" s="25" t="s">
        <v>1595</v>
      </c>
      <c r="N69" s="25" t="s">
        <v>1596</v>
      </c>
      <c r="O69" s="79">
        <v>0</v>
      </c>
    </row>
    <row r="70" spans="1:15" ht="18.75" x14ac:dyDescent="0.25">
      <c r="A70" s="19">
        <v>177</v>
      </c>
      <c r="B70" s="19" t="s">
        <v>224</v>
      </c>
      <c r="C70" s="37" t="s">
        <v>225</v>
      </c>
      <c r="D70" s="34" t="s">
        <v>22</v>
      </c>
      <c r="E70" s="5" t="s">
        <v>22</v>
      </c>
      <c r="F70" s="21">
        <v>3.1250000000000002E-3</v>
      </c>
      <c r="G70" s="22">
        <v>10</v>
      </c>
      <c r="H70" s="22">
        <v>3200</v>
      </c>
      <c r="I70" s="5">
        <v>14</v>
      </c>
      <c r="J70" s="23">
        <v>1600</v>
      </c>
      <c r="K70" s="58">
        <v>0</v>
      </c>
      <c r="L70" s="24">
        <f t="shared" si="2"/>
        <v>0</v>
      </c>
      <c r="M70" s="25" t="s">
        <v>1595</v>
      </c>
      <c r="N70" s="25" t="s">
        <v>1596</v>
      </c>
      <c r="O70" s="79">
        <v>0</v>
      </c>
    </row>
    <row r="71" spans="1:15" ht="18.75" x14ac:dyDescent="0.25">
      <c r="A71" s="19">
        <v>183</v>
      </c>
      <c r="B71" s="19" t="s">
        <v>226</v>
      </c>
      <c r="C71" s="4" t="s">
        <v>227</v>
      </c>
      <c r="D71" s="34" t="s">
        <v>49</v>
      </c>
      <c r="E71" s="5" t="s">
        <v>49</v>
      </c>
      <c r="F71" s="21">
        <v>1</v>
      </c>
      <c r="G71" s="22">
        <v>5000</v>
      </c>
      <c r="H71" s="22">
        <v>5000</v>
      </c>
      <c r="I71" s="5">
        <v>14</v>
      </c>
      <c r="J71" s="23">
        <v>2500</v>
      </c>
      <c r="K71" s="58">
        <v>0</v>
      </c>
      <c r="L71" s="24">
        <f t="shared" si="2"/>
        <v>0</v>
      </c>
      <c r="M71" s="25" t="s">
        <v>1595</v>
      </c>
      <c r="N71" s="25" t="s">
        <v>1596</v>
      </c>
      <c r="O71" s="79">
        <v>0</v>
      </c>
    </row>
    <row r="72" spans="1:15" ht="18.75" x14ac:dyDescent="0.25">
      <c r="A72" s="19">
        <v>184</v>
      </c>
      <c r="B72" s="19" t="s">
        <v>228</v>
      </c>
      <c r="C72" s="4" t="s">
        <v>229</v>
      </c>
      <c r="D72" s="34" t="s">
        <v>49</v>
      </c>
      <c r="E72" s="5" t="s">
        <v>49</v>
      </c>
      <c r="F72" s="21">
        <v>1</v>
      </c>
      <c r="G72" s="22">
        <v>5000</v>
      </c>
      <c r="H72" s="22">
        <v>5000</v>
      </c>
      <c r="I72" s="5">
        <v>14</v>
      </c>
      <c r="J72" s="23">
        <v>2500</v>
      </c>
      <c r="K72" s="58">
        <v>0</v>
      </c>
      <c r="L72" s="24">
        <f t="shared" si="2"/>
        <v>0</v>
      </c>
      <c r="M72" s="25" t="s">
        <v>1595</v>
      </c>
      <c r="N72" s="25" t="s">
        <v>1596</v>
      </c>
      <c r="O72" s="79">
        <v>0</v>
      </c>
    </row>
    <row r="73" spans="1:15" ht="18.75" x14ac:dyDescent="0.25">
      <c r="A73" s="19">
        <v>37</v>
      </c>
      <c r="B73" s="19" t="s">
        <v>838</v>
      </c>
      <c r="C73" s="29" t="s">
        <v>839</v>
      </c>
      <c r="D73" s="30" t="s">
        <v>840</v>
      </c>
      <c r="E73" s="5" t="s">
        <v>22</v>
      </c>
      <c r="F73" s="21">
        <v>3.6363636363636361E-4</v>
      </c>
      <c r="G73" s="22">
        <v>121</v>
      </c>
      <c r="H73" s="22">
        <v>332750</v>
      </c>
      <c r="I73" s="5">
        <v>14</v>
      </c>
      <c r="J73" s="23">
        <v>166375</v>
      </c>
      <c r="K73" s="58">
        <v>2.4999999999977263</v>
      </c>
      <c r="L73" s="24">
        <f t="shared" si="2"/>
        <v>2.2539444027026834E-4</v>
      </c>
      <c r="M73" s="25" t="s">
        <v>1595</v>
      </c>
      <c r="N73" s="25" t="s">
        <v>1596</v>
      </c>
      <c r="O73" s="79">
        <v>0</v>
      </c>
    </row>
    <row r="74" spans="1:15" ht="18.75" x14ac:dyDescent="0.25">
      <c r="A74" s="19">
        <v>54</v>
      </c>
      <c r="B74" s="19" t="s">
        <v>27</v>
      </c>
      <c r="C74" s="30" t="s">
        <v>28</v>
      </c>
      <c r="D74" s="29" t="s">
        <v>29</v>
      </c>
      <c r="E74" s="5" t="s">
        <v>22</v>
      </c>
      <c r="F74" s="21">
        <v>8.3333333333333339E-4</v>
      </c>
      <c r="G74" s="22">
        <v>10</v>
      </c>
      <c r="H74" s="22">
        <v>12000</v>
      </c>
      <c r="I74" s="5">
        <v>14</v>
      </c>
      <c r="J74" s="23">
        <v>6000</v>
      </c>
      <c r="K74" s="58">
        <v>3.9999999999984932</v>
      </c>
      <c r="L74" s="24">
        <f t="shared" si="2"/>
        <v>9.9999999999962324E-3</v>
      </c>
      <c r="M74" s="25" t="s">
        <v>1595</v>
      </c>
      <c r="N74" s="25" t="s">
        <v>1596</v>
      </c>
      <c r="O74" s="79">
        <v>0</v>
      </c>
    </row>
    <row r="75" spans="1:15" ht="18.75" x14ac:dyDescent="0.25">
      <c r="A75" s="19">
        <v>137</v>
      </c>
      <c r="B75" s="19" t="s">
        <v>1084</v>
      </c>
      <c r="C75" s="62" t="s">
        <v>1085</v>
      </c>
      <c r="D75" s="32" t="s">
        <v>49</v>
      </c>
      <c r="E75" s="5"/>
      <c r="F75" s="21">
        <v>1</v>
      </c>
      <c r="G75" s="22">
        <v>0</v>
      </c>
      <c r="H75" s="22">
        <v>5000</v>
      </c>
      <c r="I75" s="5">
        <v>14</v>
      </c>
      <c r="J75" s="23">
        <v>2500</v>
      </c>
      <c r="K75" s="58">
        <v>21</v>
      </c>
      <c r="L75" s="24">
        <f t="shared" si="2"/>
        <v>0.126</v>
      </c>
      <c r="M75" s="25" t="s">
        <v>1595</v>
      </c>
      <c r="N75" s="25" t="s">
        <v>1596</v>
      </c>
      <c r="O75" s="79">
        <v>0</v>
      </c>
    </row>
    <row r="76" spans="1:15" ht="18.75" x14ac:dyDescent="0.25">
      <c r="A76" s="19">
        <v>179</v>
      </c>
      <c r="B76" s="19" t="s">
        <v>727</v>
      </c>
      <c r="C76" s="30" t="s">
        <v>728</v>
      </c>
      <c r="D76" s="31" t="s">
        <v>49</v>
      </c>
      <c r="E76" s="5" t="s">
        <v>49</v>
      </c>
      <c r="F76" s="21">
        <v>1</v>
      </c>
      <c r="G76" s="22">
        <v>25000</v>
      </c>
      <c r="H76" s="22">
        <v>25000</v>
      </c>
      <c r="I76" s="5">
        <v>14</v>
      </c>
      <c r="J76" s="23">
        <v>12500</v>
      </c>
      <c r="K76" s="58">
        <v>106</v>
      </c>
      <c r="L76" s="24">
        <f t="shared" si="2"/>
        <v>0.12720000000000001</v>
      </c>
      <c r="M76" s="25" t="s">
        <v>1595</v>
      </c>
      <c r="N76" s="25" t="s">
        <v>1596</v>
      </c>
      <c r="O76" s="79">
        <v>0</v>
      </c>
    </row>
    <row r="77" spans="1:15" ht="18.75" x14ac:dyDescent="0.25">
      <c r="A77" s="19">
        <v>181</v>
      </c>
      <c r="B77" s="19" t="s">
        <v>729</v>
      </c>
      <c r="C77" s="38" t="s">
        <v>730</v>
      </c>
      <c r="D77" s="31" t="s">
        <v>49</v>
      </c>
      <c r="E77" s="5" t="s">
        <v>49</v>
      </c>
      <c r="F77" s="21">
        <v>1</v>
      </c>
      <c r="G77" s="22">
        <v>5000</v>
      </c>
      <c r="H77" s="22">
        <v>5000</v>
      </c>
      <c r="I77" s="5">
        <v>14</v>
      </c>
      <c r="J77" s="23">
        <v>2500</v>
      </c>
      <c r="K77" s="58">
        <v>28</v>
      </c>
      <c r="L77" s="24">
        <f t="shared" si="2"/>
        <v>0.16800000000000001</v>
      </c>
      <c r="M77" s="25" t="s">
        <v>1595</v>
      </c>
      <c r="N77" s="25" t="s">
        <v>1596</v>
      </c>
      <c r="O77" s="79">
        <v>0</v>
      </c>
    </row>
    <row r="78" spans="1:15" ht="18.75" x14ac:dyDescent="0.25">
      <c r="A78" s="19">
        <v>182</v>
      </c>
      <c r="B78" s="19" t="s">
        <v>731</v>
      </c>
      <c r="C78" s="38" t="s">
        <v>732</v>
      </c>
      <c r="D78" s="31" t="s">
        <v>49</v>
      </c>
      <c r="E78" s="5" t="s">
        <v>49</v>
      </c>
      <c r="F78" s="21">
        <v>1</v>
      </c>
      <c r="G78" s="22">
        <v>5000</v>
      </c>
      <c r="H78" s="22">
        <v>5000</v>
      </c>
      <c r="I78" s="5">
        <v>14</v>
      </c>
      <c r="J78" s="23">
        <v>2500</v>
      </c>
      <c r="K78" s="58">
        <v>28</v>
      </c>
      <c r="L78" s="24">
        <f t="shared" si="2"/>
        <v>0.16800000000000001</v>
      </c>
      <c r="M78" s="25" t="s">
        <v>1595</v>
      </c>
      <c r="N78" s="25" t="s">
        <v>1596</v>
      </c>
      <c r="O78" s="79">
        <v>0</v>
      </c>
    </row>
    <row r="79" spans="1:15" ht="18.75" x14ac:dyDescent="0.25">
      <c r="A79" s="19">
        <v>139</v>
      </c>
      <c r="B79" s="19" t="s">
        <v>735</v>
      </c>
      <c r="C79" s="33" t="s">
        <v>736</v>
      </c>
      <c r="D79" s="32" t="s">
        <v>49</v>
      </c>
      <c r="E79" s="5" t="s">
        <v>49</v>
      </c>
      <c r="F79" s="21">
        <v>1</v>
      </c>
      <c r="G79" s="22">
        <v>5000</v>
      </c>
      <c r="H79" s="22">
        <v>5000</v>
      </c>
      <c r="I79" s="5">
        <v>14</v>
      </c>
      <c r="J79" s="23">
        <v>2500</v>
      </c>
      <c r="K79" s="58">
        <v>38</v>
      </c>
      <c r="L79" s="24">
        <f t="shared" si="2"/>
        <v>0.22800000000000001</v>
      </c>
      <c r="M79" s="25" t="s">
        <v>1595</v>
      </c>
      <c r="N79" s="25" t="s">
        <v>1596</v>
      </c>
      <c r="O79" s="79">
        <v>0</v>
      </c>
    </row>
    <row r="80" spans="1:15" ht="18.75" x14ac:dyDescent="0.25">
      <c r="A80" s="19">
        <v>62</v>
      </c>
      <c r="B80" s="19" t="s">
        <v>695</v>
      </c>
      <c r="C80" s="28" t="s">
        <v>696</v>
      </c>
      <c r="D80" s="27" t="s">
        <v>697</v>
      </c>
      <c r="E80" s="5" t="s">
        <v>22</v>
      </c>
      <c r="F80" s="21">
        <v>1E-3</v>
      </c>
      <c r="G80" s="22">
        <v>92</v>
      </c>
      <c r="H80" s="22">
        <v>92000</v>
      </c>
      <c r="I80" s="5">
        <v>14</v>
      </c>
      <c r="J80" s="23">
        <v>46000</v>
      </c>
      <c r="K80" s="58">
        <v>2400.0000000000005</v>
      </c>
      <c r="L80" s="24">
        <f t="shared" si="2"/>
        <v>0.78260869565217406</v>
      </c>
      <c r="M80" s="25" t="s">
        <v>1595</v>
      </c>
      <c r="N80" s="25" t="s">
        <v>1596</v>
      </c>
      <c r="O80" s="79">
        <v>0</v>
      </c>
    </row>
    <row r="81" spans="1:15" ht="18.75" x14ac:dyDescent="0.25">
      <c r="A81" s="19">
        <v>36</v>
      </c>
      <c r="B81" s="19" t="s">
        <v>762</v>
      </c>
      <c r="C81" s="28" t="s">
        <v>763</v>
      </c>
      <c r="D81" s="27" t="s">
        <v>764</v>
      </c>
      <c r="E81" s="5" t="s">
        <v>22</v>
      </c>
      <c r="F81" s="21">
        <v>3.6363636363636361E-4</v>
      </c>
      <c r="G81" s="22">
        <v>92.5</v>
      </c>
      <c r="H81" s="22">
        <v>254375.00000000003</v>
      </c>
      <c r="I81" s="5">
        <v>14</v>
      </c>
      <c r="J81" s="23">
        <v>127187.50000000001</v>
      </c>
      <c r="K81" s="58">
        <v>22000</v>
      </c>
      <c r="L81" s="24">
        <f t="shared" si="2"/>
        <v>2.5945945945945943</v>
      </c>
      <c r="M81" s="25" t="s">
        <v>1595</v>
      </c>
      <c r="N81" s="25" t="s">
        <v>1596</v>
      </c>
      <c r="O81" s="79">
        <v>0</v>
      </c>
    </row>
    <row r="82" spans="1:15" ht="18.75" x14ac:dyDescent="0.25">
      <c r="A82" s="19">
        <v>5</v>
      </c>
      <c r="B82" s="19" t="s">
        <v>891</v>
      </c>
      <c r="C82" s="28" t="s">
        <v>892</v>
      </c>
      <c r="D82" s="27" t="s">
        <v>893</v>
      </c>
      <c r="E82" s="5" t="s">
        <v>22</v>
      </c>
      <c r="F82" s="21">
        <v>1.6666666666666668E-3</v>
      </c>
      <c r="G82" s="22">
        <v>565.5</v>
      </c>
      <c r="H82" s="22">
        <v>339300</v>
      </c>
      <c r="I82" s="5">
        <v>14</v>
      </c>
      <c r="J82" s="23">
        <v>169650</v>
      </c>
      <c r="K82" s="58">
        <v>29399.999999999996</v>
      </c>
      <c r="L82" s="24">
        <f t="shared" si="2"/>
        <v>2.5994694960212197</v>
      </c>
      <c r="M82" s="25" t="s">
        <v>1595</v>
      </c>
      <c r="N82" s="25" t="s">
        <v>1596</v>
      </c>
      <c r="O82" s="79">
        <v>0</v>
      </c>
    </row>
    <row r="83" spans="1:15" ht="18.75" x14ac:dyDescent="0.25">
      <c r="A83" s="19">
        <v>163</v>
      </c>
      <c r="B83" s="19" t="s">
        <v>795</v>
      </c>
      <c r="C83" s="30" t="s">
        <v>796</v>
      </c>
      <c r="D83" s="27" t="s">
        <v>797</v>
      </c>
      <c r="E83" s="5" t="s">
        <v>22</v>
      </c>
      <c r="F83" s="21">
        <v>0.01</v>
      </c>
      <c r="G83" s="22">
        <v>100</v>
      </c>
      <c r="H83" s="22">
        <v>10000</v>
      </c>
      <c r="I83" s="5">
        <v>14</v>
      </c>
      <c r="J83" s="23">
        <v>5000</v>
      </c>
      <c r="K83" s="58">
        <v>900</v>
      </c>
      <c r="L83" s="24">
        <f t="shared" si="2"/>
        <v>2.6999999999999997</v>
      </c>
      <c r="M83" s="25" t="s">
        <v>1595</v>
      </c>
      <c r="N83" s="25" t="s">
        <v>1596</v>
      </c>
      <c r="O83" s="79">
        <v>0</v>
      </c>
    </row>
    <row r="84" spans="1:15" ht="18.75" x14ac:dyDescent="0.25">
      <c r="A84" s="19">
        <v>67</v>
      </c>
      <c r="B84" s="19" t="s">
        <v>1067</v>
      </c>
      <c r="C84" s="34" t="s">
        <v>1068</v>
      </c>
      <c r="D84" s="31" t="s">
        <v>1069</v>
      </c>
      <c r="E84" s="5" t="s">
        <v>22</v>
      </c>
      <c r="F84" s="21">
        <v>0.02</v>
      </c>
      <c r="G84" s="22">
        <v>71.5</v>
      </c>
      <c r="H84" s="22">
        <v>3575</v>
      </c>
      <c r="I84" s="5">
        <v>14</v>
      </c>
      <c r="J84" s="23">
        <v>1787.5</v>
      </c>
      <c r="K84" s="58">
        <v>350</v>
      </c>
      <c r="L84" s="24">
        <f t="shared" si="2"/>
        <v>2.9370629370629371</v>
      </c>
      <c r="M84" s="25" t="s">
        <v>1595</v>
      </c>
      <c r="N84" s="25" t="s">
        <v>1596</v>
      </c>
      <c r="O84" s="79">
        <v>0</v>
      </c>
    </row>
    <row r="85" spans="1:15" ht="18.75" x14ac:dyDescent="0.25">
      <c r="A85" s="19">
        <v>12</v>
      </c>
      <c r="B85" s="19" t="s">
        <v>802</v>
      </c>
      <c r="C85" s="30" t="s">
        <v>803</v>
      </c>
      <c r="D85" s="29" t="s">
        <v>804</v>
      </c>
      <c r="E85" s="5" t="s">
        <v>22</v>
      </c>
      <c r="F85" s="21">
        <v>3.1250000000000002E-3</v>
      </c>
      <c r="G85" s="22">
        <v>825</v>
      </c>
      <c r="H85" s="22">
        <v>264000</v>
      </c>
      <c r="I85" s="5">
        <v>14</v>
      </c>
      <c r="J85" s="23">
        <v>132000</v>
      </c>
      <c r="K85" s="58">
        <v>28480</v>
      </c>
      <c r="L85" s="24">
        <f t="shared" si="2"/>
        <v>3.2363636363636363</v>
      </c>
      <c r="M85" s="25" t="s">
        <v>1595</v>
      </c>
      <c r="N85" s="25" t="s">
        <v>1596</v>
      </c>
      <c r="O85" s="79">
        <v>0</v>
      </c>
    </row>
    <row r="86" spans="1:15" ht="18.75" x14ac:dyDescent="0.25">
      <c r="A86" s="19">
        <v>63</v>
      </c>
      <c r="B86" s="19" t="s">
        <v>948</v>
      </c>
      <c r="C86" s="30" t="s">
        <v>949</v>
      </c>
      <c r="D86" s="29" t="s">
        <v>180</v>
      </c>
      <c r="E86" s="5" t="s">
        <v>22</v>
      </c>
      <c r="F86" s="21">
        <v>1E-3</v>
      </c>
      <c r="G86" s="22">
        <v>70</v>
      </c>
      <c r="H86" s="22">
        <v>70000</v>
      </c>
      <c r="I86" s="5">
        <v>14</v>
      </c>
      <c r="J86" s="23">
        <v>35000</v>
      </c>
      <c r="K86" s="58">
        <v>8500</v>
      </c>
      <c r="L86" s="24">
        <f t="shared" si="2"/>
        <v>3.6428571428571428</v>
      </c>
      <c r="M86" s="25" t="s">
        <v>1595</v>
      </c>
      <c r="N86" s="25" t="s">
        <v>1596</v>
      </c>
      <c r="O86" s="79">
        <v>0</v>
      </c>
    </row>
    <row r="87" spans="1:15" ht="18.75" x14ac:dyDescent="0.25">
      <c r="A87" s="19">
        <v>22</v>
      </c>
      <c r="B87" s="19" t="s">
        <v>90</v>
      </c>
      <c r="C87" s="28" t="s">
        <v>91</v>
      </c>
      <c r="D87" s="27" t="s">
        <v>92</v>
      </c>
      <c r="E87" s="5" t="s">
        <v>22</v>
      </c>
      <c r="F87" s="21">
        <v>5.0000000000000001E-4</v>
      </c>
      <c r="G87" s="22">
        <v>145.5</v>
      </c>
      <c r="H87" s="22">
        <v>291000</v>
      </c>
      <c r="I87" s="5">
        <v>14</v>
      </c>
      <c r="J87" s="23">
        <v>145500</v>
      </c>
      <c r="K87" s="58">
        <v>36000</v>
      </c>
      <c r="L87" s="24">
        <f t="shared" si="2"/>
        <v>3.7113402061855671</v>
      </c>
      <c r="M87" s="25" t="s">
        <v>1595</v>
      </c>
      <c r="N87" s="25" t="s">
        <v>1596</v>
      </c>
      <c r="O87" s="79">
        <v>0</v>
      </c>
    </row>
    <row r="88" spans="1:15" ht="18.75" x14ac:dyDescent="0.25">
      <c r="A88" s="19">
        <v>51</v>
      </c>
      <c r="B88" s="19" t="s">
        <v>777</v>
      </c>
      <c r="C88" s="28" t="s">
        <v>778</v>
      </c>
      <c r="D88" s="27" t="s">
        <v>779</v>
      </c>
      <c r="E88" s="5" t="s">
        <v>22</v>
      </c>
      <c r="F88" s="21">
        <v>0.02</v>
      </c>
      <c r="G88" s="22">
        <v>79.5</v>
      </c>
      <c r="H88" s="22">
        <v>3975</v>
      </c>
      <c r="I88" s="5">
        <v>14</v>
      </c>
      <c r="J88" s="23">
        <v>1987.5</v>
      </c>
      <c r="K88" s="58">
        <v>500</v>
      </c>
      <c r="L88" s="24">
        <f t="shared" si="2"/>
        <v>3.7735849056603774</v>
      </c>
      <c r="M88" s="25" t="s">
        <v>1595</v>
      </c>
      <c r="N88" s="25" t="s">
        <v>1596</v>
      </c>
      <c r="O88" s="79">
        <v>0</v>
      </c>
    </row>
    <row r="89" spans="1:15" ht="18.75" x14ac:dyDescent="0.25">
      <c r="A89" s="19">
        <v>44</v>
      </c>
      <c r="B89" s="19" t="s">
        <v>805</v>
      </c>
      <c r="C89" s="28" t="s">
        <v>806</v>
      </c>
      <c r="D89" s="27" t="s">
        <v>78</v>
      </c>
      <c r="E89" s="5" t="s">
        <v>49</v>
      </c>
      <c r="F89" s="21">
        <v>1</v>
      </c>
      <c r="G89" s="22">
        <v>660</v>
      </c>
      <c r="H89" s="22">
        <v>660</v>
      </c>
      <c r="I89" s="5">
        <v>14</v>
      </c>
      <c r="J89" s="23">
        <v>330</v>
      </c>
      <c r="K89" s="58">
        <v>93</v>
      </c>
      <c r="L89" s="24">
        <f t="shared" si="2"/>
        <v>4.2272727272727266</v>
      </c>
      <c r="M89" s="25" t="s">
        <v>1595</v>
      </c>
      <c r="N89" s="25" t="s">
        <v>1596</v>
      </c>
      <c r="O89" s="79">
        <v>0</v>
      </c>
    </row>
    <row r="90" spans="1:15" ht="18.75" x14ac:dyDescent="0.25">
      <c r="A90" s="19">
        <v>2</v>
      </c>
      <c r="B90" s="19" t="s">
        <v>833</v>
      </c>
      <c r="C90" s="20" t="s">
        <v>834</v>
      </c>
      <c r="D90" s="4" t="s">
        <v>186</v>
      </c>
      <c r="E90" s="5" t="s">
        <v>22</v>
      </c>
      <c r="F90" s="21">
        <v>2E-3</v>
      </c>
      <c r="G90" s="22">
        <v>2338.5</v>
      </c>
      <c r="H90" s="22">
        <v>1169250</v>
      </c>
      <c r="I90" s="5">
        <v>14</v>
      </c>
      <c r="J90" s="23">
        <v>584625</v>
      </c>
      <c r="K90" s="58">
        <v>204500</v>
      </c>
      <c r="L90" s="24">
        <f t="shared" si="2"/>
        <v>5.2469531751122513</v>
      </c>
      <c r="M90" s="25" t="s">
        <v>1595</v>
      </c>
      <c r="N90" s="25" t="s">
        <v>1596</v>
      </c>
      <c r="O90" s="79">
        <v>0</v>
      </c>
    </row>
    <row r="91" spans="1:15" ht="18.75" x14ac:dyDescent="0.25">
      <c r="A91" s="19">
        <v>102</v>
      </c>
      <c r="B91" s="19" t="s">
        <v>96</v>
      </c>
      <c r="C91" s="28" t="s">
        <v>97</v>
      </c>
      <c r="D91" s="27" t="s">
        <v>98</v>
      </c>
      <c r="E91" s="5" t="s">
        <v>46</v>
      </c>
      <c r="F91" s="21">
        <v>2E-3</v>
      </c>
      <c r="G91" s="22">
        <v>16</v>
      </c>
      <c r="H91" s="22">
        <v>8000</v>
      </c>
      <c r="I91" s="5">
        <v>14</v>
      </c>
      <c r="J91" s="23">
        <v>4000</v>
      </c>
      <c r="K91" s="58">
        <v>1500</v>
      </c>
      <c r="L91" s="24">
        <f t="shared" si="2"/>
        <v>5.625</v>
      </c>
      <c r="M91" s="25" t="s">
        <v>1595</v>
      </c>
      <c r="N91" s="25" t="s">
        <v>1596</v>
      </c>
      <c r="O91" s="79">
        <v>0</v>
      </c>
    </row>
    <row r="92" spans="1:15" ht="18.75" x14ac:dyDescent="0.25">
      <c r="A92" s="19">
        <v>14</v>
      </c>
      <c r="B92" s="19" t="s">
        <v>953</v>
      </c>
      <c r="C92" s="20" t="s">
        <v>954</v>
      </c>
      <c r="D92" s="4" t="s">
        <v>955</v>
      </c>
      <c r="E92" s="5" t="s">
        <v>22</v>
      </c>
      <c r="F92" s="21">
        <v>1.6260162601626016E-3</v>
      </c>
      <c r="G92" s="22">
        <v>544.5</v>
      </c>
      <c r="H92" s="22">
        <v>334867.5</v>
      </c>
      <c r="I92" s="5">
        <v>14</v>
      </c>
      <c r="J92" s="23">
        <v>167433.75</v>
      </c>
      <c r="K92" s="58">
        <v>63345</v>
      </c>
      <c r="L92" s="24">
        <f t="shared" si="2"/>
        <v>5.6749311294765832</v>
      </c>
      <c r="M92" s="25" t="s">
        <v>1595</v>
      </c>
      <c r="N92" s="25" t="s">
        <v>1596</v>
      </c>
      <c r="O92" s="79">
        <v>0</v>
      </c>
    </row>
    <row r="93" spans="1:15" ht="18.75" x14ac:dyDescent="0.25">
      <c r="A93" s="19">
        <v>85</v>
      </c>
      <c r="B93" s="19" t="s">
        <v>848</v>
      </c>
      <c r="C93" s="28" t="s">
        <v>849</v>
      </c>
      <c r="D93" s="27" t="s">
        <v>850</v>
      </c>
      <c r="E93" s="5" t="s">
        <v>22</v>
      </c>
      <c r="F93" s="21">
        <v>0.01</v>
      </c>
      <c r="G93" s="22">
        <v>160</v>
      </c>
      <c r="H93" s="22">
        <v>16000</v>
      </c>
      <c r="I93" s="5">
        <v>14</v>
      </c>
      <c r="J93" s="23">
        <v>8000</v>
      </c>
      <c r="K93" s="58">
        <v>3250</v>
      </c>
      <c r="L93" s="24">
        <f t="shared" si="2"/>
        <v>6.09375</v>
      </c>
      <c r="M93" s="25" t="s">
        <v>1595</v>
      </c>
      <c r="N93" s="25" t="s">
        <v>1596</v>
      </c>
      <c r="O93" s="79">
        <v>0</v>
      </c>
    </row>
    <row r="94" spans="1:15" ht="18.75" x14ac:dyDescent="0.25">
      <c r="A94" s="19">
        <v>142</v>
      </c>
      <c r="B94" s="19" t="s">
        <v>1158</v>
      </c>
      <c r="C94" s="30" t="s">
        <v>1159</v>
      </c>
      <c r="D94" s="27" t="s">
        <v>1160</v>
      </c>
      <c r="E94" s="5" t="s">
        <v>22</v>
      </c>
      <c r="F94" s="21">
        <v>5.5555555555555556E-4</v>
      </c>
      <c r="G94" s="22">
        <v>14</v>
      </c>
      <c r="H94" s="22">
        <v>25200</v>
      </c>
      <c r="I94" s="5">
        <v>14</v>
      </c>
      <c r="J94" s="23">
        <v>12600</v>
      </c>
      <c r="K94" s="58">
        <v>5400</v>
      </c>
      <c r="L94" s="24">
        <f t="shared" si="2"/>
        <v>6.4285714285714279</v>
      </c>
      <c r="M94" s="25" t="s">
        <v>1595</v>
      </c>
      <c r="N94" s="25" t="s">
        <v>1596</v>
      </c>
      <c r="O94" s="79">
        <v>0</v>
      </c>
    </row>
    <row r="95" spans="1:15" ht="18.75" x14ac:dyDescent="0.25">
      <c r="A95" s="19">
        <v>152</v>
      </c>
      <c r="B95" s="19" t="s">
        <v>862</v>
      </c>
      <c r="C95" s="35" t="s">
        <v>863</v>
      </c>
      <c r="D95" s="27" t="s">
        <v>864</v>
      </c>
      <c r="E95" s="5" t="s">
        <v>46</v>
      </c>
      <c r="F95" s="21">
        <v>0.01</v>
      </c>
      <c r="G95" s="22">
        <v>150</v>
      </c>
      <c r="H95" s="22">
        <v>15000</v>
      </c>
      <c r="I95" s="5">
        <v>14</v>
      </c>
      <c r="J95" s="23">
        <v>7500</v>
      </c>
      <c r="K95" s="58">
        <v>3300</v>
      </c>
      <c r="L95" s="24">
        <f t="shared" si="2"/>
        <v>6.6</v>
      </c>
      <c r="M95" s="25" t="s">
        <v>1595</v>
      </c>
      <c r="N95" s="25" t="s">
        <v>1596</v>
      </c>
      <c r="O95" s="79">
        <v>0</v>
      </c>
    </row>
    <row r="96" spans="1:15" ht="18.75" x14ac:dyDescent="0.25">
      <c r="A96" s="19">
        <v>105</v>
      </c>
      <c r="B96" s="19" t="s">
        <v>1033</v>
      </c>
      <c r="C96" s="28" t="s">
        <v>1034</v>
      </c>
      <c r="D96" s="27" t="s">
        <v>175</v>
      </c>
      <c r="E96" s="5" t="s">
        <v>22</v>
      </c>
      <c r="F96" s="21">
        <v>0.01</v>
      </c>
      <c r="G96" s="22">
        <v>75</v>
      </c>
      <c r="H96" s="22">
        <v>7500</v>
      </c>
      <c r="I96" s="5">
        <v>14</v>
      </c>
      <c r="J96" s="23">
        <v>3750</v>
      </c>
      <c r="K96" s="58">
        <v>1900</v>
      </c>
      <c r="L96" s="24">
        <f t="shared" si="2"/>
        <v>7.6000000000000005</v>
      </c>
      <c r="M96" s="25" t="s">
        <v>1595</v>
      </c>
      <c r="N96" s="25" t="s">
        <v>1596</v>
      </c>
      <c r="O96" s="79">
        <v>0</v>
      </c>
    </row>
    <row r="97" spans="1:15" ht="18.75" x14ac:dyDescent="0.25">
      <c r="A97" s="19">
        <v>82</v>
      </c>
      <c r="B97" s="19" t="s">
        <v>967</v>
      </c>
      <c r="C97" s="28" t="s">
        <v>968</v>
      </c>
      <c r="D97" s="27" t="s">
        <v>186</v>
      </c>
      <c r="E97" s="5" t="s">
        <v>22</v>
      </c>
      <c r="F97" s="21">
        <v>2E-3</v>
      </c>
      <c r="G97" s="22">
        <v>400</v>
      </c>
      <c r="H97" s="22">
        <v>200000</v>
      </c>
      <c r="I97" s="5">
        <v>14</v>
      </c>
      <c r="J97" s="23">
        <v>100000</v>
      </c>
      <c r="K97" s="58">
        <v>51000</v>
      </c>
      <c r="L97" s="24">
        <f t="shared" si="2"/>
        <v>7.65</v>
      </c>
      <c r="M97" s="25" t="s">
        <v>1595</v>
      </c>
      <c r="N97" s="25" t="s">
        <v>1596</v>
      </c>
      <c r="O97" s="79">
        <v>0</v>
      </c>
    </row>
    <row r="98" spans="1:15" ht="18.75" x14ac:dyDescent="0.25">
      <c r="A98" s="19">
        <v>4</v>
      </c>
      <c r="B98" s="19" t="s">
        <v>997</v>
      </c>
      <c r="C98" s="28" t="s">
        <v>998</v>
      </c>
      <c r="D98" s="27" t="s">
        <v>999</v>
      </c>
      <c r="E98" s="5" t="s">
        <v>22</v>
      </c>
      <c r="F98" s="21">
        <v>3.3333333333333335E-3</v>
      </c>
      <c r="G98" s="22">
        <v>240</v>
      </c>
      <c r="H98" s="22">
        <v>72000</v>
      </c>
      <c r="I98" s="5">
        <v>14</v>
      </c>
      <c r="J98" s="23">
        <v>36000</v>
      </c>
      <c r="K98" s="58">
        <v>18600</v>
      </c>
      <c r="L98" s="24">
        <f t="shared" si="2"/>
        <v>7.7500000000000009</v>
      </c>
      <c r="M98" s="25" t="s">
        <v>1595</v>
      </c>
      <c r="N98" s="25" t="s">
        <v>1596</v>
      </c>
      <c r="O98" s="79">
        <v>0</v>
      </c>
    </row>
    <row r="99" spans="1:15" ht="18.75" x14ac:dyDescent="0.25">
      <c r="A99" s="19">
        <v>111</v>
      </c>
      <c r="B99" s="19" t="s">
        <v>884</v>
      </c>
      <c r="C99" s="28" t="s">
        <v>885</v>
      </c>
      <c r="D99" s="27" t="s">
        <v>180</v>
      </c>
      <c r="E99" s="5" t="s">
        <v>22</v>
      </c>
      <c r="F99" s="21">
        <v>1E-3</v>
      </c>
      <c r="G99" s="22">
        <v>15</v>
      </c>
      <c r="H99" s="22">
        <v>15000</v>
      </c>
      <c r="I99" s="5">
        <v>14</v>
      </c>
      <c r="J99" s="23">
        <v>7500</v>
      </c>
      <c r="K99" s="58">
        <v>4000</v>
      </c>
      <c r="L99" s="24">
        <f t="shared" ref="L99:L130" si="3">IFERROR((K99/H99*30),0)</f>
        <v>8</v>
      </c>
      <c r="M99" s="25" t="s">
        <v>1595</v>
      </c>
      <c r="N99" s="25" t="s">
        <v>1596</v>
      </c>
      <c r="O99" s="79">
        <v>0</v>
      </c>
    </row>
    <row r="100" spans="1:15" ht="18.75" x14ac:dyDescent="0.25">
      <c r="A100" s="19">
        <v>131</v>
      </c>
      <c r="B100" s="19" t="s">
        <v>774</v>
      </c>
      <c r="C100" s="28" t="s">
        <v>775</v>
      </c>
      <c r="D100" s="27" t="s">
        <v>776</v>
      </c>
      <c r="E100" s="5" t="s">
        <v>46</v>
      </c>
      <c r="F100" s="21">
        <v>2E-3</v>
      </c>
      <c r="G100" s="22">
        <v>40</v>
      </c>
      <c r="H100" s="22">
        <v>20000</v>
      </c>
      <c r="I100" s="5">
        <v>14</v>
      </c>
      <c r="J100" s="23">
        <v>10000</v>
      </c>
      <c r="K100" s="58">
        <v>5750</v>
      </c>
      <c r="L100" s="24">
        <f t="shared" si="3"/>
        <v>8.625</v>
      </c>
      <c r="M100" s="25" t="s">
        <v>1595</v>
      </c>
      <c r="N100" s="25" t="s">
        <v>1596</v>
      </c>
      <c r="O100" s="79">
        <v>0</v>
      </c>
    </row>
    <row r="101" spans="1:15" ht="18.75" x14ac:dyDescent="0.25">
      <c r="A101" s="19">
        <v>98</v>
      </c>
      <c r="B101" s="19" t="s">
        <v>894</v>
      </c>
      <c r="C101" s="28" t="s">
        <v>895</v>
      </c>
      <c r="D101" s="27" t="s">
        <v>896</v>
      </c>
      <c r="E101" s="5" t="s">
        <v>22</v>
      </c>
      <c r="F101" s="21">
        <v>0.01</v>
      </c>
      <c r="G101" s="22">
        <v>250</v>
      </c>
      <c r="H101" s="22">
        <v>25000</v>
      </c>
      <c r="I101" s="5">
        <v>14</v>
      </c>
      <c r="J101" s="23">
        <v>12500</v>
      </c>
      <c r="K101" s="58">
        <v>7340</v>
      </c>
      <c r="L101" s="24">
        <f t="shared" si="3"/>
        <v>8.8080000000000016</v>
      </c>
      <c r="M101" s="25" t="s">
        <v>1595</v>
      </c>
      <c r="N101" s="25" t="s">
        <v>1596</v>
      </c>
      <c r="O101" s="79">
        <v>0</v>
      </c>
    </row>
    <row r="102" spans="1:15" ht="18.75" x14ac:dyDescent="0.25">
      <c r="A102" s="19">
        <v>18</v>
      </c>
      <c r="B102" s="19" t="s">
        <v>1266</v>
      </c>
      <c r="C102" s="28" t="s">
        <v>1267</v>
      </c>
      <c r="D102" s="27" t="s">
        <v>1268</v>
      </c>
      <c r="E102" s="5" t="s">
        <v>22</v>
      </c>
      <c r="F102" s="21">
        <v>5.0000000000000001E-3</v>
      </c>
      <c r="G102" s="22">
        <v>248</v>
      </c>
      <c r="H102" s="22">
        <v>49600</v>
      </c>
      <c r="I102" s="5">
        <v>14</v>
      </c>
      <c r="J102" s="23">
        <v>24800</v>
      </c>
      <c r="K102" s="58">
        <v>15300</v>
      </c>
      <c r="L102" s="24">
        <f t="shared" si="3"/>
        <v>9.254032258064516</v>
      </c>
      <c r="M102" s="25" t="s">
        <v>1595</v>
      </c>
      <c r="N102" s="25" t="s">
        <v>1596</v>
      </c>
      <c r="O102" s="79">
        <v>0</v>
      </c>
    </row>
    <row r="103" spans="1:15" ht="18.75" x14ac:dyDescent="0.25">
      <c r="A103" s="19">
        <v>42</v>
      </c>
      <c r="B103" s="19" t="s">
        <v>914</v>
      </c>
      <c r="C103" s="70" t="s">
        <v>915</v>
      </c>
      <c r="D103" s="29" t="s">
        <v>916</v>
      </c>
      <c r="E103" s="5" t="s">
        <v>49</v>
      </c>
      <c r="F103" s="21">
        <v>0.01</v>
      </c>
      <c r="G103" s="22">
        <v>5.5</v>
      </c>
      <c r="H103" s="22">
        <v>550</v>
      </c>
      <c r="I103" s="5">
        <v>14</v>
      </c>
      <c r="J103" s="23">
        <v>275</v>
      </c>
      <c r="K103" s="58">
        <v>200</v>
      </c>
      <c r="L103" s="24">
        <f t="shared" si="3"/>
        <v>10.90909090909091</v>
      </c>
      <c r="M103" s="25" t="s">
        <v>1595</v>
      </c>
      <c r="N103" s="25" t="s">
        <v>1596</v>
      </c>
      <c r="O103" s="79">
        <v>0</v>
      </c>
    </row>
    <row r="104" spans="1:15" ht="18.75" x14ac:dyDescent="0.25">
      <c r="A104" s="19">
        <v>80</v>
      </c>
      <c r="B104" s="19" t="s">
        <v>922</v>
      </c>
      <c r="C104" s="28" t="s">
        <v>923</v>
      </c>
      <c r="D104" s="27" t="s">
        <v>924</v>
      </c>
      <c r="E104" s="5" t="s">
        <v>22</v>
      </c>
      <c r="F104" s="21">
        <v>4.1666666666666669E-4</v>
      </c>
      <c r="G104" s="22">
        <v>200</v>
      </c>
      <c r="H104" s="22">
        <v>479999.99999999994</v>
      </c>
      <c r="I104" s="5">
        <v>14</v>
      </c>
      <c r="J104" s="23">
        <v>239999.99999999997</v>
      </c>
      <c r="K104" s="58">
        <v>180000</v>
      </c>
      <c r="L104" s="24">
        <f t="shared" si="3"/>
        <v>11.250000000000002</v>
      </c>
      <c r="M104" s="25" t="s">
        <v>1595</v>
      </c>
      <c r="N104" s="25" t="s">
        <v>1596</v>
      </c>
      <c r="O104" s="79">
        <v>0</v>
      </c>
    </row>
    <row r="105" spans="1:15" ht="18.75" x14ac:dyDescent="0.25">
      <c r="A105" s="19">
        <v>119</v>
      </c>
      <c r="B105" s="19" t="s">
        <v>685</v>
      </c>
      <c r="C105" s="28" t="s">
        <v>686</v>
      </c>
      <c r="D105" s="27" t="s">
        <v>191</v>
      </c>
      <c r="E105" s="5" t="s">
        <v>687</v>
      </c>
      <c r="F105" s="21">
        <v>1E-3</v>
      </c>
      <c r="G105" s="22">
        <v>15</v>
      </c>
      <c r="H105" s="22">
        <v>15000</v>
      </c>
      <c r="I105" s="5">
        <v>14</v>
      </c>
      <c r="J105" s="23">
        <v>7500</v>
      </c>
      <c r="K105" s="58">
        <v>6000</v>
      </c>
      <c r="L105" s="24">
        <f t="shared" si="3"/>
        <v>12</v>
      </c>
      <c r="M105" s="25" t="s">
        <v>1595</v>
      </c>
      <c r="N105" s="25" t="s">
        <v>1596</v>
      </c>
      <c r="O105" s="79">
        <v>0</v>
      </c>
    </row>
    <row r="106" spans="1:15" ht="18.75" x14ac:dyDescent="0.25">
      <c r="A106" s="19">
        <v>162</v>
      </c>
      <c r="B106" s="19" t="s">
        <v>1423</v>
      </c>
      <c r="C106" s="28" t="s">
        <v>1424</v>
      </c>
      <c r="D106" s="27" t="s">
        <v>1425</v>
      </c>
      <c r="E106" s="5" t="s">
        <v>46</v>
      </c>
      <c r="F106" s="21">
        <v>1.4285714285714285E-2</v>
      </c>
      <c r="G106" s="22">
        <v>80</v>
      </c>
      <c r="H106" s="22">
        <v>5600</v>
      </c>
      <c r="I106" s="5">
        <v>14</v>
      </c>
      <c r="J106" s="23">
        <v>2800</v>
      </c>
      <c r="K106" s="58">
        <v>2240</v>
      </c>
      <c r="L106" s="24">
        <f t="shared" si="3"/>
        <v>12</v>
      </c>
      <c r="M106" s="25" t="s">
        <v>1595</v>
      </c>
      <c r="N106" s="25" t="s">
        <v>1596</v>
      </c>
      <c r="O106" s="79">
        <v>0</v>
      </c>
    </row>
    <row r="107" spans="1:15" ht="18.75" x14ac:dyDescent="0.25">
      <c r="A107" s="19">
        <v>83</v>
      </c>
      <c r="B107" s="19" t="s">
        <v>798</v>
      </c>
      <c r="C107" s="28" t="s">
        <v>799</v>
      </c>
      <c r="D107" s="27" t="s">
        <v>800</v>
      </c>
      <c r="E107" s="5" t="s">
        <v>801</v>
      </c>
      <c r="F107" s="21">
        <v>1.6666666666666668E-3</v>
      </c>
      <c r="G107" s="22">
        <v>123</v>
      </c>
      <c r="H107" s="22">
        <v>73800</v>
      </c>
      <c r="I107" s="5">
        <v>14</v>
      </c>
      <c r="J107" s="23">
        <v>36900</v>
      </c>
      <c r="K107" s="58">
        <v>29999.999999999996</v>
      </c>
      <c r="L107" s="24">
        <f t="shared" si="3"/>
        <v>12.195121951219511</v>
      </c>
      <c r="M107" s="25" t="s">
        <v>1595</v>
      </c>
      <c r="N107" s="25" t="s">
        <v>1596</v>
      </c>
      <c r="O107" s="79">
        <v>0</v>
      </c>
    </row>
    <row r="108" spans="1:15" ht="18.75" x14ac:dyDescent="0.25">
      <c r="A108" s="19">
        <v>101</v>
      </c>
      <c r="B108" s="19" t="s">
        <v>927</v>
      </c>
      <c r="C108" s="28" t="s">
        <v>928</v>
      </c>
      <c r="D108" s="27" t="s">
        <v>25</v>
      </c>
      <c r="E108" s="5" t="s">
        <v>22</v>
      </c>
      <c r="F108" s="21">
        <v>2E-3</v>
      </c>
      <c r="G108" s="22">
        <v>24</v>
      </c>
      <c r="H108" s="22">
        <v>12000</v>
      </c>
      <c r="I108" s="5">
        <v>14</v>
      </c>
      <c r="J108" s="23">
        <v>6000</v>
      </c>
      <c r="K108" s="58">
        <v>5500</v>
      </c>
      <c r="L108" s="24">
        <f t="shared" si="3"/>
        <v>13.75</v>
      </c>
      <c r="M108" s="25" t="s">
        <v>1595</v>
      </c>
      <c r="N108" s="25" t="s">
        <v>1596</v>
      </c>
      <c r="O108" s="79">
        <v>0</v>
      </c>
    </row>
    <row r="109" spans="1:15" ht="18.75" x14ac:dyDescent="0.25">
      <c r="A109" s="19">
        <v>130</v>
      </c>
      <c r="B109" s="19" t="s">
        <v>974</v>
      </c>
      <c r="C109" s="28" t="s">
        <v>975</v>
      </c>
      <c r="D109" s="27" t="s">
        <v>98</v>
      </c>
      <c r="E109" s="5" t="s">
        <v>46</v>
      </c>
      <c r="F109" s="21">
        <v>2E-3</v>
      </c>
      <c r="G109" s="22">
        <v>25</v>
      </c>
      <c r="H109" s="22">
        <v>12500</v>
      </c>
      <c r="I109" s="5">
        <v>14</v>
      </c>
      <c r="J109" s="23">
        <v>6250</v>
      </c>
      <c r="K109" s="58">
        <v>6250</v>
      </c>
      <c r="L109" s="24">
        <f t="shared" si="3"/>
        <v>15</v>
      </c>
      <c r="M109" s="25" t="s">
        <v>1608</v>
      </c>
      <c r="N109" s="25" t="s">
        <v>1609</v>
      </c>
      <c r="O109" s="79">
        <v>1</v>
      </c>
    </row>
    <row r="110" spans="1:15" ht="18.75" x14ac:dyDescent="0.25">
      <c r="A110" s="19">
        <v>180</v>
      </c>
      <c r="B110" s="19" t="s">
        <v>976</v>
      </c>
      <c r="C110" s="30" t="s">
        <v>977</v>
      </c>
      <c r="D110" s="31" t="s">
        <v>22</v>
      </c>
      <c r="E110" s="5" t="s">
        <v>22</v>
      </c>
      <c r="F110" s="21">
        <v>1E-3</v>
      </c>
      <c r="G110" s="22">
        <v>6</v>
      </c>
      <c r="H110" s="22">
        <v>6000</v>
      </c>
      <c r="I110" s="5">
        <v>14</v>
      </c>
      <c r="J110" s="23">
        <v>3000</v>
      </c>
      <c r="K110" s="58">
        <v>3000</v>
      </c>
      <c r="L110" s="24">
        <f t="shared" si="3"/>
        <v>15</v>
      </c>
      <c r="M110" s="25" t="s">
        <v>1608</v>
      </c>
      <c r="N110" s="25" t="s">
        <v>1609</v>
      </c>
      <c r="O110" s="79">
        <v>1</v>
      </c>
    </row>
    <row r="111" spans="1:15" ht="18.75" x14ac:dyDescent="0.25">
      <c r="A111" s="19">
        <v>113</v>
      </c>
      <c r="B111" s="19" t="s">
        <v>1060</v>
      </c>
      <c r="C111" s="28" t="s">
        <v>1061</v>
      </c>
      <c r="D111" s="27" t="s">
        <v>1062</v>
      </c>
      <c r="E111" s="5" t="s">
        <v>22</v>
      </c>
      <c r="F111" s="21">
        <v>2E-3</v>
      </c>
      <c r="G111" s="22">
        <v>20</v>
      </c>
      <c r="H111" s="22">
        <v>10000</v>
      </c>
      <c r="I111" s="5">
        <v>14</v>
      </c>
      <c r="J111" s="23">
        <v>5000</v>
      </c>
      <c r="K111" s="58">
        <v>5500</v>
      </c>
      <c r="L111" s="24">
        <f t="shared" si="3"/>
        <v>16.5</v>
      </c>
      <c r="M111" s="25" t="s">
        <v>1608</v>
      </c>
      <c r="N111" s="25" t="s">
        <v>1609</v>
      </c>
      <c r="O111" s="79">
        <v>1</v>
      </c>
    </row>
    <row r="112" spans="1:15" ht="18.75" x14ac:dyDescent="0.25">
      <c r="A112" s="19">
        <v>114</v>
      </c>
      <c r="B112" s="19" t="s">
        <v>1002</v>
      </c>
      <c r="C112" s="28" t="s">
        <v>1003</v>
      </c>
      <c r="D112" s="27" t="s">
        <v>180</v>
      </c>
      <c r="E112" s="5" t="s">
        <v>22</v>
      </c>
      <c r="F112" s="21">
        <v>1E-3</v>
      </c>
      <c r="G112" s="22">
        <v>10</v>
      </c>
      <c r="H112" s="22">
        <v>10000</v>
      </c>
      <c r="I112" s="5">
        <v>14</v>
      </c>
      <c r="J112" s="23">
        <v>5000</v>
      </c>
      <c r="K112" s="58">
        <v>6000</v>
      </c>
      <c r="L112" s="24">
        <f t="shared" si="3"/>
        <v>18</v>
      </c>
      <c r="M112" s="25" t="s">
        <v>1608</v>
      </c>
      <c r="N112" s="25" t="s">
        <v>1609</v>
      </c>
      <c r="O112" s="79">
        <v>1</v>
      </c>
    </row>
    <row r="113" spans="1:15" ht="18.75" x14ac:dyDescent="0.25">
      <c r="A113" s="19">
        <v>39</v>
      </c>
      <c r="B113" s="19" t="s">
        <v>1009</v>
      </c>
      <c r="C113" s="28" t="s">
        <v>1010</v>
      </c>
      <c r="D113" s="27" t="s">
        <v>845</v>
      </c>
      <c r="E113" s="5" t="s">
        <v>22</v>
      </c>
      <c r="F113" s="21">
        <v>1.6666666666666668E-3</v>
      </c>
      <c r="G113" s="22">
        <v>100</v>
      </c>
      <c r="H113" s="22">
        <v>59999.999999999993</v>
      </c>
      <c r="I113" s="5">
        <v>60</v>
      </c>
      <c r="J113" s="23">
        <v>128571.42857142855</v>
      </c>
      <c r="K113" s="58">
        <v>36000</v>
      </c>
      <c r="L113" s="24">
        <f t="shared" si="3"/>
        <v>18.000000000000004</v>
      </c>
      <c r="M113" s="25" t="s">
        <v>1595</v>
      </c>
      <c r="N113" s="25" t="s">
        <v>1596</v>
      </c>
      <c r="O113" s="79">
        <v>0</v>
      </c>
    </row>
    <row r="114" spans="1:15" ht="18.75" x14ac:dyDescent="0.25">
      <c r="A114" s="19">
        <v>92</v>
      </c>
      <c r="B114" s="19" t="s">
        <v>1018</v>
      </c>
      <c r="C114" s="28" t="s">
        <v>1019</v>
      </c>
      <c r="D114" s="27" t="s">
        <v>1020</v>
      </c>
      <c r="E114" s="5" t="s">
        <v>22</v>
      </c>
      <c r="F114" s="21">
        <v>2E-3</v>
      </c>
      <c r="G114" s="22">
        <f>VLOOKUP($B114,'Master File June-26'!$C$3:$L$670,6,0)</f>
        <v>600</v>
      </c>
      <c r="H114" s="22">
        <f>VLOOKUP($B114,'Master File June-26'!$C$3:$L$670,7,0)</f>
        <v>300000</v>
      </c>
      <c r="I114" s="5">
        <f>VLOOKUP($B114,'Master File June-26'!$C$3:$L$670,8,0)</f>
        <v>14</v>
      </c>
      <c r="J114" s="23">
        <f>VLOOKUP($B114,'Master File June-26'!$C$3:$L$670,9,0)</f>
        <v>168000.00000000003</v>
      </c>
      <c r="K114" s="58">
        <f>VLOOKUP($B114,'Master File June-26'!$C$3:$L$670,10,0)</f>
        <v>62500</v>
      </c>
      <c r="L114" s="24">
        <f t="shared" si="3"/>
        <v>6.25</v>
      </c>
      <c r="M114" s="25" t="s">
        <v>1595</v>
      </c>
      <c r="N114" s="25" t="s">
        <v>1596</v>
      </c>
      <c r="O114" s="79">
        <v>0</v>
      </c>
    </row>
    <row r="115" spans="1:15" ht="18.75" x14ac:dyDescent="0.25">
      <c r="A115" s="19">
        <v>45</v>
      </c>
      <c r="B115" s="19" t="s">
        <v>1024</v>
      </c>
      <c r="C115" s="34" t="s">
        <v>1025</v>
      </c>
      <c r="D115" s="29" t="s">
        <v>1026</v>
      </c>
      <c r="E115" s="5" t="s">
        <v>22</v>
      </c>
      <c r="F115" s="21">
        <v>8.3333333333333339E-4</v>
      </c>
      <c r="G115" s="22">
        <v>38.5</v>
      </c>
      <c r="H115" s="22">
        <v>46200</v>
      </c>
      <c r="I115" s="5">
        <v>14</v>
      </c>
      <c r="J115" s="23">
        <v>23100</v>
      </c>
      <c r="K115" s="58">
        <v>29999.999999999996</v>
      </c>
      <c r="L115" s="24">
        <f t="shared" si="3"/>
        <v>19.480519480519476</v>
      </c>
      <c r="M115" s="25" t="s">
        <v>1608</v>
      </c>
      <c r="N115" s="25" t="s">
        <v>1609</v>
      </c>
      <c r="O115" s="79">
        <v>1</v>
      </c>
    </row>
    <row r="116" spans="1:15" ht="18.75" x14ac:dyDescent="0.25">
      <c r="A116" s="19">
        <v>20</v>
      </c>
      <c r="B116" s="19" t="s">
        <v>934</v>
      </c>
      <c r="C116" s="28" t="s">
        <v>935</v>
      </c>
      <c r="D116" s="27" t="s">
        <v>92</v>
      </c>
      <c r="E116" s="5" t="s">
        <v>22</v>
      </c>
      <c r="F116" s="21">
        <v>5.0000000000000001E-4</v>
      </c>
      <c r="G116" s="22">
        <v>100.5</v>
      </c>
      <c r="H116" s="22">
        <v>201000</v>
      </c>
      <c r="I116" s="5">
        <v>14</v>
      </c>
      <c r="J116" s="23">
        <v>100500</v>
      </c>
      <c r="K116" s="58">
        <v>138000</v>
      </c>
      <c r="L116" s="24">
        <f t="shared" si="3"/>
        <v>20.597014925373134</v>
      </c>
      <c r="M116" s="25" t="s">
        <v>1608</v>
      </c>
      <c r="N116" s="25" t="s">
        <v>1609</v>
      </c>
      <c r="O116" s="79">
        <v>1</v>
      </c>
    </row>
    <row r="117" spans="1:15" ht="18.75" x14ac:dyDescent="0.25">
      <c r="A117" s="19">
        <v>99</v>
      </c>
      <c r="B117" s="19" t="s">
        <v>1188</v>
      </c>
      <c r="C117" s="28" t="s">
        <v>1189</v>
      </c>
      <c r="D117" s="27" t="s">
        <v>850</v>
      </c>
      <c r="E117" s="5" t="s">
        <v>22</v>
      </c>
      <c r="F117" s="21">
        <v>0.01</v>
      </c>
      <c r="G117" s="22">
        <v>140</v>
      </c>
      <c r="H117" s="22">
        <v>14000</v>
      </c>
      <c r="I117" s="5">
        <v>14</v>
      </c>
      <c r="J117" s="23">
        <v>7000</v>
      </c>
      <c r="K117" s="58">
        <v>9800</v>
      </c>
      <c r="L117" s="24">
        <f t="shared" si="3"/>
        <v>21</v>
      </c>
      <c r="M117" s="25" t="s">
        <v>1608</v>
      </c>
      <c r="N117" s="25" t="s">
        <v>1609</v>
      </c>
      <c r="O117" s="79">
        <v>1</v>
      </c>
    </row>
    <row r="118" spans="1:15" ht="18.75" x14ac:dyDescent="0.25">
      <c r="A118" s="19">
        <v>115</v>
      </c>
      <c r="B118" s="19" t="s">
        <v>1115</v>
      </c>
      <c r="C118" s="28" t="s">
        <v>1116</v>
      </c>
      <c r="D118" s="27" t="s">
        <v>191</v>
      </c>
      <c r="E118" s="5" t="s">
        <v>22</v>
      </c>
      <c r="F118" s="21">
        <v>1E-3</v>
      </c>
      <c r="G118" s="22">
        <v>15</v>
      </c>
      <c r="H118" s="22">
        <v>15000</v>
      </c>
      <c r="I118" s="5">
        <v>14</v>
      </c>
      <c r="J118" s="23">
        <v>7500</v>
      </c>
      <c r="K118" s="58">
        <v>11000</v>
      </c>
      <c r="L118" s="24">
        <f t="shared" si="3"/>
        <v>22</v>
      </c>
      <c r="M118" s="25" t="s">
        <v>1608</v>
      </c>
      <c r="N118" s="25" t="s">
        <v>1609</v>
      </c>
      <c r="O118" s="79">
        <v>1</v>
      </c>
    </row>
    <row r="119" spans="1:15" ht="18.75" x14ac:dyDescent="0.25">
      <c r="A119" s="19">
        <v>88</v>
      </c>
      <c r="B119" s="19" t="s">
        <v>909</v>
      </c>
      <c r="C119" s="28" t="s">
        <v>910</v>
      </c>
      <c r="D119" s="27" t="s">
        <v>911</v>
      </c>
      <c r="E119" s="5" t="s">
        <v>22</v>
      </c>
      <c r="F119" s="21">
        <v>3.1250000000000002E-3</v>
      </c>
      <c r="G119" s="22">
        <v>40</v>
      </c>
      <c r="H119" s="22">
        <v>12800</v>
      </c>
      <c r="I119" s="5">
        <v>14</v>
      </c>
      <c r="J119" s="23">
        <v>6400</v>
      </c>
      <c r="K119" s="58">
        <v>9600</v>
      </c>
      <c r="L119" s="24">
        <f t="shared" si="3"/>
        <v>22.5</v>
      </c>
      <c r="M119" s="25" t="s">
        <v>1608</v>
      </c>
      <c r="N119" s="25" t="s">
        <v>1609</v>
      </c>
      <c r="O119" s="79">
        <v>1</v>
      </c>
    </row>
    <row r="120" spans="1:15" ht="18.75" x14ac:dyDescent="0.25">
      <c r="A120" s="19">
        <v>34</v>
      </c>
      <c r="B120" s="19" t="s">
        <v>871</v>
      </c>
      <c r="C120" s="28" t="s">
        <v>872</v>
      </c>
      <c r="D120" s="27" t="s">
        <v>873</v>
      </c>
      <c r="E120" s="5" t="s">
        <v>22</v>
      </c>
      <c r="F120" s="21">
        <v>2E-3</v>
      </c>
      <c r="G120" s="22">
        <v>192.5</v>
      </c>
      <c r="H120" s="22">
        <v>96250</v>
      </c>
      <c r="I120" s="5">
        <v>60</v>
      </c>
      <c r="J120" s="23">
        <v>206250</v>
      </c>
      <c r="K120" s="58">
        <v>73000</v>
      </c>
      <c r="L120" s="24">
        <f t="shared" si="3"/>
        <v>22.753246753246753</v>
      </c>
      <c r="M120" s="25" t="s">
        <v>1595</v>
      </c>
      <c r="N120" s="25" t="s">
        <v>1596</v>
      </c>
      <c r="O120" s="79">
        <v>0</v>
      </c>
    </row>
    <row r="121" spans="1:15" ht="18.75" x14ac:dyDescent="0.25">
      <c r="A121" s="19">
        <v>3</v>
      </c>
      <c r="B121" s="19" t="s">
        <v>900</v>
      </c>
      <c r="C121" s="28" t="s">
        <v>901</v>
      </c>
      <c r="D121" s="27" t="s">
        <v>902</v>
      </c>
      <c r="E121" s="5" t="s">
        <v>22</v>
      </c>
      <c r="F121" s="21">
        <v>3.3333333333333332E-4</v>
      </c>
      <c r="G121" s="22">
        <v>83.5</v>
      </c>
      <c r="H121" s="22">
        <v>250500</v>
      </c>
      <c r="I121" s="5">
        <v>14</v>
      </c>
      <c r="J121" s="23">
        <v>125250</v>
      </c>
      <c r="K121" s="58">
        <v>192000</v>
      </c>
      <c r="L121" s="24">
        <f t="shared" si="3"/>
        <v>22.994011976047904</v>
      </c>
      <c r="M121" s="25" t="s">
        <v>1608</v>
      </c>
      <c r="N121" s="25" t="s">
        <v>1609</v>
      </c>
      <c r="O121" s="79">
        <v>1</v>
      </c>
    </row>
    <row r="122" spans="1:15" ht="18.75" x14ac:dyDescent="0.25">
      <c r="A122" s="19">
        <v>52</v>
      </c>
      <c r="B122" s="19" t="s">
        <v>854</v>
      </c>
      <c r="C122" s="30" t="s">
        <v>855</v>
      </c>
      <c r="D122" s="29" t="s">
        <v>856</v>
      </c>
      <c r="E122" s="5" t="s">
        <v>22</v>
      </c>
      <c r="F122" s="21">
        <v>1E-3</v>
      </c>
      <c r="G122" s="22">
        <v>10</v>
      </c>
      <c r="H122" s="22">
        <v>10000</v>
      </c>
      <c r="I122" s="5">
        <v>14</v>
      </c>
      <c r="J122" s="23">
        <v>5000</v>
      </c>
      <c r="K122" s="58">
        <v>8000</v>
      </c>
      <c r="L122" s="24">
        <f t="shared" si="3"/>
        <v>24</v>
      </c>
      <c r="M122" s="25" t="s">
        <v>1608</v>
      </c>
      <c r="N122" s="25" t="s">
        <v>1609</v>
      </c>
      <c r="O122" s="79">
        <v>1</v>
      </c>
    </row>
    <row r="123" spans="1:15" ht="18.75" x14ac:dyDescent="0.25">
      <c r="A123" s="19">
        <v>138</v>
      </c>
      <c r="B123" s="19" t="s">
        <v>940</v>
      </c>
      <c r="C123" s="28" t="s">
        <v>941</v>
      </c>
      <c r="D123" s="27" t="s">
        <v>942</v>
      </c>
      <c r="E123" s="5" t="s">
        <v>49</v>
      </c>
      <c r="F123" s="21">
        <v>1E-3</v>
      </c>
      <c r="G123" s="22">
        <v>25</v>
      </c>
      <c r="H123" s="22">
        <v>25000</v>
      </c>
      <c r="I123" s="5">
        <v>14</v>
      </c>
      <c r="J123" s="23">
        <v>12500</v>
      </c>
      <c r="K123" s="58">
        <v>20000</v>
      </c>
      <c r="L123" s="24">
        <f t="shared" si="3"/>
        <v>24</v>
      </c>
      <c r="M123" s="25" t="s">
        <v>1608</v>
      </c>
      <c r="N123" s="25" t="s">
        <v>1609</v>
      </c>
      <c r="O123" s="79">
        <v>1</v>
      </c>
    </row>
    <row r="124" spans="1:15" ht="18.75" x14ac:dyDescent="0.25">
      <c r="A124" s="19">
        <v>86</v>
      </c>
      <c r="B124" s="19" t="s">
        <v>990</v>
      </c>
      <c r="C124" s="28" t="s">
        <v>991</v>
      </c>
      <c r="D124" s="27" t="s">
        <v>196</v>
      </c>
      <c r="E124" s="5" t="s">
        <v>46</v>
      </c>
      <c r="F124" s="21">
        <v>0.01</v>
      </c>
      <c r="G124" s="22">
        <v>96</v>
      </c>
      <c r="H124" s="22">
        <v>9600</v>
      </c>
      <c r="I124" s="5">
        <v>14</v>
      </c>
      <c r="J124" s="23">
        <v>4800</v>
      </c>
      <c r="K124" s="58">
        <v>7700</v>
      </c>
      <c r="L124" s="24">
        <f t="shared" si="3"/>
        <v>24.0625</v>
      </c>
      <c r="M124" s="25" t="s">
        <v>1608</v>
      </c>
      <c r="N124" s="25" t="s">
        <v>1609</v>
      </c>
      <c r="O124" s="79">
        <v>1</v>
      </c>
    </row>
    <row r="125" spans="1:15" ht="18.75" x14ac:dyDescent="0.25">
      <c r="A125" s="19">
        <v>89</v>
      </c>
      <c r="B125" s="19" t="s">
        <v>1035</v>
      </c>
      <c r="C125" s="28" t="s">
        <v>1036</v>
      </c>
      <c r="D125" s="27" t="s">
        <v>119</v>
      </c>
      <c r="E125" s="5" t="s">
        <v>22</v>
      </c>
      <c r="F125" s="21">
        <v>1E-3</v>
      </c>
      <c r="G125" s="22">
        <v>22</v>
      </c>
      <c r="H125" s="22">
        <v>22000</v>
      </c>
      <c r="I125" s="5">
        <v>14</v>
      </c>
      <c r="J125" s="23">
        <v>11000</v>
      </c>
      <c r="K125" s="58">
        <v>18000</v>
      </c>
      <c r="L125" s="24">
        <f t="shared" si="3"/>
        <v>24.545454545454547</v>
      </c>
      <c r="M125" s="25" t="s">
        <v>1608</v>
      </c>
      <c r="N125" s="25" t="s">
        <v>1609</v>
      </c>
      <c r="O125" s="79">
        <v>1</v>
      </c>
    </row>
    <row r="126" spans="1:15" ht="18.75" x14ac:dyDescent="0.25">
      <c r="A126" s="19">
        <v>48</v>
      </c>
      <c r="B126" s="19" t="s">
        <v>1113</v>
      </c>
      <c r="C126" s="28" t="s">
        <v>1114</v>
      </c>
      <c r="D126" s="27" t="s">
        <v>156</v>
      </c>
      <c r="E126" s="5" t="s">
        <v>22</v>
      </c>
      <c r="F126" s="21">
        <v>1.25E-4</v>
      </c>
      <c r="G126" s="22">
        <v>25</v>
      </c>
      <c r="H126" s="22">
        <v>200000</v>
      </c>
      <c r="I126" s="5">
        <v>14</v>
      </c>
      <c r="J126" s="23">
        <v>100000</v>
      </c>
      <c r="K126" s="58">
        <v>165880</v>
      </c>
      <c r="L126" s="24">
        <f t="shared" si="3"/>
        <v>24.882000000000001</v>
      </c>
      <c r="M126" s="25" t="s">
        <v>1608</v>
      </c>
      <c r="N126" s="25" t="s">
        <v>1609</v>
      </c>
      <c r="O126" s="79">
        <v>1</v>
      </c>
    </row>
    <row r="127" spans="1:15" ht="18.75" x14ac:dyDescent="0.25">
      <c r="A127" s="19">
        <v>78</v>
      </c>
      <c r="B127" s="19" t="s">
        <v>1081</v>
      </c>
      <c r="C127" s="28" t="s">
        <v>1082</v>
      </c>
      <c r="D127" s="27" t="s">
        <v>1083</v>
      </c>
      <c r="E127" s="5" t="s">
        <v>22</v>
      </c>
      <c r="F127" s="21">
        <v>2.7777777777777776E-2</v>
      </c>
      <c r="G127" s="22">
        <v>280</v>
      </c>
      <c r="H127" s="22">
        <v>10080</v>
      </c>
      <c r="I127" s="5">
        <v>14</v>
      </c>
      <c r="J127" s="23">
        <v>5040</v>
      </c>
      <c r="K127" s="58">
        <v>8820</v>
      </c>
      <c r="L127" s="24">
        <f t="shared" si="3"/>
        <v>26.25</v>
      </c>
      <c r="M127" s="25" t="s">
        <v>1608</v>
      </c>
      <c r="N127" s="25" t="s">
        <v>1609</v>
      </c>
      <c r="O127" s="79">
        <v>1</v>
      </c>
    </row>
    <row r="128" spans="1:15" ht="18.75" x14ac:dyDescent="0.25">
      <c r="A128" s="19">
        <v>79</v>
      </c>
      <c r="B128" s="19" t="s">
        <v>1099</v>
      </c>
      <c r="C128" s="28" t="s">
        <v>1100</v>
      </c>
      <c r="D128" s="27" t="s">
        <v>902</v>
      </c>
      <c r="E128" s="5" t="s">
        <v>22</v>
      </c>
      <c r="F128" s="21">
        <v>3.3333333333333332E-4</v>
      </c>
      <c r="G128" s="22">
        <v>32</v>
      </c>
      <c r="H128" s="22">
        <v>96000</v>
      </c>
      <c r="I128" s="5">
        <v>14</v>
      </c>
      <c r="J128" s="23">
        <v>48000</v>
      </c>
      <c r="K128" s="58">
        <v>87000</v>
      </c>
      <c r="L128" s="24">
        <f t="shared" si="3"/>
        <v>27.1875</v>
      </c>
      <c r="M128" s="25" t="s">
        <v>1608</v>
      </c>
      <c r="N128" s="25" t="s">
        <v>1609</v>
      </c>
      <c r="O128" s="79">
        <v>1</v>
      </c>
    </row>
    <row r="129" spans="1:15" ht="18.75" x14ac:dyDescent="0.25">
      <c r="A129" s="19">
        <v>13</v>
      </c>
      <c r="B129" s="19" t="s">
        <v>1205</v>
      </c>
      <c r="C129" s="30" t="s">
        <v>1206</v>
      </c>
      <c r="D129" s="29" t="s">
        <v>1207</v>
      </c>
      <c r="E129" s="5" t="s">
        <v>22</v>
      </c>
      <c r="F129" s="21">
        <v>4.0000000000000001E-3</v>
      </c>
      <c r="G129" s="22">
        <v>110</v>
      </c>
      <c r="H129" s="22">
        <v>27500</v>
      </c>
      <c r="I129" s="5">
        <v>14</v>
      </c>
      <c r="J129" s="23">
        <v>13750</v>
      </c>
      <c r="K129" s="58">
        <v>25250</v>
      </c>
      <c r="L129" s="24">
        <f t="shared" si="3"/>
        <v>27.545454545454547</v>
      </c>
      <c r="M129" s="25" t="s">
        <v>1608</v>
      </c>
      <c r="N129" s="25" t="s">
        <v>1609</v>
      </c>
      <c r="O129" s="79">
        <v>1</v>
      </c>
    </row>
    <row r="130" spans="1:15" ht="18.75" x14ac:dyDescent="0.25">
      <c r="A130" s="19">
        <v>23</v>
      </c>
      <c r="B130" s="19" t="s">
        <v>1101</v>
      </c>
      <c r="C130" s="28" t="s">
        <v>1102</v>
      </c>
      <c r="D130" s="27" t="s">
        <v>92</v>
      </c>
      <c r="E130" s="5" t="s">
        <v>22</v>
      </c>
      <c r="F130" s="21">
        <v>5.0000000000000001E-4</v>
      </c>
      <c r="G130" s="22">
        <v>145.5</v>
      </c>
      <c r="H130" s="22">
        <v>291000</v>
      </c>
      <c r="I130" s="5">
        <v>14</v>
      </c>
      <c r="J130" s="23">
        <v>145500</v>
      </c>
      <c r="K130" s="58">
        <v>270000</v>
      </c>
      <c r="L130" s="24">
        <f t="shared" si="3"/>
        <v>27.835051546391753</v>
      </c>
      <c r="M130" s="25" t="s">
        <v>1608</v>
      </c>
      <c r="N130" s="25" t="s">
        <v>1609</v>
      </c>
      <c r="O130" s="79">
        <v>1</v>
      </c>
    </row>
    <row r="131" spans="1:15" ht="18.75" x14ac:dyDescent="0.25">
      <c r="A131" s="19">
        <v>106</v>
      </c>
      <c r="B131" s="19" t="s">
        <v>1075</v>
      </c>
      <c r="C131" s="30" t="s">
        <v>1076</v>
      </c>
      <c r="D131" s="6" t="s">
        <v>1077</v>
      </c>
      <c r="E131" s="5"/>
      <c r="F131" s="21">
        <v>0.05</v>
      </c>
      <c r="G131" s="22">
        <v>24</v>
      </c>
      <c r="H131" s="22">
        <v>480</v>
      </c>
      <c r="I131" s="5">
        <v>14</v>
      </c>
      <c r="J131" s="23">
        <v>240</v>
      </c>
      <c r="K131" s="58">
        <v>460</v>
      </c>
      <c r="L131" s="24">
        <f t="shared" ref="L131:L162" si="4">IFERROR((K131/H131*30),0)</f>
        <v>28.75</v>
      </c>
      <c r="M131" s="25" t="s">
        <v>1608</v>
      </c>
      <c r="N131" s="25" t="s">
        <v>1609</v>
      </c>
      <c r="O131" s="79">
        <v>1</v>
      </c>
    </row>
    <row r="132" spans="1:15" ht="18.75" x14ac:dyDescent="0.25">
      <c r="A132" s="19">
        <v>128</v>
      </c>
      <c r="B132" s="19" t="s">
        <v>1013</v>
      </c>
      <c r="C132" s="28" t="s">
        <v>1014</v>
      </c>
      <c r="D132" s="27" t="s">
        <v>186</v>
      </c>
      <c r="E132" s="5" t="s">
        <v>22</v>
      </c>
      <c r="F132" s="21">
        <v>2E-3</v>
      </c>
      <c r="G132" s="22">
        <v>40</v>
      </c>
      <c r="H132" s="22">
        <v>20000</v>
      </c>
      <c r="I132" s="5">
        <v>14</v>
      </c>
      <c r="J132" s="23">
        <v>10000</v>
      </c>
      <c r="K132" s="58">
        <v>19500</v>
      </c>
      <c r="L132" s="24">
        <f t="shared" si="4"/>
        <v>29.25</v>
      </c>
      <c r="M132" s="25" t="s">
        <v>1608</v>
      </c>
      <c r="N132" s="25" t="s">
        <v>1609</v>
      </c>
      <c r="O132" s="79">
        <v>1</v>
      </c>
    </row>
    <row r="133" spans="1:15" ht="18.75" x14ac:dyDescent="0.25">
      <c r="A133" s="19">
        <v>121</v>
      </c>
      <c r="B133" s="19" t="s">
        <v>1007</v>
      </c>
      <c r="C133" s="30" t="s">
        <v>1008</v>
      </c>
      <c r="D133" s="27" t="s">
        <v>186</v>
      </c>
      <c r="E133" s="5" t="s">
        <v>606</v>
      </c>
      <c r="F133" s="21">
        <v>2E-3</v>
      </c>
      <c r="G133" s="22">
        <v>5</v>
      </c>
      <c r="H133" s="22">
        <v>2500</v>
      </c>
      <c r="I133" s="5">
        <v>14</v>
      </c>
      <c r="J133" s="23">
        <v>1250</v>
      </c>
      <c r="K133" s="58">
        <v>2500</v>
      </c>
      <c r="L133" s="24">
        <f t="shared" si="4"/>
        <v>30</v>
      </c>
      <c r="M133" s="25" t="s">
        <v>1608</v>
      </c>
      <c r="N133" s="25" t="s">
        <v>1609</v>
      </c>
      <c r="O133" s="79">
        <v>1</v>
      </c>
    </row>
    <row r="134" spans="1:15" ht="18.75" x14ac:dyDescent="0.25">
      <c r="A134" s="19">
        <v>47</v>
      </c>
      <c r="B134" s="19" t="s">
        <v>943</v>
      </c>
      <c r="C134" s="28" t="s">
        <v>944</v>
      </c>
      <c r="D134" s="27" t="s">
        <v>945</v>
      </c>
      <c r="E134" s="5" t="s">
        <v>22</v>
      </c>
      <c r="F134" s="21">
        <v>2E-3</v>
      </c>
      <c r="G134" s="22">
        <v>175</v>
      </c>
      <c r="H134" s="22">
        <v>87500</v>
      </c>
      <c r="I134" s="5">
        <v>14</v>
      </c>
      <c r="J134" s="23">
        <v>43750</v>
      </c>
      <c r="K134" s="58">
        <v>93000</v>
      </c>
      <c r="L134" s="24">
        <f t="shared" si="4"/>
        <v>31.88571428571429</v>
      </c>
      <c r="M134" s="25" t="s">
        <v>1608</v>
      </c>
      <c r="N134" s="25" t="s">
        <v>1609</v>
      </c>
      <c r="O134" s="79">
        <v>1</v>
      </c>
    </row>
    <row r="135" spans="1:15" ht="18.75" x14ac:dyDescent="0.25">
      <c r="A135" s="19">
        <v>41</v>
      </c>
      <c r="B135" s="19" t="s">
        <v>1173</v>
      </c>
      <c r="C135" s="30" t="s">
        <v>1174</v>
      </c>
      <c r="D135" s="29" t="s">
        <v>916</v>
      </c>
      <c r="E135" s="5" t="s">
        <v>22</v>
      </c>
      <c r="F135" s="21">
        <v>0.01</v>
      </c>
      <c r="G135" s="22">
        <v>30</v>
      </c>
      <c r="H135" s="22">
        <v>3000</v>
      </c>
      <c r="I135" s="5">
        <v>14</v>
      </c>
      <c r="J135" s="23">
        <v>1500</v>
      </c>
      <c r="K135" s="58">
        <v>3300</v>
      </c>
      <c r="L135" s="24">
        <f t="shared" si="4"/>
        <v>33</v>
      </c>
      <c r="M135" s="25" t="s">
        <v>1608</v>
      </c>
      <c r="N135" s="25" t="s">
        <v>1609</v>
      </c>
      <c r="O135" s="79">
        <v>1</v>
      </c>
    </row>
    <row r="136" spans="1:15" ht="18.75" x14ac:dyDescent="0.25">
      <c r="A136" s="19">
        <v>61</v>
      </c>
      <c r="B136" s="19" t="s">
        <v>1105</v>
      </c>
      <c r="C136" s="30" t="s">
        <v>1106</v>
      </c>
      <c r="D136" s="29" t="s">
        <v>1107</v>
      </c>
      <c r="E136" s="5" t="s">
        <v>22</v>
      </c>
      <c r="F136" s="21">
        <v>2.0000000000000001E-4</v>
      </c>
      <c r="G136" s="22">
        <v>22</v>
      </c>
      <c r="H136" s="22">
        <v>110000</v>
      </c>
      <c r="I136" s="5">
        <v>14</v>
      </c>
      <c r="J136" s="23">
        <v>55000</v>
      </c>
      <c r="K136" s="58">
        <v>125000</v>
      </c>
      <c r="L136" s="24">
        <f t="shared" si="4"/>
        <v>34.090909090909093</v>
      </c>
      <c r="M136" s="25" t="s">
        <v>1608</v>
      </c>
      <c r="N136" s="25" t="s">
        <v>1609</v>
      </c>
      <c r="O136" s="79">
        <v>1</v>
      </c>
    </row>
    <row r="137" spans="1:15" ht="18.75" x14ac:dyDescent="0.25">
      <c r="A137" s="19">
        <v>104</v>
      </c>
      <c r="B137" s="19" t="s">
        <v>1228</v>
      </c>
      <c r="C137" s="28" t="s">
        <v>1229</v>
      </c>
      <c r="D137" s="27" t="s">
        <v>1069</v>
      </c>
      <c r="E137" s="5"/>
      <c r="F137" s="21">
        <v>0.02</v>
      </c>
      <c r="G137" s="22">
        <v>24</v>
      </c>
      <c r="H137" s="22">
        <v>1200</v>
      </c>
      <c r="I137" s="5">
        <v>14</v>
      </c>
      <c r="J137" s="23">
        <v>600</v>
      </c>
      <c r="K137" s="58">
        <v>1450</v>
      </c>
      <c r="L137" s="24">
        <f t="shared" si="4"/>
        <v>36.25</v>
      </c>
      <c r="M137" s="25" t="s">
        <v>1608</v>
      </c>
      <c r="N137" s="25" t="s">
        <v>1609</v>
      </c>
      <c r="O137" s="79">
        <v>1</v>
      </c>
    </row>
    <row r="138" spans="1:15" ht="18.75" x14ac:dyDescent="0.25">
      <c r="A138" s="19">
        <v>17</v>
      </c>
      <c r="B138" s="19" t="s">
        <v>1368</v>
      </c>
      <c r="C138" s="30" t="s">
        <v>1369</v>
      </c>
      <c r="D138" s="29" t="s">
        <v>1370</v>
      </c>
      <c r="E138" s="5" t="s">
        <v>22</v>
      </c>
      <c r="F138" s="21">
        <v>0.01</v>
      </c>
      <c r="G138" s="22">
        <v>495</v>
      </c>
      <c r="H138" s="22">
        <v>49500</v>
      </c>
      <c r="I138" s="5">
        <v>14</v>
      </c>
      <c r="J138" s="23">
        <v>24750</v>
      </c>
      <c r="K138" s="58">
        <v>60000</v>
      </c>
      <c r="L138" s="24">
        <f t="shared" si="4"/>
        <v>36.363636363636367</v>
      </c>
      <c r="M138" s="25" t="s">
        <v>1608</v>
      </c>
      <c r="N138" s="25" t="s">
        <v>1609</v>
      </c>
      <c r="O138" s="79">
        <v>1</v>
      </c>
    </row>
    <row r="139" spans="1:15" ht="18.75" x14ac:dyDescent="0.25">
      <c r="A139" s="19">
        <v>26</v>
      </c>
      <c r="B139" s="19" t="s">
        <v>1140</v>
      </c>
      <c r="C139" s="28" t="s">
        <v>1141</v>
      </c>
      <c r="D139" s="27" t="s">
        <v>1142</v>
      </c>
      <c r="E139" s="5" t="s">
        <v>22</v>
      </c>
      <c r="F139" s="21">
        <v>1E-3</v>
      </c>
      <c r="G139" s="22">
        <v>137</v>
      </c>
      <c r="H139" s="22">
        <v>137000</v>
      </c>
      <c r="I139" s="5">
        <v>60</v>
      </c>
      <c r="J139" s="23">
        <v>293571.42857142858</v>
      </c>
      <c r="K139" s="58">
        <v>171000</v>
      </c>
      <c r="L139" s="24">
        <f t="shared" si="4"/>
        <v>37.445255474452551</v>
      </c>
      <c r="M139" s="25" t="s">
        <v>1595</v>
      </c>
      <c r="N139" s="25" t="s">
        <v>1596</v>
      </c>
      <c r="O139" s="79">
        <v>0</v>
      </c>
    </row>
    <row r="140" spans="1:15" ht="18.75" x14ac:dyDescent="0.25">
      <c r="A140" s="19">
        <v>132</v>
      </c>
      <c r="B140" s="19" t="s">
        <v>956</v>
      </c>
      <c r="C140" s="28" t="s">
        <v>957</v>
      </c>
      <c r="D140" s="27" t="s">
        <v>958</v>
      </c>
      <c r="E140" s="5" t="s">
        <v>22</v>
      </c>
      <c r="F140" s="21">
        <v>4.1666666666666669E-4</v>
      </c>
      <c r="G140" s="22">
        <v>10</v>
      </c>
      <c r="H140" s="22">
        <v>24000</v>
      </c>
      <c r="I140" s="5">
        <v>14</v>
      </c>
      <c r="J140" s="23">
        <v>12000</v>
      </c>
      <c r="K140" s="58">
        <v>29999.999999999996</v>
      </c>
      <c r="L140" s="24">
        <f t="shared" si="4"/>
        <v>37.499999999999993</v>
      </c>
      <c r="M140" s="25" t="s">
        <v>1608</v>
      </c>
      <c r="N140" s="25" t="s">
        <v>1609</v>
      </c>
      <c r="O140" s="79">
        <v>1</v>
      </c>
    </row>
    <row r="141" spans="1:15" ht="18.75" x14ac:dyDescent="0.25">
      <c r="A141" s="19">
        <v>87</v>
      </c>
      <c r="B141" s="19" t="s">
        <v>1147</v>
      </c>
      <c r="C141" s="28" t="s">
        <v>1148</v>
      </c>
      <c r="D141" s="27" t="s">
        <v>955</v>
      </c>
      <c r="E141" s="5" t="s">
        <v>22</v>
      </c>
      <c r="F141" s="21">
        <v>1.6260162601626016E-3</v>
      </c>
      <c r="G141" s="22">
        <v>96</v>
      </c>
      <c r="H141" s="22">
        <v>59040</v>
      </c>
      <c r="I141" s="5">
        <v>14</v>
      </c>
      <c r="J141" s="23">
        <v>29520</v>
      </c>
      <c r="K141" s="58">
        <v>77490</v>
      </c>
      <c r="L141" s="24">
        <f t="shared" si="4"/>
        <v>39.375</v>
      </c>
      <c r="M141" s="25" t="s">
        <v>1608</v>
      </c>
      <c r="N141" s="25" t="s">
        <v>1609</v>
      </c>
      <c r="O141" s="79">
        <v>1</v>
      </c>
    </row>
    <row r="142" spans="1:15" ht="18.75" x14ac:dyDescent="0.25">
      <c r="A142" s="19">
        <v>178</v>
      </c>
      <c r="B142" s="19" t="s">
        <v>31</v>
      </c>
      <c r="C142" s="30" t="s">
        <v>32</v>
      </c>
      <c r="D142" s="31" t="s">
        <v>22</v>
      </c>
      <c r="E142" s="5" t="s">
        <v>22</v>
      </c>
      <c r="F142" s="21">
        <v>1</v>
      </c>
      <c r="G142" s="22">
        <v>8</v>
      </c>
      <c r="H142" s="22">
        <v>8</v>
      </c>
      <c r="I142" s="5">
        <v>14</v>
      </c>
      <c r="J142" s="23">
        <v>4</v>
      </c>
      <c r="K142" s="58">
        <v>11</v>
      </c>
      <c r="L142" s="24">
        <f t="shared" si="4"/>
        <v>41.25</v>
      </c>
      <c r="M142" s="25" t="s">
        <v>1608</v>
      </c>
      <c r="N142" s="25" t="s">
        <v>1609</v>
      </c>
      <c r="O142" s="79">
        <v>1</v>
      </c>
    </row>
    <row r="143" spans="1:15" ht="18.75" x14ac:dyDescent="0.25">
      <c r="A143" s="19">
        <v>173</v>
      </c>
      <c r="B143" s="19" t="s">
        <v>36</v>
      </c>
      <c r="C143" s="40" t="s">
        <v>37</v>
      </c>
      <c r="D143" s="31" t="s">
        <v>22</v>
      </c>
      <c r="E143" s="5" t="s">
        <v>22</v>
      </c>
      <c r="F143" s="21">
        <v>1</v>
      </c>
      <c r="G143" s="22">
        <v>2</v>
      </c>
      <c r="H143" s="22">
        <v>2</v>
      </c>
      <c r="I143" s="5">
        <v>14</v>
      </c>
      <c r="J143" s="23">
        <v>1</v>
      </c>
      <c r="K143" s="58">
        <v>3</v>
      </c>
      <c r="L143" s="24">
        <f t="shared" si="4"/>
        <v>45</v>
      </c>
      <c r="M143" s="25" t="s">
        <v>1608</v>
      </c>
      <c r="N143" s="25" t="s">
        <v>1609</v>
      </c>
      <c r="O143" s="79">
        <v>1</v>
      </c>
    </row>
    <row r="144" spans="1:15" ht="18.75" x14ac:dyDescent="0.25">
      <c r="A144" s="19">
        <v>117</v>
      </c>
      <c r="B144" s="19" t="s">
        <v>1223</v>
      </c>
      <c r="C144" s="28" t="s">
        <v>1224</v>
      </c>
      <c r="D144" s="27" t="s">
        <v>1225</v>
      </c>
      <c r="E144" s="5" t="s">
        <v>22</v>
      </c>
      <c r="F144" s="21">
        <v>2E-3</v>
      </c>
      <c r="G144" s="22">
        <v>10.5</v>
      </c>
      <c r="H144" s="22">
        <v>5250</v>
      </c>
      <c r="I144" s="5">
        <v>14</v>
      </c>
      <c r="J144" s="23">
        <v>2625</v>
      </c>
      <c r="K144" s="58">
        <v>8000</v>
      </c>
      <c r="L144" s="24">
        <f t="shared" si="4"/>
        <v>45.714285714285708</v>
      </c>
      <c r="M144" s="25" t="s">
        <v>1608</v>
      </c>
      <c r="N144" s="25" t="s">
        <v>1609</v>
      </c>
      <c r="O144" s="79">
        <v>1</v>
      </c>
    </row>
    <row r="145" spans="1:15" ht="18.75" x14ac:dyDescent="0.25">
      <c r="A145" s="19">
        <v>21</v>
      </c>
      <c r="B145" s="19" t="s">
        <v>1226</v>
      </c>
      <c r="C145" s="28" t="s">
        <v>1227</v>
      </c>
      <c r="D145" s="27" t="s">
        <v>92</v>
      </c>
      <c r="E145" s="5" t="s">
        <v>22</v>
      </c>
      <c r="F145" s="21">
        <v>5.0000000000000001E-4</v>
      </c>
      <c r="G145" s="22">
        <v>84.5</v>
      </c>
      <c r="H145" s="22">
        <v>169000</v>
      </c>
      <c r="I145" s="5">
        <v>14</v>
      </c>
      <c r="J145" s="23">
        <v>84500</v>
      </c>
      <c r="K145" s="58">
        <v>258000</v>
      </c>
      <c r="L145" s="24">
        <f t="shared" si="4"/>
        <v>45.798816568047336</v>
      </c>
      <c r="M145" s="25" t="s">
        <v>1608</v>
      </c>
      <c r="N145" s="25" t="s">
        <v>1609</v>
      </c>
      <c r="O145" s="79">
        <v>1</v>
      </c>
    </row>
    <row r="146" spans="1:15" ht="18.75" x14ac:dyDescent="0.25">
      <c r="A146" s="19">
        <v>84</v>
      </c>
      <c r="B146" s="19" t="s">
        <v>1183</v>
      </c>
      <c r="C146" s="28" t="s">
        <v>1184</v>
      </c>
      <c r="D146" s="27" t="s">
        <v>186</v>
      </c>
      <c r="E146" s="5" t="s">
        <v>22</v>
      </c>
      <c r="F146" s="21">
        <v>2E-3</v>
      </c>
      <c r="G146" s="22">
        <v>80</v>
      </c>
      <c r="H146" s="22">
        <v>40000</v>
      </c>
      <c r="I146" s="5">
        <v>14</v>
      </c>
      <c r="J146" s="23">
        <v>20000</v>
      </c>
      <c r="K146" s="58">
        <v>65000</v>
      </c>
      <c r="L146" s="24">
        <f t="shared" si="4"/>
        <v>48.75</v>
      </c>
      <c r="M146" s="25" t="s">
        <v>1608</v>
      </c>
      <c r="N146" s="25" t="s">
        <v>1609</v>
      </c>
      <c r="O146" s="79">
        <v>1</v>
      </c>
    </row>
    <row r="147" spans="1:15" ht="18.75" x14ac:dyDescent="0.25">
      <c r="A147" s="19">
        <v>166</v>
      </c>
      <c r="B147" s="19" t="s">
        <v>1249</v>
      </c>
      <c r="C147" s="28" t="s">
        <v>1250</v>
      </c>
      <c r="D147" s="27" t="s">
        <v>1251</v>
      </c>
      <c r="E147" s="5" t="s">
        <v>22</v>
      </c>
      <c r="F147" s="21">
        <v>6.6666666666666671E-3</v>
      </c>
      <c r="G147" s="22">
        <v>8</v>
      </c>
      <c r="H147" s="22">
        <v>1200</v>
      </c>
      <c r="I147" s="5">
        <v>14</v>
      </c>
      <c r="J147" s="23">
        <v>600</v>
      </c>
      <c r="K147" s="58">
        <v>2100</v>
      </c>
      <c r="L147" s="24">
        <f t="shared" si="4"/>
        <v>52.5</v>
      </c>
      <c r="M147" s="25" t="s">
        <v>1608</v>
      </c>
      <c r="N147" s="25" t="s">
        <v>1609</v>
      </c>
      <c r="O147" s="79">
        <v>1</v>
      </c>
    </row>
    <row r="148" spans="1:15" ht="18.75" x14ac:dyDescent="0.25">
      <c r="A148" s="19">
        <v>28</v>
      </c>
      <c r="B148" s="19" t="s">
        <v>1145</v>
      </c>
      <c r="C148" s="28" t="s">
        <v>1146</v>
      </c>
      <c r="D148" s="27" t="s">
        <v>873</v>
      </c>
      <c r="E148" s="5" t="s">
        <v>22</v>
      </c>
      <c r="F148" s="21">
        <v>2E-3</v>
      </c>
      <c r="G148" s="22">
        <v>995.5</v>
      </c>
      <c r="H148" s="22">
        <v>497750</v>
      </c>
      <c r="I148" s="5">
        <v>60</v>
      </c>
      <c r="J148" s="23">
        <v>1066607.1428571427</v>
      </c>
      <c r="K148" s="58">
        <v>877000</v>
      </c>
      <c r="L148" s="24">
        <f t="shared" si="4"/>
        <v>52.85786037167253</v>
      </c>
      <c r="M148" s="25" t="s">
        <v>1595</v>
      </c>
      <c r="N148" s="25" t="s">
        <v>1596</v>
      </c>
      <c r="O148" s="79">
        <v>0</v>
      </c>
    </row>
    <row r="149" spans="1:15" ht="18.75" x14ac:dyDescent="0.25">
      <c r="A149" s="19">
        <v>9</v>
      </c>
      <c r="B149" s="19" t="s">
        <v>1232</v>
      </c>
      <c r="C149" s="28" t="s">
        <v>1233</v>
      </c>
      <c r="D149" s="27" t="s">
        <v>186</v>
      </c>
      <c r="E149" s="5" t="s">
        <v>22</v>
      </c>
      <c r="F149" s="21">
        <v>2E-3</v>
      </c>
      <c r="G149" s="22">
        <v>627</v>
      </c>
      <c r="H149" s="22">
        <v>313500</v>
      </c>
      <c r="I149" s="5">
        <v>60</v>
      </c>
      <c r="J149" s="23">
        <v>671785.71428571432</v>
      </c>
      <c r="K149" s="58">
        <v>596500</v>
      </c>
      <c r="L149" s="24">
        <f t="shared" si="4"/>
        <v>57.081339712918655</v>
      </c>
      <c r="M149" s="25" t="s">
        <v>1595</v>
      </c>
      <c r="N149" s="25" t="s">
        <v>1596</v>
      </c>
      <c r="O149" s="79">
        <v>0</v>
      </c>
    </row>
    <row r="150" spans="1:15" ht="18.75" x14ac:dyDescent="0.25">
      <c r="A150" s="19">
        <v>25</v>
      </c>
      <c r="B150" s="19" t="s">
        <v>1259</v>
      </c>
      <c r="C150" s="28" t="s">
        <v>1260</v>
      </c>
      <c r="D150" s="27" t="s">
        <v>180</v>
      </c>
      <c r="E150" s="48" t="s">
        <v>22</v>
      </c>
      <c r="F150" s="21">
        <v>1E-3</v>
      </c>
      <c r="G150" s="22">
        <v>23</v>
      </c>
      <c r="H150" s="22">
        <v>23000</v>
      </c>
      <c r="I150" s="5">
        <v>60</v>
      </c>
      <c r="J150" s="23">
        <v>49285.714285714283</v>
      </c>
      <c r="K150" s="58">
        <v>45000</v>
      </c>
      <c r="L150" s="24">
        <f t="shared" si="4"/>
        <v>58.695652173913047</v>
      </c>
      <c r="M150" s="25" t="s">
        <v>1595</v>
      </c>
      <c r="N150" s="25" t="s">
        <v>1596</v>
      </c>
      <c r="O150" s="79">
        <v>0</v>
      </c>
    </row>
    <row r="151" spans="1:15" ht="18.75" x14ac:dyDescent="0.25">
      <c r="A151" s="19">
        <v>91</v>
      </c>
      <c r="B151" s="19" t="s">
        <v>1347</v>
      </c>
      <c r="C151" s="28" t="s">
        <v>1348</v>
      </c>
      <c r="D151" s="28" t="s">
        <v>1349</v>
      </c>
      <c r="E151" s="5" t="s">
        <v>22</v>
      </c>
      <c r="F151" s="21">
        <v>1E-3</v>
      </c>
      <c r="G151" s="22">
        <v>150</v>
      </c>
      <c r="H151" s="22">
        <v>150000</v>
      </c>
      <c r="I151" s="5">
        <v>14</v>
      </c>
      <c r="J151" s="23">
        <v>75000</v>
      </c>
      <c r="K151" s="58">
        <v>300000</v>
      </c>
      <c r="L151" s="24">
        <f t="shared" si="4"/>
        <v>60</v>
      </c>
      <c r="M151" s="25" t="s">
        <v>1608</v>
      </c>
      <c r="N151" s="25" t="s">
        <v>1609</v>
      </c>
      <c r="O151" s="79">
        <v>1</v>
      </c>
    </row>
    <row r="152" spans="1:15" ht="18.75" x14ac:dyDescent="0.25">
      <c r="A152" s="19">
        <v>8</v>
      </c>
      <c r="B152" s="19" t="s">
        <v>1240</v>
      </c>
      <c r="C152" s="28" t="s">
        <v>1241</v>
      </c>
      <c r="D152" s="28" t="s">
        <v>186</v>
      </c>
      <c r="E152" s="5" t="s">
        <v>22</v>
      </c>
      <c r="F152" s="21">
        <v>2E-3</v>
      </c>
      <c r="G152" s="22">
        <v>627</v>
      </c>
      <c r="H152" s="22">
        <v>313500</v>
      </c>
      <c r="I152" s="5">
        <v>60</v>
      </c>
      <c r="J152" s="23">
        <v>671785.71428571432</v>
      </c>
      <c r="K152" s="58">
        <v>647000</v>
      </c>
      <c r="L152" s="24">
        <f t="shared" si="4"/>
        <v>61.913875598086122</v>
      </c>
      <c r="M152" s="25" t="s">
        <v>1608</v>
      </c>
      <c r="N152" s="25" t="s">
        <v>1609</v>
      </c>
      <c r="O152" s="79">
        <v>0</v>
      </c>
    </row>
    <row r="153" spans="1:15" ht="18.75" x14ac:dyDescent="0.25">
      <c r="A153" s="19">
        <v>10</v>
      </c>
      <c r="B153" s="19" t="s">
        <v>1263</v>
      </c>
      <c r="C153" s="30" t="s">
        <v>1264</v>
      </c>
      <c r="D153" s="30" t="s">
        <v>1265</v>
      </c>
      <c r="E153" s="5" t="s">
        <v>22</v>
      </c>
      <c r="F153" s="21">
        <v>1E-3</v>
      </c>
      <c r="G153" s="22">
        <v>330</v>
      </c>
      <c r="H153" s="22">
        <v>330000</v>
      </c>
      <c r="I153" s="5">
        <v>60</v>
      </c>
      <c r="J153" s="23">
        <v>707142.85714285716</v>
      </c>
      <c r="K153" s="58">
        <v>709000</v>
      </c>
      <c r="L153" s="24">
        <f t="shared" si="4"/>
        <v>64.454545454545453</v>
      </c>
      <c r="M153" s="25" t="s">
        <v>1608</v>
      </c>
      <c r="N153" s="25" t="s">
        <v>1609</v>
      </c>
      <c r="O153" s="79">
        <v>1</v>
      </c>
    </row>
    <row r="154" spans="1:15" ht="18.75" x14ac:dyDescent="0.25">
      <c r="A154" s="19">
        <v>124</v>
      </c>
      <c r="B154" s="19" t="s">
        <v>1303</v>
      </c>
      <c r="C154" s="28" t="s">
        <v>1304</v>
      </c>
      <c r="D154" s="28" t="s">
        <v>1305</v>
      </c>
      <c r="E154" s="5" t="s">
        <v>606</v>
      </c>
      <c r="F154" s="21">
        <v>0.02</v>
      </c>
      <c r="G154" s="22">
        <v>1000</v>
      </c>
      <c r="H154" s="22">
        <v>50000</v>
      </c>
      <c r="I154" s="5">
        <v>14</v>
      </c>
      <c r="J154" s="23">
        <v>25000</v>
      </c>
      <c r="K154" s="58">
        <v>117550</v>
      </c>
      <c r="L154" s="24">
        <f t="shared" si="4"/>
        <v>70.53</v>
      </c>
      <c r="M154" s="25" t="s">
        <v>1608</v>
      </c>
      <c r="N154" s="25" t="s">
        <v>1609</v>
      </c>
      <c r="O154" s="79">
        <v>1</v>
      </c>
    </row>
    <row r="155" spans="1:15" ht="18.75" x14ac:dyDescent="0.25">
      <c r="A155" s="19">
        <v>35</v>
      </c>
      <c r="B155" s="19" t="s">
        <v>1275</v>
      </c>
      <c r="C155" s="28" t="s">
        <v>1276</v>
      </c>
      <c r="D155" s="27" t="s">
        <v>1277</v>
      </c>
      <c r="E155" s="48" t="s">
        <v>22</v>
      </c>
      <c r="F155" s="21">
        <v>1E-3</v>
      </c>
      <c r="G155" s="22">
        <v>96</v>
      </c>
      <c r="H155" s="22">
        <v>96000</v>
      </c>
      <c r="I155" s="5">
        <v>60</v>
      </c>
      <c r="J155" s="23">
        <v>205714.28571428571</v>
      </c>
      <c r="K155" s="58">
        <v>249000</v>
      </c>
      <c r="L155" s="24">
        <f t="shared" si="4"/>
        <v>77.8125</v>
      </c>
      <c r="M155" s="25" t="s">
        <v>1608</v>
      </c>
      <c r="N155" s="25" t="s">
        <v>1609</v>
      </c>
      <c r="O155" s="79">
        <v>1</v>
      </c>
    </row>
    <row r="156" spans="1:15" ht="18.75" x14ac:dyDescent="0.25">
      <c r="A156" s="19">
        <v>1</v>
      </c>
      <c r="B156" s="19" t="s">
        <v>1306</v>
      </c>
      <c r="C156" s="20" t="s">
        <v>1307</v>
      </c>
      <c r="D156" s="20" t="s">
        <v>22</v>
      </c>
      <c r="E156" s="5" t="s">
        <v>49</v>
      </c>
      <c r="F156" s="21">
        <v>2.0000000000000001E-4</v>
      </c>
      <c r="G156" s="22">
        <v>402</v>
      </c>
      <c r="H156" s="22">
        <v>2010000</v>
      </c>
      <c r="I156" s="5">
        <v>15</v>
      </c>
      <c r="J156" s="23">
        <v>1076785.7142857143</v>
      </c>
      <c r="K156" s="58">
        <v>5275000</v>
      </c>
      <c r="L156" s="24">
        <f t="shared" si="4"/>
        <v>78.731343283582092</v>
      </c>
      <c r="M156" s="25" t="s">
        <v>1608</v>
      </c>
      <c r="N156" s="25" t="s">
        <v>1609</v>
      </c>
      <c r="O156" s="79">
        <v>1</v>
      </c>
    </row>
    <row r="157" spans="1:15" ht="18.75" x14ac:dyDescent="0.25">
      <c r="A157" s="19">
        <v>7</v>
      </c>
      <c r="B157" s="19" t="s">
        <v>1256</v>
      </c>
      <c r="C157" s="20" t="s">
        <v>1257</v>
      </c>
      <c r="D157" s="34" t="s">
        <v>1258</v>
      </c>
      <c r="E157" s="5" t="s">
        <v>49</v>
      </c>
      <c r="F157" s="21">
        <v>6.6666666666666664E-4</v>
      </c>
      <c r="G157" s="22">
        <v>6</v>
      </c>
      <c r="H157" s="22">
        <v>9000</v>
      </c>
      <c r="I157" s="5">
        <v>60</v>
      </c>
      <c r="J157" s="23">
        <v>19285.714285714286</v>
      </c>
      <c r="K157" s="58">
        <v>24000</v>
      </c>
      <c r="L157" s="24">
        <f t="shared" si="4"/>
        <v>80</v>
      </c>
      <c r="M157" s="25" t="s">
        <v>1608</v>
      </c>
      <c r="N157" s="25" t="s">
        <v>1609</v>
      </c>
      <c r="O157" s="79">
        <v>1</v>
      </c>
    </row>
    <row r="158" spans="1:15" ht="18.75" x14ac:dyDescent="0.25">
      <c r="A158" s="19">
        <v>27</v>
      </c>
      <c r="B158" s="19" t="s">
        <v>1328</v>
      </c>
      <c r="C158" s="28" t="s">
        <v>1329</v>
      </c>
      <c r="D158" s="28" t="s">
        <v>25</v>
      </c>
      <c r="E158" s="5" t="s">
        <v>22</v>
      </c>
      <c r="F158" s="21">
        <v>2E-3</v>
      </c>
      <c r="G158" s="22">
        <v>1028.5</v>
      </c>
      <c r="H158" s="22">
        <v>514250</v>
      </c>
      <c r="I158" s="5">
        <v>60</v>
      </c>
      <c r="J158" s="23">
        <v>1101964.2857142857</v>
      </c>
      <c r="K158" s="58">
        <v>1473000</v>
      </c>
      <c r="L158" s="24">
        <f t="shared" si="4"/>
        <v>85.930967428293627</v>
      </c>
      <c r="M158" s="25" t="s">
        <v>1608</v>
      </c>
      <c r="N158" s="25" t="s">
        <v>1609</v>
      </c>
      <c r="O158" s="79">
        <v>1</v>
      </c>
    </row>
    <row r="159" spans="1:15" ht="18.75" x14ac:dyDescent="0.25">
      <c r="A159" s="19">
        <v>103</v>
      </c>
      <c r="B159" s="19" t="s">
        <v>1392</v>
      </c>
      <c r="C159" s="28" t="s">
        <v>1393</v>
      </c>
      <c r="D159" s="28" t="s">
        <v>1394</v>
      </c>
      <c r="E159" s="5" t="s">
        <v>1395</v>
      </c>
      <c r="F159" s="21">
        <v>5.0000000000000001E-4</v>
      </c>
      <c r="G159" s="22">
        <v>24</v>
      </c>
      <c r="H159" s="22">
        <v>48000</v>
      </c>
      <c r="I159" s="5">
        <v>14</v>
      </c>
      <c r="J159" s="23">
        <v>24000</v>
      </c>
      <c r="K159" s="58">
        <v>141200</v>
      </c>
      <c r="L159" s="24">
        <f t="shared" si="4"/>
        <v>88.25</v>
      </c>
      <c r="M159" s="25" t="s">
        <v>1608</v>
      </c>
      <c r="N159" s="25" t="s">
        <v>1609</v>
      </c>
      <c r="O159" s="79">
        <v>1</v>
      </c>
    </row>
    <row r="160" spans="1:15" ht="18.75" x14ac:dyDescent="0.25">
      <c r="A160" s="19">
        <v>174</v>
      </c>
      <c r="B160" s="19" t="s">
        <v>1396</v>
      </c>
      <c r="C160" s="40" t="s">
        <v>1397</v>
      </c>
      <c r="D160" s="34" t="s">
        <v>22</v>
      </c>
      <c r="E160" s="5" t="s">
        <v>22</v>
      </c>
      <c r="F160" s="21">
        <v>1</v>
      </c>
      <c r="G160" s="22">
        <v>15</v>
      </c>
      <c r="H160" s="22">
        <v>15</v>
      </c>
      <c r="I160" s="5">
        <v>14</v>
      </c>
      <c r="J160" s="23">
        <v>7.5</v>
      </c>
      <c r="K160" s="58">
        <v>53</v>
      </c>
      <c r="L160" s="24">
        <f t="shared" si="4"/>
        <v>106</v>
      </c>
      <c r="M160" s="25" t="s">
        <v>1608</v>
      </c>
      <c r="N160" s="25" t="s">
        <v>1609</v>
      </c>
      <c r="O160" s="79">
        <v>1</v>
      </c>
    </row>
    <row r="161" spans="1:15" ht="18.75" x14ac:dyDescent="0.25">
      <c r="A161" s="19">
        <v>6</v>
      </c>
      <c r="B161" s="19" t="s">
        <v>1428</v>
      </c>
      <c r="C161" s="20" t="s">
        <v>1429</v>
      </c>
      <c r="D161" s="31" t="s">
        <v>1258</v>
      </c>
      <c r="E161" s="48" t="s">
        <v>49</v>
      </c>
      <c r="F161" s="21">
        <v>3.3333333333333332E-4</v>
      </c>
      <c r="G161" s="22">
        <v>3</v>
      </c>
      <c r="H161" s="22">
        <v>9000</v>
      </c>
      <c r="I161" s="5">
        <v>60</v>
      </c>
      <c r="J161" s="23">
        <v>19285.714285714286</v>
      </c>
      <c r="K161" s="58">
        <v>33000</v>
      </c>
      <c r="L161" s="24">
        <f t="shared" si="4"/>
        <v>110</v>
      </c>
      <c r="M161" s="25" t="s">
        <v>1608</v>
      </c>
      <c r="N161" s="25" t="s">
        <v>1609</v>
      </c>
      <c r="O161" s="79">
        <v>1</v>
      </c>
    </row>
    <row r="162" spans="1:15" ht="18.75" x14ac:dyDescent="0.25">
      <c r="A162" s="19">
        <v>140</v>
      </c>
      <c r="B162" s="19" t="s">
        <v>1403</v>
      </c>
      <c r="C162" s="28" t="s">
        <v>1404</v>
      </c>
      <c r="D162" s="28" t="s">
        <v>942</v>
      </c>
      <c r="E162" s="5" t="s">
        <v>49</v>
      </c>
      <c r="F162" s="21">
        <v>1E-3</v>
      </c>
      <c r="G162" s="22">
        <v>12</v>
      </c>
      <c r="H162" s="22">
        <v>12000</v>
      </c>
      <c r="I162" s="5">
        <v>14</v>
      </c>
      <c r="J162" s="23">
        <v>6000</v>
      </c>
      <c r="K162" s="58">
        <v>45500</v>
      </c>
      <c r="L162" s="24">
        <f t="shared" si="4"/>
        <v>113.75</v>
      </c>
      <c r="M162" s="25" t="s">
        <v>1608</v>
      </c>
      <c r="N162" s="25" t="s">
        <v>1609</v>
      </c>
      <c r="O162" s="79">
        <v>1</v>
      </c>
    </row>
    <row r="163" spans="1:15" ht="18.75" x14ac:dyDescent="0.25">
      <c r="A163" s="19">
        <v>38</v>
      </c>
      <c r="B163" s="19" t="s">
        <v>1430</v>
      </c>
      <c r="C163" s="28" t="s">
        <v>1431</v>
      </c>
      <c r="D163" s="28" t="s">
        <v>29</v>
      </c>
      <c r="E163" s="5" t="s">
        <v>22</v>
      </c>
      <c r="F163" s="21">
        <v>8.3333333333333339E-4</v>
      </c>
      <c r="G163" s="22">
        <v>50</v>
      </c>
      <c r="H163" s="22">
        <v>59999.999999999993</v>
      </c>
      <c r="I163" s="5">
        <v>60</v>
      </c>
      <c r="J163" s="23">
        <v>128571.42857142855</v>
      </c>
      <c r="K163" s="58">
        <v>228000</v>
      </c>
      <c r="L163" s="24">
        <f t="shared" ref="L163:L185" si="5">IFERROR((K163/H163*30),0)</f>
        <v>114.00000000000001</v>
      </c>
      <c r="M163" s="25" t="s">
        <v>1608</v>
      </c>
      <c r="N163" s="25" t="s">
        <v>1609</v>
      </c>
      <c r="O163" s="79">
        <v>1</v>
      </c>
    </row>
    <row r="164" spans="1:15" ht="18.75" x14ac:dyDescent="0.25">
      <c r="A164" s="19">
        <v>81</v>
      </c>
      <c r="B164" s="19" t="s">
        <v>1421</v>
      </c>
      <c r="C164" s="28" t="s">
        <v>1422</v>
      </c>
      <c r="D164" s="28" t="s">
        <v>873</v>
      </c>
      <c r="E164" s="5" t="s">
        <v>22</v>
      </c>
      <c r="F164" s="21">
        <v>2E-3</v>
      </c>
      <c r="G164" s="22">
        <v>16</v>
      </c>
      <c r="H164" s="22">
        <v>8000</v>
      </c>
      <c r="I164" s="5">
        <v>14</v>
      </c>
      <c r="J164" s="23">
        <v>4000</v>
      </c>
      <c r="K164" s="58">
        <v>32000</v>
      </c>
      <c r="L164" s="24">
        <f t="shared" si="5"/>
        <v>120</v>
      </c>
      <c r="M164" s="25" t="s">
        <v>1608</v>
      </c>
      <c r="N164" s="25" t="s">
        <v>1609</v>
      </c>
      <c r="O164" s="79">
        <v>1</v>
      </c>
    </row>
    <row r="165" spans="1:15" ht="18.75" x14ac:dyDescent="0.25">
      <c r="A165" s="19">
        <v>135</v>
      </c>
      <c r="B165" s="19" t="s">
        <v>1371</v>
      </c>
      <c r="C165" s="28" t="s">
        <v>1372</v>
      </c>
      <c r="D165" s="28" t="s">
        <v>25</v>
      </c>
      <c r="E165" s="5" t="s">
        <v>22</v>
      </c>
      <c r="F165" s="21">
        <v>2E-3</v>
      </c>
      <c r="G165" s="22">
        <v>7</v>
      </c>
      <c r="H165" s="22">
        <v>3500</v>
      </c>
      <c r="I165" s="5">
        <v>14</v>
      </c>
      <c r="J165" s="23">
        <v>1750</v>
      </c>
      <c r="K165" s="58">
        <v>14000</v>
      </c>
      <c r="L165" s="24">
        <f t="shared" si="5"/>
        <v>120</v>
      </c>
      <c r="M165" s="25" t="s">
        <v>1608</v>
      </c>
      <c r="N165" s="25" t="s">
        <v>1609</v>
      </c>
      <c r="O165" s="79">
        <v>1</v>
      </c>
    </row>
    <row r="166" spans="1:15" ht="18.75" x14ac:dyDescent="0.25">
      <c r="A166" s="19">
        <v>30</v>
      </c>
      <c r="B166" s="19" t="s">
        <v>1405</v>
      </c>
      <c r="C166" s="28" t="s">
        <v>1406</v>
      </c>
      <c r="D166" s="28" t="s">
        <v>25</v>
      </c>
      <c r="E166" s="5" t="s">
        <v>22</v>
      </c>
      <c r="F166" s="21">
        <v>2E-3</v>
      </c>
      <c r="G166" s="22">
        <v>935</v>
      </c>
      <c r="H166" s="22">
        <v>467500</v>
      </c>
      <c r="I166" s="5">
        <v>60</v>
      </c>
      <c r="J166" s="23">
        <v>1001785.7142857142</v>
      </c>
      <c r="K166" s="58">
        <v>1903750</v>
      </c>
      <c r="L166" s="24">
        <f t="shared" si="5"/>
        <v>122.16577540106952</v>
      </c>
      <c r="M166" s="25" t="s">
        <v>1608</v>
      </c>
      <c r="N166" s="25" t="s">
        <v>1609</v>
      </c>
      <c r="O166" s="79">
        <v>1</v>
      </c>
    </row>
    <row r="167" spans="1:15" ht="18.75" x14ac:dyDescent="0.25">
      <c r="A167" s="19">
        <v>133</v>
      </c>
      <c r="B167" s="19" t="s">
        <v>1363</v>
      </c>
      <c r="C167" s="27" t="s">
        <v>1364</v>
      </c>
      <c r="D167" s="28" t="s">
        <v>25</v>
      </c>
      <c r="E167" s="5" t="s">
        <v>22</v>
      </c>
      <c r="F167" s="21">
        <v>2E-3</v>
      </c>
      <c r="G167" s="22">
        <v>6</v>
      </c>
      <c r="H167" s="22">
        <v>3000</v>
      </c>
      <c r="I167" s="5">
        <v>14</v>
      </c>
      <c r="J167" s="23">
        <v>1500</v>
      </c>
      <c r="K167" s="58">
        <v>14000</v>
      </c>
      <c r="L167" s="24">
        <f t="shared" si="5"/>
        <v>140</v>
      </c>
      <c r="M167" s="25" t="s">
        <v>1608</v>
      </c>
      <c r="N167" s="25" t="s">
        <v>1609</v>
      </c>
      <c r="O167" s="79">
        <v>1</v>
      </c>
    </row>
    <row r="168" spans="1:15" ht="18.75" x14ac:dyDescent="0.25">
      <c r="A168" s="19">
        <v>167</v>
      </c>
      <c r="B168" s="19" t="s">
        <v>1531</v>
      </c>
      <c r="C168" s="27" t="s">
        <v>1532</v>
      </c>
      <c r="D168" s="28" t="s">
        <v>21</v>
      </c>
      <c r="E168" s="5" t="s">
        <v>22</v>
      </c>
      <c r="F168" s="21">
        <v>1.6666666666666668E-3</v>
      </c>
      <c r="G168" s="22">
        <v>20</v>
      </c>
      <c r="H168" s="22">
        <v>12000</v>
      </c>
      <c r="I168" s="5">
        <v>14</v>
      </c>
      <c r="J168" s="23">
        <v>6000</v>
      </c>
      <c r="K168" s="58">
        <v>56400</v>
      </c>
      <c r="L168" s="24">
        <f t="shared" si="5"/>
        <v>141</v>
      </c>
      <c r="M168" s="25" t="s">
        <v>1608</v>
      </c>
      <c r="N168" s="25" t="s">
        <v>1609</v>
      </c>
      <c r="O168" s="79">
        <v>1</v>
      </c>
    </row>
    <row r="169" spans="1:15" ht="18.75" x14ac:dyDescent="0.25">
      <c r="A169" s="19">
        <v>134</v>
      </c>
      <c r="B169" s="19" t="s">
        <v>1339</v>
      </c>
      <c r="C169" s="27" t="s">
        <v>1340</v>
      </c>
      <c r="D169" s="28" t="s">
        <v>98</v>
      </c>
      <c r="E169" s="5" t="s">
        <v>46</v>
      </c>
      <c r="F169" s="21">
        <v>2E-3</v>
      </c>
      <c r="G169" s="22">
        <v>5</v>
      </c>
      <c r="H169" s="22">
        <v>2500</v>
      </c>
      <c r="I169" s="5">
        <v>14</v>
      </c>
      <c r="J169" s="23">
        <v>1250</v>
      </c>
      <c r="K169" s="58">
        <v>12000</v>
      </c>
      <c r="L169" s="24">
        <f t="shared" si="5"/>
        <v>144</v>
      </c>
      <c r="M169" s="25" t="s">
        <v>1608</v>
      </c>
      <c r="N169" s="25" t="s">
        <v>1609</v>
      </c>
      <c r="O169" s="79">
        <v>1</v>
      </c>
    </row>
    <row r="170" spans="1:15" ht="18.75" x14ac:dyDescent="0.25">
      <c r="A170" s="19">
        <v>40</v>
      </c>
      <c r="B170" s="19" t="s">
        <v>1455</v>
      </c>
      <c r="C170" s="27" t="s">
        <v>1456</v>
      </c>
      <c r="D170" s="28" t="s">
        <v>1457</v>
      </c>
      <c r="E170" s="5" t="s">
        <v>22</v>
      </c>
      <c r="F170" s="21">
        <v>0.01</v>
      </c>
      <c r="G170" s="22">
        <v>5.5</v>
      </c>
      <c r="H170" s="22">
        <v>550</v>
      </c>
      <c r="I170" s="5">
        <v>14</v>
      </c>
      <c r="J170" s="23">
        <v>275</v>
      </c>
      <c r="K170" s="58">
        <v>2700</v>
      </c>
      <c r="L170" s="24">
        <f t="shared" si="5"/>
        <v>147.27272727272728</v>
      </c>
      <c r="M170" s="25" t="s">
        <v>1608</v>
      </c>
      <c r="N170" s="25" t="s">
        <v>1609</v>
      </c>
      <c r="O170" s="79">
        <v>1</v>
      </c>
    </row>
    <row r="171" spans="1:15" ht="18.75" x14ac:dyDescent="0.25">
      <c r="A171" s="19">
        <v>175</v>
      </c>
      <c r="B171" s="19" t="s">
        <v>693</v>
      </c>
      <c r="C171" s="37" t="s">
        <v>694</v>
      </c>
      <c r="D171" s="34" t="s">
        <v>22</v>
      </c>
      <c r="E171" s="5" t="s">
        <v>22</v>
      </c>
      <c r="F171" s="21">
        <v>4.1666666666666669E-4</v>
      </c>
      <c r="G171" s="22">
        <v>10</v>
      </c>
      <c r="H171" s="22">
        <v>24000</v>
      </c>
      <c r="I171" s="5">
        <v>14</v>
      </c>
      <c r="J171" s="23">
        <v>12000</v>
      </c>
      <c r="K171" s="58">
        <v>122399.99999999999</v>
      </c>
      <c r="L171" s="24">
        <f t="shared" si="5"/>
        <v>153</v>
      </c>
      <c r="M171" s="25" t="s">
        <v>1608</v>
      </c>
      <c r="N171" s="25" t="s">
        <v>1609</v>
      </c>
      <c r="O171" s="79">
        <v>1</v>
      </c>
    </row>
    <row r="172" spans="1:15" ht="18.75" x14ac:dyDescent="0.25">
      <c r="A172" s="19">
        <v>31</v>
      </c>
      <c r="B172" s="19" t="s">
        <v>1448</v>
      </c>
      <c r="C172" s="78" t="s">
        <v>1449</v>
      </c>
      <c r="D172" s="28" t="s">
        <v>186</v>
      </c>
      <c r="E172" s="5" t="s">
        <v>22</v>
      </c>
      <c r="F172" s="21">
        <v>2E-3</v>
      </c>
      <c r="G172" s="22">
        <v>715</v>
      </c>
      <c r="H172" s="22">
        <v>357500</v>
      </c>
      <c r="I172" s="5">
        <v>60</v>
      </c>
      <c r="J172" s="23">
        <v>766071.42857142852</v>
      </c>
      <c r="K172" s="58">
        <v>1915000</v>
      </c>
      <c r="L172" s="24">
        <f t="shared" si="5"/>
        <v>160.69930069930069</v>
      </c>
      <c r="M172" s="25" t="s">
        <v>1608</v>
      </c>
      <c r="N172" s="25" t="s">
        <v>1609</v>
      </c>
      <c r="O172" s="79">
        <v>1</v>
      </c>
    </row>
    <row r="173" spans="1:15" ht="18.75" x14ac:dyDescent="0.25">
      <c r="A173" s="19">
        <v>153</v>
      </c>
      <c r="B173" s="19" t="s">
        <v>1474</v>
      </c>
      <c r="C173" s="27" t="s">
        <v>1475</v>
      </c>
      <c r="D173" s="28" t="s">
        <v>180</v>
      </c>
      <c r="E173" s="5" t="s">
        <v>49</v>
      </c>
      <c r="F173" s="21">
        <v>1E-3</v>
      </c>
      <c r="G173" s="22">
        <v>5</v>
      </c>
      <c r="H173" s="22">
        <v>5000</v>
      </c>
      <c r="I173" s="5">
        <v>14</v>
      </c>
      <c r="J173" s="23">
        <v>2500</v>
      </c>
      <c r="K173" s="58">
        <v>27000</v>
      </c>
      <c r="L173" s="24">
        <f t="shared" si="5"/>
        <v>162</v>
      </c>
      <c r="M173" s="25" t="s">
        <v>1608</v>
      </c>
      <c r="N173" s="25" t="s">
        <v>1609</v>
      </c>
      <c r="O173" s="79">
        <v>1</v>
      </c>
    </row>
    <row r="174" spans="1:15" ht="18.75" x14ac:dyDescent="0.25">
      <c r="A174" s="19">
        <v>16</v>
      </c>
      <c r="B174" s="19" t="s">
        <v>1450</v>
      </c>
      <c r="C174" s="29" t="s">
        <v>1451</v>
      </c>
      <c r="D174" s="30" t="s">
        <v>1452</v>
      </c>
      <c r="E174" s="5" t="s">
        <v>22</v>
      </c>
      <c r="F174" s="21">
        <v>5.0000000000000001E-3</v>
      </c>
      <c r="G174" s="22">
        <v>170.5</v>
      </c>
      <c r="H174" s="22">
        <v>34100</v>
      </c>
      <c r="I174" s="5">
        <v>14</v>
      </c>
      <c r="J174" s="23">
        <v>17050</v>
      </c>
      <c r="K174" s="58">
        <v>186800</v>
      </c>
      <c r="L174" s="24">
        <f t="shared" si="5"/>
        <v>164.34017595307915</v>
      </c>
      <c r="M174" s="25" t="s">
        <v>1608</v>
      </c>
      <c r="N174" s="25" t="s">
        <v>1609</v>
      </c>
      <c r="O174" s="79">
        <v>1</v>
      </c>
    </row>
    <row r="175" spans="1:15" ht="18.75" x14ac:dyDescent="0.25">
      <c r="A175" s="19">
        <v>24</v>
      </c>
      <c r="B175" s="56" t="s">
        <v>1485</v>
      </c>
      <c r="C175" s="27" t="s">
        <v>1486</v>
      </c>
      <c r="D175" s="28" t="s">
        <v>119</v>
      </c>
      <c r="E175" s="5" t="s">
        <v>22</v>
      </c>
      <c r="F175" s="21">
        <v>1E-3</v>
      </c>
      <c r="G175" s="22">
        <v>22</v>
      </c>
      <c r="H175" s="22">
        <v>22000</v>
      </c>
      <c r="I175" s="5">
        <v>14</v>
      </c>
      <c r="J175" s="23">
        <v>11000</v>
      </c>
      <c r="K175" s="58">
        <v>130000</v>
      </c>
      <c r="L175" s="24">
        <f t="shared" si="5"/>
        <v>177.27272727272728</v>
      </c>
      <c r="M175" s="25" t="s">
        <v>1608</v>
      </c>
      <c r="N175" s="25" t="s">
        <v>1609</v>
      </c>
      <c r="O175" s="79">
        <v>1</v>
      </c>
    </row>
    <row r="176" spans="1:15" ht="18.75" x14ac:dyDescent="0.25">
      <c r="A176" s="19">
        <v>43</v>
      </c>
      <c r="B176" s="56" t="s">
        <v>1482</v>
      </c>
      <c r="C176" s="27" t="s">
        <v>1483</v>
      </c>
      <c r="D176" s="28" t="s">
        <v>1484</v>
      </c>
      <c r="E176" s="5" t="s">
        <v>22</v>
      </c>
      <c r="F176" s="21">
        <v>1.6666666666666666E-2</v>
      </c>
      <c r="G176" s="22">
        <v>346.5</v>
      </c>
      <c r="H176" s="22">
        <v>20790</v>
      </c>
      <c r="I176" s="5">
        <v>14</v>
      </c>
      <c r="J176" s="23">
        <v>10395</v>
      </c>
      <c r="K176" s="58">
        <v>127020</v>
      </c>
      <c r="L176" s="24">
        <f t="shared" si="5"/>
        <v>183.29004329004329</v>
      </c>
      <c r="M176" s="25" t="s">
        <v>1608</v>
      </c>
      <c r="N176" s="25" t="s">
        <v>1609</v>
      </c>
      <c r="O176" s="79">
        <v>1</v>
      </c>
    </row>
    <row r="177" spans="1:15" ht="18.75" x14ac:dyDescent="0.25">
      <c r="A177" s="19">
        <v>172</v>
      </c>
      <c r="B177" s="56" t="s">
        <v>1497</v>
      </c>
      <c r="C177" s="36" t="s">
        <v>1498</v>
      </c>
      <c r="D177" s="28" t="s">
        <v>1499</v>
      </c>
      <c r="E177" s="5" t="s">
        <v>49</v>
      </c>
      <c r="F177" s="21">
        <v>3.2258064516129032E-3</v>
      </c>
      <c r="G177" s="22">
        <v>50</v>
      </c>
      <c r="H177" s="22">
        <v>15500</v>
      </c>
      <c r="I177" s="5">
        <v>14</v>
      </c>
      <c r="J177" s="23">
        <v>7750</v>
      </c>
      <c r="K177" s="58">
        <v>100750</v>
      </c>
      <c r="L177" s="24">
        <f t="shared" si="5"/>
        <v>195</v>
      </c>
      <c r="M177" s="25" t="s">
        <v>1608</v>
      </c>
      <c r="N177" s="25" t="s">
        <v>1609</v>
      </c>
      <c r="O177" s="79">
        <v>1</v>
      </c>
    </row>
    <row r="178" spans="1:15" ht="18.75" x14ac:dyDescent="0.25">
      <c r="A178" s="19">
        <v>171</v>
      </c>
      <c r="B178" s="56" t="s">
        <v>1528</v>
      </c>
      <c r="C178" s="36" t="s">
        <v>1529</v>
      </c>
      <c r="D178" s="28" t="s">
        <v>1530</v>
      </c>
      <c r="E178" s="5" t="s">
        <v>49</v>
      </c>
      <c r="F178" s="21">
        <v>3.0211480362537764E-3</v>
      </c>
      <c r="G178" s="22">
        <v>30</v>
      </c>
      <c r="H178" s="22">
        <v>9930</v>
      </c>
      <c r="I178" s="5">
        <v>14</v>
      </c>
      <c r="J178" s="23">
        <v>4965</v>
      </c>
      <c r="K178" s="58">
        <v>76792</v>
      </c>
      <c r="L178" s="24">
        <f t="shared" si="5"/>
        <v>232</v>
      </c>
      <c r="M178" s="25" t="s">
        <v>1608</v>
      </c>
      <c r="N178" s="25" t="s">
        <v>1609</v>
      </c>
      <c r="O178" s="79">
        <v>1</v>
      </c>
    </row>
    <row r="179" spans="1:15" ht="18.75" x14ac:dyDescent="0.25">
      <c r="A179" s="19">
        <v>15</v>
      </c>
      <c r="B179" s="56" t="s">
        <v>1516</v>
      </c>
      <c r="C179" s="27" t="s">
        <v>1517</v>
      </c>
      <c r="D179" s="28" t="s">
        <v>1518</v>
      </c>
      <c r="E179" s="5" t="s">
        <v>22</v>
      </c>
      <c r="F179" s="21">
        <v>7.6923076923076927E-3</v>
      </c>
      <c r="G179" s="22">
        <v>170.5</v>
      </c>
      <c r="H179" s="22">
        <v>22165</v>
      </c>
      <c r="I179" s="5">
        <v>14</v>
      </c>
      <c r="J179" s="23">
        <v>11082.5</v>
      </c>
      <c r="K179" s="58">
        <v>177190</v>
      </c>
      <c r="L179" s="24">
        <f t="shared" si="5"/>
        <v>239.8240469208211</v>
      </c>
      <c r="M179" s="25" t="s">
        <v>1608</v>
      </c>
      <c r="N179" s="25" t="s">
        <v>1609</v>
      </c>
      <c r="O179" s="79">
        <v>1</v>
      </c>
    </row>
    <row r="180" spans="1:15" ht="18.75" x14ac:dyDescent="0.25">
      <c r="A180" s="19">
        <v>32</v>
      </c>
      <c r="B180" s="19" t="s">
        <v>1536</v>
      </c>
      <c r="C180" s="27" t="s">
        <v>1537</v>
      </c>
      <c r="D180" s="27" t="s">
        <v>180</v>
      </c>
      <c r="E180" s="5" t="s">
        <v>22</v>
      </c>
      <c r="F180" s="21">
        <v>1E-3</v>
      </c>
      <c r="G180" s="22">
        <v>22</v>
      </c>
      <c r="H180" s="22">
        <v>22000</v>
      </c>
      <c r="I180" s="5">
        <v>60</v>
      </c>
      <c r="J180" s="23">
        <v>47142.857142857145</v>
      </c>
      <c r="K180" s="58">
        <v>215000</v>
      </c>
      <c r="L180" s="24">
        <f t="shared" si="5"/>
        <v>293.18181818181819</v>
      </c>
      <c r="M180" s="25" t="s">
        <v>1608</v>
      </c>
      <c r="N180" s="25" t="s">
        <v>1609</v>
      </c>
      <c r="O180" s="79">
        <v>1</v>
      </c>
    </row>
    <row r="181" spans="1:15" ht="18.75" x14ac:dyDescent="0.25">
      <c r="A181" s="19">
        <v>165</v>
      </c>
      <c r="B181" s="19" t="s">
        <v>1565</v>
      </c>
      <c r="C181" s="27" t="s">
        <v>1566</v>
      </c>
      <c r="D181" s="27" t="s">
        <v>183</v>
      </c>
      <c r="E181" s="5" t="s">
        <v>22</v>
      </c>
      <c r="F181" s="21">
        <v>5.0000000000000001E-3</v>
      </c>
      <c r="G181" s="22">
        <v>5</v>
      </c>
      <c r="H181" s="22">
        <v>1000</v>
      </c>
      <c r="I181" s="5">
        <v>14</v>
      </c>
      <c r="J181" s="23">
        <v>500</v>
      </c>
      <c r="K181" s="58">
        <v>15200</v>
      </c>
      <c r="L181" s="24">
        <f t="shared" si="5"/>
        <v>456</v>
      </c>
      <c r="M181" s="25" t="s">
        <v>1608</v>
      </c>
      <c r="N181" s="25" t="s">
        <v>1609</v>
      </c>
      <c r="O181" s="79">
        <v>1</v>
      </c>
    </row>
    <row r="182" spans="1:15" ht="18.75" x14ac:dyDescent="0.25">
      <c r="A182" s="19">
        <v>126</v>
      </c>
      <c r="B182" s="19" t="s">
        <v>1567</v>
      </c>
      <c r="C182" s="27" t="s">
        <v>1568</v>
      </c>
      <c r="D182" s="27" t="s">
        <v>1569</v>
      </c>
      <c r="E182" s="5" t="s">
        <v>22</v>
      </c>
      <c r="F182" s="21">
        <v>2.0408163265306123E-4</v>
      </c>
      <c r="G182" s="22">
        <v>2</v>
      </c>
      <c r="H182" s="22">
        <v>9800</v>
      </c>
      <c r="I182" s="5">
        <v>14</v>
      </c>
      <c r="J182" s="23">
        <v>4900</v>
      </c>
      <c r="K182" s="58">
        <v>156800</v>
      </c>
      <c r="L182" s="24">
        <f t="shared" si="5"/>
        <v>480</v>
      </c>
      <c r="M182" s="25" t="s">
        <v>1608</v>
      </c>
      <c r="N182" s="25" t="s">
        <v>1609</v>
      </c>
      <c r="O182" s="79">
        <v>1</v>
      </c>
    </row>
    <row r="183" spans="1:15" ht="18.75" x14ac:dyDescent="0.25">
      <c r="A183" s="19">
        <v>33</v>
      </c>
      <c r="B183" s="19" t="s">
        <v>1570</v>
      </c>
      <c r="C183" s="27" t="s">
        <v>1571</v>
      </c>
      <c r="D183" s="27" t="s">
        <v>167</v>
      </c>
      <c r="E183" s="5" t="s">
        <v>22</v>
      </c>
      <c r="F183" s="21">
        <v>1E-3</v>
      </c>
      <c r="G183" s="22">
        <v>11</v>
      </c>
      <c r="H183" s="22">
        <v>11000</v>
      </c>
      <c r="I183" s="5">
        <v>60</v>
      </c>
      <c r="J183" s="23">
        <v>23571.428571428572</v>
      </c>
      <c r="K183" s="58">
        <v>183000</v>
      </c>
      <c r="L183" s="24">
        <f t="shared" si="5"/>
        <v>499.09090909090912</v>
      </c>
      <c r="M183" s="25" t="s">
        <v>1608</v>
      </c>
      <c r="N183" s="25" t="s">
        <v>1609</v>
      </c>
      <c r="O183" s="79">
        <v>1</v>
      </c>
    </row>
    <row r="184" spans="1:15" ht="18.75" x14ac:dyDescent="0.25">
      <c r="A184" s="19">
        <v>151</v>
      </c>
      <c r="B184" s="19" t="s">
        <v>1587</v>
      </c>
      <c r="C184" s="29" t="s">
        <v>1588</v>
      </c>
      <c r="D184" s="27" t="s">
        <v>1589</v>
      </c>
      <c r="E184" s="5" t="s">
        <v>22</v>
      </c>
      <c r="F184" s="21">
        <v>2E-3</v>
      </c>
      <c r="G184" s="22">
        <v>60</v>
      </c>
      <c r="H184" s="22">
        <v>30000</v>
      </c>
      <c r="I184" s="5">
        <v>14</v>
      </c>
      <c r="J184" s="23">
        <v>15000</v>
      </c>
      <c r="K184" s="58">
        <v>1077500</v>
      </c>
      <c r="L184" s="24">
        <f t="shared" si="5"/>
        <v>1077.5</v>
      </c>
      <c r="M184" s="25" t="s">
        <v>1608</v>
      </c>
      <c r="N184" s="25" t="s">
        <v>1609</v>
      </c>
      <c r="O184" s="79">
        <v>1</v>
      </c>
    </row>
    <row r="185" spans="1:15" ht="18.75" x14ac:dyDescent="0.25">
      <c r="A185" s="19">
        <v>176</v>
      </c>
      <c r="B185" s="19" t="s">
        <v>1590</v>
      </c>
      <c r="C185" s="37" t="s">
        <v>1591</v>
      </c>
      <c r="D185" s="31" t="s">
        <v>22</v>
      </c>
      <c r="E185" s="5" t="s">
        <v>22</v>
      </c>
      <c r="F185" s="21">
        <v>1E-3</v>
      </c>
      <c r="G185" s="22">
        <v>2</v>
      </c>
      <c r="H185" s="22">
        <v>2000</v>
      </c>
      <c r="I185" s="5">
        <v>14</v>
      </c>
      <c r="J185" s="23">
        <v>1000</v>
      </c>
      <c r="K185" s="58">
        <v>115000</v>
      </c>
      <c r="L185" s="24">
        <f t="shared" si="5"/>
        <v>1725</v>
      </c>
      <c r="M185" s="25" t="s">
        <v>1608</v>
      </c>
      <c r="N185" s="25" t="s">
        <v>1609</v>
      </c>
      <c r="O185" s="79">
        <v>1</v>
      </c>
    </row>
    <row r="186" spans="1:15" x14ac:dyDescent="0.25">
      <c r="O186" s="80">
        <f>SUM(O3:O185)</f>
        <v>97</v>
      </c>
    </row>
    <row r="187" spans="1:15" x14ac:dyDescent="0.25">
      <c r="O187" s="79">
        <f>O186/183</f>
        <v>0.5300546448087432</v>
      </c>
    </row>
  </sheetData>
  <autoFilter ref="A2:O187" xr:uid="{8F027CD2-7985-4043-9C03-E11EF9ED2A52}">
    <sortState xmlns:xlrd2="http://schemas.microsoft.com/office/spreadsheetml/2017/richdata2" ref="A3:O187">
      <sortCondition ref="L2:L187"/>
    </sortState>
  </autoFilter>
  <conditionalFormatting sqref="B2">
    <cfRule type="duplicateValues" dxfId="511" priority="41"/>
    <cfRule type="duplicateValues" dxfId="510" priority="43"/>
    <cfRule type="duplicateValues" dxfId="509" priority="44"/>
  </conditionalFormatting>
  <conditionalFormatting sqref="B7:C7">
    <cfRule type="duplicateValues" dxfId="508" priority="26"/>
  </conditionalFormatting>
  <conditionalFormatting sqref="B175:C178 C167:C174">
    <cfRule type="duplicateValues" dxfId="507" priority="10"/>
  </conditionalFormatting>
  <conditionalFormatting sqref="B175:C179 C167:C174 B6:C7">
    <cfRule type="duplicateValues" dxfId="506" priority="28"/>
  </conditionalFormatting>
  <conditionalFormatting sqref="B179:C179 B6:C7">
    <cfRule type="duplicateValues" dxfId="505" priority="27"/>
  </conditionalFormatting>
  <conditionalFormatting sqref="C2">
    <cfRule type="duplicateValues" dxfId="504" priority="42"/>
  </conditionalFormatting>
  <conditionalFormatting sqref="C8:C25 C27:C73 C3:C5">
    <cfRule type="duplicateValues" dxfId="503" priority="45"/>
    <cfRule type="duplicateValues" dxfId="502" priority="51"/>
    <cfRule type="duplicateValues" dxfId="501" priority="52"/>
  </conditionalFormatting>
  <conditionalFormatting sqref="C26">
    <cfRule type="duplicateValues" dxfId="500" priority="30"/>
    <cfRule type="duplicateValues" dxfId="499" priority="31"/>
    <cfRule type="duplicateValues" dxfId="498" priority="32"/>
    <cfRule type="duplicateValues" dxfId="497" priority="33"/>
    <cfRule type="duplicateValues" dxfId="496" priority="34"/>
    <cfRule type="duplicateValues" dxfId="495" priority="35"/>
    <cfRule type="duplicateValues" dxfId="494" priority="36"/>
  </conditionalFormatting>
  <conditionalFormatting sqref="C74">
    <cfRule type="duplicateValues" dxfId="493" priority="24"/>
    <cfRule type="duplicateValues" dxfId="492" priority="25"/>
  </conditionalFormatting>
  <conditionalFormatting sqref="C75:C142">
    <cfRule type="duplicateValues" dxfId="491" priority="22"/>
  </conditionalFormatting>
  <conditionalFormatting sqref="C75:C153">
    <cfRule type="duplicateValues" dxfId="490" priority="23"/>
  </conditionalFormatting>
  <conditionalFormatting sqref="C75:C154">
    <cfRule type="duplicateValues" dxfId="489" priority="21"/>
  </conditionalFormatting>
  <conditionalFormatting sqref="C154">
    <cfRule type="duplicateValues" dxfId="488" priority="20"/>
  </conditionalFormatting>
  <conditionalFormatting sqref="C155:C159">
    <cfRule type="duplicateValues" dxfId="487" priority="17"/>
    <cfRule type="duplicateValues" dxfId="486" priority="18"/>
    <cfRule type="duplicateValues" dxfId="485" priority="19"/>
  </conditionalFormatting>
  <conditionalFormatting sqref="C160">
    <cfRule type="duplicateValues" dxfId="484" priority="15"/>
  </conditionalFormatting>
  <conditionalFormatting sqref="C160:C161">
    <cfRule type="duplicateValues" dxfId="483" priority="14"/>
    <cfRule type="duplicateValues" dxfId="482" priority="16"/>
  </conditionalFormatting>
  <conditionalFormatting sqref="C162:C166">
    <cfRule type="duplicateValues" dxfId="481" priority="11"/>
    <cfRule type="duplicateValues" dxfId="480" priority="12"/>
    <cfRule type="duplicateValues" dxfId="479" priority="13"/>
  </conditionalFormatting>
  <conditionalFormatting sqref="C167">
    <cfRule type="duplicateValues" dxfId="478" priority="9"/>
  </conditionalFormatting>
  <conditionalFormatting sqref="C180:C185">
    <cfRule type="duplicateValues" dxfId="477" priority="7"/>
    <cfRule type="duplicateValues" dxfId="476" priority="8"/>
  </conditionalFormatting>
  <conditionalFormatting sqref="C2:N2">
    <cfRule type="duplicateValues" dxfId="475" priority="46"/>
    <cfRule type="duplicateValues" dxfId="474" priority="47"/>
    <cfRule type="duplicateValues" dxfId="473" priority="48"/>
    <cfRule type="duplicateValues" dxfId="472" priority="49"/>
    <cfRule type="duplicateValues" dxfId="471" priority="50"/>
  </conditionalFormatting>
  <conditionalFormatting sqref="D180">
    <cfRule type="duplicateValues" dxfId="470" priority="5"/>
    <cfRule type="duplicateValues" dxfId="469" priority="6"/>
  </conditionalFormatting>
  <conditionalFormatting sqref="L3:L185">
    <cfRule type="cellIs" dxfId="468" priority="1" operator="lessThan">
      <formula>I3</formula>
    </cfRule>
  </conditionalFormatting>
  <conditionalFormatting sqref="M3:M185">
    <cfRule type="containsText" dxfId="467" priority="40" operator="containsText" text="ORDER NOW">
      <formula>NOT(ISERROR(SEARCH("ORDER NOW",M3)))</formula>
    </cfRule>
  </conditionalFormatting>
  <conditionalFormatting sqref="N3:N185">
    <cfRule type="containsText" dxfId="466" priority="39" operator="containsText" text="CRITICAL">
      <formula>NOT(ISERROR(SEARCH("CRITICAL",N3)))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FD78-9E1D-4AE3-9535-B866105F7EB3}">
  <sheetPr codeName="Sheet4"/>
  <dimension ref="A2:O151"/>
  <sheetViews>
    <sheetView zoomScale="50" zoomScaleNormal="5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N14" sqref="N14"/>
    </sheetView>
  </sheetViews>
  <sheetFormatPr defaultRowHeight="15" x14ac:dyDescent="0.25"/>
  <cols>
    <col min="1" max="1" width="4.5703125" bestFit="1" customWidth="1"/>
    <col min="2" max="2" width="21.5703125" bestFit="1" customWidth="1"/>
    <col min="3" max="3" width="105.5703125" bestFit="1" customWidth="1"/>
    <col min="4" max="4" width="27.5703125" bestFit="1" customWidth="1"/>
    <col min="5" max="5" width="17.28515625" bestFit="1" customWidth="1"/>
    <col min="6" max="6" width="24.42578125" bestFit="1" customWidth="1"/>
    <col min="7" max="7" width="25.5703125" bestFit="1" customWidth="1"/>
    <col min="8" max="8" width="23" bestFit="1" customWidth="1"/>
    <col min="9" max="9" width="21.42578125" bestFit="1" customWidth="1"/>
    <col min="10" max="10" width="29.140625" bestFit="1" customWidth="1"/>
    <col min="11" max="11" width="24.140625" bestFit="1" customWidth="1"/>
    <col min="12" max="12" width="26.140625" bestFit="1" customWidth="1"/>
    <col min="13" max="13" width="23.85546875" bestFit="1" customWidth="1"/>
    <col min="14" max="14" width="31.5703125" bestFit="1" customWidth="1"/>
  </cols>
  <sheetData>
    <row r="2" spans="1:15" ht="15.75" x14ac:dyDescent="0.25">
      <c r="A2" s="15"/>
      <c r="B2" s="16" t="s">
        <v>3</v>
      </c>
      <c r="C2" s="16" t="s">
        <v>4</v>
      </c>
      <c r="D2" s="16" t="s">
        <v>5</v>
      </c>
      <c r="E2" s="16" t="s">
        <v>6</v>
      </c>
      <c r="F2" s="17" t="s">
        <v>7</v>
      </c>
      <c r="G2" s="18" t="s">
        <v>8</v>
      </c>
      <c r="H2" s="16" t="s">
        <v>9</v>
      </c>
      <c r="I2" s="16" t="s">
        <v>10</v>
      </c>
      <c r="J2" s="16" t="s">
        <v>11</v>
      </c>
      <c r="K2" s="18" t="s">
        <v>12</v>
      </c>
      <c r="L2" s="16" t="s">
        <v>13</v>
      </c>
      <c r="M2" s="16" t="s">
        <v>14</v>
      </c>
      <c r="N2" s="16" t="s">
        <v>15</v>
      </c>
      <c r="O2" s="11" t="s">
        <v>17</v>
      </c>
    </row>
    <row r="3" spans="1:15" ht="18.75" x14ac:dyDescent="0.25">
      <c r="A3" s="39">
        <v>273</v>
      </c>
      <c r="B3" s="39" t="s">
        <v>71</v>
      </c>
      <c r="C3" s="27" t="s">
        <v>72</v>
      </c>
      <c r="D3" s="28" t="s">
        <v>73</v>
      </c>
      <c r="E3" s="5" t="s">
        <v>22</v>
      </c>
      <c r="F3" s="21">
        <v>0.16666666666666666</v>
      </c>
      <c r="G3" s="22">
        <f>VLOOKUP($B3,'Master File June-26'!$C$3:$L$670,6,0)</f>
        <v>22</v>
      </c>
      <c r="H3" s="22">
        <f>VLOOKUP($B3,'Master File June-26'!$C$3:$L$670,7,0)</f>
        <v>132</v>
      </c>
      <c r="I3" s="5">
        <f>VLOOKUP($B3,'Master File June-26'!$C$3:$L$670,8,0)</f>
        <v>14</v>
      </c>
      <c r="J3" s="23">
        <f>VLOOKUP($B3,'Master File June-26'!$C$3:$L$670,9,0)</f>
        <v>66</v>
      </c>
      <c r="K3" s="58">
        <f>VLOOKUP($B3,'Master File June-26'!$C$3:$L$670,10,0)</f>
        <v>36</v>
      </c>
      <c r="L3" s="24">
        <f t="shared" ref="L3:L34" si="0">IFERROR((K3/H3*30),0)</f>
        <v>8.1818181818181817</v>
      </c>
      <c r="M3" s="25" t="s">
        <v>1595</v>
      </c>
      <c r="N3" s="25" t="s">
        <v>1596</v>
      </c>
      <c r="O3" s="79">
        <v>0</v>
      </c>
    </row>
    <row r="4" spans="1:15" ht="18.75" x14ac:dyDescent="0.25">
      <c r="A4" s="39">
        <v>215</v>
      </c>
      <c r="B4" s="39" t="s">
        <v>124</v>
      </c>
      <c r="C4" s="27" t="s">
        <v>125</v>
      </c>
      <c r="D4" s="28" t="s">
        <v>126</v>
      </c>
      <c r="E4" s="5" t="s">
        <v>49</v>
      </c>
      <c r="F4" s="21">
        <v>1</v>
      </c>
      <c r="G4" s="22">
        <f>VLOOKUP($B4,'Master File June-26'!$C$3:$L$670,6,0)</f>
        <v>233</v>
      </c>
      <c r="H4" s="22">
        <f>VLOOKUP($B4,'Master File June-26'!$C$3:$L$670,7,0)</f>
        <v>233</v>
      </c>
      <c r="I4" s="5">
        <f>VLOOKUP($B4,'Master File June-26'!$C$3:$L$670,8,0)</f>
        <v>14</v>
      </c>
      <c r="J4" s="23">
        <f>VLOOKUP($B4,'Master File June-26'!$C$3:$L$670,9,0)</f>
        <v>116.5</v>
      </c>
      <c r="K4" s="58">
        <f>VLOOKUP($B4,'Master File June-26'!$C$3:$L$670,10,0)</f>
        <v>38</v>
      </c>
      <c r="L4" s="24">
        <f t="shared" si="0"/>
        <v>4.8927038626609436</v>
      </c>
      <c r="M4" s="25" t="s">
        <v>1595</v>
      </c>
      <c r="N4" s="25" t="s">
        <v>1596</v>
      </c>
      <c r="O4" s="79">
        <v>0</v>
      </c>
    </row>
    <row r="5" spans="1:15" ht="18.75" x14ac:dyDescent="0.25">
      <c r="A5" s="39">
        <v>185</v>
      </c>
      <c r="B5" s="39" t="s">
        <v>230</v>
      </c>
      <c r="C5" s="32" t="s">
        <v>231</v>
      </c>
      <c r="D5" s="33" t="s">
        <v>160</v>
      </c>
      <c r="E5" s="5" t="s">
        <v>49</v>
      </c>
      <c r="F5" s="21">
        <v>1</v>
      </c>
      <c r="G5" s="22">
        <f>VLOOKUP($B5,'Master File June-26'!$C$3:$L$670,6,0)</f>
        <v>0</v>
      </c>
      <c r="H5" s="22">
        <f>VLOOKUP($B5,'Master File June-26'!$C$3:$L$670,7,0)</f>
        <v>0</v>
      </c>
      <c r="I5" s="5">
        <f>VLOOKUP($B5,'Master File June-26'!$C$3:$L$670,8,0)</f>
        <v>14</v>
      </c>
      <c r="J5" s="23">
        <f>VLOOKUP($B5,'Master File June-26'!$C$3:$L$670,9,0)</f>
        <v>0</v>
      </c>
      <c r="K5" s="58">
        <f>VLOOKUP($B5,'Master File June-26'!$C$3:$L$670,10,0)</f>
        <v>0</v>
      </c>
      <c r="L5" s="24">
        <f t="shared" si="0"/>
        <v>0</v>
      </c>
      <c r="M5" s="25" t="s">
        <v>1595</v>
      </c>
      <c r="N5" s="25" t="s">
        <v>1596</v>
      </c>
      <c r="O5" s="79">
        <v>1</v>
      </c>
    </row>
    <row r="6" spans="1:15" ht="18.75" x14ac:dyDescent="0.25">
      <c r="A6" s="39">
        <v>188</v>
      </c>
      <c r="B6" s="39" t="s">
        <v>232</v>
      </c>
      <c r="C6" s="27" t="s">
        <v>233</v>
      </c>
      <c r="D6" s="28" t="s">
        <v>78</v>
      </c>
      <c r="E6" s="5" t="s">
        <v>49</v>
      </c>
      <c r="F6" s="21">
        <v>1</v>
      </c>
      <c r="G6" s="22">
        <f>VLOOKUP($B6,'Master File June-26'!$C$3:$L$670,6,0)</f>
        <v>11</v>
      </c>
      <c r="H6" s="22">
        <f>VLOOKUP($B6,'Master File June-26'!$C$3:$L$670,7,0)</f>
        <v>0</v>
      </c>
      <c r="I6" s="5">
        <f>VLOOKUP($B6,'Master File June-26'!$C$3:$L$670,8,0)</f>
        <v>14</v>
      </c>
      <c r="J6" s="23">
        <f>VLOOKUP($B6,'Master File June-26'!$C$3:$L$670,9,0)</f>
        <v>0</v>
      </c>
      <c r="K6" s="58">
        <f>VLOOKUP($B6,'Master File June-26'!$C$3:$L$670,10,0)</f>
        <v>0</v>
      </c>
      <c r="L6" s="24">
        <f t="shared" si="0"/>
        <v>0</v>
      </c>
      <c r="M6" s="25" t="s">
        <v>1595</v>
      </c>
      <c r="N6" s="25" t="s">
        <v>1596</v>
      </c>
      <c r="O6" s="79">
        <v>1</v>
      </c>
    </row>
    <row r="7" spans="1:15" ht="18.75" x14ac:dyDescent="0.25">
      <c r="A7" s="39">
        <v>189</v>
      </c>
      <c r="B7" s="39" t="s">
        <v>235</v>
      </c>
      <c r="C7" s="27" t="s">
        <v>236</v>
      </c>
      <c r="D7" s="28" t="s">
        <v>78</v>
      </c>
      <c r="E7" s="5" t="s">
        <v>49</v>
      </c>
      <c r="F7" s="21">
        <v>1</v>
      </c>
      <c r="G7" s="22">
        <f>VLOOKUP($B7,'Master File June-26'!$C$3:$L$670,6,0)</f>
        <v>0</v>
      </c>
      <c r="H7" s="22">
        <f>VLOOKUP($B7,'Master File June-26'!$C$3:$L$670,7,0)</f>
        <v>0</v>
      </c>
      <c r="I7" s="5">
        <f>VLOOKUP($B7,'Master File June-26'!$C$3:$L$670,8,0)</f>
        <v>14</v>
      </c>
      <c r="J7" s="23">
        <f>VLOOKUP($B7,'Master File June-26'!$C$3:$L$670,9,0)</f>
        <v>0</v>
      </c>
      <c r="K7" s="58">
        <f>VLOOKUP($B7,'Master File June-26'!$C$3:$L$670,10,0)</f>
        <v>0</v>
      </c>
      <c r="L7" s="24">
        <f t="shared" si="0"/>
        <v>0</v>
      </c>
      <c r="M7" s="25" t="s">
        <v>1595</v>
      </c>
      <c r="N7" s="25" t="s">
        <v>1596</v>
      </c>
      <c r="O7" s="79">
        <v>1</v>
      </c>
    </row>
    <row r="8" spans="1:15" ht="18.75" x14ac:dyDescent="0.25">
      <c r="A8" s="39">
        <v>195</v>
      </c>
      <c r="B8" s="39" t="s">
        <v>237</v>
      </c>
      <c r="C8" s="31" t="s">
        <v>238</v>
      </c>
      <c r="D8" s="34" t="s">
        <v>160</v>
      </c>
      <c r="E8" s="5" t="s">
        <v>49</v>
      </c>
      <c r="F8" s="21">
        <v>1</v>
      </c>
      <c r="G8" s="22">
        <f>VLOOKUP($B8,'Master File June-26'!$C$3:$L$670,6,0)</f>
        <v>11</v>
      </c>
      <c r="H8" s="22">
        <f>VLOOKUP($B8,'Master File June-26'!$C$3:$L$670,7,0)</f>
        <v>11</v>
      </c>
      <c r="I8" s="5">
        <f>VLOOKUP($B8,'Master File June-26'!$C$3:$L$670,8,0)</f>
        <v>14</v>
      </c>
      <c r="J8" s="23">
        <f>VLOOKUP($B8,'Master File June-26'!$C$3:$L$670,9,0)</f>
        <v>5.5</v>
      </c>
      <c r="K8" s="58">
        <f>VLOOKUP($B8,'Master File June-26'!$C$3:$L$670,10,0)</f>
        <v>0</v>
      </c>
      <c r="L8" s="24">
        <f t="shared" si="0"/>
        <v>0</v>
      </c>
      <c r="M8" s="25" t="s">
        <v>1595</v>
      </c>
      <c r="N8" s="25" t="s">
        <v>1596</v>
      </c>
      <c r="O8" s="79">
        <v>0</v>
      </c>
    </row>
    <row r="9" spans="1:15" ht="18.75" x14ac:dyDescent="0.25">
      <c r="A9" s="39">
        <v>196</v>
      </c>
      <c r="B9" s="39" t="s">
        <v>240</v>
      </c>
      <c r="C9" s="27" t="s">
        <v>241</v>
      </c>
      <c r="D9" s="28" t="s">
        <v>160</v>
      </c>
      <c r="E9" s="5" t="s">
        <v>49</v>
      </c>
      <c r="F9" s="21">
        <v>1</v>
      </c>
      <c r="G9" s="22">
        <f>VLOOKUP($B9,'Master File June-26'!$C$3:$L$670,6,0)</f>
        <v>680</v>
      </c>
      <c r="H9" s="22">
        <f>VLOOKUP($B9,'Master File June-26'!$C$3:$L$670,7,0)</f>
        <v>680</v>
      </c>
      <c r="I9" s="5">
        <f>VLOOKUP($B9,'Master File June-26'!$C$3:$L$670,8,0)</f>
        <v>14</v>
      </c>
      <c r="J9" s="23">
        <f>VLOOKUP($B9,'Master File June-26'!$C$3:$L$670,9,0)</f>
        <v>340</v>
      </c>
      <c r="K9" s="58">
        <f>VLOOKUP($B9,'Master File June-26'!$C$3:$L$670,10,0)</f>
        <v>0</v>
      </c>
      <c r="L9" s="24">
        <f t="shared" si="0"/>
        <v>0</v>
      </c>
      <c r="M9" s="25" t="s">
        <v>1595</v>
      </c>
      <c r="N9" s="25" t="s">
        <v>1596</v>
      </c>
      <c r="O9" s="79">
        <v>0</v>
      </c>
    </row>
    <row r="10" spans="1:15" ht="18.75" x14ac:dyDescent="0.25">
      <c r="A10" s="39">
        <v>204</v>
      </c>
      <c r="B10" s="39" t="s">
        <v>243</v>
      </c>
      <c r="C10" s="31" t="s">
        <v>244</v>
      </c>
      <c r="D10" s="34" t="s">
        <v>160</v>
      </c>
      <c r="E10" s="5" t="s">
        <v>49</v>
      </c>
      <c r="F10" s="21">
        <v>1</v>
      </c>
      <c r="G10" s="22">
        <f>VLOOKUP($B10,'Master File June-26'!$C$3:$L$670,6,0)</f>
        <v>88</v>
      </c>
      <c r="H10" s="22">
        <f>VLOOKUP($B10,'Master File June-26'!$C$3:$L$670,7,0)</f>
        <v>88</v>
      </c>
      <c r="I10" s="5">
        <f>VLOOKUP($B10,'Master File June-26'!$C$3:$L$670,8,0)</f>
        <v>14</v>
      </c>
      <c r="J10" s="23">
        <f>VLOOKUP($B10,'Master File June-26'!$C$3:$L$670,9,0)</f>
        <v>44</v>
      </c>
      <c r="K10" s="58">
        <f>VLOOKUP($B10,'Master File June-26'!$C$3:$L$670,10,0)</f>
        <v>0</v>
      </c>
      <c r="L10" s="24">
        <f t="shared" si="0"/>
        <v>0</v>
      </c>
      <c r="M10" s="25" t="s">
        <v>1595</v>
      </c>
      <c r="N10" s="25" t="s">
        <v>1596</v>
      </c>
      <c r="O10" s="79">
        <v>0</v>
      </c>
    </row>
    <row r="11" spans="1:15" ht="18.75" x14ac:dyDescent="0.25">
      <c r="A11" s="39">
        <v>205</v>
      </c>
      <c r="B11" s="39" t="s">
        <v>245</v>
      </c>
      <c r="C11" s="27" t="s">
        <v>246</v>
      </c>
      <c r="D11" s="28" t="s">
        <v>160</v>
      </c>
      <c r="E11" s="5" t="s">
        <v>49</v>
      </c>
      <c r="F11" s="21">
        <v>1</v>
      </c>
      <c r="G11" s="22">
        <f>VLOOKUP($B11,'Master File June-26'!$C$3:$L$670,6,0)</f>
        <v>0</v>
      </c>
      <c r="H11" s="22">
        <f>VLOOKUP($B11,'Master File June-26'!$C$3:$L$670,7,0)</f>
        <v>0</v>
      </c>
      <c r="I11" s="5">
        <f>VLOOKUP($B11,'Master File June-26'!$C$3:$L$670,8,0)</f>
        <v>14</v>
      </c>
      <c r="J11" s="23">
        <f>VLOOKUP($B11,'Master File June-26'!$C$3:$L$670,9,0)</f>
        <v>0</v>
      </c>
      <c r="K11" s="58">
        <f>VLOOKUP($B11,'Master File June-26'!$C$3:$L$670,10,0)</f>
        <v>0</v>
      </c>
      <c r="L11" s="24">
        <f t="shared" si="0"/>
        <v>0</v>
      </c>
      <c r="M11" s="25" t="s">
        <v>1595</v>
      </c>
      <c r="N11" s="25" t="s">
        <v>1596</v>
      </c>
      <c r="O11" s="79">
        <v>1</v>
      </c>
    </row>
    <row r="12" spans="1:15" ht="18.75" x14ac:dyDescent="0.25">
      <c r="A12" s="39">
        <v>216</v>
      </c>
      <c r="B12" s="39" t="s">
        <v>247</v>
      </c>
      <c r="C12" s="27" t="s">
        <v>248</v>
      </c>
      <c r="D12" s="28" t="s">
        <v>249</v>
      </c>
      <c r="E12" s="5" t="s">
        <v>49</v>
      </c>
      <c r="F12" s="21">
        <v>1</v>
      </c>
      <c r="G12" s="22">
        <f>VLOOKUP($B12,'Master File June-26'!$C$3:$L$670,6,0)</f>
        <v>367.5</v>
      </c>
      <c r="H12" s="22">
        <f>VLOOKUP($B12,'Master File June-26'!$C$3:$L$670,7,0)</f>
        <v>367.5</v>
      </c>
      <c r="I12" s="5">
        <f>VLOOKUP($B12,'Master File June-26'!$C$3:$L$670,8,0)</f>
        <v>14</v>
      </c>
      <c r="J12" s="23">
        <f>VLOOKUP($B12,'Master File June-26'!$C$3:$L$670,9,0)</f>
        <v>183.75</v>
      </c>
      <c r="K12" s="58">
        <f>VLOOKUP($B12,'Master File June-26'!$C$3:$L$670,10,0)</f>
        <v>0</v>
      </c>
      <c r="L12" s="24">
        <f t="shared" si="0"/>
        <v>0</v>
      </c>
      <c r="M12" s="25" t="s">
        <v>1595</v>
      </c>
      <c r="N12" s="25" t="s">
        <v>1596</v>
      </c>
      <c r="O12" s="79">
        <v>0</v>
      </c>
    </row>
    <row r="13" spans="1:15" ht="18.75" x14ac:dyDescent="0.25">
      <c r="A13" s="39">
        <v>221</v>
      </c>
      <c r="B13" s="39" t="s">
        <v>250</v>
      </c>
      <c r="C13" s="27" t="s">
        <v>251</v>
      </c>
      <c r="D13" s="28" t="s">
        <v>78</v>
      </c>
      <c r="E13" s="5" t="s">
        <v>49</v>
      </c>
      <c r="F13" s="21">
        <v>1</v>
      </c>
      <c r="G13" s="22">
        <f>VLOOKUP($B13,'Master File June-26'!$C$3:$L$670,6,0)</f>
        <v>115.5</v>
      </c>
      <c r="H13" s="22">
        <f>VLOOKUP($B13,'Master File June-26'!$C$3:$L$670,7,0)</f>
        <v>115.5</v>
      </c>
      <c r="I13" s="5">
        <f>VLOOKUP($B13,'Master File June-26'!$C$3:$L$670,8,0)</f>
        <v>14</v>
      </c>
      <c r="J13" s="23">
        <f>VLOOKUP($B13,'Master File June-26'!$C$3:$L$670,9,0)</f>
        <v>57.75</v>
      </c>
      <c r="K13" s="58">
        <f>VLOOKUP($B13,'Master File June-26'!$C$3:$L$670,10,0)</f>
        <v>0</v>
      </c>
      <c r="L13" s="24">
        <f t="shared" si="0"/>
        <v>0</v>
      </c>
      <c r="M13" s="25" t="s">
        <v>1595</v>
      </c>
      <c r="N13" s="25" t="s">
        <v>1596</v>
      </c>
      <c r="O13" s="79">
        <v>0</v>
      </c>
    </row>
    <row r="14" spans="1:15" ht="18.75" x14ac:dyDescent="0.25">
      <c r="A14" s="39">
        <v>224</v>
      </c>
      <c r="B14" s="39" t="s">
        <v>252</v>
      </c>
      <c r="C14" s="27" t="s">
        <v>253</v>
      </c>
      <c r="D14" s="28" t="s">
        <v>254</v>
      </c>
      <c r="E14" s="5" t="s">
        <v>49</v>
      </c>
      <c r="F14" s="21">
        <v>1</v>
      </c>
      <c r="G14" s="22">
        <f>VLOOKUP($B14,'Master File June-26'!$C$3:$L$670,6,0)</f>
        <v>99</v>
      </c>
      <c r="H14" s="22">
        <f>VLOOKUP($B14,'Master File June-26'!$C$3:$L$670,7,0)</f>
        <v>99</v>
      </c>
      <c r="I14" s="5">
        <f>VLOOKUP($B14,'Master File June-26'!$C$3:$L$670,8,0)</f>
        <v>14</v>
      </c>
      <c r="J14" s="23">
        <f>VLOOKUP($B14,'Master File June-26'!$C$3:$L$670,9,0)</f>
        <v>49.5</v>
      </c>
      <c r="K14" s="58">
        <f>VLOOKUP($B14,'Master File June-26'!$C$3:$L$670,10,0)</f>
        <v>0</v>
      </c>
      <c r="L14" s="24">
        <f t="shared" si="0"/>
        <v>0</v>
      </c>
      <c r="M14" s="25" t="s">
        <v>1595</v>
      </c>
      <c r="N14" s="25" t="s">
        <v>1596</v>
      </c>
      <c r="O14" s="79">
        <v>0</v>
      </c>
    </row>
    <row r="15" spans="1:15" ht="18.75" x14ac:dyDescent="0.25">
      <c r="A15" s="39">
        <v>225</v>
      </c>
      <c r="B15" s="39" t="s">
        <v>255</v>
      </c>
      <c r="C15" s="27" t="s">
        <v>256</v>
      </c>
      <c r="D15" s="28" t="s">
        <v>160</v>
      </c>
      <c r="E15" s="5" t="s">
        <v>49</v>
      </c>
      <c r="F15" s="21">
        <v>1</v>
      </c>
      <c r="G15" s="22">
        <f>VLOOKUP($B15,'Master File June-26'!$C$3:$L$670,6,0)</f>
        <v>66</v>
      </c>
      <c r="H15" s="22">
        <f>VLOOKUP($B15,'Master File June-26'!$C$3:$L$670,7,0)</f>
        <v>66</v>
      </c>
      <c r="I15" s="5">
        <f>VLOOKUP($B15,'Master File June-26'!$C$3:$L$670,8,0)</f>
        <v>14</v>
      </c>
      <c r="J15" s="23">
        <f>VLOOKUP($B15,'Master File June-26'!$C$3:$L$670,9,0)</f>
        <v>33</v>
      </c>
      <c r="K15" s="58">
        <f>VLOOKUP($B15,'Master File June-26'!$C$3:$L$670,10,0)</f>
        <v>0</v>
      </c>
      <c r="L15" s="24">
        <f t="shared" si="0"/>
        <v>0</v>
      </c>
      <c r="M15" s="25" t="s">
        <v>1595</v>
      </c>
      <c r="N15" s="25" t="s">
        <v>1596</v>
      </c>
      <c r="O15" s="79">
        <v>0</v>
      </c>
    </row>
    <row r="16" spans="1:15" ht="18.75" x14ac:dyDescent="0.25">
      <c r="A16" s="39">
        <v>227</v>
      </c>
      <c r="B16" s="39" t="s">
        <v>257</v>
      </c>
      <c r="C16" s="27" t="s">
        <v>258</v>
      </c>
      <c r="D16" s="28" t="s">
        <v>160</v>
      </c>
      <c r="E16" s="5" t="s">
        <v>49</v>
      </c>
      <c r="F16" s="21">
        <v>1</v>
      </c>
      <c r="G16" s="22">
        <f>VLOOKUP($B16,'Master File June-26'!$C$3:$L$670,6,0)</f>
        <v>5.5</v>
      </c>
      <c r="H16" s="22">
        <f>VLOOKUP($B16,'Master File June-26'!$C$3:$L$670,7,0)</f>
        <v>5.5</v>
      </c>
      <c r="I16" s="5">
        <f>VLOOKUP($B16,'Master File June-26'!$C$3:$L$670,8,0)</f>
        <v>14</v>
      </c>
      <c r="J16" s="23">
        <f>VLOOKUP($B16,'Master File June-26'!$C$3:$L$670,9,0)</f>
        <v>2.75</v>
      </c>
      <c r="K16" s="58">
        <f>VLOOKUP($B16,'Master File June-26'!$C$3:$L$670,10,0)</f>
        <v>0</v>
      </c>
      <c r="L16" s="24">
        <f t="shared" si="0"/>
        <v>0</v>
      </c>
      <c r="M16" s="25" t="s">
        <v>1595</v>
      </c>
      <c r="N16" s="25" t="s">
        <v>1596</v>
      </c>
      <c r="O16" s="79">
        <v>0</v>
      </c>
    </row>
    <row r="17" spans="1:15" ht="18.75" x14ac:dyDescent="0.25">
      <c r="A17" s="39">
        <v>229</v>
      </c>
      <c r="B17" s="39" t="s">
        <v>259</v>
      </c>
      <c r="C17" s="27" t="s">
        <v>260</v>
      </c>
      <c r="D17" s="28" t="s">
        <v>78</v>
      </c>
      <c r="E17" s="5" t="s">
        <v>49</v>
      </c>
      <c r="F17" s="21">
        <v>1</v>
      </c>
      <c r="G17" s="22">
        <f>VLOOKUP($B17,'Master File June-26'!$C$3:$L$670,6,0)</f>
        <v>5.5</v>
      </c>
      <c r="H17" s="22">
        <f>VLOOKUP($B17,'Master File June-26'!$C$3:$L$670,7,0)</f>
        <v>0</v>
      </c>
      <c r="I17" s="5">
        <f>VLOOKUP($B17,'Master File June-26'!$C$3:$L$670,8,0)</f>
        <v>14</v>
      </c>
      <c r="J17" s="23">
        <f>VLOOKUP($B17,'Master File June-26'!$C$3:$L$670,9,0)</f>
        <v>0</v>
      </c>
      <c r="K17" s="58">
        <f>VLOOKUP($B17,'Master File June-26'!$C$3:$L$670,10,0)</f>
        <v>0</v>
      </c>
      <c r="L17" s="24">
        <f t="shared" si="0"/>
        <v>0</v>
      </c>
      <c r="M17" s="25" t="s">
        <v>1595</v>
      </c>
      <c r="N17" s="25" t="s">
        <v>1596</v>
      </c>
      <c r="O17" s="79">
        <v>1</v>
      </c>
    </row>
    <row r="18" spans="1:15" ht="18.75" x14ac:dyDescent="0.25">
      <c r="A18" s="39">
        <v>252</v>
      </c>
      <c r="B18" s="39" t="s">
        <v>261</v>
      </c>
      <c r="C18" s="27" t="s">
        <v>262</v>
      </c>
      <c r="D18" s="28" t="s">
        <v>263</v>
      </c>
      <c r="E18" s="5" t="s">
        <v>264</v>
      </c>
      <c r="F18" s="21">
        <v>0.05</v>
      </c>
      <c r="G18" s="22">
        <f>VLOOKUP($B18,'Master File June-26'!$C$3:$L$670,6,0)</f>
        <v>5.5</v>
      </c>
      <c r="H18" s="22">
        <f>VLOOKUP($B18,'Master File June-26'!$C$3:$L$670,7,0)</f>
        <v>110</v>
      </c>
      <c r="I18" s="5">
        <f>VLOOKUP($B18,'Master File June-26'!$C$3:$L$670,8,0)</f>
        <v>14</v>
      </c>
      <c r="J18" s="23">
        <f>VLOOKUP($B18,'Master File June-26'!$C$3:$L$670,9,0)</f>
        <v>55</v>
      </c>
      <c r="K18" s="58">
        <f>VLOOKUP($B18,'Master File June-26'!$C$3:$L$670,10,0)</f>
        <v>0</v>
      </c>
      <c r="L18" s="24">
        <f t="shared" si="0"/>
        <v>0</v>
      </c>
      <c r="M18" s="25" t="s">
        <v>1595</v>
      </c>
      <c r="N18" s="25" t="s">
        <v>1596</v>
      </c>
      <c r="O18" s="79">
        <v>0</v>
      </c>
    </row>
    <row r="19" spans="1:15" ht="18.75" x14ac:dyDescent="0.25">
      <c r="A19" s="39">
        <v>260</v>
      </c>
      <c r="B19" s="39" t="s">
        <v>266</v>
      </c>
      <c r="C19" s="27" t="s">
        <v>267</v>
      </c>
      <c r="D19" s="28" t="s">
        <v>268</v>
      </c>
      <c r="E19" s="5" t="s">
        <v>46</v>
      </c>
      <c r="F19" s="21">
        <v>0.1</v>
      </c>
      <c r="G19" s="22">
        <f>VLOOKUP($B19,'Master File June-26'!$C$3:$L$670,6,0)</f>
        <v>184</v>
      </c>
      <c r="H19" s="22">
        <f>VLOOKUP($B19,'Master File June-26'!$C$3:$L$670,7,0)</f>
        <v>1840</v>
      </c>
      <c r="I19" s="5">
        <f>VLOOKUP($B19,'Master File June-26'!$C$3:$L$670,8,0)</f>
        <v>14</v>
      </c>
      <c r="J19" s="23">
        <f>VLOOKUP($B19,'Master File June-26'!$C$3:$L$670,9,0)</f>
        <v>920</v>
      </c>
      <c r="K19" s="58">
        <f>VLOOKUP($B19,'Master File June-26'!$C$3:$L$670,10,0)</f>
        <v>0</v>
      </c>
      <c r="L19" s="24">
        <f t="shared" si="0"/>
        <v>0</v>
      </c>
      <c r="M19" s="25" t="s">
        <v>1595</v>
      </c>
      <c r="N19" s="25" t="s">
        <v>1596</v>
      </c>
      <c r="O19" s="79">
        <v>0</v>
      </c>
    </row>
    <row r="20" spans="1:15" ht="18.75" x14ac:dyDescent="0.25">
      <c r="A20" s="39">
        <v>265</v>
      </c>
      <c r="B20" s="39" t="s">
        <v>269</v>
      </c>
      <c r="C20" s="27" t="s">
        <v>270</v>
      </c>
      <c r="D20" s="28" t="s">
        <v>160</v>
      </c>
      <c r="E20" s="5" t="s">
        <v>49</v>
      </c>
      <c r="F20" s="21">
        <v>1</v>
      </c>
      <c r="G20" s="22">
        <f>VLOOKUP($B20,'Master File June-26'!$C$3:$L$670,6,0)</f>
        <v>0</v>
      </c>
      <c r="H20" s="22">
        <f>VLOOKUP($B20,'Master File June-26'!$C$3:$L$670,7,0)</f>
        <v>0</v>
      </c>
      <c r="I20" s="5">
        <f>VLOOKUP($B20,'Master File June-26'!$C$3:$L$670,8,0)</f>
        <v>14</v>
      </c>
      <c r="J20" s="23">
        <f>VLOOKUP($B20,'Master File June-26'!$C$3:$L$670,9,0)</f>
        <v>0</v>
      </c>
      <c r="K20" s="58">
        <f>VLOOKUP($B20,'Master File June-26'!$C$3:$L$670,10,0)</f>
        <v>0</v>
      </c>
      <c r="L20" s="24">
        <f t="shared" si="0"/>
        <v>0</v>
      </c>
      <c r="M20" s="25" t="s">
        <v>1595</v>
      </c>
      <c r="N20" s="25" t="s">
        <v>1596</v>
      </c>
      <c r="O20" s="79">
        <v>1</v>
      </c>
    </row>
    <row r="21" spans="1:15" ht="18.75" x14ac:dyDescent="0.25">
      <c r="A21" s="39">
        <v>266</v>
      </c>
      <c r="B21" s="39" t="s">
        <v>271</v>
      </c>
      <c r="C21" s="27" t="s">
        <v>272</v>
      </c>
      <c r="D21" s="28" t="s">
        <v>78</v>
      </c>
      <c r="E21" s="5" t="s">
        <v>49</v>
      </c>
      <c r="F21" s="21">
        <v>1</v>
      </c>
      <c r="G21" s="22">
        <f>VLOOKUP($B21,'Master File June-26'!$C$3:$L$670,6,0)</f>
        <v>0</v>
      </c>
      <c r="H21" s="22">
        <f>VLOOKUP($B21,'Master File June-26'!$C$3:$L$670,7,0)</f>
        <v>0</v>
      </c>
      <c r="I21" s="5">
        <f>VLOOKUP($B21,'Master File June-26'!$C$3:$L$670,8,0)</f>
        <v>14</v>
      </c>
      <c r="J21" s="23">
        <f>VLOOKUP($B21,'Master File June-26'!$C$3:$L$670,9,0)</f>
        <v>0</v>
      </c>
      <c r="K21" s="58">
        <f>VLOOKUP($B21,'Master File June-26'!$C$3:$L$670,10,0)</f>
        <v>0</v>
      </c>
      <c r="L21" s="24">
        <f t="shared" si="0"/>
        <v>0</v>
      </c>
      <c r="M21" s="25" t="s">
        <v>1595</v>
      </c>
      <c r="N21" s="25" t="s">
        <v>1596</v>
      </c>
      <c r="O21" s="79">
        <v>1</v>
      </c>
    </row>
    <row r="22" spans="1:15" ht="18.75" x14ac:dyDescent="0.25">
      <c r="A22" s="39">
        <v>267</v>
      </c>
      <c r="B22" s="39" t="s">
        <v>273</v>
      </c>
      <c r="C22" s="27" t="s">
        <v>274</v>
      </c>
      <c r="D22" s="28" t="s">
        <v>78</v>
      </c>
      <c r="E22" s="5" t="s">
        <v>49</v>
      </c>
      <c r="F22" s="21">
        <v>1</v>
      </c>
      <c r="G22" s="22">
        <f>VLOOKUP($B22,'Master File June-26'!$C$3:$L$670,6,0)</f>
        <v>0</v>
      </c>
      <c r="H22" s="22">
        <f>VLOOKUP($B22,'Master File June-26'!$C$3:$L$670,7,0)</f>
        <v>0</v>
      </c>
      <c r="I22" s="5">
        <f>VLOOKUP($B22,'Master File June-26'!$C$3:$L$670,8,0)</f>
        <v>14</v>
      </c>
      <c r="J22" s="23">
        <f>VLOOKUP($B22,'Master File June-26'!$C$3:$L$670,9,0)</f>
        <v>0</v>
      </c>
      <c r="K22" s="58">
        <f>VLOOKUP($B22,'Master File June-26'!$C$3:$L$670,10,0)</f>
        <v>1</v>
      </c>
      <c r="L22" s="24">
        <f t="shared" si="0"/>
        <v>0</v>
      </c>
      <c r="M22" s="25" t="s">
        <v>1595</v>
      </c>
      <c r="N22" s="25" t="s">
        <v>1596</v>
      </c>
      <c r="O22" s="79">
        <v>1</v>
      </c>
    </row>
    <row r="23" spans="1:15" ht="18.75" x14ac:dyDescent="0.25">
      <c r="A23" s="39">
        <v>268</v>
      </c>
      <c r="B23" s="39" t="s">
        <v>275</v>
      </c>
      <c r="C23" s="27" t="s">
        <v>276</v>
      </c>
      <c r="D23" s="28" t="s">
        <v>78</v>
      </c>
      <c r="E23" s="5" t="s">
        <v>49</v>
      </c>
      <c r="F23" s="21">
        <v>1</v>
      </c>
      <c r="G23" s="22">
        <f>VLOOKUP($B23,'Master File June-26'!$C$3:$L$670,6,0)</f>
        <v>0</v>
      </c>
      <c r="H23" s="22">
        <f>VLOOKUP($B23,'Master File June-26'!$C$3:$L$670,7,0)</f>
        <v>0</v>
      </c>
      <c r="I23" s="5">
        <f>VLOOKUP($B23,'Master File June-26'!$C$3:$L$670,8,0)</f>
        <v>14</v>
      </c>
      <c r="J23" s="23">
        <f>VLOOKUP($B23,'Master File June-26'!$C$3:$L$670,9,0)</f>
        <v>0</v>
      </c>
      <c r="K23" s="58">
        <f>VLOOKUP($B23,'Master File June-26'!$C$3:$L$670,10,0)</f>
        <v>1</v>
      </c>
      <c r="L23" s="24">
        <f t="shared" si="0"/>
        <v>0</v>
      </c>
      <c r="M23" s="25" t="s">
        <v>1595</v>
      </c>
      <c r="N23" s="25" t="s">
        <v>1596</v>
      </c>
      <c r="O23" s="79">
        <v>1</v>
      </c>
    </row>
    <row r="24" spans="1:15" ht="18.75" x14ac:dyDescent="0.25">
      <c r="A24" s="39">
        <v>270</v>
      </c>
      <c r="B24" s="39" t="s">
        <v>277</v>
      </c>
      <c r="C24" s="27" t="s">
        <v>278</v>
      </c>
      <c r="D24" s="28" t="s">
        <v>78</v>
      </c>
      <c r="E24" s="5" t="s">
        <v>49</v>
      </c>
      <c r="F24" s="21">
        <v>1</v>
      </c>
      <c r="G24" s="22">
        <f>VLOOKUP($B24,'Master File June-26'!$C$3:$L$670,6,0)</f>
        <v>0</v>
      </c>
      <c r="H24" s="22">
        <f>VLOOKUP($B24,'Master File June-26'!$C$3:$L$670,7,0)</f>
        <v>0</v>
      </c>
      <c r="I24" s="5">
        <f>VLOOKUP($B24,'Master File June-26'!$C$3:$L$670,8,0)</f>
        <v>14</v>
      </c>
      <c r="J24" s="23">
        <f>VLOOKUP($B24,'Master File June-26'!$C$3:$L$670,9,0)</f>
        <v>0</v>
      </c>
      <c r="K24" s="58">
        <f>VLOOKUP($B24,'Master File June-26'!$C$3:$L$670,10,0)</f>
        <v>0</v>
      </c>
      <c r="L24" s="24">
        <f t="shared" si="0"/>
        <v>0</v>
      </c>
      <c r="M24" s="25" t="s">
        <v>1595</v>
      </c>
      <c r="N24" s="25" t="s">
        <v>1596</v>
      </c>
      <c r="O24" s="79">
        <v>1</v>
      </c>
    </row>
    <row r="25" spans="1:15" ht="18.75" x14ac:dyDescent="0.25">
      <c r="A25" s="39">
        <v>271</v>
      </c>
      <c r="B25" s="39" t="s">
        <v>279</v>
      </c>
      <c r="C25" s="27" t="s">
        <v>280</v>
      </c>
      <c r="D25" s="28" t="s">
        <v>78</v>
      </c>
      <c r="E25" s="5" t="s">
        <v>49</v>
      </c>
      <c r="F25" s="21">
        <v>1</v>
      </c>
      <c r="G25" s="22">
        <f>VLOOKUP($B25,'Master File June-26'!$C$3:$L$670,6,0)</f>
        <v>0</v>
      </c>
      <c r="H25" s="22">
        <f>VLOOKUP($B25,'Master File June-26'!$C$3:$L$670,7,0)</f>
        <v>0</v>
      </c>
      <c r="I25" s="5">
        <f>VLOOKUP($B25,'Master File June-26'!$C$3:$L$670,8,0)</f>
        <v>14</v>
      </c>
      <c r="J25" s="23">
        <f>VLOOKUP($B25,'Master File June-26'!$C$3:$L$670,9,0)</f>
        <v>0</v>
      </c>
      <c r="K25" s="58">
        <f>VLOOKUP($B25,'Master File June-26'!$C$3:$L$670,10,0)</f>
        <v>0</v>
      </c>
      <c r="L25" s="24">
        <f t="shared" si="0"/>
        <v>0</v>
      </c>
      <c r="M25" s="25" t="s">
        <v>1595</v>
      </c>
      <c r="N25" s="25" t="s">
        <v>1596</v>
      </c>
      <c r="O25" s="79">
        <v>1</v>
      </c>
    </row>
    <row r="26" spans="1:15" ht="18.75" x14ac:dyDescent="0.25">
      <c r="A26" s="39">
        <v>275</v>
      </c>
      <c r="B26" s="39" t="s">
        <v>281</v>
      </c>
      <c r="C26" s="27" t="s">
        <v>282</v>
      </c>
      <c r="D26" s="28" t="s">
        <v>160</v>
      </c>
      <c r="E26" s="5" t="s">
        <v>49</v>
      </c>
      <c r="F26" s="21">
        <v>1</v>
      </c>
      <c r="G26" s="22">
        <f>VLOOKUP($B26,'Master File June-26'!$C$3:$L$670,6,0)</f>
        <v>22</v>
      </c>
      <c r="H26" s="22">
        <f>VLOOKUP($B26,'Master File June-26'!$C$3:$L$670,7,0)</f>
        <v>22</v>
      </c>
      <c r="I26" s="5">
        <f>VLOOKUP($B26,'Master File June-26'!$C$3:$L$670,8,0)</f>
        <v>14</v>
      </c>
      <c r="J26" s="23">
        <f>VLOOKUP($B26,'Master File June-26'!$C$3:$L$670,9,0)</f>
        <v>11</v>
      </c>
      <c r="K26" s="58">
        <f>VLOOKUP($B26,'Master File June-26'!$C$3:$L$670,10,0)</f>
        <v>0</v>
      </c>
      <c r="L26" s="24">
        <f t="shared" si="0"/>
        <v>0</v>
      </c>
      <c r="M26" s="25" t="s">
        <v>1595</v>
      </c>
      <c r="N26" s="25" t="s">
        <v>1596</v>
      </c>
      <c r="O26" s="79">
        <v>0</v>
      </c>
    </row>
    <row r="27" spans="1:15" ht="18.75" x14ac:dyDescent="0.25">
      <c r="A27" s="39">
        <v>276</v>
      </c>
      <c r="B27" s="39" t="s">
        <v>283</v>
      </c>
      <c r="C27" s="27" t="s">
        <v>284</v>
      </c>
      <c r="D27" s="28" t="s">
        <v>160</v>
      </c>
      <c r="E27" s="5" t="s">
        <v>49</v>
      </c>
      <c r="F27" s="21">
        <v>1</v>
      </c>
      <c r="G27" s="22">
        <f>VLOOKUP($B27,'Master File June-26'!$C$3:$L$670,6,0)</f>
        <v>600</v>
      </c>
      <c r="H27" s="22">
        <f>VLOOKUP($B27,'Master File June-26'!$C$3:$L$670,7,0)</f>
        <v>600</v>
      </c>
      <c r="I27" s="5">
        <f>VLOOKUP($B27,'Master File June-26'!$C$3:$L$670,8,0)</f>
        <v>14</v>
      </c>
      <c r="J27" s="23">
        <f>VLOOKUP($B27,'Master File June-26'!$C$3:$L$670,9,0)</f>
        <v>300</v>
      </c>
      <c r="K27" s="58">
        <f>VLOOKUP($B27,'Master File June-26'!$C$3:$L$670,10,0)</f>
        <v>0</v>
      </c>
      <c r="L27" s="24">
        <f t="shared" si="0"/>
        <v>0</v>
      </c>
      <c r="M27" s="25" t="s">
        <v>1595</v>
      </c>
      <c r="N27" s="25" t="s">
        <v>1596</v>
      </c>
      <c r="O27" s="79">
        <v>0</v>
      </c>
    </row>
    <row r="28" spans="1:15" ht="18.75" x14ac:dyDescent="0.25">
      <c r="A28" s="39">
        <v>279</v>
      </c>
      <c r="B28" s="39" t="s">
        <v>285</v>
      </c>
      <c r="C28" s="27" t="s">
        <v>286</v>
      </c>
      <c r="D28" s="28" t="s">
        <v>160</v>
      </c>
      <c r="E28" s="5" t="s">
        <v>49</v>
      </c>
      <c r="F28" s="21">
        <v>1</v>
      </c>
      <c r="G28" s="22">
        <f>VLOOKUP($B28,'Master File June-26'!$C$3:$L$670,6,0)</f>
        <v>27.5</v>
      </c>
      <c r="H28" s="22">
        <f>VLOOKUP($B28,'Master File June-26'!$C$3:$L$670,7,0)</f>
        <v>27.5</v>
      </c>
      <c r="I28" s="5">
        <f>VLOOKUP($B28,'Master File June-26'!$C$3:$L$670,8,0)</f>
        <v>14</v>
      </c>
      <c r="J28" s="23">
        <f>VLOOKUP($B28,'Master File June-26'!$C$3:$L$670,9,0)</f>
        <v>13.75</v>
      </c>
      <c r="K28" s="58">
        <f>VLOOKUP($B28,'Master File June-26'!$C$3:$L$670,10,0)</f>
        <v>0</v>
      </c>
      <c r="L28" s="24">
        <f t="shared" si="0"/>
        <v>0</v>
      </c>
      <c r="M28" s="25" t="s">
        <v>1595</v>
      </c>
      <c r="N28" s="25" t="s">
        <v>1596</v>
      </c>
      <c r="O28" s="79">
        <v>0</v>
      </c>
    </row>
    <row r="29" spans="1:15" ht="18.75" x14ac:dyDescent="0.25">
      <c r="A29" s="39">
        <v>282</v>
      </c>
      <c r="B29" s="39" t="s">
        <v>287</v>
      </c>
      <c r="C29" s="27" t="s">
        <v>288</v>
      </c>
      <c r="D29" s="28" t="s">
        <v>289</v>
      </c>
      <c r="E29" s="5" t="s">
        <v>22</v>
      </c>
      <c r="F29" s="21">
        <v>8.3333333333333339E-4</v>
      </c>
      <c r="G29" s="22">
        <f>VLOOKUP($B29,'Master File June-26'!$C$3:$L$670,6,0)</f>
        <v>11</v>
      </c>
      <c r="H29" s="22">
        <f>VLOOKUP($B29,'Master File June-26'!$C$3:$L$670,7,0)</f>
        <v>13200</v>
      </c>
      <c r="I29" s="5">
        <f>VLOOKUP($B29,'Master File June-26'!$C$3:$L$670,8,0)</f>
        <v>14</v>
      </c>
      <c r="J29" s="23">
        <f>VLOOKUP($B29,'Master File June-26'!$C$3:$L$670,9,0)</f>
        <v>6600</v>
      </c>
      <c r="K29" s="58">
        <f>VLOOKUP($B29,'Master File June-26'!$C$3:$L$670,10,0)</f>
        <v>0</v>
      </c>
      <c r="L29" s="24">
        <f t="shared" si="0"/>
        <v>0</v>
      </c>
      <c r="M29" s="25" t="s">
        <v>1595</v>
      </c>
      <c r="N29" s="25" t="s">
        <v>1596</v>
      </c>
      <c r="O29" s="79">
        <v>0</v>
      </c>
    </row>
    <row r="30" spans="1:15" ht="18.75" x14ac:dyDescent="0.25">
      <c r="A30" s="39">
        <v>283</v>
      </c>
      <c r="B30" s="39" t="s">
        <v>290</v>
      </c>
      <c r="C30" s="27" t="s">
        <v>291</v>
      </c>
      <c r="D30" s="28" t="s">
        <v>78</v>
      </c>
      <c r="E30" s="5" t="s">
        <v>49</v>
      </c>
      <c r="F30" s="21">
        <v>1</v>
      </c>
      <c r="G30" s="22">
        <f>VLOOKUP($B30,'Master File June-26'!$C$3:$L$670,6,0)</f>
        <v>22</v>
      </c>
      <c r="H30" s="22">
        <f>VLOOKUP($B30,'Master File June-26'!$C$3:$L$670,7,0)</f>
        <v>22</v>
      </c>
      <c r="I30" s="5">
        <f>VLOOKUP($B30,'Master File June-26'!$C$3:$L$670,8,0)</f>
        <v>14</v>
      </c>
      <c r="J30" s="23">
        <f>VLOOKUP($B30,'Master File June-26'!$C$3:$L$670,9,0)</f>
        <v>11</v>
      </c>
      <c r="K30" s="58">
        <f>VLOOKUP($B30,'Master File June-26'!$C$3:$L$670,10,0)</f>
        <v>0</v>
      </c>
      <c r="L30" s="24">
        <f t="shared" si="0"/>
        <v>0</v>
      </c>
      <c r="M30" s="25" t="s">
        <v>1595</v>
      </c>
      <c r="N30" s="25" t="s">
        <v>1596</v>
      </c>
      <c r="O30" s="79">
        <v>0</v>
      </c>
    </row>
    <row r="31" spans="1:15" ht="18.75" x14ac:dyDescent="0.25">
      <c r="A31" s="39">
        <v>284</v>
      </c>
      <c r="B31" s="39" t="s">
        <v>292</v>
      </c>
      <c r="C31" s="27" t="s">
        <v>293</v>
      </c>
      <c r="D31" s="28" t="s">
        <v>160</v>
      </c>
      <c r="E31" s="5" t="s">
        <v>49</v>
      </c>
      <c r="F31" s="21">
        <v>1</v>
      </c>
      <c r="G31" s="22">
        <f>VLOOKUP($B31,'Master File June-26'!$C$3:$L$670,6,0)</f>
        <v>0</v>
      </c>
      <c r="H31" s="22">
        <f>VLOOKUP($B31,'Master File June-26'!$C$3:$L$670,7,0)</f>
        <v>0</v>
      </c>
      <c r="I31" s="5">
        <f>VLOOKUP($B31,'Master File June-26'!$C$3:$L$670,8,0)</f>
        <v>14</v>
      </c>
      <c r="J31" s="23">
        <f>VLOOKUP($B31,'Master File June-26'!$C$3:$L$670,9,0)</f>
        <v>0</v>
      </c>
      <c r="K31" s="58">
        <f>VLOOKUP($B31,'Master File June-26'!$C$3:$L$670,10,0)</f>
        <v>0</v>
      </c>
      <c r="L31" s="24">
        <f t="shared" si="0"/>
        <v>0</v>
      </c>
      <c r="M31" s="25" t="s">
        <v>1595</v>
      </c>
      <c r="N31" s="25" t="s">
        <v>1596</v>
      </c>
      <c r="O31" s="79">
        <v>1</v>
      </c>
    </row>
    <row r="32" spans="1:15" ht="18.75" x14ac:dyDescent="0.25">
      <c r="A32" s="39">
        <v>286</v>
      </c>
      <c r="B32" s="39" t="s">
        <v>294</v>
      </c>
      <c r="C32" s="27" t="s">
        <v>295</v>
      </c>
      <c r="D32" s="28" t="s">
        <v>78</v>
      </c>
      <c r="E32" s="5" t="s">
        <v>49</v>
      </c>
      <c r="F32" s="21">
        <v>1</v>
      </c>
      <c r="G32" s="22">
        <f>VLOOKUP($B32,'Master File June-26'!$C$3:$L$670,6,0)</f>
        <v>44</v>
      </c>
      <c r="H32" s="22">
        <f>VLOOKUP($B32,'Master File June-26'!$C$3:$L$670,7,0)</f>
        <v>44</v>
      </c>
      <c r="I32" s="5">
        <f>VLOOKUP($B32,'Master File June-26'!$C$3:$L$670,8,0)</f>
        <v>14</v>
      </c>
      <c r="J32" s="23">
        <f>VLOOKUP($B32,'Master File June-26'!$C$3:$L$670,9,0)</f>
        <v>22</v>
      </c>
      <c r="K32" s="58">
        <f>VLOOKUP($B32,'Master File June-26'!$C$3:$L$670,10,0)</f>
        <v>0</v>
      </c>
      <c r="L32" s="24">
        <f t="shared" si="0"/>
        <v>0</v>
      </c>
      <c r="M32" s="25" t="s">
        <v>1595</v>
      </c>
      <c r="N32" s="25" t="s">
        <v>1596</v>
      </c>
      <c r="O32" s="79">
        <v>0</v>
      </c>
    </row>
    <row r="33" spans="1:15" ht="18.75" x14ac:dyDescent="0.25">
      <c r="A33" s="39">
        <v>288</v>
      </c>
      <c r="B33" s="39" t="s">
        <v>296</v>
      </c>
      <c r="C33" s="27" t="s">
        <v>297</v>
      </c>
      <c r="D33" s="28" t="s">
        <v>78</v>
      </c>
      <c r="E33" s="5" t="s">
        <v>49</v>
      </c>
      <c r="F33" s="21">
        <v>1</v>
      </c>
      <c r="G33" s="22">
        <f>VLOOKUP($B33,'Master File June-26'!$C$3:$L$670,6,0)</f>
        <v>121</v>
      </c>
      <c r="H33" s="22">
        <f>VLOOKUP($B33,'Master File June-26'!$C$3:$L$670,7,0)</f>
        <v>121</v>
      </c>
      <c r="I33" s="5">
        <f>VLOOKUP($B33,'Master File June-26'!$C$3:$L$670,8,0)</f>
        <v>14</v>
      </c>
      <c r="J33" s="23">
        <f>VLOOKUP($B33,'Master File June-26'!$C$3:$L$670,9,0)</f>
        <v>60.5</v>
      </c>
      <c r="K33" s="58">
        <f>VLOOKUP($B33,'Master File June-26'!$C$3:$L$670,10,0)</f>
        <v>0</v>
      </c>
      <c r="L33" s="24">
        <f t="shared" si="0"/>
        <v>0</v>
      </c>
      <c r="M33" s="25" t="s">
        <v>1595</v>
      </c>
      <c r="N33" s="25" t="s">
        <v>1596</v>
      </c>
      <c r="O33" s="79">
        <v>0</v>
      </c>
    </row>
    <row r="34" spans="1:15" ht="18.75" x14ac:dyDescent="0.25">
      <c r="A34" s="39">
        <v>289</v>
      </c>
      <c r="B34" s="39" t="s">
        <v>299</v>
      </c>
      <c r="C34" s="31" t="s">
        <v>300</v>
      </c>
      <c r="D34" s="34" t="s">
        <v>160</v>
      </c>
      <c r="E34" s="5" t="s">
        <v>49</v>
      </c>
      <c r="F34" s="21">
        <v>1</v>
      </c>
      <c r="G34" s="22">
        <f>VLOOKUP($B34,'Master File June-26'!$C$3:$L$670,6,0)</f>
        <v>11</v>
      </c>
      <c r="H34" s="22">
        <f>VLOOKUP($B34,'Master File June-26'!$C$3:$L$670,7,0)</f>
        <v>11</v>
      </c>
      <c r="I34" s="5">
        <f>VLOOKUP($B34,'Master File June-26'!$C$3:$L$670,8,0)</f>
        <v>14</v>
      </c>
      <c r="J34" s="23">
        <f>VLOOKUP($B34,'Master File June-26'!$C$3:$L$670,9,0)</f>
        <v>5.5</v>
      </c>
      <c r="K34" s="58">
        <f>VLOOKUP($B34,'Master File June-26'!$C$3:$L$670,10,0)</f>
        <v>0</v>
      </c>
      <c r="L34" s="24">
        <f t="shared" si="0"/>
        <v>0</v>
      </c>
      <c r="M34" s="25" t="s">
        <v>1595</v>
      </c>
      <c r="N34" s="25" t="s">
        <v>1596</v>
      </c>
      <c r="O34" s="79">
        <v>0</v>
      </c>
    </row>
    <row r="35" spans="1:15" ht="18.75" x14ac:dyDescent="0.25">
      <c r="A35" s="39">
        <v>290</v>
      </c>
      <c r="B35" s="39" t="s">
        <v>301</v>
      </c>
      <c r="C35" s="27" t="s">
        <v>302</v>
      </c>
      <c r="D35" s="28" t="s">
        <v>78</v>
      </c>
      <c r="E35" s="5" t="s">
        <v>49</v>
      </c>
      <c r="F35" s="21">
        <v>1</v>
      </c>
      <c r="G35" s="22">
        <f>VLOOKUP($B35,'Master File June-26'!$C$3:$L$670,6,0)</f>
        <v>27.5</v>
      </c>
      <c r="H35" s="22">
        <f>VLOOKUP($B35,'Master File June-26'!$C$3:$L$670,7,0)</f>
        <v>27.5</v>
      </c>
      <c r="I35" s="5">
        <f>VLOOKUP($B35,'Master File June-26'!$C$3:$L$670,8,0)</f>
        <v>14</v>
      </c>
      <c r="J35" s="23">
        <f>VLOOKUP($B35,'Master File June-26'!$C$3:$L$670,9,0)</f>
        <v>13.75</v>
      </c>
      <c r="K35" s="58">
        <f>VLOOKUP($B35,'Master File June-26'!$C$3:$L$670,10,0)</f>
        <v>0</v>
      </c>
      <c r="L35" s="24">
        <f t="shared" ref="L35:L66" si="1">IFERROR((K35/H35*30),0)</f>
        <v>0</v>
      </c>
      <c r="M35" s="25" t="s">
        <v>1595</v>
      </c>
      <c r="N35" s="25" t="s">
        <v>1596</v>
      </c>
      <c r="O35" s="79">
        <v>0</v>
      </c>
    </row>
    <row r="36" spans="1:15" ht="18.75" x14ac:dyDescent="0.25">
      <c r="A36" s="39">
        <v>291</v>
      </c>
      <c r="B36" s="39" t="s">
        <v>303</v>
      </c>
      <c r="C36" s="27" t="s">
        <v>304</v>
      </c>
      <c r="D36" s="27" t="s">
        <v>160</v>
      </c>
      <c r="E36" s="5" t="s">
        <v>49</v>
      </c>
      <c r="F36" s="21">
        <v>1</v>
      </c>
      <c r="G36" s="22">
        <f>VLOOKUP($B36,'Master File June-26'!$C$3:$L$670,6,0)</f>
        <v>82.5</v>
      </c>
      <c r="H36" s="22">
        <f>VLOOKUP($B36,'Master File June-26'!$C$3:$L$670,7,0)</f>
        <v>82.5</v>
      </c>
      <c r="I36" s="5">
        <f>VLOOKUP($B36,'Master File June-26'!$C$3:$L$670,8,0)</f>
        <v>14</v>
      </c>
      <c r="J36" s="23">
        <f>VLOOKUP($B36,'Master File June-26'!$C$3:$L$670,9,0)</f>
        <v>41.25</v>
      </c>
      <c r="K36" s="58">
        <f>VLOOKUP($B36,'Master File June-26'!$C$3:$L$670,10,0)</f>
        <v>0</v>
      </c>
      <c r="L36" s="24">
        <f t="shared" si="1"/>
        <v>0</v>
      </c>
      <c r="M36" s="25" t="s">
        <v>1595</v>
      </c>
      <c r="N36" s="25" t="s">
        <v>1596</v>
      </c>
      <c r="O36" s="79">
        <v>0</v>
      </c>
    </row>
    <row r="37" spans="1:15" ht="18.75" x14ac:dyDescent="0.25">
      <c r="A37" s="39">
        <v>292</v>
      </c>
      <c r="B37" s="39" t="s">
        <v>305</v>
      </c>
      <c r="C37" s="27" t="s">
        <v>306</v>
      </c>
      <c r="D37" s="28" t="s">
        <v>160</v>
      </c>
      <c r="E37" s="5" t="s">
        <v>49</v>
      </c>
      <c r="F37" s="21">
        <v>1</v>
      </c>
      <c r="G37" s="22">
        <f>VLOOKUP($B37,'Master File June-26'!$C$3:$L$670,6,0)</f>
        <v>165</v>
      </c>
      <c r="H37" s="22">
        <f>VLOOKUP($B37,'Master File June-26'!$C$3:$L$670,7,0)</f>
        <v>165</v>
      </c>
      <c r="I37" s="5">
        <f>VLOOKUP($B37,'Master File June-26'!$C$3:$L$670,8,0)</f>
        <v>14</v>
      </c>
      <c r="J37" s="23">
        <f>VLOOKUP($B37,'Master File June-26'!$C$3:$L$670,9,0)</f>
        <v>82.5</v>
      </c>
      <c r="K37" s="58">
        <f>VLOOKUP($B37,'Master File June-26'!$C$3:$L$670,10,0)</f>
        <v>0</v>
      </c>
      <c r="L37" s="24">
        <f t="shared" si="1"/>
        <v>0</v>
      </c>
      <c r="M37" s="25" t="s">
        <v>1595</v>
      </c>
      <c r="N37" s="25" t="s">
        <v>1596</v>
      </c>
      <c r="O37" s="79">
        <v>0</v>
      </c>
    </row>
    <row r="38" spans="1:15" ht="18.75" x14ac:dyDescent="0.25">
      <c r="A38" s="39">
        <v>293</v>
      </c>
      <c r="B38" s="39" t="s">
        <v>307</v>
      </c>
      <c r="C38" s="27" t="s">
        <v>308</v>
      </c>
      <c r="D38" s="28" t="s">
        <v>160</v>
      </c>
      <c r="E38" s="5" t="s">
        <v>49</v>
      </c>
      <c r="F38" s="21">
        <v>1</v>
      </c>
      <c r="G38" s="22">
        <f>VLOOKUP($B38,'Master File June-26'!$C$3:$L$670,6,0)</f>
        <v>209</v>
      </c>
      <c r="H38" s="22">
        <f>VLOOKUP($B38,'Master File June-26'!$C$3:$L$670,7,0)</f>
        <v>209</v>
      </c>
      <c r="I38" s="5">
        <f>VLOOKUP($B38,'Master File June-26'!$C$3:$L$670,8,0)</f>
        <v>14</v>
      </c>
      <c r="J38" s="23">
        <f>VLOOKUP($B38,'Master File June-26'!$C$3:$L$670,9,0)</f>
        <v>104.5</v>
      </c>
      <c r="K38" s="58">
        <f>VLOOKUP($B38,'Master File June-26'!$C$3:$L$670,10,0)</f>
        <v>0</v>
      </c>
      <c r="L38" s="24">
        <f t="shared" si="1"/>
        <v>0</v>
      </c>
      <c r="M38" s="25" t="s">
        <v>1595</v>
      </c>
      <c r="N38" s="25" t="s">
        <v>1596</v>
      </c>
      <c r="O38" s="79">
        <v>0</v>
      </c>
    </row>
    <row r="39" spans="1:15" ht="18.75" x14ac:dyDescent="0.25">
      <c r="A39" s="39">
        <v>295</v>
      </c>
      <c r="B39" s="39" t="s">
        <v>309</v>
      </c>
      <c r="C39" s="27" t="s">
        <v>310</v>
      </c>
      <c r="D39" s="28" t="s">
        <v>78</v>
      </c>
      <c r="E39" s="5" t="s">
        <v>49</v>
      </c>
      <c r="F39" s="21">
        <v>1</v>
      </c>
      <c r="G39" s="22">
        <f>VLOOKUP($B39,'Master File June-26'!$C$3:$L$670,6,0)</f>
        <v>11</v>
      </c>
      <c r="H39" s="22">
        <f>VLOOKUP($B39,'Master File June-26'!$C$3:$L$670,7,0)</f>
        <v>11</v>
      </c>
      <c r="I39" s="5">
        <f>VLOOKUP($B39,'Master File June-26'!$C$3:$L$670,8,0)</f>
        <v>14</v>
      </c>
      <c r="J39" s="23">
        <f>VLOOKUP($B39,'Master File June-26'!$C$3:$L$670,9,0)</f>
        <v>5.5</v>
      </c>
      <c r="K39" s="58">
        <f>VLOOKUP($B39,'Master File June-26'!$C$3:$L$670,10,0)</f>
        <v>0</v>
      </c>
      <c r="L39" s="24">
        <f t="shared" si="1"/>
        <v>0</v>
      </c>
      <c r="M39" s="25" t="s">
        <v>1595</v>
      </c>
      <c r="N39" s="25" t="s">
        <v>1596</v>
      </c>
      <c r="O39" s="79">
        <v>0</v>
      </c>
    </row>
    <row r="40" spans="1:15" ht="18.75" x14ac:dyDescent="0.25">
      <c r="A40" s="39">
        <v>296</v>
      </c>
      <c r="B40" s="39" t="s">
        <v>311</v>
      </c>
      <c r="C40" s="27" t="s">
        <v>312</v>
      </c>
      <c r="D40" s="28" t="s">
        <v>78</v>
      </c>
      <c r="E40" s="5" t="s">
        <v>49</v>
      </c>
      <c r="F40" s="21">
        <v>1</v>
      </c>
      <c r="G40" s="22">
        <f>VLOOKUP($B40,'Master File June-26'!$C$3:$L$670,6,0)</f>
        <v>22</v>
      </c>
      <c r="H40" s="22">
        <f>VLOOKUP($B40,'Master File June-26'!$C$3:$L$670,7,0)</f>
        <v>22</v>
      </c>
      <c r="I40" s="5">
        <f>VLOOKUP($B40,'Master File June-26'!$C$3:$L$670,8,0)</f>
        <v>14</v>
      </c>
      <c r="J40" s="23">
        <f>VLOOKUP($B40,'Master File June-26'!$C$3:$L$670,9,0)</f>
        <v>11</v>
      </c>
      <c r="K40" s="58">
        <f>VLOOKUP($B40,'Master File June-26'!$C$3:$L$670,10,0)</f>
        <v>0</v>
      </c>
      <c r="L40" s="24">
        <f t="shared" si="1"/>
        <v>0</v>
      </c>
      <c r="M40" s="25" t="s">
        <v>1595</v>
      </c>
      <c r="N40" s="25" t="s">
        <v>1596</v>
      </c>
      <c r="O40" s="79">
        <v>0</v>
      </c>
    </row>
    <row r="41" spans="1:15" ht="18.75" x14ac:dyDescent="0.25">
      <c r="A41" s="39">
        <v>297</v>
      </c>
      <c r="B41" s="39" t="s">
        <v>313</v>
      </c>
      <c r="C41" s="28" t="s">
        <v>314</v>
      </c>
      <c r="D41" s="28" t="s">
        <v>78</v>
      </c>
      <c r="E41" s="5" t="s">
        <v>49</v>
      </c>
      <c r="F41" s="21">
        <v>1</v>
      </c>
      <c r="G41" s="22">
        <f>VLOOKUP($B41,'Master File June-26'!$C$3:$L$670,6,0)</f>
        <v>11</v>
      </c>
      <c r="H41" s="22">
        <f>VLOOKUP($B41,'Master File June-26'!$C$3:$L$670,7,0)</f>
        <v>11</v>
      </c>
      <c r="I41" s="5">
        <f>VLOOKUP($B41,'Master File June-26'!$C$3:$L$670,8,0)</f>
        <v>14</v>
      </c>
      <c r="J41" s="23">
        <f>VLOOKUP($B41,'Master File June-26'!$C$3:$L$670,9,0)</f>
        <v>5.5</v>
      </c>
      <c r="K41" s="58">
        <f>VLOOKUP($B41,'Master File June-26'!$C$3:$L$670,10,0)</f>
        <v>0</v>
      </c>
      <c r="L41" s="24">
        <f t="shared" si="1"/>
        <v>0</v>
      </c>
      <c r="M41" s="25" t="s">
        <v>1595</v>
      </c>
      <c r="N41" s="25" t="s">
        <v>1596</v>
      </c>
      <c r="O41" s="79">
        <v>0</v>
      </c>
    </row>
    <row r="42" spans="1:15" ht="18.75" x14ac:dyDescent="0.25">
      <c r="A42" s="39">
        <v>298</v>
      </c>
      <c r="B42" s="39" t="s">
        <v>315</v>
      </c>
      <c r="C42" s="34" t="s">
        <v>316</v>
      </c>
      <c r="D42" s="34" t="s">
        <v>78</v>
      </c>
      <c r="E42" s="5" t="s">
        <v>49</v>
      </c>
      <c r="F42" s="21">
        <v>1</v>
      </c>
      <c r="G42" s="22">
        <f>VLOOKUP($B42,'Master File June-26'!$C$3:$L$670,6,0)</f>
        <v>11</v>
      </c>
      <c r="H42" s="22">
        <f>VLOOKUP($B42,'Master File June-26'!$C$3:$L$670,7,0)</f>
        <v>11</v>
      </c>
      <c r="I42" s="5">
        <f>VLOOKUP($B42,'Master File June-26'!$C$3:$L$670,8,0)</f>
        <v>14</v>
      </c>
      <c r="J42" s="23">
        <f>VLOOKUP($B42,'Master File June-26'!$C$3:$L$670,9,0)</f>
        <v>5.5</v>
      </c>
      <c r="K42" s="58">
        <f>VLOOKUP($B42,'Master File June-26'!$C$3:$L$670,10,0)</f>
        <v>0</v>
      </c>
      <c r="L42" s="24">
        <f t="shared" si="1"/>
        <v>0</v>
      </c>
      <c r="M42" s="25" t="s">
        <v>1595</v>
      </c>
      <c r="N42" s="25" t="s">
        <v>1596</v>
      </c>
      <c r="O42" s="79">
        <v>0</v>
      </c>
    </row>
    <row r="43" spans="1:15" ht="18.75" x14ac:dyDescent="0.25">
      <c r="A43" s="39">
        <v>299</v>
      </c>
      <c r="B43" s="39" t="s">
        <v>317</v>
      </c>
      <c r="C43" s="34" t="s">
        <v>318</v>
      </c>
      <c r="D43" s="34" t="s">
        <v>78</v>
      </c>
      <c r="E43" s="5" t="s">
        <v>49</v>
      </c>
      <c r="F43" s="21">
        <v>1</v>
      </c>
      <c r="G43" s="22">
        <f>VLOOKUP($B43,'Master File June-26'!$C$3:$L$670,6,0)</f>
        <v>11</v>
      </c>
      <c r="H43" s="22">
        <f>VLOOKUP($B43,'Master File June-26'!$C$3:$L$670,7,0)</f>
        <v>11</v>
      </c>
      <c r="I43" s="5">
        <f>VLOOKUP($B43,'Master File June-26'!$C$3:$L$670,8,0)</f>
        <v>14</v>
      </c>
      <c r="J43" s="23">
        <f>VLOOKUP($B43,'Master File June-26'!$C$3:$L$670,9,0)</f>
        <v>5.5</v>
      </c>
      <c r="K43" s="58">
        <f>VLOOKUP($B43,'Master File June-26'!$C$3:$L$670,10,0)</f>
        <v>0</v>
      </c>
      <c r="L43" s="24">
        <f t="shared" si="1"/>
        <v>0</v>
      </c>
      <c r="M43" s="25" t="s">
        <v>1595</v>
      </c>
      <c r="N43" s="25" t="s">
        <v>1596</v>
      </c>
      <c r="O43" s="79">
        <v>0</v>
      </c>
    </row>
    <row r="44" spans="1:15" ht="18.75" x14ac:dyDescent="0.25">
      <c r="A44" s="39">
        <v>300</v>
      </c>
      <c r="B44" s="39" t="s">
        <v>319</v>
      </c>
      <c r="C44" s="34" t="s">
        <v>320</v>
      </c>
      <c r="D44" s="34" t="s">
        <v>78</v>
      </c>
      <c r="E44" s="5" t="s">
        <v>49</v>
      </c>
      <c r="F44" s="21">
        <v>1</v>
      </c>
      <c r="G44" s="22">
        <f>VLOOKUP($B44,'Master File June-26'!$C$3:$L$670,6,0)</f>
        <v>11</v>
      </c>
      <c r="H44" s="22">
        <f>VLOOKUP($B44,'Master File June-26'!$C$3:$L$670,7,0)</f>
        <v>11</v>
      </c>
      <c r="I44" s="5">
        <f>VLOOKUP($B44,'Master File June-26'!$C$3:$L$670,8,0)</f>
        <v>14</v>
      </c>
      <c r="J44" s="23">
        <f>VLOOKUP($B44,'Master File June-26'!$C$3:$L$670,9,0)</f>
        <v>5.5</v>
      </c>
      <c r="K44" s="58">
        <f>VLOOKUP($B44,'Master File June-26'!$C$3:$L$670,10,0)</f>
        <v>0</v>
      </c>
      <c r="L44" s="24">
        <f t="shared" si="1"/>
        <v>0</v>
      </c>
      <c r="M44" s="25" t="s">
        <v>1595</v>
      </c>
      <c r="N44" s="25" t="s">
        <v>1596</v>
      </c>
      <c r="O44" s="79">
        <v>0</v>
      </c>
    </row>
    <row r="45" spans="1:15" ht="18.75" x14ac:dyDescent="0.25">
      <c r="A45" s="39">
        <v>301</v>
      </c>
      <c r="B45" s="39" t="s">
        <v>321</v>
      </c>
      <c r="C45" s="34" t="s">
        <v>322</v>
      </c>
      <c r="D45" s="34" t="s">
        <v>78</v>
      </c>
      <c r="E45" s="5" t="s">
        <v>49</v>
      </c>
      <c r="F45" s="21">
        <v>1</v>
      </c>
      <c r="G45" s="22">
        <f>VLOOKUP($B45,'Master File June-26'!$C$3:$L$670,6,0)</f>
        <v>11</v>
      </c>
      <c r="H45" s="22">
        <f>VLOOKUP($B45,'Master File June-26'!$C$3:$L$670,7,0)</f>
        <v>11</v>
      </c>
      <c r="I45" s="5">
        <f>VLOOKUP($B45,'Master File June-26'!$C$3:$L$670,8,0)</f>
        <v>14</v>
      </c>
      <c r="J45" s="23">
        <f>VLOOKUP($B45,'Master File June-26'!$C$3:$L$670,9,0)</f>
        <v>5.5</v>
      </c>
      <c r="K45" s="58">
        <f>VLOOKUP($B45,'Master File June-26'!$C$3:$L$670,10,0)</f>
        <v>0</v>
      </c>
      <c r="L45" s="24">
        <f t="shared" si="1"/>
        <v>0</v>
      </c>
      <c r="M45" s="25" t="s">
        <v>1595</v>
      </c>
      <c r="N45" s="25" t="s">
        <v>1596</v>
      </c>
      <c r="O45" s="79">
        <v>0</v>
      </c>
    </row>
    <row r="46" spans="1:15" ht="18.75" x14ac:dyDescent="0.25">
      <c r="A46" s="39">
        <v>302</v>
      </c>
      <c r="B46" s="39" t="s">
        <v>323</v>
      </c>
      <c r="C46" s="34" t="s">
        <v>324</v>
      </c>
      <c r="D46" s="34" t="s">
        <v>78</v>
      </c>
      <c r="E46" s="5" t="s">
        <v>49</v>
      </c>
      <c r="F46" s="21">
        <v>1</v>
      </c>
      <c r="G46" s="22">
        <f>VLOOKUP($B46,'Master File June-26'!$C$3:$L$670,6,0)</f>
        <v>11</v>
      </c>
      <c r="H46" s="22">
        <f>VLOOKUP($B46,'Master File June-26'!$C$3:$L$670,7,0)</f>
        <v>11</v>
      </c>
      <c r="I46" s="5">
        <f>VLOOKUP($B46,'Master File June-26'!$C$3:$L$670,8,0)</f>
        <v>14</v>
      </c>
      <c r="J46" s="23">
        <f>VLOOKUP($B46,'Master File June-26'!$C$3:$L$670,9,0)</f>
        <v>5.5</v>
      </c>
      <c r="K46" s="58">
        <f>VLOOKUP($B46,'Master File June-26'!$C$3:$L$670,10,0)</f>
        <v>0</v>
      </c>
      <c r="L46" s="24">
        <f t="shared" si="1"/>
        <v>0</v>
      </c>
      <c r="M46" s="25" t="s">
        <v>1595</v>
      </c>
      <c r="N46" s="25" t="s">
        <v>1596</v>
      </c>
      <c r="O46" s="79">
        <v>0</v>
      </c>
    </row>
    <row r="47" spans="1:15" ht="18.75" x14ac:dyDescent="0.25">
      <c r="A47" s="39">
        <v>304</v>
      </c>
      <c r="B47" s="39" t="s">
        <v>325</v>
      </c>
      <c r="C47" s="34" t="s">
        <v>326</v>
      </c>
      <c r="D47" s="34" t="s">
        <v>78</v>
      </c>
      <c r="E47" s="5" t="s">
        <v>49</v>
      </c>
      <c r="F47" s="21">
        <v>1</v>
      </c>
      <c r="G47" s="22">
        <f>VLOOKUP($B47,'Master File June-26'!$C$3:$L$670,6,0)</f>
        <v>11</v>
      </c>
      <c r="H47" s="22">
        <f>VLOOKUP($B47,'Master File June-26'!$C$3:$L$670,7,0)</f>
        <v>11</v>
      </c>
      <c r="I47" s="5">
        <f>VLOOKUP($B47,'Master File June-26'!$C$3:$L$670,8,0)</f>
        <v>14</v>
      </c>
      <c r="J47" s="23">
        <f>VLOOKUP($B47,'Master File June-26'!$C$3:$L$670,9,0)</f>
        <v>5.5</v>
      </c>
      <c r="K47" s="58">
        <f>VLOOKUP($B47,'Master File June-26'!$C$3:$L$670,10,0)</f>
        <v>0</v>
      </c>
      <c r="L47" s="24">
        <f t="shared" si="1"/>
        <v>0</v>
      </c>
      <c r="M47" s="25" t="s">
        <v>1595</v>
      </c>
      <c r="N47" s="25" t="s">
        <v>1596</v>
      </c>
      <c r="O47" s="79">
        <v>0</v>
      </c>
    </row>
    <row r="48" spans="1:15" ht="18.75" x14ac:dyDescent="0.25">
      <c r="A48" s="39">
        <v>305</v>
      </c>
      <c r="B48" s="39" t="s">
        <v>327</v>
      </c>
      <c r="C48" s="28" t="s">
        <v>328</v>
      </c>
      <c r="D48" s="28" t="s">
        <v>78</v>
      </c>
      <c r="E48" s="5" t="s">
        <v>49</v>
      </c>
      <c r="F48" s="21">
        <v>1</v>
      </c>
      <c r="G48" s="22">
        <f>VLOOKUP($B48,'Master File June-26'!$C$3:$L$670,6,0)</f>
        <v>22</v>
      </c>
      <c r="H48" s="22">
        <f>VLOOKUP($B48,'Master File June-26'!$C$3:$L$670,7,0)</f>
        <v>22</v>
      </c>
      <c r="I48" s="5">
        <f>VLOOKUP($B48,'Master File June-26'!$C$3:$L$670,8,0)</f>
        <v>14</v>
      </c>
      <c r="J48" s="23">
        <f>VLOOKUP($B48,'Master File June-26'!$C$3:$L$670,9,0)</f>
        <v>11</v>
      </c>
      <c r="K48" s="58">
        <f>VLOOKUP($B48,'Master File June-26'!$C$3:$L$670,10,0)</f>
        <v>0</v>
      </c>
      <c r="L48" s="24">
        <f t="shared" si="1"/>
        <v>0</v>
      </c>
      <c r="M48" s="25" t="s">
        <v>1595</v>
      </c>
      <c r="N48" s="25" t="s">
        <v>1596</v>
      </c>
      <c r="O48" s="79">
        <v>0</v>
      </c>
    </row>
    <row r="49" spans="1:15" ht="18.75" x14ac:dyDescent="0.25">
      <c r="A49" s="39">
        <v>306</v>
      </c>
      <c r="B49" s="39" t="s">
        <v>329</v>
      </c>
      <c r="C49" s="28" t="s">
        <v>330</v>
      </c>
      <c r="D49" s="28" t="s">
        <v>78</v>
      </c>
      <c r="E49" s="5" t="s">
        <v>49</v>
      </c>
      <c r="F49" s="21">
        <v>1</v>
      </c>
      <c r="G49" s="22">
        <f>VLOOKUP($B49,'Master File June-26'!$C$3:$L$670,6,0)</f>
        <v>0</v>
      </c>
      <c r="H49" s="22">
        <f>VLOOKUP($B49,'Master File June-26'!$C$3:$L$670,7,0)</f>
        <v>0</v>
      </c>
      <c r="I49" s="5">
        <f>VLOOKUP($B49,'Master File June-26'!$C$3:$L$670,8,0)</f>
        <v>14</v>
      </c>
      <c r="J49" s="23">
        <f>VLOOKUP($B49,'Master File June-26'!$C$3:$L$670,9,0)</f>
        <v>0</v>
      </c>
      <c r="K49" s="58">
        <f>VLOOKUP($B49,'Master File June-26'!$C$3:$L$670,10,0)</f>
        <v>0</v>
      </c>
      <c r="L49" s="24">
        <f t="shared" si="1"/>
        <v>0</v>
      </c>
      <c r="M49" s="25" t="s">
        <v>1595</v>
      </c>
      <c r="N49" s="25" t="s">
        <v>1596</v>
      </c>
      <c r="O49" s="79">
        <v>1</v>
      </c>
    </row>
    <row r="50" spans="1:15" ht="18.75" x14ac:dyDescent="0.25">
      <c r="A50" s="39">
        <v>307</v>
      </c>
      <c r="B50" s="39" t="s">
        <v>331</v>
      </c>
      <c r="C50" s="28" t="s">
        <v>332</v>
      </c>
      <c r="D50" s="78" t="s">
        <v>78</v>
      </c>
      <c r="E50" s="5" t="s">
        <v>49</v>
      </c>
      <c r="F50" s="21">
        <v>1</v>
      </c>
      <c r="G50" s="22">
        <f>VLOOKUP($B50,'Master File June-26'!$C$3:$L$670,6,0)</f>
        <v>0</v>
      </c>
      <c r="H50" s="22">
        <f>VLOOKUP($B50,'Master File June-26'!$C$3:$L$670,7,0)</f>
        <v>0</v>
      </c>
      <c r="I50" s="5">
        <f>VLOOKUP($B50,'Master File June-26'!$C$3:$L$670,8,0)</f>
        <v>14</v>
      </c>
      <c r="J50" s="23">
        <f>VLOOKUP($B50,'Master File June-26'!$C$3:$L$670,9,0)</f>
        <v>0</v>
      </c>
      <c r="K50" s="58">
        <f>VLOOKUP($B50,'Master File June-26'!$C$3:$L$670,10,0)</f>
        <v>0</v>
      </c>
      <c r="L50" s="24">
        <f t="shared" si="1"/>
        <v>0</v>
      </c>
      <c r="M50" s="25" t="s">
        <v>1595</v>
      </c>
      <c r="N50" s="25" t="s">
        <v>1596</v>
      </c>
      <c r="O50" s="79">
        <v>1</v>
      </c>
    </row>
    <row r="51" spans="1:15" ht="18.75" x14ac:dyDescent="0.25">
      <c r="A51" s="39">
        <v>308</v>
      </c>
      <c r="B51" s="39" t="s">
        <v>333</v>
      </c>
      <c r="C51" s="28" t="s">
        <v>334</v>
      </c>
      <c r="D51" s="28" t="s">
        <v>160</v>
      </c>
      <c r="E51" s="5" t="s">
        <v>49</v>
      </c>
      <c r="F51" s="21">
        <v>1</v>
      </c>
      <c r="G51" s="22">
        <f>VLOOKUP($B51,'Master File June-26'!$C$3:$L$670,6,0)</f>
        <v>8</v>
      </c>
      <c r="H51" s="22">
        <f>VLOOKUP($B51,'Master File June-26'!$C$3:$L$670,7,0)</f>
        <v>8</v>
      </c>
      <c r="I51" s="5">
        <f>VLOOKUP($B51,'Master File June-26'!$C$3:$L$670,8,0)</f>
        <v>14</v>
      </c>
      <c r="J51" s="23">
        <f>VLOOKUP($B51,'Master File June-26'!$C$3:$L$670,9,0)</f>
        <v>4</v>
      </c>
      <c r="K51" s="58">
        <f>VLOOKUP($B51,'Master File June-26'!$C$3:$L$670,10,0)</f>
        <v>1</v>
      </c>
      <c r="L51" s="24">
        <f t="shared" si="1"/>
        <v>3.75</v>
      </c>
      <c r="M51" s="25" t="s">
        <v>1595</v>
      </c>
      <c r="N51" s="25" t="s">
        <v>1596</v>
      </c>
      <c r="O51" s="79">
        <v>0</v>
      </c>
    </row>
    <row r="52" spans="1:15" ht="18.75" x14ac:dyDescent="0.25">
      <c r="A52" s="39">
        <v>309</v>
      </c>
      <c r="B52" s="39" t="s">
        <v>335</v>
      </c>
      <c r="C52" s="28" t="s">
        <v>336</v>
      </c>
      <c r="D52" s="28" t="s">
        <v>160</v>
      </c>
      <c r="E52" s="5" t="s">
        <v>49</v>
      </c>
      <c r="F52" s="21">
        <v>1</v>
      </c>
      <c r="G52" s="22">
        <f>VLOOKUP($B52,'Master File June-26'!$C$3:$L$670,6,0)</f>
        <v>0</v>
      </c>
      <c r="H52" s="22">
        <f>VLOOKUP($B52,'Master File June-26'!$C$3:$L$670,7,0)</f>
        <v>0</v>
      </c>
      <c r="I52" s="5">
        <f>VLOOKUP($B52,'Master File June-26'!$C$3:$L$670,8,0)</f>
        <v>14</v>
      </c>
      <c r="J52" s="23">
        <f>VLOOKUP($B52,'Master File June-26'!$C$3:$L$670,9,0)</f>
        <v>0</v>
      </c>
      <c r="K52" s="58">
        <f>VLOOKUP($B52,'Master File June-26'!$C$3:$L$670,10,0)</f>
        <v>0</v>
      </c>
      <c r="L52" s="24">
        <f t="shared" si="1"/>
        <v>0</v>
      </c>
      <c r="M52" s="25" t="s">
        <v>1595</v>
      </c>
      <c r="N52" s="25" t="s">
        <v>1596</v>
      </c>
      <c r="O52" s="79">
        <v>1</v>
      </c>
    </row>
    <row r="53" spans="1:15" ht="18.75" x14ac:dyDescent="0.25">
      <c r="A53" s="39">
        <v>310</v>
      </c>
      <c r="B53" s="39" t="s">
        <v>337</v>
      </c>
      <c r="C53" s="28" t="s">
        <v>338</v>
      </c>
      <c r="D53" s="28" t="s">
        <v>78</v>
      </c>
      <c r="E53" s="5" t="s">
        <v>49</v>
      </c>
      <c r="F53" s="21">
        <v>1</v>
      </c>
      <c r="G53" s="22">
        <f>VLOOKUP($B53,'Master File June-26'!$C$3:$L$670,6,0)</f>
        <v>8</v>
      </c>
      <c r="H53" s="22">
        <f>VLOOKUP($B53,'Master File June-26'!$C$3:$L$670,7,0)</f>
        <v>8</v>
      </c>
      <c r="I53" s="5">
        <f>VLOOKUP($B53,'Master File June-26'!$C$3:$L$670,8,0)</f>
        <v>14</v>
      </c>
      <c r="J53" s="23">
        <f>VLOOKUP($B53,'Master File June-26'!$C$3:$L$670,9,0)</f>
        <v>4</v>
      </c>
      <c r="K53" s="58">
        <f>VLOOKUP($B53,'Master File June-26'!$C$3:$L$670,10,0)</f>
        <v>0</v>
      </c>
      <c r="L53" s="24">
        <f t="shared" si="1"/>
        <v>0</v>
      </c>
      <c r="M53" s="25" t="s">
        <v>1595</v>
      </c>
      <c r="N53" s="25" t="s">
        <v>1596</v>
      </c>
      <c r="O53" s="79">
        <v>0</v>
      </c>
    </row>
    <row r="54" spans="1:15" ht="18.75" x14ac:dyDescent="0.25">
      <c r="A54" s="39">
        <v>311</v>
      </c>
      <c r="B54" s="39" t="s">
        <v>340</v>
      </c>
      <c r="C54" s="28" t="s">
        <v>341</v>
      </c>
      <c r="D54" s="28" t="s">
        <v>78</v>
      </c>
      <c r="E54" s="5" t="s">
        <v>49</v>
      </c>
      <c r="F54" s="21">
        <v>1</v>
      </c>
      <c r="G54" s="22">
        <f>VLOOKUP($B54,'Master File June-26'!$C$3:$L$670,6,0)</f>
        <v>200</v>
      </c>
      <c r="H54" s="22">
        <f>VLOOKUP($B54,'Master File June-26'!$C$3:$L$670,7,0)</f>
        <v>200</v>
      </c>
      <c r="I54" s="5">
        <f>VLOOKUP($B54,'Master File June-26'!$C$3:$L$670,8,0)</f>
        <v>14</v>
      </c>
      <c r="J54" s="23">
        <f>VLOOKUP($B54,'Master File June-26'!$C$3:$L$670,9,0)</f>
        <v>100</v>
      </c>
      <c r="K54" s="58">
        <f>VLOOKUP($B54,'Master File June-26'!$C$3:$L$670,10,0)</f>
        <v>0</v>
      </c>
      <c r="L54" s="24">
        <f t="shared" si="1"/>
        <v>0</v>
      </c>
      <c r="M54" s="25" t="s">
        <v>1595</v>
      </c>
      <c r="N54" s="25" t="s">
        <v>1596</v>
      </c>
      <c r="O54" s="79">
        <v>0</v>
      </c>
    </row>
    <row r="55" spans="1:15" ht="18.75" x14ac:dyDescent="0.25">
      <c r="A55" s="39">
        <v>312</v>
      </c>
      <c r="B55" s="39" t="s">
        <v>342</v>
      </c>
      <c r="C55" s="28" t="s">
        <v>343</v>
      </c>
      <c r="D55" s="28" t="s">
        <v>78</v>
      </c>
      <c r="E55" s="5" t="s">
        <v>49</v>
      </c>
      <c r="F55" s="21">
        <v>1</v>
      </c>
      <c r="G55" s="22">
        <f>VLOOKUP($B55,'Master File June-26'!$C$3:$L$670,6,0)</f>
        <v>200</v>
      </c>
      <c r="H55" s="22">
        <f>VLOOKUP($B55,'Master File June-26'!$C$3:$L$670,7,0)</f>
        <v>200</v>
      </c>
      <c r="I55" s="5">
        <f>VLOOKUP($B55,'Master File June-26'!$C$3:$L$670,8,0)</f>
        <v>14</v>
      </c>
      <c r="J55" s="23">
        <f>VLOOKUP($B55,'Master File June-26'!$C$3:$L$670,9,0)</f>
        <v>100</v>
      </c>
      <c r="K55" s="58">
        <f>VLOOKUP($B55,'Master File June-26'!$C$3:$L$670,10,0)</f>
        <v>0</v>
      </c>
      <c r="L55" s="24">
        <f t="shared" si="1"/>
        <v>0</v>
      </c>
      <c r="M55" s="25" t="s">
        <v>1595</v>
      </c>
      <c r="N55" s="25" t="s">
        <v>1596</v>
      </c>
      <c r="O55" s="79">
        <v>0</v>
      </c>
    </row>
    <row r="56" spans="1:15" ht="18.75" x14ac:dyDescent="0.25">
      <c r="A56" s="39">
        <v>315</v>
      </c>
      <c r="B56" s="39" t="s">
        <v>344</v>
      </c>
      <c r="C56" s="28" t="s">
        <v>345</v>
      </c>
      <c r="D56" s="28" t="s">
        <v>346</v>
      </c>
      <c r="E56" s="5" t="s">
        <v>22</v>
      </c>
      <c r="F56" s="21">
        <v>0.1</v>
      </c>
      <c r="G56" s="22">
        <f>VLOOKUP($B56,'Master File June-26'!$C$3:$L$670,6,0)</f>
        <v>8</v>
      </c>
      <c r="H56" s="22">
        <f>VLOOKUP($B56,'Master File June-26'!$C$3:$L$670,7,0)</f>
        <v>80</v>
      </c>
      <c r="I56" s="5">
        <f>VLOOKUP($B56,'Master File June-26'!$C$3:$L$670,8,0)</f>
        <v>14</v>
      </c>
      <c r="J56" s="23">
        <f>VLOOKUP($B56,'Master File June-26'!$C$3:$L$670,9,0)</f>
        <v>40</v>
      </c>
      <c r="K56" s="58">
        <f>VLOOKUP($B56,'Master File June-26'!$C$3:$L$670,10,0)</f>
        <v>0</v>
      </c>
      <c r="L56" s="24">
        <f t="shared" si="1"/>
        <v>0</v>
      </c>
      <c r="M56" s="25" t="s">
        <v>1595</v>
      </c>
      <c r="N56" s="25" t="s">
        <v>1596</v>
      </c>
      <c r="O56" s="79">
        <v>0</v>
      </c>
    </row>
    <row r="57" spans="1:15" ht="18.75" x14ac:dyDescent="0.25">
      <c r="A57" s="39">
        <v>316</v>
      </c>
      <c r="B57" s="39" t="s">
        <v>347</v>
      </c>
      <c r="C57" s="28" t="s">
        <v>348</v>
      </c>
      <c r="D57" s="28" t="s">
        <v>349</v>
      </c>
      <c r="E57" s="5" t="s">
        <v>22</v>
      </c>
      <c r="F57" s="21">
        <v>2.7777777777777776E-2</v>
      </c>
      <c r="G57" s="22">
        <f>VLOOKUP($B57,'Master File June-26'!$C$3:$L$670,6,0)</f>
        <v>0</v>
      </c>
      <c r="H57" s="22">
        <f>VLOOKUP($B57,'Master File June-26'!$C$3:$L$670,7,0)</f>
        <v>0</v>
      </c>
      <c r="I57" s="5">
        <f>VLOOKUP($B57,'Master File June-26'!$C$3:$L$670,8,0)</f>
        <v>14</v>
      </c>
      <c r="J57" s="23">
        <f>VLOOKUP($B57,'Master File June-26'!$C$3:$L$670,9,0)</f>
        <v>0</v>
      </c>
      <c r="K57" s="58">
        <f>VLOOKUP($B57,'Master File June-26'!$C$3:$L$670,10,0)</f>
        <v>0</v>
      </c>
      <c r="L57" s="24">
        <f t="shared" si="1"/>
        <v>0</v>
      </c>
      <c r="M57" s="25" t="s">
        <v>1595</v>
      </c>
      <c r="N57" s="25" t="s">
        <v>1596</v>
      </c>
      <c r="O57" s="79">
        <v>1</v>
      </c>
    </row>
    <row r="58" spans="1:15" ht="18.75" x14ac:dyDescent="0.25">
      <c r="A58" s="39">
        <v>317</v>
      </c>
      <c r="B58" s="39" t="s">
        <v>350</v>
      </c>
      <c r="C58" s="28" t="s">
        <v>351</v>
      </c>
      <c r="D58" s="28" t="s">
        <v>352</v>
      </c>
      <c r="E58" s="5" t="s">
        <v>22</v>
      </c>
      <c r="F58" s="21">
        <v>0.1</v>
      </c>
      <c r="G58" s="22">
        <f>VLOOKUP($B58,'Master File June-26'!$C$3:$L$670,6,0)</f>
        <v>1</v>
      </c>
      <c r="H58" s="22">
        <f>VLOOKUP($B58,'Master File June-26'!$C$3:$L$670,7,0)</f>
        <v>10</v>
      </c>
      <c r="I58" s="5">
        <f>VLOOKUP($B58,'Master File June-26'!$C$3:$L$670,8,0)</f>
        <v>14</v>
      </c>
      <c r="J58" s="23">
        <f>VLOOKUP($B58,'Master File June-26'!$C$3:$L$670,9,0)</f>
        <v>5</v>
      </c>
      <c r="K58" s="58">
        <f>VLOOKUP($B58,'Master File June-26'!$C$3:$L$670,10,0)</f>
        <v>0</v>
      </c>
      <c r="L58" s="24">
        <f t="shared" si="1"/>
        <v>0</v>
      </c>
      <c r="M58" s="25" t="s">
        <v>1595</v>
      </c>
      <c r="N58" s="25" t="s">
        <v>1596</v>
      </c>
      <c r="O58" s="79">
        <v>0</v>
      </c>
    </row>
    <row r="59" spans="1:15" ht="18.75" x14ac:dyDescent="0.25">
      <c r="A59" s="39">
        <v>318</v>
      </c>
      <c r="B59" s="39" t="s">
        <v>353</v>
      </c>
      <c r="C59" s="28" t="s">
        <v>354</v>
      </c>
      <c r="D59" s="28" t="s">
        <v>78</v>
      </c>
      <c r="E59" s="5" t="s">
        <v>49</v>
      </c>
      <c r="F59" s="21">
        <v>1</v>
      </c>
      <c r="G59" s="22">
        <f>VLOOKUP($B59,'Master File June-26'!$C$3:$L$670,6,0)</f>
        <v>0</v>
      </c>
      <c r="H59" s="22">
        <f>VLOOKUP($B59,'Master File June-26'!$C$3:$L$670,7,0)</f>
        <v>0</v>
      </c>
      <c r="I59" s="5">
        <f>VLOOKUP($B59,'Master File June-26'!$C$3:$L$670,8,0)</f>
        <v>14</v>
      </c>
      <c r="J59" s="23">
        <f>VLOOKUP($B59,'Master File June-26'!$C$3:$L$670,9,0)</f>
        <v>0</v>
      </c>
      <c r="K59" s="58">
        <f>VLOOKUP($B59,'Master File June-26'!$C$3:$L$670,10,0)</f>
        <v>0</v>
      </c>
      <c r="L59" s="24">
        <f t="shared" si="1"/>
        <v>0</v>
      </c>
      <c r="M59" s="25" t="s">
        <v>1595</v>
      </c>
      <c r="N59" s="25" t="s">
        <v>1596</v>
      </c>
      <c r="O59" s="79">
        <v>1</v>
      </c>
    </row>
    <row r="60" spans="1:15" ht="18.75" x14ac:dyDescent="0.25">
      <c r="A60" s="39">
        <v>319</v>
      </c>
      <c r="B60" s="39" t="s">
        <v>355</v>
      </c>
      <c r="C60" s="28" t="s">
        <v>356</v>
      </c>
      <c r="D60" s="28" t="s">
        <v>49</v>
      </c>
      <c r="E60" s="5" t="s">
        <v>49</v>
      </c>
      <c r="F60" s="21">
        <v>1</v>
      </c>
      <c r="G60" s="22">
        <f>VLOOKUP($B60,'Master File June-26'!$C$3:$L$670,6,0)</f>
        <v>30</v>
      </c>
      <c r="H60" s="22">
        <f>VLOOKUP($B60,'Master File June-26'!$C$3:$L$670,7,0)</f>
        <v>30</v>
      </c>
      <c r="I60" s="5">
        <f>VLOOKUP($B60,'Master File June-26'!$C$3:$L$670,8,0)</f>
        <v>14</v>
      </c>
      <c r="J60" s="23">
        <f>VLOOKUP($B60,'Master File June-26'!$C$3:$L$670,9,0)</f>
        <v>15</v>
      </c>
      <c r="K60" s="58">
        <f>VLOOKUP($B60,'Master File June-26'!$C$3:$L$670,10,0)</f>
        <v>0</v>
      </c>
      <c r="L60" s="24">
        <f t="shared" si="1"/>
        <v>0</v>
      </c>
      <c r="M60" s="25" t="s">
        <v>1595</v>
      </c>
      <c r="N60" s="25" t="s">
        <v>1596</v>
      </c>
      <c r="O60" s="79">
        <v>0</v>
      </c>
    </row>
    <row r="61" spans="1:15" ht="18.75" x14ac:dyDescent="0.25">
      <c r="A61" s="39">
        <v>321</v>
      </c>
      <c r="B61" s="39" t="s">
        <v>357</v>
      </c>
      <c r="C61" s="28" t="s">
        <v>358</v>
      </c>
      <c r="D61" s="28" t="s">
        <v>180</v>
      </c>
      <c r="E61" s="5" t="s">
        <v>22</v>
      </c>
      <c r="F61" s="21">
        <v>1E-3</v>
      </c>
      <c r="G61" s="22">
        <f>VLOOKUP($B61,'Master File June-26'!$C$3:$L$670,6,0)</f>
        <v>5</v>
      </c>
      <c r="H61" s="22">
        <f>VLOOKUP($B61,'Master File June-26'!$C$3:$L$670,7,0)</f>
        <v>5000</v>
      </c>
      <c r="I61" s="5">
        <f>VLOOKUP($B61,'Master File June-26'!$C$3:$L$670,8,0)</f>
        <v>14</v>
      </c>
      <c r="J61" s="23">
        <f>VLOOKUP($B61,'Master File June-26'!$C$3:$L$670,9,0)</f>
        <v>2500</v>
      </c>
      <c r="K61" s="58">
        <f>VLOOKUP($B61,'Master File June-26'!$C$3:$L$670,10,0)</f>
        <v>0</v>
      </c>
      <c r="L61" s="24">
        <f t="shared" si="1"/>
        <v>0</v>
      </c>
      <c r="M61" s="25" t="s">
        <v>1595</v>
      </c>
      <c r="N61" s="25" t="s">
        <v>1596</v>
      </c>
      <c r="O61" s="79">
        <v>0</v>
      </c>
    </row>
    <row r="62" spans="1:15" ht="18.75" x14ac:dyDescent="0.25">
      <c r="A62" s="39">
        <v>322</v>
      </c>
      <c r="B62" s="39" t="s">
        <v>359</v>
      </c>
      <c r="C62" s="28" t="s">
        <v>360</v>
      </c>
      <c r="D62" s="28" t="s">
        <v>160</v>
      </c>
      <c r="E62" s="5" t="s">
        <v>49</v>
      </c>
      <c r="F62" s="21">
        <v>1</v>
      </c>
      <c r="G62" s="22">
        <f>VLOOKUP($B62,'Master File June-26'!$C$3:$L$670,6,0)</f>
        <v>5</v>
      </c>
      <c r="H62" s="22">
        <f>VLOOKUP($B62,'Master File June-26'!$C$3:$L$670,7,0)</f>
        <v>5</v>
      </c>
      <c r="I62" s="5">
        <f>VLOOKUP($B62,'Master File June-26'!$C$3:$L$670,8,0)</f>
        <v>14</v>
      </c>
      <c r="J62" s="23">
        <f>VLOOKUP($B62,'Master File June-26'!$C$3:$L$670,9,0)</f>
        <v>2.5</v>
      </c>
      <c r="K62" s="58">
        <f>VLOOKUP($B62,'Master File June-26'!$C$3:$L$670,10,0)</f>
        <v>0</v>
      </c>
      <c r="L62" s="24">
        <f t="shared" si="1"/>
        <v>0</v>
      </c>
      <c r="M62" s="25" t="s">
        <v>1595</v>
      </c>
      <c r="N62" s="25" t="s">
        <v>1596</v>
      </c>
      <c r="O62" s="79">
        <v>0</v>
      </c>
    </row>
    <row r="63" spans="1:15" ht="18.75" x14ac:dyDescent="0.25">
      <c r="A63" s="39">
        <v>324</v>
      </c>
      <c r="B63" s="39" t="s">
        <v>362</v>
      </c>
      <c r="C63" s="28" t="s">
        <v>363</v>
      </c>
      <c r="D63" s="28" t="s">
        <v>364</v>
      </c>
      <c r="E63" s="5" t="s">
        <v>22</v>
      </c>
      <c r="F63" s="21">
        <v>2E-3</v>
      </c>
      <c r="G63" s="22">
        <f>VLOOKUP($B63,'Master File June-26'!$C$3:$L$670,6,0)</f>
        <v>6</v>
      </c>
      <c r="H63" s="22">
        <f>VLOOKUP($B63,'Master File June-26'!$C$3:$L$670,7,0)</f>
        <v>3000</v>
      </c>
      <c r="I63" s="5">
        <f>VLOOKUP($B63,'Master File June-26'!$C$3:$L$670,8,0)</f>
        <v>14</v>
      </c>
      <c r="J63" s="23">
        <f>VLOOKUP($B63,'Master File June-26'!$C$3:$L$670,9,0)</f>
        <v>1500</v>
      </c>
      <c r="K63" s="58">
        <f>VLOOKUP($B63,'Master File June-26'!$C$3:$L$670,10,0)</f>
        <v>0</v>
      </c>
      <c r="L63" s="24">
        <f t="shared" si="1"/>
        <v>0</v>
      </c>
      <c r="M63" s="25" t="s">
        <v>1595</v>
      </c>
      <c r="N63" s="25" t="s">
        <v>1596</v>
      </c>
      <c r="O63" s="79">
        <v>0</v>
      </c>
    </row>
    <row r="64" spans="1:15" ht="18.75" x14ac:dyDescent="0.25">
      <c r="A64" s="39">
        <v>327</v>
      </c>
      <c r="B64" s="39" t="s">
        <v>365</v>
      </c>
      <c r="C64" s="40" t="s">
        <v>366</v>
      </c>
      <c r="D64" s="34" t="s">
        <v>22</v>
      </c>
      <c r="E64" s="5" t="s">
        <v>22</v>
      </c>
      <c r="F64" s="21">
        <v>1</v>
      </c>
      <c r="G64" s="22">
        <f>VLOOKUP($B64,'Master File June-26'!$C$3:$L$670,6,0)</f>
        <v>1</v>
      </c>
      <c r="H64" s="22">
        <f>VLOOKUP($B64,'Master File June-26'!$C$3:$L$670,7,0)</f>
        <v>1</v>
      </c>
      <c r="I64" s="5">
        <f>VLOOKUP($B64,'Master File June-26'!$C$3:$L$670,8,0)</f>
        <v>14</v>
      </c>
      <c r="J64" s="23">
        <f>VLOOKUP($B64,'Master File June-26'!$C$3:$L$670,9,0)</f>
        <v>0.5</v>
      </c>
      <c r="K64" s="58">
        <f>VLOOKUP($B64,'Master File June-26'!$C$3:$L$670,10,0)</f>
        <v>0</v>
      </c>
      <c r="L64" s="24">
        <f t="shared" si="1"/>
        <v>0</v>
      </c>
      <c r="M64" s="25" t="s">
        <v>1595</v>
      </c>
      <c r="N64" s="25" t="s">
        <v>1596</v>
      </c>
      <c r="O64" s="79">
        <v>0</v>
      </c>
    </row>
    <row r="65" spans="1:15" ht="18.75" x14ac:dyDescent="0.25">
      <c r="A65" s="39">
        <v>328</v>
      </c>
      <c r="B65" s="39" t="s">
        <v>367</v>
      </c>
      <c r="C65" s="40" t="s">
        <v>368</v>
      </c>
      <c r="D65" s="34" t="s">
        <v>22</v>
      </c>
      <c r="E65" s="5" t="s">
        <v>22</v>
      </c>
      <c r="F65" s="21">
        <v>1</v>
      </c>
      <c r="G65" s="22">
        <f>VLOOKUP($B65,'Master File June-26'!$C$3:$L$670,6,0)</f>
        <v>4</v>
      </c>
      <c r="H65" s="22">
        <f>VLOOKUP($B65,'Master File June-26'!$C$3:$L$670,7,0)</f>
        <v>4</v>
      </c>
      <c r="I65" s="5">
        <f>VLOOKUP($B65,'Master File June-26'!$C$3:$L$670,8,0)</f>
        <v>14</v>
      </c>
      <c r="J65" s="23">
        <f>VLOOKUP($B65,'Master File June-26'!$C$3:$L$670,9,0)</f>
        <v>2</v>
      </c>
      <c r="K65" s="58">
        <f>VLOOKUP($B65,'Master File June-26'!$C$3:$L$670,10,0)</f>
        <v>0</v>
      </c>
      <c r="L65" s="24">
        <f t="shared" si="1"/>
        <v>0</v>
      </c>
      <c r="M65" s="25" t="s">
        <v>1595</v>
      </c>
      <c r="N65" s="25" t="s">
        <v>1596</v>
      </c>
      <c r="O65" s="79">
        <v>0</v>
      </c>
    </row>
    <row r="66" spans="1:15" ht="18.75" x14ac:dyDescent="0.25">
      <c r="A66" s="39">
        <v>206</v>
      </c>
      <c r="B66" s="39" t="s">
        <v>667</v>
      </c>
      <c r="C66" s="28" t="s">
        <v>668</v>
      </c>
      <c r="D66" s="28" t="s">
        <v>78</v>
      </c>
      <c r="E66" s="5" t="s">
        <v>49</v>
      </c>
      <c r="F66" s="21">
        <v>1</v>
      </c>
      <c r="G66" s="22">
        <f>VLOOKUP($B66,'Master File June-26'!$C$3:$L$670,6,0)</f>
        <v>282.5</v>
      </c>
      <c r="H66" s="22">
        <f>VLOOKUP($B66,'Master File June-26'!$C$3:$L$670,7,0)</f>
        <v>282.5</v>
      </c>
      <c r="I66" s="5">
        <f>VLOOKUP($B66,'Master File June-26'!$C$3:$L$670,8,0)</f>
        <v>14</v>
      </c>
      <c r="J66" s="23">
        <f>VLOOKUP($B66,'Master File June-26'!$C$3:$L$670,9,0)</f>
        <v>141.25</v>
      </c>
      <c r="K66" s="58">
        <f>VLOOKUP($B66,'Master File June-26'!$C$3:$L$670,10,0)</f>
        <v>0</v>
      </c>
      <c r="L66" s="24">
        <f t="shared" si="1"/>
        <v>0</v>
      </c>
      <c r="M66" s="25" t="s">
        <v>1595</v>
      </c>
      <c r="N66" s="25" t="s">
        <v>1596</v>
      </c>
      <c r="O66" s="79">
        <v>0</v>
      </c>
    </row>
    <row r="67" spans="1:15" ht="18.75" x14ac:dyDescent="0.25">
      <c r="A67" s="39">
        <v>234</v>
      </c>
      <c r="B67" s="39" t="s">
        <v>669</v>
      </c>
      <c r="C67" s="28" t="s">
        <v>670</v>
      </c>
      <c r="D67" s="28" t="s">
        <v>126</v>
      </c>
      <c r="E67" s="5" t="s">
        <v>49</v>
      </c>
      <c r="F67" s="21">
        <v>1</v>
      </c>
      <c r="G67" s="22">
        <f>VLOOKUP($B67,'Master File June-26'!$C$3:$L$670,6,0)</f>
        <v>16.5</v>
      </c>
      <c r="H67" s="22">
        <f>VLOOKUP($B67,'Master File June-26'!$C$3:$L$670,7,0)</f>
        <v>16.5</v>
      </c>
      <c r="I67" s="5">
        <f>VLOOKUP($B67,'Master File June-26'!$C$3:$L$670,8,0)</f>
        <v>14</v>
      </c>
      <c r="J67" s="23">
        <f>VLOOKUP($B67,'Master File June-26'!$C$3:$L$670,9,0)</f>
        <v>8.25</v>
      </c>
      <c r="K67" s="58">
        <f>VLOOKUP($B67,'Master File June-26'!$C$3:$L$670,10,0)</f>
        <v>0</v>
      </c>
      <c r="L67" s="24">
        <f t="shared" ref="L67:L98" si="2">IFERROR((K67/H67*30),0)</f>
        <v>0</v>
      </c>
      <c r="M67" s="25" t="s">
        <v>1595</v>
      </c>
      <c r="N67" s="25" t="s">
        <v>1596</v>
      </c>
      <c r="O67" s="79">
        <v>0</v>
      </c>
    </row>
    <row r="68" spans="1:15" ht="18.75" x14ac:dyDescent="0.25">
      <c r="A68" s="39">
        <v>277</v>
      </c>
      <c r="B68" s="39" t="s">
        <v>671</v>
      </c>
      <c r="C68" s="34" t="s">
        <v>672</v>
      </c>
      <c r="D68" s="34" t="s">
        <v>78</v>
      </c>
      <c r="E68" s="5" t="s">
        <v>49</v>
      </c>
      <c r="F68" s="21">
        <v>1</v>
      </c>
      <c r="G68" s="22">
        <f>VLOOKUP($B68,'Master File June-26'!$C$3:$L$670,6,0)</f>
        <v>158.5</v>
      </c>
      <c r="H68" s="22">
        <f>VLOOKUP($B68,'Master File June-26'!$C$3:$L$670,7,0)</f>
        <v>158.5</v>
      </c>
      <c r="I68" s="5">
        <f>VLOOKUP($B68,'Master File June-26'!$C$3:$L$670,8,0)</f>
        <v>14</v>
      </c>
      <c r="J68" s="23">
        <f>VLOOKUP($B68,'Master File June-26'!$C$3:$L$670,9,0)</f>
        <v>79.25</v>
      </c>
      <c r="K68" s="58">
        <f>VLOOKUP($B68,'Master File June-26'!$C$3:$L$670,10,0)</f>
        <v>0</v>
      </c>
      <c r="L68" s="24">
        <f t="shared" si="2"/>
        <v>0</v>
      </c>
      <c r="M68" s="25" t="s">
        <v>1595</v>
      </c>
      <c r="N68" s="25" t="s">
        <v>1596</v>
      </c>
      <c r="O68" s="79">
        <v>0</v>
      </c>
    </row>
    <row r="69" spans="1:15" ht="18.75" x14ac:dyDescent="0.25">
      <c r="A69" s="39">
        <v>194</v>
      </c>
      <c r="B69" s="39" t="s">
        <v>673</v>
      </c>
      <c r="C69" s="28" t="s">
        <v>674</v>
      </c>
      <c r="D69" s="28" t="s">
        <v>675</v>
      </c>
      <c r="E69" s="5" t="s">
        <v>22</v>
      </c>
      <c r="F69" s="21">
        <v>0.1</v>
      </c>
      <c r="G69" s="22">
        <f>VLOOKUP($B69,'Master File June-26'!$C$3:$L$670,6,0)</f>
        <v>33</v>
      </c>
      <c r="H69" s="22">
        <f>VLOOKUP($B69,'Master File June-26'!$C$3:$L$670,7,0)</f>
        <v>330</v>
      </c>
      <c r="I69" s="5">
        <f>VLOOKUP($B69,'Master File June-26'!$C$3:$L$670,8,0)</f>
        <v>14</v>
      </c>
      <c r="J69" s="23">
        <f>VLOOKUP($B69,'Master File June-26'!$C$3:$L$670,9,0)</f>
        <v>165</v>
      </c>
      <c r="K69" s="58">
        <f>VLOOKUP($B69,'Master File June-26'!$C$3:$L$670,10,0)</f>
        <v>0</v>
      </c>
      <c r="L69" s="24">
        <f t="shared" si="2"/>
        <v>0</v>
      </c>
      <c r="M69" s="25" t="s">
        <v>1595</v>
      </c>
      <c r="N69" s="25" t="s">
        <v>1596</v>
      </c>
      <c r="O69" s="79">
        <v>0</v>
      </c>
    </row>
    <row r="70" spans="1:15" ht="18.75" x14ac:dyDescent="0.25">
      <c r="A70" s="39">
        <v>202</v>
      </c>
      <c r="B70" s="39" t="s">
        <v>676</v>
      </c>
      <c r="C70" s="28" t="s">
        <v>677</v>
      </c>
      <c r="D70" s="28" t="s">
        <v>160</v>
      </c>
      <c r="E70" s="5" t="s">
        <v>49</v>
      </c>
      <c r="F70" s="21">
        <v>1</v>
      </c>
      <c r="G70" s="22">
        <f>VLOOKUP($B70,'Master File June-26'!$C$3:$L$670,6,0)</f>
        <v>104.5</v>
      </c>
      <c r="H70" s="22">
        <f>VLOOKUP($B70,'Master File June-26'!$C$3:$L$670,7,0)</f>
        <v>104.5</v>
      </c>
      <c r="I70" s="5">
        <f>VLOOKUP($B70,'Master File June-26'!$C$3:$L$670,8,0)</f>
        <v>14</v>
      </c>
      <c r="J70" s="23">
        <f>VLOOKUP($B70,'Master File June-26'!$C$3:$L$670,9,0)</f>
        <v>52.25</v>
      </c>
      <c r="K70" s="58">
        <f>VLOOKUP($B70,'Master File June-26'!$C$3:$L$670,10,0)</f>
        <v>0</v>
      </c>
      <c r="L70" s="24">
        <f t="shared" si="2"/>
        <v>0</v>
      </c>
      <c r="M70" s="25" t="s">
        <v>1595</v>
      </c>
      <c r="N70" s="25" t="s">
        <v>1596</v>
      </c>
      <c r="O70" s="79">
        <v>0</v>
      </c>
    </row>
    <row r="71" spans="1:15" ht="18.75" x14ac:dyDescent="0.25">
      <c r="A71" s="39">
        <v>193</v>
      </c>
      <c r="B71" s="39" t="s">
        <v>678</v>
      </c>
      <c r="C71" s="28" t="s">
        <v>679</v>
      </c>
      <c r="D71" s="28" t="s">
        <v>160</v>
      </c>
      <c r="E71" s="67" t="s">
        <v>49</v>
      </c>
      <c r="F71" s="21">
        <v>1</v>
      </c>
      <c r="G71" s="22">
        <f>VLOOKUP($B71,'Master File June-26'!$C$3:$L$670,6,0)</f>
        <v>55</v>
      </c>
      <c r="H71" s="22">
        <f>VLOOKUP($B71,'Master File June-26'!$C$3:$L$670,7,0)</f>
        <v>55</v>
      </c>
      <c r="I71" s="5">
        <f>VLOOKUP($B71,'Master File June-26'!$C$3:$L$670,8,0)</f>
        <v>14</v>
      </c>
      <c r="J71" s="23">
        <f>VLOOKUP($B71,'Master File June-26'!$C$3:$L$670,9,0)</f>
        <v>27.5</v>
      </c>
      <c r="K71" s="58">
        <f>VLOOKUP($B71,'Master File June-26'!$C$3:$L$670,10,0)</f>
        <v>4</v>
      </c>
      <c r="L71" s="24">
        <f t="shared" si="2"/>
        <v>2.1818181818181817</v>
      </c>
      <c r="M71" s="25" t="s">
        <v>1595</v>
      </c>
      <c r="N71" s="25" t="s">
        <v>1596</v>
      </c>
      <c r="O71" s="79">
        <v>0</v>
      </c>
    </row>
    <row r="72" spans="1:15" ht="18.75" x14ac:dyDescent="0.25">
      <c r="A72" s="39">
        <v>207</v>
      </c>
      <c r="B72" s="39" t="s">
        <v>680</v>
      </c>
      <c r="C72" s="34" t="s">
        <v>681</v>
      </c>
      <c r="D72" s="34" t="s">
        <v>78</v>
      </c>
      <c r="E72" s="5" t="s">
        <v>49</v>
      </c>
      <c r="F72" s="21">
        <v>1</v>
      </c>
      <c r="G72" s="22">
        <f>VLOOKUP($B72,'Master File June-26'!$C$3:$L$670,6,0)</f>
        <v>110</v>
      </c>
      <c r="H72" s="22">
        <f>VLOOKUP($B72,'Master File June-26'!$C$3:$L$670,7,0)</f>
        <v>110</v>
      </c>
      <c r="I72" s="5">
        <f>VLOOKUP($B72,'Master File June-26'!$C$3:$L$670,8,0)</f>
        <v>14</v>
      </c>
      <c r="J72" s="23">
        <f>VLOOKUP($B72,'Master File June-26'!$C$3:$L$670,9,0)</f>
        <v>55</v>
      </c>
      <c r="K72" s="58">
        <f>VLOOKUP($B72,'Master File June-26'!$C$3:$L$670,10,0)</f>
        <v>0</v>
      </c>
      <c r="L72" s="24">
        <f t="shared" si="2"/>
        <v>0</v>
      </c>
      <c r="M72" s="25" t="s">
        <v>1595</v>
      </c>
      <c r="N72" s="25" t="s">
        <v>1596</v>
      </c>
      <c r="O72" s="79">
        <v>0</v>
      </c>
    </row>
    <row r="73" spans="1:15" ht="18.75" x14ac:dyDescent="0.25">
      <c r="A73" s="39">
        <v>208</v>
      </c>
      <c r="B73" s="39" t="s">
        <v>707</v>
      </c>
      <c r="C73" s="28" t="s">
        <v>708</v>
      </c>
      <c r="D73" s="27" t="s">
        <v>160</v>
      </c>
      <c r="E73" s="5" t="s">
        <v>49</v>
      </c>
      <c r="F73" s="21">
        <v>1</v>
      </c>
      <c r="G73" s="22">
        <f>VLOOKUP($B73,'Master File June-26'!$C$3:$L$670,6,0)</f>
        <v>55</v>
      </c>
      <c r="H73" s="22">
        <f>VLOOKUP($B73,'Master File June-26'!$C$3:$L$670,7,0)</f>
        <v>55</v>
      </c>
      <c r="I73" s="5">
        <f>VLOOKUP($B73,'Master File June-26'!$C$3:$L$670,8,0)</f>
        <v>14</v>
      </c>
      <c r="J73" s="23">
        <f>VLOOKUP($B73,'Master File June-26'!$C$3:$L$670,9,0)</f>
        <v>27.5</v>
      </c>
      <c r="K73" s="58">
        <f>VLOOKUP($B73,'Master File June-26'!$C$3:$L$670,10,0)</f>
        <v>0</v>
      </c>
      <c r="L73" s="24">
        <f t="shared" si="2"/>
        <v>0</v>
      </c>
      <c r="M73" s="25" t="s">
        <v>1595</v>
      </c>
      <c r="N73" s="25" t="s">
        <v>1596</v>
      </c>
      <c r="O73" s="79">
        <v>0</v>
      </c>
    </row>
    <row r="74" spans="1:15" ht="18.75" x14ac:dyDescent="0.25">
      <c r="A74" s="39">
        <v>257</v>
      </c>
      <c r="B74" s="39" t="s">
        <v>709</v>
      </c>
      <c r="C74" s="28" t="s">
        <v>710</v>
      </c>
      <c r="D74" s="27" t="s">
        <v>180</v>
      </c>
      <c r="E74" s="5" t="s">
        <v>22</v>
      </c>
      <c r="F74" s="21">
        <v>1E-3</v>
      </c>
      <c r="G74" s="22">
        <f>VLOOKUP($B74,'Master File June-26'!$C$3:$L$670,6,0)</f>
        <v>46</v>
      </c>
      <c r="H74" s="22">
        <f>VLOOKUP($B74,'Master File June-26'!$C$3:$L$670,7,0)</f>
        <v>46000</v>
      </c>
      <c r="I74" s="5">
        <f>VLOOKUP($B74,'Master File June-26'!$C$3:$L$670,8,0)</f>
        <v>14</v>
      </c>
      <c r="J74" s="23">
        <f>VLOOKUP($B74,'Master File June-26'!$C$3:$L$670,9,0)</f>
        <v>23000</v>
      </c>
      <c r="K74" s="58">
        <f>VLOOKUP($B74,'Master File June-26'!$C$3:$L$670,10,0)</f>
        <v>1050</v>
      </c>
      <c r="L74" s="24">
        <f t="shared" si="2"/>
        <v>0.68478260869565222</v>
      </c>
      <c r="M74" s="25" t="s">
        <v>1595</v>
      </c>
      <c r="N74" s="25" t="s">
        <v>1596</v>
      </c>
      <c r="O74" s="79">
        <v>0</v>
      </c>
    </row>
    <row r="75" spans="1:15" ht="18.75" x14ac:dyDescent="0.25">
      <c r="A75" s="39">
        <v>243</v>
      </c>
      <c r="B75" s="39" t="s">
        <v>704</v>
      </c>
      <c r="C75" s="28" t="s">
        <v>705</v>
      </c>
      <c r="D75" s="27" t="s">
        <v>706</v>
      </c>
      <c r="E75" s="5" t="s">
        <v>49</v>
      </c>
      <c r="F75" s="21">
        <v>1</v>
      </c>
      <c r="G75" s="22">
        <f>VLOOKUP($B75,'Master File June-26'!$C$3:$L$670,6,0)</f>
        <v>35</v>
      </c>
      <c r="H75" s="22">
        <f>VLOOKUP($B75,'Master File June-26'!$C$3:$L$670,7,0)</f>
        <v>35</v>
      </c>
      <c r="I75" s="5">
        <f>VLOOKUP($B75,'Master File June-26'!$C$3:$L$670,8,0)</f>
        <v>14</v>
      </c>
      <c r="J75" s="23">
        <f>VLOOKUP($B75,'Master File June-26'!$C$3:$L$670,9,0)</f>
        <v>17.5</v>
      </c>
      <c r="K75" s="58">
        <f>VLOOKUP($B75,'Master File June-26'!$C$3:$L$670,10,0)</f>
        <v>24.96</v>
      </c>
      <c r="L75" s="24">
        <f t="shared" si="2"/>
        <v>21.394285714285715</v>
      </c>
      <c r="M75" s="25" t="s">
        <v>1608</v>
      </c>
      <c r="N75" s="25" t="s">
        <v>1609</v>
      </c>
      <c r="O75" s="79">
        <v>1</v>
      </c>
    </row>
    <row r="76" spans="1:15" ht="18.75" x14ac:dyDescent="0.25">
      <c r="A76" s="39">
        <v>242</v>
      </c>
      <c r="B76" s="39" t="s">
        <v>711</v>
      </c>
      <c r="C76" s="28" t="s">
        <v>712</v>
      </c>
      <c r="D76" s="27" t="s">
        <v>706</v>
      </c>
      <c r="E76" s="5" t="s">
        <v>49</v>
      </c>
      <c r="F76" s="21">
        <v>1</v>
      </c>
      <c r="G76" s="22">
        <f>VLOOKUP($B76,'Master File June-26'!$C$3:$L$670,6,0)</f>
        <v>11</v>
      </c>
      <c r="H76" s="22">
        <f>VLOOKUP($B76,'Master File June-26'!$C$3:$L$670,7,0)</f>
        <v>11</v>
      </c>
      <c r="I76" s="5">
        <f>VLOOKUP($B76,'Master File June-26'!$C$3:$L$670,8,0)</f>
        <v>14</v>
      </c>
      <c r="J76" s="23">
        <f>VLOOKUP($B76,'Master File June-26'!$C$3:$L$670,9,0)</f>
        <v>5.5</v>
      </c>
      <c r="K76" s="58">
        <f>VLOOKUP($B76,'Master File June-26'!$C$3:$L$670,10,0)</f>
        <v>12</v>
      </c>
      <c r="L76" s="24">
        <f t="shared" si="2"/>
        <v>32.727272727272727</v>
      </c>
      <c r="M76" s="25" t="s">
        <v>1608</v>
      </c>
      <c r="N76" s="25" t="s">
        <v>1609</v>
      </c>
      <c r="O76" s="79">
        <v>1</v>
      </c>
    </row>
    <row r="77" spans="1:15" ht="18.75" x14ac:dyDescent="0.25">
      <c r="A77" s="39">
        <v>210</v>
      </c>
      <c r="B77" s="39" t="s">
        <v>721</v>
      </c>
      <c r="C77" s="28" t="s">
        <v>722</v>
      </c>
      <c r="D77" s="27" t="s">
        <v>254</v>
      </c>
      <c r="E77" s="5" t="s">
        <v>49</v>
      </c>
      <c r="F77" s="21">
        <v>1</v>
      </c>
      <c r="G77" s="22">
        <f>VLOOKUP($B77,'Master File June-26'!$C$3:$L$670,6,0)</f>
        <v>437.5</v>
      </c>
      <c r="H77" s="22">
        <f>VLOOKUP($B77,'Master File June-26'!$C$3:$L$670,7,0)</f>
        <v>437.5</v>
      </c>
      <c r="I77" s="5">
        <f>VLOOKUP($B77,'Master File June-26'!$C$3:$L$670,8,0)</f>
        <v>14</v>
      </c>
      <c r="J77" s="23">
        <f>VLOOKUP($B77,'Master File June-26'!$C$3:$L$670,9,0)</f>
        <v>218.75</v>
      </c>
      <c r="K77" s="58">
        <f>VLOOKUP($B77,'Master File June-26'!$C$3:$L$670,10,0)</f>
        <v>104</v>
      </c>
      <c r="L77" s="24">
        <f t="shared" si="2"/>
        <v>7.1314285714285717</v>
      </c>
      <c r="M77" s="25" t="s">
        <v>1595</v>
      </c>
      <c r="N77" s="25" t="s">
        <v>1596</v>
      </c>
      <c r="O77" s="79">
        <v>0</v>
      </c>
    </row>
    <row r="78" spans="1:15" ht="18.75" x14ac:dyDescent="0.25">
      <c r="A78" s="39">
        <v>211</v>
      </c>
      <c r="B78" s="39" t="s">
        <v>733</v>
      </c>
      <c r="C78" s="28" t="s">
        <v>734</v>
      </c>
      <c r="D78" s="27" t="s">
        <v>160</v>
      </c>
      <c r="E78" s="5" t="s">
        <v>49</v>
      </c>
      <c r="F78" s="21">
        <v>2.2222222222222223</v>
      </c>
      <c r="G78" s="22">
        <f>VLOOKUP($B78,'Master File June-26'!$C$3:$L$670,6,0)</f>
        <v>155.5</v>
      </c>
      <c r="H78" s="22">
        <f>VLOOKUP($B78,'Master File June-26'!$C$3:$L$670,7,0)</f>
        <v>69.974999999999994</v>
      </c>
      <c r="I78" s="5">
        <f>VLOOKUP($B78,'Master File June-26'!$C$3:$L$670,8,0)</f>
        <v>14</v>
      </c>
      <c r="J78" s="23">
        <f>VLOOKUP($B78,'Master File June-26'!$C$3:$L$670,9,0)</f>
        <v>34.987499999999997</v>
      </c>
      <c r="K78" s="58">
        <f>VLOOKUP($B78,'Master File June-26'!$C$3:$L$670,10,0)</f>
        <v>0</v>
      </c>
      <c r="L78" s="24">
        <f t="shared" si="2"/>
        <v>0</v>
      </c>
      <c r="M78" s="25" t="s">
        <v>1595</v>
      </c>
      <c r="N78" s="25" t="s">
        <v>1596</v>
      </c>
      <c r="O78" s="79">
        <v>0</v>
      </c>
    </row>
    <row r="79" spans="1:15" ht="18.75" x14ac:dyDescent="0.25">
      <c r="A79" s="39">
        <v>200</v>
      </c>
      <c r="B79" s="39" t="s">
        <v>739</v>
      </c>
      <c r="C79" s="28" t="s">
        <v>740</v>
      </c>
      <c r="D79" s="27" t="s">
        <v>78</v>
      </c>
      <c r="E79" s="5" t="s">
        <v>49</v>
      </c>
      <c r="F79" s="21">
        <v>1</v>
      </c>
      <c r="G79" s="22">
        <f>VLOOKUP($B79,'Master File June-26'!$C$3:$L$670,6,0)</f>
        <v>170</v>
      </c>
      <c r="H79" s="22">
        <f>VLOOKUP($B79,'Master File June-26'!$C$3:$L$670,7,0)</f>
        <v>170</v>
      </c>
      <c r="I79" s="5">
        <f>VLOOKUP($B79,'Master File June-26'!$C$3:$L$670,8,0)</f>
        <v>14</v>
      </c>
      <c r="J79" s="23">
        <f>VLOOKUP($B79,'Master File June-26'!$C$3:$L$670,9,0)</f>
        <v>85</v>
      </c>
      <c r="K79" s="58">
        <f>VLOOKUP($B79,'Master File June-26'!$C$3:$L$670,10,0)</f>
        <v>18</v>
      </c>
      <c r="L79" s="24">
        <f t="shared" si="2"/>
        <v>3.1764705882352939</v>
      </c>
      <c r="M79" s="25" t="s">
        <v>1595</v>
      </c>
      <c r="N79" s="25" t="s">
        <v>1596</v>
      </c>
      <c r="O79" s="79">
        <v>0</v>
      </c>
    </row>
    <row r="80" spans="1:15" ht="18.75" x14ac:dyDescent="0.25">
      <c r="A80" s="39">
        <v>213</v>
      </c>
      <c r="B80" s="39" t="s">
        <v>752</v>
      </c>
      <c r="C80" s="28" t="s">
        <v>753</v>
      </c>
      <c r="D80" s="27" t="s">
        <v>754</v>
      </c>
      <c r="E80" s="5" t="s">
        <v>49</v>
      </c>
      <c r="F80" s="21">
        <v>1</v>
      </c>
      <c r="G80" s="22">
        <f>VLOOKUP($B80,'Master File June-26'!$C$3:$L$670,6,0)</f>
        <v>175</v>
      </c>
      <c r="H80" s="22">
        <f>VLOOKUP($B80,'Master File June-26'!$C$3:$L$670,7,0)</f>
        <v>175</v>
      </c>
      <c r="I80" s="5">
        <f>VLOOKUP($B80,'Master File June-26'!$C$3:$L$670,8,0)</f>
        <v>14</v>
      </c>
      <c r="J80" s="23">
        <f>VLOOKUP($B80,'Master File June-26'!$C$3:$L$670,9,0)</f>
        <v>87.5</v>
      </c>
      <c r="K80" s="58">
        <f>VLOOKUP($B80,'Master File June-26'!$C$3:$L$670,10,0)</f>
        <v>207</v>
      </c>
      <c r="L80" s="24">
        <f t="shared" si="2"/>
        <v>35.485714285714288</v>
      </c>
      <c r="M80" s="25" t="s">
        <v>1595</v>
      </c>
      <c r="N80" s="25" t="s">
        <v>1596</v>
      </c>
      <c r="O80" s="79">
        <v>0</v>
      </c>
    </row>
    <row r="81" spans="1:15" ht="18.75" x14ac:dyDescent="0.25">
      <c r="A81" s="39">
        <v>197</v>
      </c>
      <c r="B81" s="39" t="s">
        <v>755</v>
      </c>
      <c r="C81" s="28" t="s">
        <v>756</v>
      </c>
      <c r="D81" s="27" t="s">
        <v>160</v>
      </c>
      <c r="E81" s="5" t="s">
        <v>49</v>
      </c>
      <c r="F81" s="21">
        <v>1</v>
      </c>
      <c r="G81" s="22">
        <f>VLOOKUP($B81,'Master File June-26'!$C$3:$L$670,6,0)</f>
        <v>220</v>
      </c>
      <c r="H81" s="22">
        <f>VLOOKUP($B81,'Master File June-26'!$C$3:$L$670,7,0)</f>
        <v>220</v>
      </c>
      <c r="I81" s="5">
        <f>VLOOKUP($B81,'Master File June-26'!$C$3:$L$670,8,0)</f>
        <v>14</v>
      </c>
      <c r="J81" s="23">
        <f>VLOOKUP($B81,'Master File June-26'!$C$3:$L$670,9,0)</f>
        <v>110</v>
      </c>
      <c r="K81" s="58">
        <f>VLOOKUP($B81,'Master File June-26'!$C$3:$L$670,10,0)</f>
        <v>0</v>
      </c>
      <c r="L81" s="24">
        <f t="shared" si="2"/>
        <v>0</v>
      </c>
      <c r="M81" s="25" t="s">
        <v>1595</v>
      </c>
      <c r="N81" s="25" t="s">
        <v>1596</v>
      </c>
      <c r="O81" s="79">
        <v>0</v>
      </c>
    </row>
    <row r="82" spans="1:15" ht="18.75" x14ac:dyDescent="0.25">
      <c r="A82" s="39">
        <v>244</v>
      </c>
      <c r="B82" s="39" t="s">
        <v>757</v>
      </c>
      <c r="C82" s="28" t="s">
        <v>758</v>
      </c>
      <c r="D82" s="27" t="s">
        <v>759</v>
      </c>
      <c r="E82" s="5" t="s">
        <v>49</v>
      </c>
      <c r="F82" s="21">
        <v>1</v>
      </c>
      <c r="G82" s="22">
        <f>VLOOKUP($B82,'Master File June-26'!$C$3:$L$670,6,0)</f>
        <v>55.5</v>
      </c>
      <c r="H82" s="22">
        <f>VLOOKUP($B82,'Master File June-26'!$C$3:$L$670,7,0)</f>
        <v>55.5</v>
      </c>
      <c r="I82" s="5">
        <f>VLOOKUP($B82,'Master File June-26'!$C$3:$L$670,8,0)</f>
        <v>14</v>
      </c>
      <c r="J82" s="23">
        <f>VLOOKUP($B82,'Master File June-26'!$C$3:$L$670,9,0)</f>
        <v>27.75</v>
      </c>
      <c r="K82" s="58">
        <f>VLOOKUP($B82,'Master File June-26'!$C$3:$L$670,10,0)</f>
        <v>48</v>
      </c>
      <c r="L82" s="24">
        <f t="shared" si="2"/>
        <v>25.945945945945947</v>
      </c>
      <c r="M82" s="25" t="s">
        <v>1608</v>
      </c>
      <c r="N82" s="25" t="s">
        <v>1609</v>
      </c>
      <c r="O82" s="79">
        <v>1</v>
      </c>
    </row>
    <row r="83" spans="1:15" ht="18.75" x14ac:dyDescent="0.25">
      <c r="A83" s="39">
        <v>269</v>
      </c>
      <c r="B83" s="39" t="s">
        <v>760</v>
      </c>
      <c r="C83" s="28" t="s">
        <v>761</v>
      </c>
      <c r="D83" s="27" t="s">
        <v>78</v>
      </c>
      <c r="E83" s="5" t="s">
        <v>49</v>
      </c>
      <c r="F83" s="21">
        <v>1</v>
      </c>
      <c r="G83" s="22">
        <f>VLOOKUP($B83,'Master File June-26'!$C$3:$L$670,6,0)</f>
        <v>99</v>
      </c>
      <c r="H83" s="22">
        <f>VLOOKUP($B83,'Master File June-26'!$C$3:$L$670,7,0)</f>
        <v>99</v>
      </c>
      <c r="I83" s="5">
        <f>VLOOKUP($B83,'Master File June-26'!$C$3:$L$670,8,0)</f>
        <v>14</v>
      </c>
      <c r="J83" s="23">
        <f>VLOOKUP($B83,'Master File June-26'!$C$3:$L$670,9,0)</f>
        <v>49.5</v>
      </c>
      <c r="K83" s="58">
        <f>VLOOKUP($B83,'Master File June-26'!$C$3:$L$670,10,0)</f>
        <v>0</v>
      </c>
      <c r="L83" s="24">
        <f t="shared" si="2"/>
        <v>0</v>
      </c>
      <c r="M83" s="25" t="s">
        <v>1595</v>
      </c>
      <c r="N83" s="25" t="s">
        <v>1596</v>
      </c>
      <c r="O83" s="79">
        <v>0</v>
      </c>
    </row>
    <row r="84" spans="1:15" ht="18.75" x14ac:dyDescent="0.25">
      <c r="A84" s="39">
        <v>240</v>
      </c>
      <c r="B84" s="39" t="s">
        <v>765</v>
      </c>
      <c r="C84" s="28" t="s">
        <v>766</v>
      </c>
      <c r="D84" s="27" t="s">
        <v>706</v>
      </c>
      <c r="E84" s="5" t="s">
        <v>49</v>
      </c>
      <c r="F84" s="21">
        <v>0.2</v>
      </c>
      <c r="G84" s="22">
        <f>VLOOKUP($B84,'Master File June-26'!$C$3:$L$670,6,0)</f>
        <v>250.5</v>
      </c>
      <c r="H84" s="22">
        <f>VLOOKUP($B84,'Master File June-26'!$C$3:$L$670,7,0)</f>
        <v>1252.5</v>
      </c>
      <c r="I84" s="5">
        <f>VLOOKUP($B84,'Master File June-26'!$C$3:$L$670,8,0)</f>
        <v>14</v>
      </c>
      <c r="J84" s="23">
        <f>VLOOKUP($B84,'Master File June-26'!$C$3:$L$670,9,0)</f>
        <v>626.25</v>
      </c>
      <c r="K84" s="58">
        <f>VLOOKUP($B84,'Master File June-26'!$C$3:$L$670,10,0)</f>
        <v>122</v>
      </c>
      <c r="L84" s="24">
        <f t="shared" si="2"/>
        <v>2.9221556886227549</v>
      </c>
      <c r="M84" s="25" t="s">
        <v>1595</v>
      </c>
      <c r="N84" s="25" t="s">
        <v>1596</v>
      </c>
      <c r="O84" s="79">
        <v>0</v>
      </c>
    </row>
    <row r="85" spans="1:15" ht="18.75" x14ac:dyDescent="0.25">
      <c r="A85" s="39">
        <v>256</v>
      </c>
      <c r="B85" s="39" t="s">
        <v>767</v>
      </c>
      <c r="C85" s="28" t="s">
        <v>768</v>
      </c>
      <c r="D85" s="27" t="s">
        <v>697</v>
      </c>
      <c r="E85" s="5" t="s">
        <v>22</v>
      </c>
      <c r="F85" s="21">
        <v>1E-3</v>
      </c>
      <c r="G85" s="22">
        <f>VLOOKUP($B85,'Master File June-26'!$C$3:$L$670,6,0)</f>
        <v>673</v>
      </c>
      <c r="H85" s="22">
        <f>VLOOKUP($B85,'Master File June-26'!$C$3:$L$670,7,0)</f>
        <v>673000</v>
      </c>
      <c r="I85" s="5">
        <f>VLOOKUP($B85,'Master File June-26'!$C$3:$L$670,8,0)</f>
        <v>14</v>
      </c>
      <c r="J85" s="23">
        <f>VLOOKUP($B85,'Master File June-26'!$C$3:$L$670,9,0)</f>
        <v>336500</v>
      </c>
      <c r="K85" s="58">
        <f>VLOOKUP($B85,'Master File June-26'!$C$3:$L$670,10,0)</f>
        <v>2931</v>
      </c>
      <c r="L85" s="24">
        <f t="shared" si="2"/>
        <v>0.13065378900445765</v>
      </c>
      <c r="M85" s="25" t="s">
        <v>1595</v>
      </c>
      <c r="N85" s="25" t="s">
        <v>1596</v>
      </c>
      <c r="O85" s="79">
        <v>0</v>
      </c>
    </row>
    <row r="86" spans="1:15" ht="18.75" x14ac:dyDescent="0.25">
      <c r="A86" s="39">
        <v>212</v>
      </c>
      <c r="B86" s="39" t="s">
        <v>782</v>
      </c>
      <c r="C86" s="28" t="s">
        <v>783</v>
      </c>
      <c r="D86" s="27" t="s">
        <v>126</v>
      </c>
      <c r="E86" s="5" t="s">
        <v>49</v>
      </c>
      <c r="F86" s="21">
        <v>1</v>
      </c>
      <c r="G86" s="22">
        <f>VLOOKUP($B86,'Master File June-26'!$C$3:$L$670,6,0)</f>
        <v>85</v>
      </c>
      <c r="H86" s="22">
        <f>VLOOKUP($B86,'Master File June-26'!$C$3:$L$670,7,0)</f>
        <v>85</v>
      </c>
      <c r="I86" s="5">
        <f>VLOOKUP($B86,'Master File June-26'!$C$3:$L$670,8,0)</f>
        <v>14</v>
      </c>
      <c r="J86" s="23">
        <f>VLOOKUP($B86,'Master File June-26'!$C$3:$L$670,9,0)</f>
        <v>42.5</v>
      </c>
      <c r="K86" s="58">
        <f>VLOOKUP($B86,'Master File June-26'!$C$3:$L$670,10,0)</f>
        <v>20</v>
      </c>
      <c r="L86" s="24">
        <f t="shared" si="2"/>
        <v>7.0588235294117645</v>
      </c>
      <c r="M86" s="25" t="s">
        <v>1595</v>
      </c>
      <c r="N86" s="25" t="s">
        <v>1596</v>
      </c>
      <c r="O86" s="79">
        <v>0</v>
      </c>
    </row>
    <row r="87" spans="1:15" ht="18.75" x14ac:dyDescent="0.25">
      <c r="A87" s="39">
        <v>238</v>
      </c>
      <c r="B87" s="39" t="s">
        <v>780</v>
      </c>
      <c r="C87" s="28" t="s">
        <v>781</v>
      </c>
      <c r="D87" s="27" t="s">
        <v>706</v>
      </c>
      <c r="E87" s="5" t="s">
        <v>49</v>
      </c>
      <c r="F87" s="21">
        <v>0.2</v>
      </c>
      <c r="G87" s="22">
        <f>VLOOKUP($B87,'Master File June-26'!$C$3:$L$670,6,0)</f>
        <v>68</v>
      </c>
      <c r="H87" s="22">
        <f>VLOOKUP($B87,'Master File June-26'!$C$3:$L$670,7,0)</f>
        <v>340</v>
      </c>
      <c r="I87" s="5">
        <f>VLOOKUP($B87,'Master File June-26'!$C$3:$L$670,8,0)</f>
        <v>14</v>
      </c>
      <c r="J87" s="23">
        <f>VLOOKUP($B87,'Master File June-26'!$C$3:$L$670,9,0)</f>
        <v>170</v>
      </c>
      <c r="K87" s="58">
        <f>VLOOKUP($B87,'Master File June-26'!$C$3:$L$670,10,0)</f>
        <v>45</v>
      </c>
      <c r="L87" s="24">
        <f t="shared" si="2"/>
        <v>3.9705882352941178</v>
      </c>
      <c r="M87" s="25" t="s">
        <v>1608</v>
      </c>
      <c r="N87" s="25" t="s">
        <v>1609</v>
      </c>
      <c r="O87" s="79">
        <v>1</v>
      </c>
    </row>
    <row r="88" spans="1:15" ht="18.75" x14ac:dyDescent="0.25">
      <c r="A88" s="39">
        <v>192</v>
      </c>
      <c r="B88" s="39" t="s">
        <v>784</v>
      </c>
      <c r="C88" s="28" t="s">
        <v>785</v>
      </c>
      <c r="D88" s="27" t="s">
        <v>78</v>
      </c>
      <c r="E88" s="5" t="s">
        <v>49</v>
      </c>
      <c r="F88" s="21">
        <v>1</v>
      </c>
      <c r="G88" s="22">
        <f>VLOOKUP($B88,'Master File June-26'!$C$3:$L$670,6,0)</f>
        <v>134</v>
      </c>
      <c r="H88" s="22">
        <f>VLOOKUP($B88,'Master File June-26'!$C$3:$L$670,7,0)</f>
        <v>134</v>
      </c>
      <c r="I88" s="5">
        <f>VLOOKUP($B88,'Master File June-26'!$C$3:$L$670,8,0)</f>
        <v>14</v>
      </c>
      <c r="J88" s="23">
        <f>VLOOKUP($B88,'Master File June-26'!$C$3:$L$670,9,0)</f>
        <v>67</v>
      </c>
      <c r="K88" s="58">
        <f>VLOOKUP($B88,'Master File June-26'!$C$3:$L$670,10,0)</f>
        <v>0</v>
      </c>
      <c r="L88" s="24">
        <f t="shared" si="2"/>
        <v>0</v>
      </c>
      <c r="M88" s="25" t="s">
        <v>1595</v>
      </c>
      <c r="N88" s="25" t="s">
        <v>1596</v>
      </c>
      <c r="O88" s="79">
        <v>0</v>
      </c>
    </row>
    <row r="89" spans="1:15" ht="18.75" x14ac:dyDescent="0.25">
      <c r="A89" s="39">
        <v>239</v>
      </c>
      <c r="B89" s="39" t="s">
        <v>791</v>
      </c>
      <c r="C89" s="28" t="s">
        <v>792</v>
      </c>
      <c r="D89" s="27" t="s">
        <v>793</v>
      </c>
      <c r="E89" s="5" t="s">
        <v>794</v>
      </c>
      <c r="F89" s="21">
        <v>0.04</v>
      </c>
      <c r="G89" s="22">
        <f>VLOOKUP($B89,'Master File June-26'!$C$3:$L$670,6,0)</f>
        <v>69</v>
      </c>
      <c r="H89" s="22">
        <f>VLOOKUP($B89,'Master File June-26'!$C$3:$L$670,7,0)</f>
        <v>1725</v>
      </c>
      <c r="I89" s="5">
        <f>VLOOKUP($B89,'Master File June-26'!$C$3:$L$670,8,0)</f>
        <v>14</v>
      </c>
      <c r="J89" s="23">
        <f>VLOOKUP($B89,'Master File June-26'!$C$3:$L$670,9,0)</f>
        <v>862.5</v>
      </c>
      <c r="K89" s="58">
        <f>VLOOKUP($B89,'Master File June-26'!$C$3:$L$670,10,0)</f>
        <v>386</v>
      </c>
      <c r="L89" s="24">
        <f t="shared" si="2"/>
        <v>6.713043478260869</v>
      </c>
      <c r="M89" s="25" t="s">
        <v>1595</v>
      </c>
      <c r="N89" s="25" t="s">
        <v>1596</v>
      </c>
      <c r="O89" s="79">
        <v>0</v>
      </c>
    </row>
    <row r="90" spans="1:15" ht="18.75" x14ac:dyDescent="0.25">
      <c r="A90" s="39">
        <v>294</v>
      </c>
      <c r="B90" s="39" t="s">
        <v>822</v>
      </c>
      <c r="C90" s="28" t="s">
        <v>823</v>
      </c>
      <c r="D90" s="27" t="s">
        <v>160</v>
      </c>
      <c r="E90" s="5" t="s">
        <v>49</v>
      </c>
      <c r="F90" s="21">
        <v>1</v>
      </c>
      <c r="G90" s="22">
        <f>VLOOKUP($B90,'Master File June-26'!$C$3:$L$670,6,0)</f>
        <v>93.5</v>
      </c>
      <c r="H90" s="22">
        <f>VLOOKUP($B90,'Master File June-26'!$C$3:$L$670,7,0)</f>
        <v>93.5</v>
      </c>
      <c r="I90" s="5">
        <f>VLOOKUP($B90,'Master File June-26'!$C$3:$L$670,8,0)</f>
        <v>14</v>
      </c>
      <c r="J90" s="23">
        <f>VLOOKUP($B90,'Master File June-26'!$C$3:$L$670,9,0)</f>
        <v>46.75</v>
      </c>
      <c r="K90" s="58">
        <f>VLOOKUP($B90,'Master File June-26'!$C$3:$L$670,10,0)</f>
        <v>0</v>
      </c>
      <c r="L90" s="24">
        <f t="shared" si="2"/>
        <v>0</v>
      </c>
      <c r="M90" s="25" t="s">
        <v>1595</v>
      </c>
      <c r="N90" s="25" t="s">
        <v>1596</v>
      </c>
      <c r="O90" s="79">
        <v>0</v>
      </c>
    </row>
    <row r="91" spans="1:15" ht="18.75" x14ac:dyDescent="0.25">
      <c r="A91" s="39">
        <v>280</v>
      </c>
      <c r="B91" s="39" t="s">
        <v>831</v>
      </c>
      <c r="C91" s="28" t="s">
        <v>832</v>
      </c>
      <c r="D91" s="27" t="s">
        <v>78</v>
      </c>
      <c r="E91" s="5" t="s">
        <v>49</v>
      </c>
      <c r="F91" s="21">
        <v>1</v>
      </c>
      <c r="G91" s="22">
        <f>VLOOKUP($B91,'Master File June-26'!$C$3:$L$670,6,0)</f>
        <v>279</v>
      </c>
      <c r="H91" s="22">
        <f>VLOOKUP($B91,'Master File June-26'!$C$3:$L$670,7,0)</f>
        <v>279</v>
      </c>
      <c r="I91" s="5">
        <f>VLOOKUP($B91,'Master File June-26'!$C$3:$L$670,8,0)</f>
        <v>14</v>
      </c>
      <c r="J91" s="23">
        <f>VLOOKUP($B91,'Master File June-26'!$C$3:$L$670,9,0)</f>
        <v>139.5</v>
      </c>
      <c r="K91" s="58">
        <f>VLOOKUP($B91,'Master File June-26'!$C$3:$L$670,10,0)</f>
        <v>6</v>
      </c>
      <c r="L91" s="24">
        <f t="shared" si="2"/>
        <v>0.64516129032258074</v>
      </c>
      <c r="M91" s="25" t="s">
        <v>1595</v>
      </c>
      <c r="N91" s="25" t="s">
        <v>1596</v>
      </c>
      <c r="O91" s="79">
        <v>0</v>
      </c>
    </row>
    <row r="92" spans="1:15" ht="18.75" x14ac:dyDescent="0.25">
      <c r="A92" s="39">
        <v>236</v>
      </c>
      <c r="B92" s="39" t="s">
        <v>841</v>
      </c>
      <c r="C92" s="28" t="s">
        <v>842</v>
      </c>
      <c r="D92" s="27" t="s">
        <v>706</v>
      </c>
      <c r="E92" s="5" t="s">
        <v>49</v>
      </c>
      <c r="F92" s="21">
        <v>1</v>
      </c>
      <c r="G92" s="22">
        <f>VLOOKUP($B92,'Master File June-26'!$C$3:$L$670,6,0)</f>
        <v>32.5</v>
      </c>
      <c r="H92" s="22">
        <f>VLOOKUP($B92,'Master File June-26'!$C$3:$L$670,7,0)</f>
        <v>32.5</v>
      </c>
      <c r="I92" s="5">
        <f>VLOOKUP($B92,'Master File June-26'!$C$3:$L$670,8,0)</f>
        <v>14</v>
      </c>
      <c r="J92" s="23">
        <f>VLOOKUP($B92,'Master File June-26'!$C$3:$L$670,9,0)</f>
        <v>16.25</v>
      </c>
      <c r="K92" s="58">
        <f>VLOOKUP($B92,'Master File June-26'!$C$3:$L$670,10,0)</f>
        <v>0</v>
      </c>
      <c r="L92" s="24">
        <f t="shared" si="2"/>
        <v>0</v>
      </c>
      <c r="M92" s="25" t="s">
        <v>1595</v>
      </c>
      <c r="N92" s="25" t="s">
        <v>1596</v>
      </c>
      <c r="O92" s="79">
        <v>0</v>
      </c>
    </row>
    <row r="93" spans="1:15" ht="18.75" x14ac:dyDescent="0.25">
      <c r="A93" s="39">
        <v>231</v>
      </c>
      <c r="B93" s="39" t="s">
        <v>846</v>
      </c>
      <c r="C93" s="28" t="s">
        <v>847</v>
      </c>
      <c r="D93" s="27" t="s">
        <v>254</v>
      </c>
      <c r="E93" s="5" t="s">
        <v>49</v>
      </c>
      <c r="F93" s="21">
        <v>1</v>
      </c>
      <c r="G93" s="22">
        <f>VLOOKUP($B93,'Master File June-26'!$C$3:$L$670,6,0)</f>
        <v>189</v>
      </c>
      <c r="H93" s="22">
        <f>VLOOKUP($B93,'Master File June-26'!$C$3:$L$670,7,0)</f>
        <v>189</v>
      </c>
      <c r="I93" s="5">
        <f>VLOOKUP($B93,'Master File June-26'!$C$3:$L$670,8,0)</f>
        <v>14</v>
      </c>
      <c r="J93" s="23">
        <f>VLOOKUP($B93,'Master File June-26'!$C$3:$L$670,9,0)</f>
        <v>94.5</v>
      </c>
      <c r="K93" s="58">
        <f>VLOOKUP($B93,'Master File June-26'!$C$3:$L$670,10,0)</f>
        <v>42</v>
      </c>
      <c r="L93" s="24">
        <f t="shared" si="2"/>
        <v>6.6666666666666661</v>
      </c>
      <c r="M93" s="25" t="s">
        <v>1608</v>
      </c>
      <c r="N93" s="25" t="s">
        <v>1609</v>
      </c>
      <c r="O93" s="79">
        <v>1</v>
      </c>
    </row>
    <row r="94" spans="1:15" ht="18.75" x14ac:dyDescent="0.25">
      <c r="A94" s="39">
        <v>230</v>
      </c>
      <c r="B94" s="39" t="s">
        <v>857</v>
      </c>
      <c r="C94" s="28" t="s">
        <v>858</v>
      </c>
      <c r="D94" s="27" t="s">
        <v>859</v>
      </c>
      <c r="E94" s="5" t="s">
        <v>22</v>
      </c>
      <c r="F94" s="21">
        <v>0.16666666666666666</v>
      </c>
      <c r="G94" s="22">
        <f>VLOOKUP($B94,'Master File June-26'!$C$3:$L$670,6,0)</f>
        <v>2036.5</v>
      </c>
      <c r="H94" s="22">
        <f>VLOOKUP($B94,'Master File June-26'!$C$3:$L$670,7,0)</f>
        <v>12219</v>
      </c>
      <c r="I94" s="5">
        <f>VLOOKUP($B94,'Master File June-26'!$C$3:$L$670,8,0)</f>
        <v>14</v>
      </c>
      <c r="J94" s="23">
        <f>VLOOKUP($B94,'Master File June-26'!$C$3:$L$670,9,0)</f>
        <v>6109.5</v>
      </c>
      <c r="K94" s="58">
        <f>VLOOKUP($B94,'Master File June-26'!$C$3:$L$670,10,0)</f>
        <v>3618</v>
      </c>
      <c r="L94" s="24">
        <f t="shared" si="2"/>
        <v>8.8828873066535721</v>
      </c>
      <c r="M94" s="25" t="s">
        <v>1595</v>
      </c>
      <c r="N94" s="25" t="s">
        <v>1596</v>
      </c>
      <c r="O94" s="79">
        <v>0</v>
      </c>
    </row>
    <row r="95" spans="1:15" ht="18.75" x14ac:dyDescent="0.25">
      <c r="A95" s="39">
        <v>222</v>
      </c>
      <c r="B95" s="39" t="s">
        <v>860</v>
      </c>
      <c r="C95" s="28" t="s">
        <v>861</v>
      </c>
      <c r="D95" s="27" t="s">
        <v>254</v>
      </c>
      <c r="E95" s="5" t="s">
        <v>49</v>
      </c>
      <c r="F95" s="21">
        <v>1</v>
      </c>
      <c r="G95" s="22">
        <f>VLOOKUP($B95,'Master File June-26'!$C$3:$L$670,6,0)</f>
        <v>220</v>
      </c>
      <c r="H95" s="22">
        <f>VLOOKUP($B95,'Master File June-26'!$C$3:$L$670,7,0)</f>
        <v>220</v>
      </c>
      <c r="I95" s="5">
        <f>VLOOKUP($B95,'Master File June-26'!$C$3:$L$670,8,0)</f>
        <v>14</v>
      </c>
      <c r="J95" s="23">
        <f>VLOOKUP($B95,'Master File June-26'!$C$3:$L$670,9,0)</f>
        <v>110</v>
      </c>
      <c r="K95" s="58">
        <f>VLOOKUP($B95,'Master File June-26'!$C$3:$L$670,10,0)</f>
        <v>0</v>
      </c>
      <c r="L95" s="24">
        <f t="shared" si="2"/>
        <v>0</v>
      </c>
      <c r="M95" s="25" t="s">
        <v>1595</v>
      </c>
      <c r="N95" s="25" t="s">
        <v>1596</v>
      </c>
      <c r="O95" s="79">
        <v>0</v>
      </c>
    </row>
    <row r="96" spans="1:15" ht="18.75" x14ac:dyDescent="0.25">
      <c r="A96" s="39">
        <v>232</v>
      </c>
      <c r="B96" s="39" t="s">
        <v>877</v>
      </c>
      <c r="C96" s="28" t="s">
        <v>878</v>
      </c>
      <c r="D96" s="27" t="s">
        <v>160</v>
      </c>
      <c r="E96" s="5" t="s">
        <v>49</v>
      </c>
      <c r="F96" s="21">
        <v>1</v>
      </c>
      <c r="G96" s="22">
        <f>VLOOKUP($B96,'Master File June-26'!$C$3:$L$670,6,0)</f>
        <v>164</v>
      </c>
      <c r="H96" s="22">
        <f>VLOOKUP($B96,'Master File June-26'!$C$3:$L$670,7,0)</f>
        <v>164</v>
      </c>
      <c r="I96" s="5">
        <f>VLOOKUP($B96,'Master File June-26'!$C$3:$L$670,8,0)</f>
        <v>14</v>
      </c>
      <c r="J96" s="23">
        <f>VLOOKUP($B96,'Master File June-26'!$C$3:$L$670,9,0)</f>
        <v>82</v>
      </c>
      <c r="K96" s="58">
        <f>VLOOKUP($B96,'Master File June-26'!$C$3:$L$670,10,0)</f>
        <v>12</v>
      </c>
      <c r="L96" s="24">
        <f t="shared" si="2"/>
        <v>2.1951219512195119</v>
      </c>
      <c r="M96" s="25" t="s">
        <v>1595</v>
      </c>
      <c r="N96" s="25" t="s">
        <v>1596</v>
      </c>
      <c r="O96" s="79">
        <v>0</v>
      </c>
    </row>
    <row r="97" spans="1:15" ht="18.75" x14ac:dyDescent="0.25">
      <c r="A97" s="39">
        <v>241</v>
      </c>
      <c r="B97" s="39" t="s">
        <v>879</v>
      </c>
      <c r="C97" s="28" t="s">
        <v>880</v>
      </c>
      <c r="D97" s="27" t="s">
        <v>706</v>
      </c>
      <c r="E97" s="5" t="s">
        <v>49</v>
      </c>
      <c r="F97" s="21">
        <v>0.2</v>
      </c>
      <c r="G97" s="22">
        <f>VLOOKUP($B97,'Master File June-26'!$C$3:$L$670,6,0)</f>
        <v>24</v>
      </c>
      <c r="H97" s="22">
        <f>VLOOKUP($B97,'Master File June-26'!$C$3:$L$670,7,0)</f>
        <v>120</v>
      </c>
      <c r="I97" s="5">
        <f>VLOOKUP($B97,'Master File June-26'!$C$3:$L$670,8,0)</f>
        <v>14</v>
      </c>
      <c r="J97" s="23">
        <f>VLOOKUP($B97,'Master File June-26'!$C$3:$L$670,9,0)</f>
        <v>60</v>
      </c>
      <c r="K97" s="58">
        <f>VLOOKUP($B97,'Master File June-26'!$C$3:$L$670,10,0)</f>
        <v>18</v>
      </c>
      <c r="L97" s="24">
        <f t="shared" si="2"/>
        <v>4.5</v>
      </c>
      <c r="M97" s="25" t="s">
        <v>1608</v>
      </c>
      <c r="N97" s="25" t="s">
        <v>1609</v>
      </c>
      <c r="O97" s="79">
        <v>1</v>
      </c>
    </row>
    <row r="98" spans="1:15" ht="18.75" x14ac:dyDescent="0.25">
      <c r="A98" s="39">
        <v>285</v>
      </c>
      <c r="B98" s="39" t="s">
        <v>881</v>
      </c>
      <c r="C98" s="28" t="s">
        <v>882</v>
      </c>
      <c r="D98" s="27" t="s">
        <v>883</v>
      </c>
      <c r="E98" s="5" t="s">
        <v>22</v>
      </c>
      <c r="F98" s="21">
        <v>4.4444444444444444E-3</v>
      </c>
      <c r="G98" s="22">
        <f>VLOOKUP($B98,'Master File June-26'!$C$3:$L$670,6,0)</f>
        <v>27.5</v>
      </c>
      <c r="H98" s="22">
        <f>VLOOKUP($B98,'Master File June-26'!$C$3:$L$670,7,0)</f>
        <v>6187.5</v>
      </c>
      <c r="I98" s="5">
        <f>VLOOKUP($B98,'Master File June-26'!$C$3:$L$670,8,0)</f>
        <v>14</v>
      </c>
      <c r="J98" s="23">
        <f>VLOOKUP($B98,'Master File June-26'!$C$3:$L$670,9,0)</f>
        <v>3093.75</v>
      </c>
      <c r="K98" s="58">
        <f>VLOOKUP($B98,'Master File June-26'!$C$3:$L$670,10,0)</f>
        <v>900</v>
      </c>
      <c r="L98" s="24">
        <f t="shared" si="2"/>
        <v>4.3636363636363633</v>
      </c>
      <c r="M98" s="25" t="s">
        <v>1608</v>
      </c>
      <c r="N98" s="25" t="s">
        <v>1609</v>
      </c>
      <c r="O98" s="79">
        <v>1</v>
      </c>
    </row>
    <row r="99" spans="1:15" ht="18.75" x14ac:dyDescent="0.25">
      <c r="A99" s="39">
        <v>217</v>
      </c>
      <c r="B99" s="39" t="s">
        <v>886</v>
      </c>
      <c r="C99" s="28" t="s">
        <v>887</v>
      </c>
      <c r="D99" s="27" t="s">
        <v>78</v>
      </c>
      <c r="E99" s="5" t="s">
        <v>49</v>
      </c>
      <c r="F99" s="21">
        <v>1</v>
      </c>
      <c r="G99" s="22">
        <f>VLOOKUP($B99,'Master File June-26'!$C$3:$L$670,6,0)</f>
        <v>66</v>
      </c>
      <c r="H99" s="22">
        <f>VLOOKUP($B99,'Master File June-26'!$C$3:$L$670,7,0)</f>
        <v>66</v>
      </c>
      <c r="I99" s="5">
        <f>VLOOKUP($B99,'Master File June-26'!$C$3:$L$670,8,0)</f>
        <v>14</v>
      </c>
      <c r="J99" s="23">
        <f>VLOOKUP($B99,'Master File June-26'!$C$3:$L$670,9,0)</f>
        <v>33</v>
      </c>
      <c r="K99" s="58">
        <f>VLOOKUP($B99,'Master File June-26'!$C$3:$L$670,10,0)</f>
        <v>0</v>
      </c>
      <c r="L99" s="24">
        <f t="shared" ref="L99:L130" si="3">IFERROR((K99/H99*30),0)</f>
        <v>0</v>
      </c>
      <c r="M99" s="25" t="s">
        <v>1595</v>
      </c>
      <c r="N99" s="25" t="s">
        <v>1596</v>
      </c>
      <c r="O99" s="79">
        <v>0</v>
      </c>
    </row>
    <row r="100" spans="1:15" ht="18.75" x14ac:dyDescent="0.25">
      <c r="A100" s="39">
        <v>248</v>
      </c>
      <c r="B100" s="39" t="s">
        <v>925</v>
      </c>
      <c r="C100" s="34" t="s">
        <v>926</v>
      </c>
      <c r="D100" s="31" t="s">
        <v>160</v>
      </c>
      <c r="E100" s="5" t="s">
        <v>49</v>
      </c>
      <c r="F100" s="21">
        <v>1</v>
      </c>
      <c r="G100" s="22">
        <f>VLOOKUP($B100,'Master File June-26'!$C$3:$L$670,6,0)</f>
        <v>8</v>
      </c>
      <c r="H100" s="22">
        <f>VLOOKUP($B100,'Master File June-26'!$C$3:$L$670,7,0)</f>
        <v>8</v>
      </c>
      <c r="I100" s="5">
        <f>VLOOKUP($B100,'Master File June-26'!$C$3:$L$670,8,0)</f>
        <v>14</v>
      </c>
      <c r="J100" s="23">
        <f>VLOOKUP($B100,'Master File June-26'!$C$3:$L$670,9,0)</f>
        <v>4</v>
      </c>
      <c r="K100" s="58">
        <f>VLOOKUP($B100,'Master File June-26'!$C$3:$L$670,10,0)</f>
        <v>0</v>
      </c>
      <c r="L100" s="24">
        <f t="shared" si="3"/>
        <v>0</v>
      </c>
      <c r="M100" s="25" t="s">
        <v>1595</v>
      </c>
      <c r="N100" s="25" t="s">
        <v>1596</v>
      </c>
      <c r="O100" s="79">
        <v>0</v>
      </c>
    </row>
    <row r="101" spans="1:15" ht="18.75" x14ac:dyDescent="0.25">
      <c r="A101" s="39">
        <v>314</v>
      </c>
      <c r="B101" s="39" t="s">
        <v>929</v>
      </c>
      <c r="C101" s="30" t="s">
        <v>930</v>
      </c>
      <c r="D101" s="27" t="s">
        <v>931</v>
      </c>
      <c r="E101" s="5" t="s">
        <v>794</v>
      </c>
      <c r="F101" s="21">
        <v>0.2</v>
      </c>
      <c r="G101" s="22">
        <f>VLOOKUP($B101,'Master File June-26'!$C$3:$L$670,6,0)</f>
        <v>8</v>
      </c>
      <c r="H101" s="22">
        <f>VLOOKUP($B101,'Master File June-26'!$C$3:$L$670,7,0)</f>
        <v>40</v>
      </c>
      <c r="I101" s="5">
        <f>VLOOKUP($B101,'Master File June-26'!$C$3:$L$670,8,0)</f>
        <v>14</v>
      </c>
      <c r="J101" s="23">
        <f>VLOOKUP($B101,'Master File June-26'!$C$3:$L$670,9,0)</f>
        <v>20</v>
      </c>
      <c r="K101" s="58">
        <f>VLOOKUP($B101,'Master File June-26'!$C$3:$L$670,10,0)</f>
        <v>0</v>
      </c>
      <c r="L101" s="24">
        <f t="shared" si="3"/>
        <v>0</v>
      </c>
      <c r="M101" s="25" t="s">
        <v>1608</v>
      </c>
      <c r="N101" s="25" t="s">
        <v>1609</v>
      </c>
      <c r="O101" s="79">
        <v>1</v>
      </c>
    </row>
    <row r="102" spans="1:15" ht="18.75" x14ac:dyDescent="0.25">
      <c r="A102" s="39">
        <v>226</v>
      </c>
      <c r="B102" s="39" t="s">
        <v>932</v>
      </c>
      <c r="C102" s="28" t="s">
        <v>933</v>
      </c>
      <c r="D102" s="27" t="s">
        <v>254</v>
      </c>
      <c r="E102" s="5" t="s">
        <v>49</v>
      </c>
      <c r="F102" s="21">
        <v>1</v>
      </c>
      <c r="G102" s="22">
        <f>VLOOKUP($B102,'Master File June-26'!$C$3:$L$670,6,0)</f>
        <v>132</v>
      </c>
      <c r="H102" s="22">
        <f>VLOOKUP($B102,'Master File June-26'!$C$3:$L$670,7,0)</f>
        <v>132</v>
      </c>
      <c r="I102" s="5">
        <f>VLOOKUP($B102,'Master File June-26'!$C$3:$L$670,8,0)</f>
        <v>14</v>
      </c>
      <c r="J102" s="23">
        <f>VLOOKUP($B102,'Master File June-26'!$C$3:$L$670,9,0)</f>
        <v>66</v>
      </c>
      <c r="K102" s="58">
        <f>VLOOKUP($B102,'Master File June-26'!$C$3:$L$670,10,0)</f>
        <v>0</v>
      </c>
      <c r="L102" s="24">
        <f t="shared" si="3"/>
        <v>0</v>
      </c>
      <c r="M102" s="25" t="s">
        <v>1595</v>
      </c>
      <c r="N102" s="25" t="s">
        <v>1596</v>
      </c>
      <c r="O102" s="79">
        <v>0</v>
      </c>
    </row>
    <row r="103" spans="1:15" ht="18.75" x14ac:dyDescent="0.25">
      <c r="A103" s="39">
        <v>228</v>
      </c>
      <c r="B103" s="39" t="s">
        <v>946</v>
      </c>
      <c r="C103" s="28" t="s">
        <v>947</v>
      </c>
      <c r="D103" s="27" t="s">
        <v>160</v>
      </c>
      <c r="E103" s="5" t="s">
        <v>49</v>
      </c>
      <c r="F103" s="21">
        <v>1</v>
      </c>
      <c r="G103" s="22">
        <f>VLOOKUP($B103,'Master File June-26'!$C$3:$L$670,6,0)</f>
        <v>21.5</v>
      </c>
      <c r="H103" s="22">
        <f>VLOOKUP($B103,'Master File June-26'!$C$3:$L$670,7,0)</f>
        <v>21.5</v>
      </c>
      <c r="I103" s="5">
        <f>VLOOKUP($B103,'Master File June-26'!$C$3:$L$670,8,0)</f>
        <v>14</v>
      </c>
      <c r="J103" s="23">
        <f>VLOOKUP($B103,'Master File June-26'!$C$3:$L$670,9,0)</f>
        <v>10.75</v>
      </c>
      <c r="K103" s="58">
        <f>VLOOKUP($B103,'Master File June-26'!$C$3:$L$670,10,0)</f>
        <v>0</v>
      </c>
      <c r="L103" s="24">
        <f t="shared" si="3"/>
        <v>0</v>
      </c>
      <c r="M103" s="25" t="s">
        <v>1608</v>
      </c>
      <c r="N103" s="25" t="s">
        <v>1609</v>
      </c>
      <c r="O103" s="79">
        <v>1</v>
      </c>
    </row>
    <row r="104" spans="1:15" ht="18.75" x14ac:dyDescent="0.25">
      <c r="A104" s="39">
        <v>281</v>
      </c>
      <c r="B104" s="39" t="s">
        <v>950</v>
      </c>
      <c r="C104" s="28" t="s">
        <v>951</v>
      </c>
      <c r="D104" s="27" t="s">
        <v>952</v>
      </c>
      <c r="E104" s="5" t="s">
        <v>46</v>
      </c>
      <c r="F104" s="21">
        <v>0.16666666666666666</v>
      </c>
      <c r="G104" s="22">
        <f>VLOOKUP($B104,'Master File June-26'!$C$3:$L$670,6,0)</f>
        <v>570</v>
      </c>
      <c r="H104" s="22">
        <f>VLOOKUP($B104,'Master File June-26'!$C$3:$L$670,7,0)</f>
        <v>3420</v>
      </c>
      <c r="I104" s="5">
        <f>VLOOKUP($B104,'Master File June-26'!$C$3:$L$670,8,0)</f>
        <v>14</v>
      </c>
      <c r="J104" s="23">
        <f>VLOOKUP($B104,'Master File June-26'!$C$3:$L$670,9,0)</f>
        <v>1710</v>
      </c>
      <c r="K104" s="58">
        <f>VLOOKUP($B104,'Master File June-26'!$C$3:$L$670,10,0)</f>
        <v>12</v>
      </c>
      <c r="L104" s="24">
        <f t="shared" si="3"/>
        <v>0.10526315789473685</v>
      </c>
      <c r="M104" s="25" t="s">
        <v>1608</v>
      </c>
      <c r="N104" s="25" t="s">
        <v>1609</v>
      </c>
      <c r="O104" s="79">
        <v>1</v>
      </c>
    </row>
    <row r="105" spans="1:15" ht="18.75" x14ac:dyDescent="0.25">
      <c r="A105" s="39">
        <v>250</v>
      </c>
      <c r="B105" s="39" t="s">
        <v>964</v>
      </c>
      <c r="C105" s="28" t="s">
        <v>965</v>
      </c>
      <c r="D105" s="27" t="s">
        <v>966</v>
      </c>
      <c r="E105" s="5" t="s">
        <v>264</v>
      </c>
      <c r="F105" s="21">
        <v>0.1</v>
      </c>
      <c r="G105" s="22">
        <f>VLOOKUP($B105,'Master File June-26'!$C$3:$L$670,6,0)</f>
        <v>663</v>
      </c>
      <c r="H105" s="22">
        <f>VLOOKUP($B105,'Master File June-26'!$C$3:$L$670,7,0)</f>
        <v>6630</v>
      </c>
      <c r="I105" s="5">
        <f>VLOOKUP($B105,'Master File June-26'!$C$3:$L$670,8,0)</f>
        <v>14</v>
      </c>
      <c r="J105" s="23">
        <f>VLOOKUP($B105,'Master File June-26'!$C$3:$L$670,9,0)</f>
        <v>3315</v>
      </c>
      <c r="K105" s="58">
        <f>VLOOKUP($B105,'Master File June-26'!$C$3:$L$670,10,0)</f>
        <v>1428</v>
      </c>
      <c r="L105" s="24">
        <f t="shared" si="3"/>
        <v>6.4615384615384617</v>
      </c>
      <c r="M105" s="25" t="s">
        <v>1595</v>
      </c>
      <c r="N105" s="25" t="s">
        <v>1596</v>
      </c>
      <c r="O105" s="79">
        <v>0</v>
      </c>
    </row>
    <row r="106" spans="1:15" ht="18.75" x14ac:dyDescent="0.25">
      <c r="A106" s="39">
        <v>259</v>
      </c>
      <c r="B106" s="39" t="s">
        <v>969</v>
      </c>
      <c r="C106" s="28" t="s">
        <v>970</v>
      </c>
      <c r="D106" s="27" t="s">
        <v>971</v>
      </c>
      <c r="E106" s="5" t="s">
        <v>264</v>
      </c>
      <c r="F106" s="21">
        <v>7.1428571428571426E-3</v>
      </c>
      <c r="G106" s="22">
        <f>VLOOKUP($B106,'Master File June-26'!$C$3:$L$670,6,0)</f>
        <v>46.5</v>
      </c>
      <c r="H106" s="22">
        <f>VLOOKUP($B106,'Master File June-26'!$C$3:$L$670,7,0)</f>
        <v>6510</v>
      </c>
      <c r="I106" s="5">
        <f>VLOOKUP($B106,'Master File June-26'!$C$3:$L$670,8,0)</f>
        <v>14</v>
      </c>
      <c r="J106" s="23">
        <f>VLOOKUP($B106,'Master File June-26'!$C$3:$L$670,9,0)</f>
        <v>3255</v>
      </c>
      <c r="K106" s="58">
        <f>VLOOKUP($B106,'Master File June-26'!$C$3:$L$670,10,0)</f>
        <v>1120</v>
      </c>
      <c r="L106" s="24">
        <f t="shared" si="3"/>
        <v>5.1612903225806459</v>
      </c>
      <c r="M106" s="25" t="s">
        <v>1595</v>
      </c>
      <c r="N106" s="25" t="s">
        <v>1596</v>
      </c>
      <c r="O106" s="79">
        <v>0</v>
      </c>
    </row>
    <row r="107" spans="1:15" ht="18.75" x14ac:dyDescent="0.25">
      <c r="A107" s="39">
        <v>303</v>
      </c>
      <c r="B107" s="39" t="s">
        <v>972</v>
      </c>
      <c r="C107" s="34" t="s">
        <v>973</v>
      </c>
      <c r="D107" s="31" t="s">
        <v>78</v>
      </c>
      <c r="E107" s="5" t="s">
        <v>49</v>
      </c>
      <c r="F107" s="21">
        <v>1</v>
      </c>
      <c r="G107" s="22">
        <f>VLOOKUP($B107,'Master File June-26'!$C$3:$L$670,6,0)</f>
        <v>220</v>
      </c>
      <c r="H107" s="22">
        <f>VLOOKUP($B107,'Master File June-26'!$C$3:$L$670,7,0)</f>
        <v>220</v>
      </c>
      <c r="I107" s="5">
        <f>VLOOKUP($B107,'Master File June-26'!$C$3:$L$670,8,0)</f>
        <v>14</v>
      </c>
      <c r="J107" s="23">
        <f>VLOOKUP($B107,'Master File June-26'!$C$3:$L$670,9,0)</f>
        <v>110</v>
      </c>
      <c r="K107" s="58">
        <f>VLOOKUP($B107,'Master File June-26'!$C$3:$L$670,10,0)</f>
        <v>0</v>
      </c>
      <c r="L107" s="24">
        <f t="shared" si="3"/>
        <v>0</v>
      </c>
      <c r="M107" s="25" t="s">
        <v>1595</v>
      </c>
      <c r="N107" s="25" t="s">
        <v>1596</v>
      </c>
      <c r="O107" s="79">
        <v>0</v>
      </c>
    </row>
    <row r="108" spans="1:15" ht="18.75" x14ac:dyDescent="0.25">
      <c r="A108" s="39">
        <v>218</v>
      </c>
      <c r="B108" s="39" t="s">
        <v>995</v>
      </c>
      <c r="C108" s="28" t="s">
        <v>996</v>
      </c>
      <c r="D108" s="27" t="s">
        <v>160</v>
      </c>
      <c r="E108" s="5" t="s">
        <v>49</v>
      </c>
      <c r="F108" s="21">
        <v>1</v>
      </c>
      <c r="G108" s="22">
        <f>VLOOKUP($B108,'Master File June-26'!$C$3:$L$670,6,0)</f>
        <v>5.5</v>
      </c>
      <c r="H108" s="22">
        <f>VLOOKUP($B108,'Master File June-26'!$C$3:$L$670,7,0)</f>
        <v>5.5</v>
      </c>
      <c r="I108" s="5">
        <f>VLOOKUP($B108,'Master File June-26'!$C$3:$L$670,8,0)</f>
        <v>14</v>
      </c>
      <c r="J108" s="23">
        <f>VLOOKUP($B108,'Master File June-26'!$C$3:$L$670,9,0)</f>
        <v>2.75</v>
      </c>
      <c r="K108" s="58">
        <f>VLOOKUP($B108,'Master File June-26'!$C$3:$L$670,10,0)</f>
        <v>3</v>
      </c>
      <c r="L108" s="24">
        <f t="shared" si="3"/>
        <v>16.363636363636363</v>
      </c>
      <c r="M108" s="25" t="s">
        <v>1608</v>
      </c>
      <c r="N108" s="25" t="s">
        <v>1609</v>
      </c>
      <c r="O108" s="79">
        <v>1</v>
      </c>
    </row>
    <row r="109" spans="1:15" ht="18.75" x14ac:dyDescent="0.25">
      <c r="A109" s="39">
        <v>249</v>
      </c>
      <c r="B109" s="39" t="s">
        <v>1000</v>
      </c>
      <c r="C109" s="28" t="s">
        <v>1001</v>
      </c>
      <c r="D109" s="27" t="s">
        <v>78</v>
      </c>
      <c r="E109" s="5" t="s">
        <v>49</v>
      </c>
      <c r="F109" s="21">
        <v>1</v>
      </c>
      <c r="G109" s="22">
        <f>VLOOKUP($B109,'Master File June-26'!$C$3:$L$670,6,0)</f>
        <v>71</v>
      </c>
      <c r="H109" s="22">
        <f>VLOOKUP($B109,'Master File June-26'!$C$3:$L$670,7,0)</f>
        <v>71</v>
      </c>
      <c r="I109" s="5">
        <f>VLOOKUP($B109,'Master File June-26'!$C$3:$L$670,8,0)</f>
        <v>14</v>
      </c>
      <c r="J109" s="23">
        <f>VLOOKUP($B109,'Master File June-26'!$C$3:$L$670,9,0)</f>
        <v>35.5</v>
      </c>
      <c r="K109" s="58">
        <f>VLOOKUP($B109,'Master File June-26'!$C$3:$L$670,10,0)</f>
        <v>5</v>
      </c>
      <c r="L109" s="24">
        <f t="shared" si="3"/>
        <v>2.1126760563380285</v>
      </c>
      <c r="M109" s="25" t="s">
        <v>1595</v>
      </c>
      <c r="N109" s="25" t="s">
        <v>1596</v>
      </c>
      <c r="O109" s="79">
        <v>0</v>
      </c>
    </row>
    <row r="110" spans="1:15" ht="18.75" x14ac:dyDescent="0.25">
      <c r="A110" s="39">
        <v>186</v>
      </c>
      <c r="B110" s="39" t="s">
        <v>1011</v>
      </c>
      <c r="C110" s="28" t="s">
        <v>1012</v>
      </c>
      <c r="D110" s="27" t="s">
        <v>160</v>
      </c>
      <c r="E110" s="5" t="s">
        <v>49</v>
      </c>
      <c r="F110" s="21">
        <v>1</v>
      </c>
      <c r="G110" s="22">
        <f>VLOOKUP($B110,'Master File June-26'!$C$3:$L$670,6,0)</f>
        <v>16.5</v>
      </c>
      <c r="H110" s="22">
        <f>VLOOKUP($B110,'Master File June-26'!$C$3:$L$670,7,0)</f>
        <v>16.5</v>
      </c>
      <c r="I110" s="5">
        <f>VLOOKUP($B110,'Master File June-26'!$C$3:$L$670,8,0)</f>
        <v>14</v>
      </c>
      <c r="J110" s="23">
        <f>VLOOKUP($B110,'Master File June-26'!$C$3:$L$670,9,0)</f>
        <v>8.25</v>
      </c>
      <c r="K110" s="58">
        <f>VLOOKUP($B110,'Master File June-26'!$C$3:$L$670,10,0)</f>
        <v>6</v>
      </c>
      <c r="L110" s="24">
        <f t="shared" si="3"/>
        <v>10.90909090909091</v>
      </c>
      <c r="M110" s="25" t="s">
        <v>1608</v>
      </c>
      <c r="N110" s="25" t="s">
        <v>1609</v>
      </c>
      <c r="O110" s="79">
        <v>1</v>
      </c>
    </row>
    <row r="111" spans="1:15" ht="18.75" x14ac:dyDescent="0.25">
      <c r="A111" s="39">
        <v>246</v>
      </c>
      <c r="B111" s="39" t="s">
        <v>1030</v>
      </c>
      <c r="C111" s="28" t="s">
        <v>1031</v>
      </c>
      <c r="D111" s="27" t="s">
        <v>1032</v>
      </c>
      <c r="E111" s="5" t="s">
        <v>49</v>
      </c>
      <c r="F111" s="21">
        <v>0.5</v>
      </c>
      <c r="G111" s="22">
        <f>VLOOKUP($B111,'Master File June-26'!$C$3:$L$670,6,0)</f>
        <v>69.5</v>
      </c>
      <c r="H111" s="22">
        <f>VLOOKUP($B111,'Master File June-26'!$C$3:$L$670,7,0)</f>
        <v>139</v>
      </c>
      <c r="I111" s="5">
        <f>VLOOKUP($B111,'Master File June-26'!$C$3:$L$670,8,0)</f>
        <v>14</v>
      </c>
      <c r="J111" s="23">
        <f>VLOOKUP($B111,'Master File June-26'!$C$3:$L$670,9,0)</f>
        <v>69.5</v>
      </c>
      <c r="K111" s="58">
        <f>VLOOKUP($B111,'Master File June-26'!$C$3:$L$670,10,0)</f>
        <v>45</v>
      </c>
      <c r="L111" s="24">
        <f t="shared" si="3"/>
        <v>9.7122302158273381</v>
      </c>
      <c r="M111" s="25" t="s">
        <v>1608</v>
      </c>
      <c r="N111" s="25" t="s">
        <v>1609</v>
      </c>
      <c r="O111" s="79">
        <v>1</v>
      </c>
    </row>
    <row r="112" spans="1:15" ht="18.75" x14ac:dyDescent="0.25">
      <c r="A112" s="39">
        <v>187</v>
      </c>
      <c r="B112" s="39" t="s">
        <v>1037</v>
      </c>
      <c r="C112" s="28" t="s">
        <v>1038</v>
      </c>
      <c r="D112" s="27" t="s">
        <v>78</v>
      </c>
      <c r="E112" s="5" t="s">
        <v>49</v>
      </c>
      <c r="F112" s="21">
        <v>1</v>
      </c>
      <c r="G112" s="22">
        <f>VLOOKUP($B112,'Master File June-26'!$C$3:$L$670,6,0)</f>
        <v>62.5</v>
      </c>
      <c r="H112" s="22">
        <f>VLOOKUP($B112,'Master File June-26'!$C$3:$L$670,7,0)</f>
        <v>62.5</v>
      </c>
      <c r="I112" s="5">
        <f>VLOOKUP($B112,'Master File June-26'!$C$3:$L$670,8,0)</f>
        <v>14</v>
      </c>
      <c r="J112" s="23">
        <f>VLOOKUP($B112,'Master File June-26'!$C$3:$L$670,9,0)</f>
        <v>31.25</v>
      </c>
      <c r="K112" s="58">
        <f>VLOOKUP($B112,'Master File June-26'!$C$3:$L$670,10,0)</f>
        <v>0</v>
      </c>
      <c r="L112" s="24">
        <f t="shared" si="3"/>
        <v>0</v>
      </c>
      <c r="M112" s="25" t="s">
        <v>1595</v>
      </c>
      <c r="N112" s="25" t="s">
        <v>1596</v>
      </c>
      <c r="O112" s="79">
        <v>0</v>
      </c>
    </row>
    <row r="113" spans="1:15" ht="18.75" x14ac:dyDescent="0.25">
      <c r="A113" s="39">
        <v>255</v>
      </c>
      <c r="B113" s="39" t="s">
        <v>1039</v>
      </c>
      <c r="C113" s="28" t="s">
        <v>1040</v>
      </c>
      <c r="D113" s="27" t="s">
        <v>1041</v>
      </c>
      <c r="E113" s="5" t="s">
        <v>22</v>
      </c>
      <c r="F113" s="21">
        <v>5.0000000000000001E-4</v>
      </c>
      <c r="G113" s="22">
        <f>VLOOKUP($B113,'Master File June-26'!$C$3:$L$670,6,0)</f>
        <v>125</v>
      </c>
      <c r="H113" s="22">
        <f>VLOOKUP($B113,'Master File June-26'!$C$3:$L$670,7,0)</f>
        <v>250000</v>
      </c>
      <c r="I113" s="5">
        <f>VLOOKUP($B113,'Master File June-26'!$C$3:$L$670,8,0)</f>
        <v>14</v>
      </c>
      <c r="J113" s="23">
        <f>VLOOKUP($B113,'Master File June-26'!$C$3:$L$670,9,0)</f>
        <v>125000</v>
      </c>
      <c r="K113" s="58">
        <f>VLOOKUP($B113,'Master File June-26'!$C$3:$L$670,10,0)</f>
        <v>180</v>
      </c>
      <c r="L113" s="24">
        <f t="shared" si="3"/>
        <v>2.1600000000000001E-2</v>
      </c>
      <c r="M113" s="25" t="s">
        <v>1608</v>
      </c>
      <c r="N113" s="25" t="s">
        <v>1609</v>
      </c>
      <c r="O113" s="79">
        <v>1</v>
      </c>
    </row>
    <row r="114" spans="1:15" ht="18.75" x14ac:dyDescent="0.25">
      <c r="A114" s="39">
        <v>254</v>
      </c>
      <c r="B114" s="39" t="s">
        <v>1044</v>
      </c>
      <c r="C114" s="28" t="s">
        <v>1045</v>
      </c>
      <c r="D114" s="27" t="s">
        <v>1046</v>
      </c>
      <c r="E114" s="5" t="s">
        <v>22</v>
      </c>
      <c r="F114" s="21">
        <v>1E-3</v>
      </c>
      <c r="G114" s="22">
        <f>VLOOKUP($B114,'Master File June-26'!$C$3:$L$670,6,0)</f>
        <v>86</v>
      </c>
      <c r="H114" s="22">
        <f>VLOOKUP($B114,'Master File June-26'!$C$3:$L$670,7,0)</f>
        <v>86000</v>
      </c>
      <c r="I114" s="5">
        <f>VLOOKUP($B114,'Master File June-26'!$C$3:$L$670,8,0)</f>
        <v>14</v>
      </c>
      <c r="J114" s="23">
        <f>VLOOKUP($B114,'Master File June-26'!$C$3:$L$670,9,0)</f>
        <v>43000</v>
      </c>
      <c r="K114" s="58">
        <f>VLOOKUP($B114,'Master File June-26'!$C$3:$L$670,10,0)</f>
        <v>100</v>
      </c>
      <c r="L114" s="24">
        <f t="shared" si="3"/>
        <v>3.4883720930232558E-2</v>
      </c>
      <c r="M114" s="25" t="s">
        <v>1608</v>
      </c>
      <c r="N114" s="25" t="s">
        <v>1609</v>
      </c>
      <c r="O114" s="79">
        <v>1</v>
      </c>
    </row>
    <row r="115" spans="1:15" ht="18.75" x14ac:dyDescent="0.25">
      <c r="A115" s="39">
        <v>237</v>
      </c>
      <c r="B115" s="39" t="s">
        <v>1055</v>
      </c>
      <c r="C115" s="28" t="s">
        <v>1056</v>
      </c>
      <c r="D115" s="27" t="s">
        <v>706</v>
      </c>
      <c r="E115" s="5" t="s">
        <v>49</v>
      </c>
      <c r="F115" s="21">
        <v>0.2</v>
      </c>
      <c r="G115" s="22">
        <f>VLOOKUP($B115,'Master File June-26'!$C$3:$L$670,6,0)</f>
        <v>63</v>
      </c>
      <c r="H115" s="22">
        <f>VLOOKUP($B115,'Master File June-26'!$C$3:$L$670,7,0)</f>
        <v>315</v>
      </c>
      <c r="I115" s="5">
        <f>VLOOKUP($B115,'Master File June-26'!$C$3:$L$670,8,0)</f>
        <v>14</v>
      </c>
      <c r="J115" s="23">
        <f>VLOOKUP($B115,'Master File June-26'!$C$3:$L$670,9,0)</f>
        <v>157.5</v>
      </c>
      <c r="K115" s="58">
        <f>VLOOKUP($B115,'Master File June-26'!$C$3:$L$670,10,0)</f>
        <v>19</v>
      </c>
      <c r="L115" s="24">
        <f t="shared" si="3"/>
        <v>1.8095238095238095</v>
      </c>
      <c r="M115" s="25" t="s">
        <v>1608</v>
      </c>
      <c r="N115" s="25" t="s">
        <v>1609</v>
      </c>
      <c r="O115" s="79">
        <v>1</v>
      </c>
    </row>
    <row r="116" spans="1:15" ht="18.75" x14ac:dyDescent="0.25">
      <c r="A116" s="39">
        <v>329</v>
      </c>
      <c r="B116" s="39" t="s">
        <v>1065</v>
      </c>
      <c r="C116" s="40" t="s">
        <v>1066</v>
      </c>
      <c r="D116" s="31" t="s">
        <v>22</v>
      </c>
      <c r="E116" s="5" t="s">
        <v>22</v>
      </c>
      <c r="F116" s="21">
        <v>0.16666666666666666</v>
      </c>
      <c r="G116" s="22">
        <f>VLOOKUP($B116,'Master File June-26'!$C$3:$L$670,6,0)</f>
        <v>250</v>
      </c>
      <c r="H116" s="22">
        <f>VLOOKUP($B116,'Master File June-26'!$C$3:$L$670,7,0)</f>
        <v>1500</v>
      </c>
      <c r="I116" s="5">
        <f>VLOOKUP($B116,'Master File June-26'!$C$3:$L$670,8,0)</f>
        <v>14</v>
      </c>
      <c r="J116" s="23">
        <f>VLOOKUP($B116,'Master File June-26'!$C$3:$L$670,9,0)</f>
        <v>750</v>
      </c>
      <c r="K116" s="58">
        <f>VLOOKUP($B116,'Master File June-26'!$C$3:$L$670,10,0)</f>
        <v>24</v>
      </c>
      <c r="L116" s="24">
        <f t="shared" si="3"/>
        <v>0.48</v>
      </c>
      <c r="M116" s="25" t="s">
        <v>1608</v>
      </c>
      <c r="N116" s="25" t="s">
        <v>1609</v>
      </c>
      <c r="O116" s="79">
        <v>1</v>
      </c>
    </row>
    <row r="117" spans="1:15" ht="18.75" x14ac:dyDescent="0.25">
      <c r="A117" s="39">
        <v>235</v>
      </c>
      <c r="B117" s="39" t="s">
        <v>1070</v>
      </c>
      <c r="C117" s="34" t="s">
        <v>1071</v>
      </c>
      <c r="D117" s="31" t="s">
        <v>1072</v>
      </c>
      <c r="E117" s="5" t="s">
        <v>22</v>
      </c>
      <c r="F117" s="21">
        <v>0.05</v>
      </c>
      <c r="G117" s="22">
        <f>VLOOKUP($B117,'Master File June-26'!$C$3:$L$670,6,0)</f>
        <v>22</v>
      </c>
      <c r="H117" s="22">
        <f>VLOOKUP($B117,'Master File June-26'!$C$3:$L$670,7,0)</f>
        <v>440</v>
      </c>
      <c r="I117" s="5">
        <f>VLOOKUP($B117,'Master File June-26'!$C$3:$L$670,8,0)</f>
        <v>14</v>
      </c>
      <c r="J117" s="23">
        <f>VLOOKUP($B117,'Master File June-26'!$C$3:$L$670,9,0)</f>
        <v>220</v>
      </c>
      <c r="K117" s="58">
        <f>VLOOKUP($B117,'Master File June-26'!$C$3:$L$670,10,0)</f>
        <v>15</v>
      </c>
      <c r="L117" s="24">
        <f t="shared" si="3"/>
        <v>1.0227272727272727</v>
      </c>
      <c r="M117" s="25" t="s">
        <v>1608</v>
      </c>
      <c r="N117" s="25" t="s">
        <v>1609</v>
      </c>
      <c r="O117" s="79">
        <v>1</v>
      </c>
    </row>
    <row r="118" spans="1:15" ht="18.75" x14ac:dyDescent="0.25">
      <c r="A118" s="39">
        <v>247</v>
      </c>
      <c r="B118" s="39" t="s">
        <v>1073</v>
      </c>
      <c r="C118" s="28" t="s">
        <v>1074</v>
      </c>
      <c r="D118" s="27" t="s">
        <v>78</v>
      </c>
      <c r="E118" s="5" t="s">
        <v>49</v>
      </c>
      <c r="F118" s="21">
        <v>1</v>
      </c>
      <c r="G118" s="22">
        <f>VLOOKUP($B118,'Master File June-26'!$C$3:$L$670,6,0)</f>
        <v>63</v>
      </c>
      <c r="H118" s="22">
        <f>VLOOKUP($B118,'Master File June-26'!$C$3:$L$670,7,0)</f>
        <v>63</v>
      </c>
      <c r="I118" s="5">
        <f>VLOOKUP($B118,'Master File June-26'!$C$3:$L$670,8,0)</f>
        <v>14</v>
      </c>
      <c r="J118" s="23">
        <f>VLOOKUP($B118,'Master File June-26'!$C$3:$L$670,9,0)</f>
        <v>31.5</v>
      </c>
      <c r="K118" s="58">
        <f>VLOOKUP($B118,'Master File June-26'!$C$3:$L$670,10,0)</f>
        <v>0</v>
      </c>
      <c r="L118" s="24">
        <f t="shared" si="3"/>
        <v>0</v>
      </c>
      <c r="M118" s="25" t="s">
        <v>1608</v>
      </c>
      <c r="N118" s="25" t="s">
        <v>1609</v>
      </c>
      <c r="O118" s="79">
        <v>1</v>
      </c>
    </row>
    <row r="119" spans="1:15" ht="18.75" x14ac:dyDescent="0.25">
      <c r="A119" s="39">
        <v>214</v>
      </c>
      <c r="B119" s="39" t="s">
        <v>1089</v>
      </c>
      <c r="C119" s="28" t="s">
        <v>1090</v>
      </c>
      <c r="D119" s="27" t="s">
        <v>754</v>
      </c>
      <c r="E119" s="5" t="s">
        <v>49</v>
      </c>
      <c r="F119" s="21">
        <v>1</v>
      </c>
      <c r="G119" s="22">
        <f>VLOOKUP($B119,'Master File June-26'!$C$3:$L$670,6,0)</f>
        <v>120</v>
      </c>
      <c r="H119" s="22">
        <f>VLOOKUP($B119,'Master File June-26'!$C$3:$L$670,7,0)</f>
        <v>120</v>
      </c>
      <c r="I119" s="5">
        <f>VLOOKUP($B119,'Master File June-26'!$C$3:$L$670,8,0)</f>
        <v>14</v>
      </c>
      <c r="J119" s="23">
        <f>VLOOKUP($B119,'Master File June-26'!$C$3:$L$670,9,0)</f>
        <v>60</v>
      </c>
      <c r="K119" s="58">
        <f>VLOOKUP($B119,'Master File June-26'!$C$3:$L$670,10,0)</f>
        <v>64</v>
      </c>
      <c r="L119" s="24">
        <f t="shared" si="3"/>
        <v>16</v>
      </c>
      <c r="M119" s="25" t="s">
        <v>1608</v>
      </c>
      <c r="N119" s="25" t="s">
        <v>1609</v>
      </c>
      <c r="O119" s="79">
        <v>1</v>
      </c>
    </row>
    <row r="120" spans="1:15" ht="18.75" x14ac:dyDescent="0.25">
      <c r="A120" s="39">
        <v>199</v>
      </c>
      <c r="B120" s="39" t="s">
        <v>1108</v>
      </c>
      <c r="C120" s="28" t="s">
        <v>1109</v>
      </c>
      <c r="D120" s="27" t="s">
        <v>160</v>
      </c>
      <c r="E120" s="5" t="s">
        <v>49</v>
      </c>
      <c r="F120" s="21">
        <v>1</v>
      </c>
      <c r="G120" s="22">
        <f>VLOOKUP($B120,'Master File June-26'!$C$3:$L$670,6,0)</f>
        <v>167</v>
      </c>
      <c r="H120" s="22">
        <f>VLOOKUP($B120,'Master File June-26'!$C$3:$L$670,7,0)</f>
        <v>167</v>
      </c>
      <c r="I120" s="5">
        <f>VLOOKUP($B120,'Master File June-26'!$C$3:$L$670,8,0)</f>
        <v>14</v>
      </c>
      <c r="J120" s="23">
        <f>VLOOKUP($B120,'Master File June-26'!$C$3:$L$670,9,0)</f>
        <v>83.5</v>
      </c>
      <c r="K120" s="58">
        <f>VLOOKUP($B120,'Master File June-26'!$C$3:$L$670,10,0)</f>
        <v>0</v>
      </c>
      <c r="L120" s="24">
        <f t="shared" si="3"/>
        <v>0</v>
      </c>
      <c r="M120" s="25" t="s">
        <v>1608</v>
      </c>
      <c r="N120" s="25" t="s">
        <v>1609</v>
      </c>
      <c r="O120" s="79">
        <v>1</v>
      </c>
    </row>
    <row r="121" spans="1:15" ht="18.75" x14ac:dyDescent="0.25">
      <c r="A121" s="39">
        <v>274</v>
      </c>
      <c r="B121" s="39" t="s">
        <v>1124</v>
      </c>
      <c r="C121" s="34" t="s">
        <v>1125</v>
      </c>
      <c r="D121" s="31" t="s">
        <v>78</v>
      </c>
      <c r="E121" s="5" t="s">
        <v>49</v>
      </c>
      <c r="F121" s="21">
        <v>1</v>
      </c>
      <c r="G121" s="22">
        <f>VLOOKUP($B121,'Master File June-26'!$C$3:$L$670,6,0)</f>
        <v>19</v>
      </c>
      <c r="H121" s="22">
        <f>VLOOKUP($B121,'Master File June-26'!$C$3:$L$670,7,0)</f>
        <v>19</v>
      </c>
      <c r="I121" s="5">
        <f>VLOOKUP($B121,'Master File June-26'!$C$3:$L$670,8,0)</f>
        <v>14</v>
      </c>
      <c r="J121" s="23">
        <f>VLOOKUP($B121,'Master File June-26'!$C$3:$L$670,9,0)</f>
        <v>9.5</v>
      </c>
      <c r="K121" s="58">
        <f>VLOOKUP($B121,'Master File June-26'!$C$3:$L$670,10,0)</f>
        <v>4</v>
      </c>
      <c r="L121" s="24">
        <f t="shared" si="3"/>
        <v>6.3157894736842106</v>
      </c>
      <c r="M121" s="25" t="s">
        <v>1595</v>
      </c>
      <c r="N121" s="25" t="s">
        <v>1596</v>
      </c>
      <c r="O121" s="79">
        <v>0</v>
      </c>
    </row>
    <row r="122" spans="1:15" ht="18.75" x14ac:dyDescent="0.25">
      <c r="A122" s="39">
        <v>191</v>
      </c>
      <c r="B122" s="39" t="s">
        <v>1154</v>
      </c>
      <c r="C122" s="28" t="s">
        <v>1155</v>
      </c>
      <c r="D122" s="27" t="s">
        <v>78</v>
      </c>
      <c r="E122" s="5" t="s">
        <v>49</v>
      </c>
      <c r="F122" s="21">
        <v>1</v>
      </c>
      <c r="G122" s="22">
        <f>VLOOKUP($B122,'Master File June-26'!$C$3:$L$670,6,0)</f>
        <v>143</v>
      </c>
      <c r="H122" s="22">
        <f>VLOOKUP($B122,'Master File June-26'!$C$3:$L$670,7,0)</f>
        <v>143</v>
      </c>
      <c r="I122" s="5">
        <f>VLOOKUP($B122,'Master File June-26'!$C$3:$L$670,8,0)</f>
        <v>14</v>
      </c>
      <c r="J122" s="23">
        <f>VLOOKUP($B122,'Master File June-26'!$C$3:$L$670,9,0)</f>
        <v>71.5</v>
      </c>
      <c r="K122" s="58">
        <f>VLOOKUP($B122,'Master File June-26'!$C$3:$L$670,10,0)</f>
        <v>23</v>
      </c>
      <c r="L122" s="24">
        <f t="shared" si="3"/>
        <v>4.825174825174825</v>
      </c>
      <c r="M122" s="25" t="s">
        <v>1608</v>
      </c>
      <c r="N122" s="25" t="s">
        <v>1609</v>
      </c>
      <c r="O122" s="79">
        <v>1</v>
      </c>
    </row>
    <row r="123" spans="1:15" ht="18.75" x14ac:dyDescent="0.25">
      <c r="A123" s="39">
        <v>198</v>
      </c>
      <c r="B123" s="39" t="s">
        <v>1163</v>
      </c>
      <c r="C123" s="28" t="s">
        <v>1164</v>
      </c>
      <c r="D123" s="27" t="s">
        <v>78</v>
      </c>
      <c r="E123" s="5" t="s">
        <v>49</v>
      </c>
      <c r="F123" s="21">
        <v>1</v>
      </c>
      <c r="G123" s="22">
        <f>VLOOKUP($B123,'Master File June-26'!$C$3:$L$670,6,0)</f>
        <v>264</v>
      </c>
      <c r="H123" s="22">
        <f>VLOOKUP($B123,'Master File June-26'!$C$3:$L$670,7,0)</f>
        <v>264</v>
      </c>
      <c r="I123" s="5">
        <f>VLOOKUP($B123,'Master File June-26'!$C$3:$L$670,8,0)</f>
        <v>14</v>
      </c>
      <c r="J123" s="23">
        <f>VLOOKUP($B123,'Master File June-26'!$C$3:$L$670,9,0)</f>
        <v>132</v>
      </c>
      <c r="K123" s="58">
        <f>VLOOKUP($B123,'Master File June-26'!$C$3:$L$670,10,0)</f>
        <v>14</v>
      </c>
      <c r="L123" s="24">
        <f t="shared" si="3"/>
        <v>1.5909090909090911</v>
      </c>
      <c r="M123" s="25" t="s">
        <v>1595</v>
      </c>
      <c r="N123" s="25" t="s">
        <v>1596</v>
      </c>
      <c r="O123" s="79">
        <v>0</v>
      </c>
    </row>
    <row r="124" spans="1:15" ht="18.75" x14ac:dyDescent="0.25">
      <c r="A124" s="39">
        <v>263</v>
      </c>
      <c r="B124" s="39" t="s">
        <v>1171</v>
      </c>
      <c r="C124" s="28" t="s">
        <v>1172</v>
      </c>
      <c r="D124" s="27" t="s">
        <v>78</v>
      </c>
      <c r="E124" s="5" t="s">
        <v>49</v>
      </c>
      <c r="F124" s="21">
        <v>1</v>
      </c>
      <c r="G124" s="22">
        <f>VLOOKUP($B124,'Master File June-26'!$C$3:$L$670,6,0)</f>
        <v>33</v>
      </c>
      <c r="H124" s="22">
        <f>VLOOKUP($B124,'Master File June-26'!$C$3:$L$670,7,0)</f>
        <v>33</v>
      </c>
      <c r="I124" s="5">
        <f>VLOOKUP($B124,'Master File June-26'!$C$3:$L$670,8,0)</f>
        <v>14</v>
      </c>
      <c r="J124" s="23">
        <f>VLOOKUP($B124,'Master File June-26'!$C$3:$L$670,9,0)</f>
        <v>16.5</v>
      </c>
      <c r="K124" s="58">
        <f>VLOOKUP($B124,'Master File June-26'!$C$3:$L$670,10,0)</f>
        <v>0</v>
      </c>
      <c r="L124" s="24">
        <f t="shared" si="3"/>
        <v>0</v>
      </c>
      <c r="M124" s="25" t="s">
        <v>1608</v>
      </c>
      <c r="N124" s="25" t="s">
        <v>1609</v>
      </c>
      <c r="O124" s="79">
        <v>1</v>
      </c>
    </row>
    <row r="125" spans="1:15" ht="18.75" x14ac:dyDescent="0.25">
      <c r="A125" s="39">
        <v>258</v>
      </c>
      <c r="B125" s="39" t="s">
        <v>1193</v>
      </c>
      <c r="C125" s="28" t="s">
        <v>1194</v>
      </c>
      <c r="D125" s="27" t="s">
        <v>1195</v>
      </c>
      <c r="E125" s="5" t="s">
        <v>22</v>
      </c>
      <c r="F125" s="21">
        <v>5.0000000000000001E-4</v>
      </c>
      <c r="G125" s="22">
        <f>VLOOKUP($B125,'Master File June-26'!$C$3:$L$670,6,0)</f>
        <v>66</v>
      </c>
      <c r="H125" s="22">
        <f>VLOOKUP($B125,'Master File June-26'!$C$3:$L$670,7,0)</f>
        <v>132000</v>
      </c>
      <c r="I125" s="5">
        <f>VLOOKUP($B125,'Master File June-26'!$C$3:$L$670,8,0)</f>
        <v>14</v>
      </c>
      <c r="J125" s="23">
        <f>VLOOKUP($B125,'Master File June-26'!$C$3:$L$670,9,0)</f>
        <v>66000</v>
      </c>
      <c r="K125" s="58">
        <f>VLOOKUP($B125,'Master File June-26'!$C$3:$L$670,10,0)</f>
        <v>590</v>
      </c>
      <c r="L125" s="24">
        <f t="shared" si="3"/>
        <v>0.13409090909090909</v>
      </c>
      <c r="M125" s="25" t="s">
        <v>1608</v>
      </c>
      <c r="N125" s="25" t="s">
        <v>1609</v>
      </c>
      <c r="O125" s="79">
        <v>1</v>
      </c>
    </row>
    <row r="126" spans="1:15" ht="18.75" x14ac:dyDescent="0.25">
      <c r="A126" s="39">
        <v>251</v>
      </c>
      <c r="B126" s="39" t="s">
        <v>1199</v>
      </c>
      <c r="C126" s="28" t="s">
        <v>1200</v>
      </c>
      <c r="D126" s="27" t="s">
        <v>1201</v>
      </c>
      <c r="E126" s="5" t="s">
        <v>264</v>
      </c>
      <c r="F126" s="21">
        <v>1</v>
      </c>
      <c r="G126" s="22">
        <f>VLOOKUP($B126,'Master File June-26'!$C$3:$L$670,6,0)</f>
        <v>105.5</v>
      </c>
      <c r="H126" s="22">
        <f>VLOOKUP($B126,'Master File June-26'!$C$3:$L$670,7,0)</f>
        <v>105.5</v>
      </c>
      <c r="I126" s="5">
        <f>VLOOKUP($B126,'Master File June-26'!$C$3:$L$670,8,0)</f>
        <v>14</v>
      </c>
      <c r="J126" s="23">
        <f>VLOOKUP($B126,'Master File June-26'!$C$3:$L$670,9,0)</f>
        <v>52.75</v>
      </c>
      <c r="K126" s="58">
        <f>VLOOKUP($B126,'Master File June-26'!$C$3:$L$670,10,0)</f>
        <v>128</v>
      </c>
      <c r="L126" s="24">
        <f t="shared" si="3"/>
        <v>36.39810426540285</v>
      </c>
      <c r="M126" s="25" t="s">
        <v>1595</v>
      </c>
      <c r="N126" s="25" t="s">
        <v>1596</v>
      </c>
      <c r="O126" s="79">
        <v>0</v>
      </c>
    </row>
    <row r="127" spans="1:15" ht="18.75" x14ac:dyDescent="0.25">
      <c r="A127" s="39">
        <v>209</v>
      </c>
      <c r="B127" s="39" t="s">
        <v>1230</v>
      </c>
      <c r="C127" s="28" t="s">
        <v>1231</v>
      </c>
      <c r="D127" s="27" t="s">
        <v>160</v>
      </c>
      <c r="E127" s="5" t="s">
        <v>49</v>
      </c>
      <c r="F127" s="21">
        <v>1</v>
      </c>
      <c r="G127" s="22">
        <f>VLOOKUP($B127,'Master File June-26'!$C$3:$L$670,6,0)</f>
        <v>44</v>
      </c>
      <c r="H127" s="22">
        <f>VLOOKUP($B127,'Master File June-26'!$C$3:$L$670,7,0)</f>
        <v>44</v>
      </c>
      <c r="I127" s="5">
        <f>VLOOKUP($B127,'Master File June-26'!$C$3:$L$670,8,0)</f>
        <v>14</v>
      </c>
      <c r="J127" s="23">
        <f>VLOOKUP($B127,'Master File June-26'!$C$3:$L$670,9,0)</f>
        <v>22</v>
      </c>
      <c r="K127" s="58">
        <f>VLOOKUP($B127,'Master File June-26'!$C$3:$L$670,10,0)</f>
        <v>0</v>
      </c>
      <c r="L127" s="24">
        <f t="shared" si="3"/>
        <v>0</v>
      </c>
      <c r="M127" s="25" t="s">
        <v>1608</v>
      </c>
      <c r="N127" s="25" t="s">
        <v>1609</v>
      </c>
      <c r="O127" s="79">
        <v>1</v>
      </c>
    </row>
    <row r="128" spans="1:15" ht="18.75" x14ac:dyDescent="0.25">
      <c r="A128" s="39">
        <v>261</v>
      </c>
      <c r="B128" s="39" t="s">
        <v>1238</v>
      </c>
      <c r="C128" s="28" t="s">
        <v>1239</v>
      </c>
      <c r="D128" s="27" t="s">
        <v>78</v>
      </c>
      <c r="E128" s="5" t="s">
        <v>49</v>
      </c>
      <c r="F128" s="21">
        <v>1</v>
      </c>
      <c r="G128" s="22">
        <f>VLOOKUP($B128,'Master File June-26'!$C$3:$L$670,6,0)</f>
        <v>33</v>
      </c>
      <c r="H128" s="22">
        <f>VLOOKUP($B128,'Master File June-26'!$C$3:$L$670,7,0)</f>
        <v>33</v>
      </c>
      <c r="I128" s="5">
        <f>VLOOKUP($B128,'Master File June-26'!$C$3:$L$670,8,0)</f>
        <v>14</v>
      </c>
      <c r="J128" s="23">
        <f>VLOOKUP($B128,'Master File June-26'!$C$3:$L$670,9,0)</f>
        <v>16.5</v>
      </c>
      <c r="K128" s="58">
        <f>VLOOKUP($B128,'Master File June-26'!$C$3:$L$670,10,0)</f>
        <v>0</v>
      </c>
      <c r="L128" s="24">
        <f t="shared" si="3"/>
        <v>0</v>
      </c>
      <c r="M128" s="25" t="s">
        <v>1608</v>
      </c>
      <c r="N128" s="25" t="s">
        <v>1609</v>
      </c>
      <c r="O128" s="79">
        <v>1</v>
      </c>
    </row>
    <row r="129" spans="1:15" ht="18.75" x14ac:dyDescent="0.25">
      <c r="A129" s="39">
        <v>219</v>
      </c>
      <c r="B129" s="39" t="s">
        <v>1261</v>
      </c>
      <c r="C129" s="28" t="s">
        <v>1262</v>
      </c>
      <c r="D129" s="27" t="s">
        <v>78</v>
      </c>
      <c r="E129" s="5" t="s">
        <v>49</v>
      </c>
      <c r="F129" s="21">
        <v>1</v>
      </c>
      <c r="G129" s="22">
        <f>VLOOKUP($B129,'Master File June-26'!$C$3:$L$670,6,0)</f>
        <v>79</v>
      </c>
      <c r="H129" s="22">
        <f>VLOOKUP($B129,'Master File June-26'!$C$3:$L$670,7,0)</f>
        <v>79</v>
      </c>
      <c r="I129" s="5">
        <f>VLOOKUP($B129,'Master File June-26'!$C$3:$L$670,8,0)</f>
        <v>14</v>
      </c>
      <c r="J129" s="23">
        <f>VLOOKUP($B129,'Master File June-26'!$C$3:$L$670,9,0)</f>
        <v>39.5</v>
      </c>
      <c r="K129" s="58">
        <f>VLOOKUP($B129,'Master File June-26'!$C$3:$L$670,10,0)</f>
        <v>0</v>
      </c>
      <c r="L129" s="24">
        <f t="shared" si="3"/>
        <v>0</v>
      </c>
      <c r="M129" s="25" t="s">
        <v>1595</v>
      </c>
      <c r="N129" s="25" t="s">
        <v>1596</v>
      </c>
      <c r="O129" s="79">
        <v>0</v>
      </c>
    </row>
    <row r="130" spans="1:15" ht="18.75" x14ac:dyDescent="0.25">
      <c r="A130" s="39">
        <v>320</v>
      </c>
      <c r="B130" s="39" t="s">
        <v>1280</v>
      </c>
      <c r="C130" s="28" t="s">
        <v>1281</v>
      </c>
      <c r="D130" s="28" t="s">
        <v>706</v>
      </c>
      <c r="E130" s="5" t="s">
        <v>49</v>
      </c>
      <c r="F130" s="21">
        <v>0.2</v>
      </c>
      <c r="G130" s="22">
        <f>VLOOKUP($B130,'Master File June-26'!$C$3:$L$670,6,0)</f>
        <v>20</v>
      </c>
      <c r="H130" s="22">
        <f>VLOOKUP($B130,'Master File June-26'!$C$3:$L$670,7,0)</f>
        <v>100</v>
      </c>
      <c r="I130" s="5">
        <f>VLOOKUP($B130,'Master File June-26'!$C$3:$L$670,8,0)</f>
        <v>14</v>
      </c>
      <c r="J130" s="23">
        <f>VLOOKUP($B130,'Master File June-26'!$C$3:$L$670,9,0)</f>
        <v>50</v>
      </c>
      <c r="K130" s="58">
        <f>VLOOKUP($B130,'Master File June-26'!$C$3:$L$670,10,0)</f>
        <v>73</v>
      </c>
      <c r="L130" s="24">
        <f t="shared" si="3"/>
        <v>21.9</v>
      </c>
      <c r="M130" s="25" t="s">
        <v>1608</v>
      </c>
      <c r="N130" s="25" t="s">
        <v>1609</v>
      </c>
      <c r="O130" s="79">
        <v>1</v>
      </c>
    </row>
    <row r="131" spans="1:15" ht="18.75" x14ac:dyDescent="0.25">
      <c r="A131" s="39">
        <v>223</v>
      </c>
      <c r="B131" s="39" t="s">
        <v>1301</v>
      </c>
      <c r="C131" s="28" t="s">
        <v>1302</v>
      </c>
      <c r="D131" s="28" t="s">
        <v>254</v>
      </c>
      <c r="E131" s="5" t="s">
        <v>49</v>
      </c>
      <c r="F131" s="21">
        <v>1</v>
      </c>
      <c r="G131" s="22">
        <f>VLOOKUP($B131,'Master File June-26'!$C$3:$L$670,6,0)</f>
        <v>67</v>
      </c>
      <c r="H131" s="22">
        <f>VLOOKUP($B131,'Master File June-26'!$C$3:$L$670,7,0)</f>
        <v>67</v>
      </c>
      <c r="I131" s="5">
        <f>VLOOKUP($B131,'Master File June-26'!$C$3:$L$670,8,0)</f>
        <v>14</v>
      </c>
      <c r="J131" s="23">
        <f>VLOOKUP($B131,'Master File June-26'!$C$3:$L$670,9,0)</f>
        <v>33.5</v>
      </c>
      <c r="K131" s="58">
        <f>VLOOKUP($B131,'Master File June-26'!$C$3:$L$670,10,0)</f>
        <v>0</v>
      </c>
      <c r="L131" s="24">
        <f t="shared" ref="L131:L149" si="4">IFERROR((K131/H131*30),0)</f>
        <v>0</v>
      </c>
      <c r="M131" s="25" t="s">
        <v>1595</v>
      </c>
      <c r="N131" s="25" t="s">
        <v>1596</v>
      </c>
      <c r="O131" s="79">
        <v>0</v>
      </c>
    </row>
    <row r="132" spans="1:15" ht="18.75" x14ac:dyDescent="0.25">
      <c r="A132" s="39">
        <v>203</v>
      </c>
      <c r="B132" s="39" t="s">
        <v>1316</v>
      </c>
      <c r="C132" s="34" t="s">
        <v>1317</v>
      </c>
      <c r="D132" s="34" t="s">
        <v>160</v>
      </c>
      <c r="E132" s="5" t="s">
        <v>49</v>
      </c>
      <c r="F132" s="21">
        <v>1</v>
      </c>
      <c r="G132" s="22">
        <f>VLOOKUP($B132,'Master File June-26'!$C$3:$L$670,6,0)</f>
        <v>22</v>
      </c>
      <c r="H132" s="22">
        <f>VLOOKUP($B132,'Master File June-26'!$C$3:$L$670,7,0)</f>
        <v>22</v>
      </c>
      <c r="I132" s="5">
        <f>VLOOKUP($B132,'Master File June-26'!$C$3:$L$670,8,0)</f>
        <v>14</v>
      </c>
      <c r="J132" s="23">
        <f>VLOOKUP($B132,'Master File June-26'!$C$3:$L$670,9,0)</f>
        <v>11</v>
      </c>
      <c r="K132" s="58">
        <f>VLOOKUP($B132,'Master File June-26'!$C$3:$L$670,10,0)</f>
        <v>0</v>
      </c>
      <c r="L132" s="24">
        <f t="shared" si="4"/>
        <v>0</v>
      </c>
      <c r="M132" s="25" t="s">
        <v>1608</v>
      </c>
      <c r="N132" s="25" t="s">
        <v>1609</v>
      </c>
      <c r="O132" s="79">
        <v>1</v>
      </c>
    </row>
    <row r="133" spans="1:15" ht="18.75" x14ac:dyDescent="0.25">
      <c r="A133" s="39">
        <v>323</v>
      </c>
      <c r="B133" s="39" t="s">
        <v>1318</v>
      </c>
      <c r="C133" s="28" t="s">
        <v>1319</v>
      </c>
      <c r="D133" s="28" t="s">
        <v>1320</v>
      </c>
      <c r="E133" s="5" t="s">
        <v>22</v>
      </c>
      <c r="F133" s="21">
        <v>0.05</v>
      </c>
      <c r="G133" s="22">
        <f>VLOOKUP($B133,'Master File June-26'!$C$3:$L$670,6,0)</f>
        <v>6</v>
      </c>
      <c r="H133" s="22">
        <f>VLOOKUP($B133,'Master File June-26'!$C$3:$L$670,7,0)</f>
        <v>120</v>
      </c>
      <c r="I133" s="5">
        <f>VLOOKUP($B133,'Master File June-26'!$C$3:$L$670,8,0)</f>
        <v>14</v>
      </c>
      <c r="J133" s="23">
        <f>VLOOKUP($B133,'Master File June-26'!$C$3:$L$670,9,0)</f>
        <v>60</v>
      </c>
      <c r="K133" s="58">
        <f>VLOOKUP($B133,'Master File June-26'!$C$3:$L$670,10,0)</f>
        <v>0</v>
      </c>
      <c r="L133" s="24">
        <f t="shared" si="4"/>
        <v>0</v>
      </c>
      <c r="M133" s="25" t="s">
        <v>1608</v>
      </c>
      <c r="N133" s="25" t="s">
        <v>1609</v>
      </c>
      <c r="O133" s="79">
        <v>1</v>
      </c>
    </row>
    <row r="134" spans="1:15" ht="18.75" x14ac:dyDescent="0.25">
      <c r="A134" s="39">
        <v>262</v>
      </c>
      <c r="B134" s="39" t="s">
        <v>1333</v>
      </c>
      <c r="C134" s="28" t="s">
        <v>1334</v>
      </c>
      <c r="D134" s="28" t="s">
        <v>78</v>
      </c>
      <c r="E134" s="5" t="s">
        <v>49</v>
      </c>
      <c r="F134" s="21">
        <v>1</v>
      </c>
      <c r="G134" s="22">
        <f>VLOOKUP($B134,'Master File June-26'!$C$3:$L$670,6,0)</f>
        <v>33</v>
      </c>
      <c r="H134" s="22">
        <f>VLOOKUP($B134,'Master File June-26'!$C$3:$L$670,7,0)</f>
        <v>33</v>
      </c>
      <c r="I134" s="5">
        <f>VLOOKUP($B134,'Master File June-26'!$C$3:$L$670,8,0)</f>
        <v>14</v>
      </c>
      <c r="J134" s="23">
        <f>VLOOKUP($B134,'Master File June-26'!$C$3:$L$670,9,0)</f>
        <v>16.5</v>
      </c>
      <c r="K134" s="58">
        <f>VLOOKUP($B134,'Master File June-26'!$C$3:$L$670,10,0)</f>
        <v>0</v>
      </c>
      <c r="L134" s="24">
        <f t="shared" si="4"/>
        <v>0</v>
      </c>
      <c r="M134" s="25" t="s">
        <v>1608</v>
      </c>
      <c r="N134" s="25" t="s">
        <v>1609</v>
      </c>
      <c r="O134" s="79">
        <v>1</v>
      </c>
    </row>
    <row r="135" spans="1:15" ht="18.75" x14ac:dyDescent="0.25">
      <c r="A135" s="39">
        <v>201</v>
      </c>
      <c r="B135" s="39" t="s">
        <v>1337</v>
      </c>
      <c r="C135" s="28" t="s">
        <v>1338</v>
      </c>
      <c r="D135" s="28" t="s">
        <v>160</v>
      </c>
      <c r="E135" s="5" t="s">
        <v>49</v>
      </c>
      <c r="F135" s="21">
        <v>1</v>
      </c>
      <c r="G135" s="22">
        <f>VLOOKUP($B135,'Master File June-26'!$C$3:$L$670,6,0)</f>
        <v>35.5</v>
      </c>
      <c r="H135" s="22">
        <f>VLOOKUP($B135,'Master File June-26'!$C$3:$L$670,7,0)</f>
        <v>35.5</v>
      </c>
      <c r="I135" s="5">
        <f>VLOOKUP($B135,'Master File June-26'!$C$3:$L$670,8,0)</f>
        <v>14</v>
      </c>
      <c r="J135" s="23">
        <f>VLOOKUP($B135,'Master File June-26'!$C$3:$L$670,9,0)</f>
        <v>17.75</v>
      </c>
      <c r="K135" s="58">
        <f>VLOOKUP($B135,'Master File June-26'!$C$3:$L$670,10,0)</f>
        <v>0</v>
      </c>
      <c r="L135" s="24">
        <f t="shared" si="4"/>
        <v>0</v>
      </c>
      <c r="M135" s="25" t="s">
        <v>1608</v>
      </c>
      <c r="N135" s="25" t="s">
        <v>1609</v>
      </c>
      <c r="O135" s="79">
        <v>1</v>
      </c>
    </row>
    <row r="136" spans="1:15" ht="18.75" x14ac:dyDescent="0.25">
      <c r="A136" s="39">
        <v>264</v>
      </c>
      <c r="B136" s="39" t="s">
        <v>1376</v>
      </c>
      <c r="C136" s="28" t="s">
        <v>1377</v>
      </c>
      <c r="D136" s="28" t="s">
        <v>160</v>
      </c>
      <c r="E136" s="5" t="s">
        <v>49</v>
      </c>
      <c r="F136" s="21">
        <v>1</v>
      </c>
      <c r="G136" s="22">
        <f>VLOOKUP($B136,'Master File June-26'!$C$3:$L$670,6,0)</f>
        <v>33</v>
      </c>
      <c r="H136" s="22">
        <f>VLOOKUP($B136,'Master File June-26'!$C$3:$L$670,7,0)</f>
        <v>33</v>
      </c>
      <c r="I136" s="5">
        <f>VLOOKUP($B136,'Master File June-26'!$C$3:$L$670,8,0)</f>
        <v>14</v>
      </c>
      <c r="J136" s="23">
        <f>VLOOKUP($B136,'Master File June-26'!$C$3:$L$670,9,0)</f>
        <v>16.5</v>
      </c>
      <c r="K136" s="58">
        <f>VLOOKUP($B136,'Master File June-26'!$C$3:$L$670,10,0)</f>
        <v>0</v>
      </c>
      <c r="L136" s="24">
        <f t="shared" si="4"/>
        <v>0</v>
      </c>
      <c r="M136" s="25" t="s">
        <v>1608</v>
      </c>
      <c r="N136" s="25" t="s">
        <v>1609</v>
      </c>
      <c r="O136" s="79">
        <v>1</v>
      </c>
    </row>
    <row r="137" spans="1:15" ht="18.75" x14ac:dyDescent="0.25">
      <c r="A137" s="39">
        <v>190</v>
      </c>
      <c r="B137" s="39" t="s">
        <v>1384</v>
      </c>
      <c r="C137" s="28" t="s">
        <v>1385</v>
      </c>
      <c r="D137" s="28" t="s">
        <v>78</v>
      </c>
      <c r="E137" s="5" t="s">
        <v>49</v>
      </c>
      <c r="F137" s="21">
        <v>1</v>
      </c>
      <c r="G137" s="22">
        <f>VLOOKUP($B137,'Master File June-26'!$C$3:$L$670,6,0)</f>
        <v>66</v>
      </c>
      <c r="H137" s="22">
        <f>VLOOKUP($B137,'Master File June-26'!$C$3:$L$670,7,0)</f>
        <v>66</v>
      </c>
      <c r="I137" s="5">
        <f>VLOOKUP($B137,'Master File June-26'!$C$3:$L$670,8,0)</f>
        <v>14</v>
      </c>
      <c r="J137" s="23">
        <f>VLOOKUP($B137,'Master File June-26'!$C$3:$L$670,9,0)</f>
        <v>33</v>
      </c>
      <c r="K137" s="58">
        <f>VLOOKUP($B137,'Master File June-26'!$C$3:$L$670,10,0)</f>
        <v>23</v>
      </c>
      <c r="L137" s="24">
        <f t="shared" si="4"/>
        <v>10.454545454545455</v>
      </c>
      <c r="M137" s="25" t="s">
        <v>1595</v>
      </c>
      <c r="N137" s="25" t="s">
        <v>1596</v>
      </c>
      <c r="O137" s="79">
        <v>0</v>
      </c>
    </row>
    <row r="138" spans="1:15" ht="18.75" x14ac:dyDescent="0.25">
      <c r="A138" s="39">
        <v>220</v>
      </c>
      <c r="B138" s="39" t="s">
        <v>1409</v>
      </c>
      <c r="C138" s="28" t="s">
        <v>1410</v>
      </c>
      <c r="D138" s="28" t="s">
        <v>160</v>
      </c>
      <c r="E138" s="5" t="s">
        <v>49</v>
      </c>
      <c r="F138" s="21">
        <v>1</v>
      </c>
      <c r="G138" s="22">
        <f>VLOOKUP($B138,'Master File June-26'!$C$3:$L$670,6,0)</f>
        <v>27.5</v>
      </c>
      <c r="H138" s="22">
        <f>VLOOKUP($B138,'Master File June-26'!$C$3:$L$670,7,0)</f>
        <v>27.5</v>
      </c>
      <c r="I138" s="5">
        <f>VLOOKUP($B138,'Master File June-26'!$C$3:$L$670,8,0)</f>
        <v>14</v>
      </c>
      <c r="J138" s="23">
        <f>VLOOKUP($B138,'Master File June-26'!$C$3:$L$670,9,0)</f>
        <v>13.75</v>
      </c>
      <c r="K138" s="58">
        <f>VLOOKUP($B138,'Master File June-26'!$C$3:$L$670,10,0)</f>
        <v>0</v>
      </c>
      <c r="L138" s="24">
        <f t="shared" si="4"/>
        <v>0</v>
      </c>
      <c r="M138" s="25" t="s">
        <v>1608</v>
      </c>
      <c r="N138" s="25" t="s">
        <v>1609</v>
      </c>
      <c r="O138" s="79">
        <v>1</v>
      </c>
    </row>
    <row r="139" spans="1:15" ht="18.75" x14ac:dyDescent="0.25">
      <c r="A139" s="39">
        <v>253</v>
      </c>
      <c r="B139" s="39" t="s">
        <v>1413</v>
      </c>
      <c r="C139" s="28" t="s">
        <v>1414</v>
      </c>
      <c r="D139" s="28" t="s">
        <v>1415</v>
      </c>
      <c r="E139" s="5" t="s">
        <v>49</v>
      </c>
      <c r="F139" s="21">
        <v>1</v>
      </c>
      <c r="G139" s="22">
        <f>VLOOKUP($B139,'Master File June-26'!$C$3:$L$670,6,0)</f>
        <v>24</v>
      </c>
      <c r="H139" s="22">
        <f>VLOOKUP($B139,'Master File June-26'!$C$3:$L$670,7,0)</f>
        <v>24</v>
      </c>
      <c r="I139" s="5">
        <f>VLOOKUP($B139,'Master File June-26'!$C$3:$L$670,8,0)</f>
        <v>14</v>
      </c>
      <c r="J139" s="23">
        <f>VLOOKUP($B139,'Master File June-26'!$C$3:$L$670,9,0)</f>
        <v>12</v>
      </c>
      <c r="K139" s="58">
        <f>VLOOKUP($B139,'Master File June-26'!$C$3:$L$670,10,0)</f>
        <v>0</v>
      </c>
      <c r="L139" s="24">
        <f t="shared" si="4"/>
        <v>0</v>
      </c>
      <c r="M139" s="25" t="s">
        <v>1608</v>
      </c>
      <c r="N139" s="25" t="s">
        <v>1609</v>
      </c>
      <c r="O139" s="79">
        <v>1</v>
      </c>
    </row>
    <row r="140" spans="1:15" ht="18.75" x14ac:dyDescent="0.25">
      <c r="A140" s="39">
        <v>287</v>
      </c>
      <c r="B140" s="39" t="s">
        <v>1418</v>
      </c>
      <c r="C140" s="34" t="s">
        <v>1419</v>
      </c>
      <c r="D140" s="34" t="s">
        <v>1420</v>
      </c>
      <c r="E140" s="5" t="s">
        <v>22</v>
      </c>
      <c r="F140" s="21">
        <v>0.76923076923076916</v>
      </c>
      <c r="G140" s="22">
        <f>VLOOKUP($B140,'Master File June-26'!$C$3:$L$670,6,0)</f>
        <v>22</v>
      </c>
      <c r="H140" s="22">
        <f>VLOOKUP($B140,'Master File June-26'!$C$3:$L$670,7,0)</f>
        <v>28.6</v>
      </c>
      <c r="I140" s="5">
        <f>VLOOKUP($B140,'Master File June-26'!$C$3:$L$670,8,0)</f>
        <v>14</v>
      </c>
      <c r="J140" s="23">
        <f>VLOOKUP($B140,'Master File June-26'!$C$3:$L$670,9,0)</f>
        <v>14.3</v>
      </c>
      <c r="K140" s="58">
        <f>VLOOKUP($B140,'Master File June-26'!$C$3:$L$670,10,0)</f>
        <v>8</v>
      </c>
      <c r="L140" s="24">
        <f t="shared" si="4"/>
        <v>8.3916083916083899</v>
      </c>
      <c r="M140" s="25" t="s">
        <v>1608</v>
      </c>
      <c r="N140" s="25" t="s">
        <v>1609</v>
      </c>
      <c r="O140" s="79">
        <v>1</v>
      </c>
    </row>
    <row r="141" spans="1:15" ht="18.75" x14ac:dyDescent="0.25">
      <c r="A141" s="39">
        <v>278</v>
      </c>
      <c r="B141" s="39" t="s">
        <v>1426</v>
      </c>
      <c r="C141" s="28" t="s">
        <v>1427</v>
      </c>
      <c r="D141" s="28" t="s">
        <v>78</v>
      </c>
      <c r="E141" s="5" t="s">
        <v>49</v>
      </c>
      <c r="F141" s="21">
        <v>1</v>
      </c>
      <c r="G141" s="22">
        <f>VLOOKUP($B141,'Master File June-26'!$C$3:$L$670,6,0)</f>
        <v>5.5</v>
      </c>
      <c r="H141" s="22">
        <f>VLOOKUP($B141,'Master File June-26'!$C$3:$L$670,7,0)</f>
        <v>5.5</v>
      </c>
      <c r="I141" s="5">
        <f>VLOOKUP($B141,'Master File June-26'!$C$3:$L$670,8,0)</f>
        <v>14</v>
      </c>
      <c r="J141" s="23">
        <f>VLOOKUP($B141,'Master File June-26'!$C$3:$L$670,9,0)</f>
        <v>2.75</v>
      </c>
      <c r="K141" s="58">
        <f>VLOOKUP($B141,'Master File June-26'!$C$3:$L$670,10,0)</f>
        <v>0</v>
      </c>
      <c r="L141" s="24">
        <f t="shared" si="4"/>
        <v>0</v>
      </c>
      <c r="M141" s="25" t="s">
        <v>1608</v>
      </c>
      <c r="N141" s="25" t="s">
        <v>1609</v>
      </c>
      <c r="O141" s="79">
        <v>1</v>
      </c>
    </row>
    <row r="142" spans="1:15" ht="18.75" x14ac:dyDescent="0.25">
      <c r="A142" s="39">
        <v>313</v>
      </c>
      <c r="B142" s="39" t="s">
        <v>1434</v>
      </c>
      <c r="C142" s="28" t="s">
        <v>1435</v>
      </c>
      <c r="D142" s="28" t="s">
        <v>78</v>
      </c>
      <c r="E142" s="5" t="s">
        <v>49</v>
      </c>
      <c r="F142" s="21">
        <v>1</v>
      </c>
      <c r="G142" s="22">
        <f>VLOOKUP($B142,'Master File June-26'!$C$3:$L$670,6,0)</f>
        <v>24</v>
      </c>
      <c r="H142" s="22">
        <f>VLOOKUP($B142,'Master File June-26'!$C$3:$L$670,7,0)</f>
        <v>24</v>
      </c>
      <c r="I142" s="5">
        <f>VLOOKUP($B142,'Master File June-26'!$C$3:$L$670,8,0)</f>
        <v>14</v>
      </c>
      <c r="J142" s="23">
        <f>VLOOKUP($B142,'Master File June-26'!$C$3:$L$670,9,0)</f>
        <v>12</v>
      </c>
      <c r="K142" s="58">
        <f>VLOOKUP($B142,'Master File June-26'!$C$3:$L$670,10,0)</f>
        <v>0</v>
      </c>
      <c r="L142" s="24">
        <f t="shared" si="4"/>
        <v>0</v>
      </c>
      <c r="M142" s="25" t="s">
        <v>1608</v>
      </c>
      <c r="N142" s="25" t="s">
        <v>1609</v>
      </c>
      <c r="O142" s="79">
        <v>1</v>
      </c>
    </row>
    <row r="143" spans="1:15" ht="18.75" x14ac:dyDescent="0.25">
      <c r="A143" s="39">
        <v>233</v>
      </c>
      <c r="B143" s="64" t="s">
        <v>1476</v>
      </c>
      <c r="C143" s="27" t="s">
        <v>1477</v>
      </c>
      <c r="D143" s="28" t="s">
        <v>160</v>
      </c>
      <c r="E143" s="5" t="s">
        <v>49</v>
      </c>
      <c r="F143" s="21">
        <v>1</v>
      </c>
      <c r="G143" s="22">
        <f>VLOOKUP($B143,'Master File June-26'!$C$3:$L$670,6,0)</f>
        <v>5.5</v>
      </c>
      <c r="H143" s="22">
        <f>VLOOKUP($B143,'Master File June-26'!$C$3:$L$670,7,0)</f>
        <v>5.5</v>
      </c>
      <c r="I143" s="5">
        <f>VLOOKUP($B143,'Master File June-26'!$C$3:$L$670,8,0)</f>
        <v>14</v>
      </c>
      <c r="J143" s="23">
        <f>VLOOKUP($B143,'Master File June-26'!$C$3:$L$670,9,0)</f>
        <v>2.75</v>
      </c>
      <c r="K143" s="58">
        <f>VLOOKUP($B143,'Master File June-26'!$C$3:$L$670,10,0)</f>
        <v>6</v>
      </c>
      <c r="L143" s="24">
        <f t="shared" si="4"/>
        <v>32.727272727272727</v>
      </c>
      <c r="M143" s="25" t="s">
        <v>1608</v>
      </c>
      <c r="N143" s="25" t="s">
        <v>1609</v>
      </c>
      <c r="O143" s="79">
        <v>1</v>
      </c>
    </row>
    <row r="144" spans="1:15" ht="18.75" x14ac:dyDescent="0.25">
      <c r="A144" s="39">
        <v>245</v>
      </c>
      <c r="B144" s="39" t="s">
        <v>1509</v>
      </c>
      <c r="C144" s="27" t="s">
        <v>1510</v>
      </c>
      <c r="D144" s="27" t="s">
        <v>706</v>
      </c>
      <c r="E144" s="5" t="s">
        <v>49</v>
      </c>
      <c r="F144" s="21">
        <v>1</v>
      </c>
      <c r="G144" s="22">
        <f>VLOOKUP($B144,'Master File June-26'!$C$3:$L$670,6,0)</f>
        <v>27.5</v>
      </c>
      <c r="H144" s="22">
        <f>VLOOKUP($B144,'Master File June-26'!$C$3:$L$670,7,0)</f>
        <v>27.5</v>
      </c>
      <c r="I144" s="5">
        <f>VLOOKUP($B144,'Master File June-26'!$C$3:$L$670,8,0)</f>
        <v>14</v>
      </c>
      <c r="J144" s="23">
        <f>VLOOKUP($B144,'Master File June-26'!$C$3:$L$670,9,0)</f>
        <v>13.75</v>
      </c>
      <c r="K144" s="58">
        <f>VLOOKUP($B144,'Master File June-26'!$C$3:$L$670,10,0)</f>
        <v>10</v>
      </c>
      <c r="L144" s="24">
        <f t="shared" si="4"/>
        <v>10.90909090909091</v>
      </c>
      <c r="M144" s="25" t="s">
        <v>1608</v>
      </c>
      <c r="N144" s="25" t="s">
        <v>1609</v>
      </c>
      <c r="O144" s="79">
        <v>1</v>
      </c>
    </row>
    <row r="145" spans="1:15" ht="18.75" x14ac:dyDescent="0.25">
      <c r="A145" s="39">
        <v>330</v>
      </c>
      <c r="B145" s="39" t="s">
        <v>1545</v>
      </c>
      <c r="C145" s="27" t="s">
        <v>1546</v>
      </c>
      <c r="D145" s="31" t="s">
        <v>64</v>
      </c>
      <c r="E145" s="5" t="s">
        <v>49</v>
      </c>
      <c r="F145" s="21">
        <v>1</v>
      </c>
      <c r="G145" s="22">
        <f>VLOOKUP($B145,'Master File June-26'!$C$3:$L$670,6,0)</f>
        <v>1</v>
      </c>
      <c r="H145" s="22">
        <f>VLOOKUP($B145,'Master File June-26'!$C$3:$L$670,7,0)</f>
        <v>10</v>
      </c>
      <c r="I145" s="5">
        <f>VLOOKUP($B145,'Master File June-26'!$C$3:$L$670,8,0)</f>
        <v>14</v>
      </c>
      <c r="J145" s="23">
        <f>VLOOKUP($B145,'Master File June-26'!$C$3:$L$670,9,0)</f>
        <v>5</v>
      </c>
      <c r="K145" s="58">
        <f>VLOOKUP($B145,'Master File June-26'!$C$3:$L$670,10,0)</f>
        <v>0</v>
      </c>
      <c r="L145" s="24">
        <f t="shared" si="4"/>
        <v>0</v>
      </c>
      <c r="M145" s="25" t="s">
        <v>1608</v>
      </c>
      <c r="N145" s="25" t="s">
        <v>1609</v>
      </c>
      <c r="O145" s="79">
        <v>1</v>
      </c>
    </row>
    <row r="146" spans="1:15" ht="18.75" x14ac:dyDescent="0.25">
      <c r="A146" s="39">
        <v>272</v>
      </c>
      <c r="B146" s="39" t="s">
        <v>1572</v>
      </c>
      <c r="C146" s="27" t="s">
        <v>1573</v>
      </c>
      <c r="D146" s="27" t="s">
        <v>160</v>
      </c>
      <c r="E146" s="5" t="s">
        <v>49</v>
      </c>
      <c r="F146" s="21">
        <v>1</v>
      </c>
      <c r="G146" s="22">
        <f>VLOOKUP($B146,'Master File June-26'!$C$3:$L$670,6,0)</f>
        <v>11</v>
      </c>
      <c r="H146" s="22">
        <f>VLOOKUP($B146,'Master File June-26'!$C$3:$L$670,7,0)</f>
        <v>11</v>
      </c>
      <c r="I146" s="5">
        <f>VLOOKUP($B146,'Master File June-26'!$C$3:$L$670,8,0)</f>
        <v>14</v>
      </c>
      <c r="J146" s="23">
        <f>VLOOKUP($B146,'Master File June-26'!$C$3:$L$670,9,0)</f>
        <v>5.5</v>
      </c>
      <c r="K146" s="58">
        <f>VLOOKUP($B146,'Master File June-26'!$C$3:$L$670,10,0)</f>
        <v>0</v>
      </c>
      <c r="L146" s="24">
        <f t="shared" si="4"/>
        <v>0</v>
      </c>
      <c r="M146" s="25" t="s">
        <v>1608</v>
      </c>
      <c r="N146" s="25" t="s">
        <v>1609</v>
      </c>
      <c r="O146" s="79">
        <v>1</v>
      </c>
    </row>
    <row r="147" spans="1:15" ht="18.75" x14ac:dyDescent="0.25">
      <c r="A147" s="39">
        <v>325</v>
      </c>
      <c r="B147" s="39" t="s">
        <v>1574</v>
      </c>
      <c r="C147" s="37" t="s">
        <v>1575</v>
      </c>
      <c r="D147" s="31" t="s">
        <v>22</v>
      </c>
      <c r="E147" s="5" t="s">
        <v>22</v>
      </c>
      <c r="F147" s="21">
        <v>1</v>
      </c>
      <c r="G147" s="22">
        <f>VLOOKUP($B147,'Master File June-26'!$C$3:$L$670,6,0)</f>
        <v>1</v>
      </c>
      <c r="H147" s="22">
        <f>VLOOKUP($B147,'Master File June-26'!$C$3:$L$670,7,0)</f>
        <v>1500</v>
      </c>
      <c r="I147" s="5">
        <f>VLOOKUP($B147,'Master File June-26'!$C$3:$L$670,8,0)</f>
        <v>14</v>
      </c>
      <c r="J147" s="23">
        <f>VLOOKUP($B147,'Master File June-26'!$C$3:$L$670,9,0)</f>
        <v>750</v>
      </c>
      <c r="K147" s="58">
        <f>VLOOKUP($B147,'Master File June-26'!$C$3:$L$670,10,0)</f>
        <v>0</v>
      </c>
      <c r="L147" s="24">
        <f t="shared" si="4"/>
        <v>0</v>
      </c>
      <c r="M147" s="25" t="s">
        <v>1608</v>
      </c>
      <c r="N147" s="25" t="s">
        <v>1609</v>
      </c>
      <c r="O147" s="79">
        <v>1</v>
      </c>
    </row>
    <row r="148" spans="1:15" ht="18.75" x14ac:dyDescent="0.25">
      <c r="A148" s="39">
        <v>326</v>
      </c>
      <c r="B148" s="39" t="s">
        <v>1578</v>
      </c>
      <c r="C148" s="37" t="s">
        <v>1579</v>
      </c>
      <c r="D148" s="31" t="s">
        <v>22</v>
      </c>
      <c r="E148" s="5" t="s">
        <v>22</v>
      </c>
      <c r="F148" s="21">
        <v>1</v>
      </c>
      <c r="G148" s="22">
        <f>VLOOKUP($B148,'Master File June-26'!$C$3:$L$670,6,0)</f>
        <v>1</v>
      </c>
      <c r="H148" s="22">
        <f>VLOOKUP($B148,'Master File June-26'!$C$3:$L$670,7,0)</f>
        <v>1200</v>
      </c>
      <c r="I148" s="5">
        <f>VLOOKUP($B148,'Master File June-26'!$C$3:$L$670,8,0)</f>
        <v>14</v>
      </c>
      <c r="J148" s="23">
        <f>VLOOKUP($B148,'Master File June-26'!$C$3:$L$670,9,0)</f>
        <v>600</v>
      </c>
      <c r="K148" s="58">
        <f>VLOOKUP($B148,'Master File June-26'!$C$3:$L$670,10,0)</f>
        <v>0</v>
      </c>
      <c r="L148" s="24">
        <f t="shared" si="4"/>
        <v>0</v>
      </c>
      <c r="M148" s="25" t="s">
        <v>1608</v>
      </c>
      <c r="N148" s="25" t="s">
        <v>1609</v>
      </c>
      <c r="O148" s="79">
        <v>1</v>
      </c>
    </row>
    <row r="149" spans="1:15" ht="18.75" x14ac:dyDescent="0.25">
      <c r="A149" s="39">
        <v>331</v>
      </c>
      <c r="B149" s="39" t="s">
        <v>1580</v>
      </c>
      <c r="C149" s="75" t="s">
        <v>1581</v>
      </c>
      <c r="D149" s="31" t="s">
        <v>22</v>
      </c>
      <c r="E149" s="5" t="s">
        <v>22</v>
      </c>
      <c r="F149" s="21">
        <v>1E-3</v>
      </c>
      <c r="G149" s="22">
        <f>VLOOKUP($B149,'Master File June-26'!$C$3:$L$670,6,0)</f>
        <v>5</v>
      </c>
      <c r="H149" s="22">
        <f>VLOOKUP($B149,'Master File June-26'!$C$3:$L$670,7,0)</f>
        <v>5000</v>
      </c>
      <c r="I149" s="5">
        <f>VLOOKUP($B149,'Master File June-26'!$C$3:$L$670,8,0)</f>
        <v>14</v>
      </c>
      <c r="J149" s="23">
        <f>VLOOKUP($B149,'Master File June-26'!$C$3:$L$670,9,0)</f>
        <v>2500</v>
      </c>
      <c r="K149" s="58">
        <f>VLOOKUP($B149,'Master File June-26'!$C$3:$L$670,10,0)</f>
        <v>0</v>
      </c>
      <c r="L149" s="24">
        <f t="shared" si="4"/>
        <v>0</v>
      </c>
      <c r="M149" s="25" t="s">
        <v>1608</v>
      </c>
      <c r="N149" s="25" t="s">
        <v>1609</v>
      </c>
      <c r="O149" s="79">
        <v>1</v>
      </c>
    </row>
    <row r="150" spans="1:15" x14ac:dyDescent="0.25">
      <c r="O150" s="80">
        <f>SUM(O3:O149)</f>
        <v>61</v>
      </c>
    </row>
    <row r="151" spans="1:15" x14ac:dyDescent="0.25">
      <c r="O151" s="79">
        <f>O150/147</f>
        <v>0.41496598639455784</v>
      </c>
    </row>
  </sheetData>
  <autoFilter ref="A2:O2" xr:uid="{EE29FD78-9E1D-4AE3-9535-B866105F7EB3}">
    <sortState xmlns:xlrd2="http://schemas.microsoft.com/office/spreadsheetml/2017/richdata2" ref="A3:O151">
      <sortCondition ref="L2"/>
    </sortState>
  </autoFilter>
  <conditionalFormatting sqref="B2">
    <cfRule type="duplicateValues" dxfId="465" priority="32"/>
    <cfRule type="duplicateValues" dxfId="464" priority="34"/>
    <cfRule type="duplicateValues" dxfId="463" priority="35"/>
  </conditionalFormatting>
  <conditionalFormatting sqref="B143:C143 C141:C142">
    <cfRule type="duplicateValues" dxfId="462" priority="6"/>
    <cfRule type="duplicateValues" dxfId="461" priority="8"/>
  </conditionalFormatting>
  <conditionalFormatting sqref="C2">
    <cfRule type="duplicateValues" dxfId="460" priority="33"/>
  </conditionalFormatting>
  <conditionalFormatting sqref="C3:C72">
    <cfRule type="duplicateValues" dxfId="459" priority="29"/>
    <cfRule type="duplicateValues" dxfId="458" priority="30"/>
    <cfRule type="duplicateValues" dxfId="457" priority="31"/>
  </conditionalFormatting>
  <conditionalFormatting sqref="C73">
    <cfRule type="duplicateValues" dxfId="456" priority="21"/>
    <cfRule type="duplicateValues" dxfId="455" priority="22"/>
  </conditionalFormatting>
  <conditionalFormatting sqref="C74:C125">
    <cfRule type="duplicateValues" dxfId="454" priority="19"/>
  </conditionalFormatting>
  <conditionalFormatting sqref="C74:C133">
    <cfRule type="duplicateValues" dxfId="453" priority="20"/>
  </conditionalFormatting>
  <conditionalFormatting sqref="C74:C134">
    <cfRule type="duplicateValues" dxfId="452" priority="18"/>
  </conditionalFormatting>
  <conditionalFormatting sqref="C134">
    <cfRule type="duplicateValues" dxfId="451" priority="17"/>
  </conditionalFormatting>
  <conditionalFormatting sqref="C135:C136">
    <cfRule type="duplicateValues" dxfId="450" priority="15"/>
  </conditionalFormatting>
  <conditionalFormatting sqref="C135:C138">
    <cfRule type="duplicateValues" dxfId="449" priority="14"/>
    <cfRule type="duplicateValues" dxfId="448" priority="16"/>
  </conditionalFormatting>
  <conditionalFormatting sqref="C139">
    <cfRule type="duplicateValues" dxfId="447" priority="12"/>
    <cfRule type="duplicateValues" dxfId="446" priority="13"/>
  </conditionalFormatting>
  <conditionalFormatting sqref="C140">
    <cfRule type="duplicateValues" dxfId="445" priority="9"/>
    <cfRule type="duplicateValues" dxfId="444" priority="10"/>
    <cfRule type="duplicateValues" dxfId="443" priority="11"/>
  </conditionalFormatting>
  <conditionalFormatting sqref="C141:C142">
    <cfRule type="duplicateValues" dxfId="442" priority="7"/>
  </conditionalFormatting>
  <conditionalFormatting sqref="C144:C149">
    <cfRule type="duplicateValues" dxfId="441" priority="4"/>
    <cfRule type="duplicateValues" dxfId="440" priority="5"/>
  </conditionalFormatting>
  <conditionalFormatting sqref="C2:K2 M2:N2">
    <cfRule type="duplicateValues" dxfId="439" priority="36"/>
    <cfRule type="duplicateValues" dxfId="438" priority="37"/>
    <cfRule type="duplicateValues" dxfId="437" priority="38"/>
    <cfRule type="duplicateValues" dxfId="436" priority="39"/>
    <cfRule type="duplicateValues" dxfId="435" priority="40"/>
  </conditionalFormatting>
  <conditionalFormatting sqref="D36">
    <cfRule type="duplicateValues" dxfId="434" priority="24"/>
    <cfRule type="duplicateValues" dxfId="433" priority="25"/>
  </conditionalFormatting>
  <conditionalFormatting sqref="D144">
    <cfRule type="duplicateValues" dxfId="432" priority="2"/>
    <cfRule type="duplicateValues" dxfId="431" priority="3"/>
  </conditionalFormatting>
  <conditionalFormatting sqref="L3:L149">
    <cfRule type="cellIs" dxfId="430" priority="1" operator="lessThan">
      <formula>I3</formula>
    </cfRule>
  </conditionalFormatting>
  <conditionalFormatting sqref="M3:M149">
    <cfRule type="containsText" dxfId="429" priority="27" operator="containsText" text="ORDER NOW">
      <formula>NOT(ISERROR(SEARCH("ORDER NOW",M3)))</formula>
    </cfRule>
  </conditionalFormatting>
  <conditionalFormatting sqref="N3:N149">
    <cfRule type="containsText" dxfId="428" priority="26" operator="containsText" text="CRITICAL">
      <formula>NOT(ISERROR(SEARCH("CRITICAL",N3)))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4E5E8-E533-4AB4-A16B-1F4072E8B75D}">
  <sheetPr codeName="Sheet5"/>
  <dimension ref="A2:E28"/>
  <sheetViews>
    <sheetView showGridLines="0" topLeftCell="A7" zoomScale="90" zoomScaleNormal="90" workbookViewId="0">
      <pane xSplit="1" ySplit="1" topLeftCell="B8" activePane="bottomRight" state="frozen"/>
      <selection pane="topRight" activeCell="B7" sqref="B7"/>
      <selection pane="bottomLeft" activeCell="A8" sqref="A8"/>
      <selection pane="bottomRight" activeCell="E32" sqref="E32"/>
    </sheetView>
  </sheetViews>
  <sheetFormatPr defaultRowHeight="15" x14ac:dyDescent="0.25"/>
  <cols>
    <col min="1" max="1" width="12" bestFit="1" customWidth="1"/>
    <col min="2" max="2" width="22.42578125" bestFit="1" customWidth="1"/>
    <col min="3" max="3" width="25.85546875" bestFit="1" customWidth="1"/>
    <col min="4" max="4" width="21.85546875" customWidth="1"/>
    <col min="5" max="5" width="26.7109375" bestFit="1" customWidth="1"/>
  </cols>
  <sheetData>
    <row r="2" spans="1:5" x14ac:dyDescent="0.25">
      <c r="A2" t="s">
        <v>1610</v>
      </c>
      <c r="B2" t="s">
        <v>1611</v>
      </c>
      <c r="C2" t="s">
        <v>1612</v>
      </c>
      <c r="D2" t="s">
        <v>1613</v>
      </c>
      <c r="E2" t="s">
        <v>1614</v>
      </c>
    </row>
    <row r="3" spans="1:5" x14ac:dyDescent="0.25">
      <c r="A3" t="s">
        <v>1615</v>
      </c>
      <c r="B3" s="79">
        <f>SUM('All WH Stock Status'!$S$3:$S$667)/COUNT('All WH Stock Status'!$S$3:$S$667)</f>
        <v>0.21804511278195488</v>
      </c>
      <c r="C3" s="79">
        <f>SUM('Raw Material Stock status'!$N$3:$N$264)/COUNT('Raw Material Stock status'!$N$3:$N$264)</f>
        <v>0.54580152671755722</v>
      </c>
      <c r="D3" s="79">
        <f>SUM('Packiging Materila Stock Status'!$O$3:$O$185)/COUNT('Packiging Materila Stock Status'!$O$3:$O$185)</f>
        <v>0.5300546448087432</v>
      </c>
      <c r="E3" s="79">
        <f>SUM('Consumables Stock Status'!$O$3:$O$149)/COUNT('Consumables Stock Status'!$O$3:$O$149)</f>
        <v>0.41496598639455784</v>
      </c>
    </row>
    <row r="4" spans="1:5" x14ac:dyDescent="0.25">
      <c r="A4" t="s">
        <v>1616</v>
      </c>
      <c r="B4" s="79">
        <f>1-B3</f>
        <v>0.78195488721804507</v>
      </c>
      <c r="C4" s="79">
        <f>1-C3</f>
        <v>0.45419847328244278</v>
      </c>
      <c r="D4" s="79">
        <f>1-D3</f>
        <v>0.4699453551912568</v>
      </c>
      <c r="E4" s="79">
        <f>1-E3</f>
        <v>0.58503401360544216</v>
      </c>
    </row>
    <row r="6" spans="1:5" ht="11.1" customHeight="1" x14ac:dyDescent="0.25"/>
    <row r="7" spans="1:5" x14ac:dyDescent="0.25">
      <c r="B7" s="81"/>
    </row>
    <row r="18" spans="2:5" x14ac:dyDescent="0.25">
      <c r="E18" t="s">
        <v>1617</v>
      </c>
    </row>
    <row r="19" spans="2:5" x14ac:dyDescent="0.25">
      <c r="B19" s="82"/>
      <c r="C19" s="82"/>
    </row>
    <row r="20" spans="2:5" x14ac:dyDescent="0.25">
      <c r="B20" s="82"/>
      <c r="C20" s="82"/>
    </row>
    <row r="21" spans="2:5" x14ac:dyDescent="0.25">
      <c r="B21" s="82"/>
      <c r="C21" s="82"/>
    </row>
    <row r="22" spans="2:5" x14ac:dyDescent="0.25">
      <c r="B22" s="82"/>
      <c r="C22" s="82"/>
    </row>
    <row r="23" spans="2:5" x14ac:dyDescent="0.25">
      <c r="B23" s="82"/>
      <c r="C23" s="82"/>
    </row>
    <row r="24" spans="2:5" x14ac:dyDescent="0.25">
      <c r="B24" s="82"/>
      <c r="C24" s="82"/>
    </row>
    <row r="25" spans="2:5" x14ac:dyDescent="0.25">
      <c r="B25" s="82"/>
      <c r="C25" s="82"/>
    </row>
    <row r="26" spans="2:5" x14ac:dyDescent="0.25">
      <c r="B26" s="82"/>
      <c r="C26" s="82"/>
    </row>
    <row r="27" spans="2:5" x14ac:dyDescent="0.25">
      <c r="B27" s="82"/>
      <c r="C27" s="82"/>
    </row>
    <row r="28" spans="2:5" x14ac:dyDescent="0.25">
      <c r="B28" s="82"/>
      <c r="C28" s="82"/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ACDB-5808-44BF-91A1-E28374A06548}">
  <sheetPr codeName="Sheet6" filterMode="1">
    <tabColor rgb="FFFF0000"/>
  </sheetPr>
  <dimension ref="A1:Q770"/>
  <sheetViews>
    <sheetView zoomScale="80" zoomScaleNormal="80" workbookViewId="0">
      <pane xSplit="7" ySplit="2" topLeftCell="H26" activePane="bottomRight" state="frozen"/>
      <selection pane="topRight" activeCell="H1" sqref="H1"/>
      <selection pane="bottomLeft" activeCell="A3" sqref="A3"/>
      <selection pane="bottomRight" activeCell="O274" sqref="O274"/>
    </sheetView>
  </sheetViews>
  <sheetFormatPr defaultRowHeight="15" x14ac:dyDescent="0.25"/>
  <cols>
    <col min="2" max="2" width="26.42578125" hidden="1" customWidth="1"/>
    <col min="3" max="3" width="12.7109375" bestFit="1" customWidth="1"/>
    <col min="4" max="4" width="102.42578125" customWidth="1"/>
    <col min="5" max="5" width="27.42578125" hidden="1" customWidth="1"/>
    <col min="6" max="6" width="12.7109375" hidden="1" customWidth="1"/>
    <col min="7" max="7" width="18.28515625" style="12" hidden="1" customWidth="1"/>
    <col min="8" max="8" width="18.28515625" style="13" bestFit="1" customWidth="1"/>
    <col min="9" max="9" width="17.5703125" bestFit="1" customWidth="1"/>
    <col min="10" max="10" width="14.85546875" bestFit="1" customWidth="1"/>
    <col min="11" max="11" width="23.42578125" bestFit="1" customWidth="1"/>
    <col min="12" max="12" width="21.28515625" style="14" bestFit="1" customWidth="1"/>
    <col min="13" max="13" width="21.140625" bestFit="1" customWidth="1"/>
    <col min="14" max="14" width="19.140625" bestFit="1" customWidth="1"/>
    <col min="15" max="15" width="24.85546875" bestFit="1" customWidth="1"/>
    <col min="16" max="16" width="15.85546875" hidden="1" customWidth="1"/>
    <col min="17" max="17" width="21.5703125" bestFit="1" customWidth="1"/>
  </cols>
  <sheetData>
    <row r="1" spans="1:17" ht="18.75" x14ac:dyDescent="0.25">
      <c r="G1" s="21"/>
      <c r="H1" s="197" t="s">
        <v>0</v>
      </c>
      <c r="I1" s="197"/>
      <c r="M1" s="200" t="s">
        <v>1</v>
      </c>
      <c r="N1" s="201"/>
      <c r="O1" s="201"/>
    </row>
    <row r="2" spans="1:17" s="11" customFormat="1" ht="15.75" x14ac:dyDescent="0.25">
      <c r="A2" s="15"/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7" t="s">
        <v>7</v>
      </c>
      <c r="H2" s="18" t="s">
        <v>8</v>
      </c>
      <c r="I2" s="95" t="s">
        <v>9</v>
      </c>
      <c r="J2" s="16" t="s">
        <v>10</v>
      </c>
      <c r="K2" s="16" t="s">
        <v>11</v>
      </c>
      <c r="L2" s="18" t="s">
        <v>12</v>
      </c>
      <c r="M2" s="16" t="s">
        <v>13</v>
      </c>
      <c r="N2" s="16" t="s">
        <v>14</v>
      </c>
      <c r="O2" s="16" t="s">
        <v>15</v>
      </c>
      <c r="P2" s="11" t="s">
        <v>16</v>
      </c>
      <c r="Q2" s="16" t="s">
        <v>1618</v>
      </c>
    </row>
    <row r="3" spans="1:17" ht="18.75" hidden="1" x14ac:dyDescent="0.25">
      <c r="A3" s="41">
        <v>440</v>
      </c>
      <c r="B3" s="41" t="s">
        <v>61</v>
      </c>
      <c r="C3" s="41" t="s">
        <v>983</v>
      </c>
      <c r="D3" s="27" t="s">
        <v>984</v>
      </c>
      <c r="E3" s="28" t="s">
        <v>440</v>
      </c>
      <c r="F3" s="5" t="s">
        <v>22</v>
      </c>
      <c r="G3" s="21">
        <v>0.1</v>
      </c>
      <c r="H3" s="22">
        <v>30</v>
      </c>
      <c r="I3" s="96">
        <f>H3/G3</f>
        <v>300</v>
      </c>
      <c r="J3" s="5">
        <f>VLOOKUP(C3,'Master File June-26'!C:J,8,0)</f>
        <v>14</v>
      </c>
      <c r="K3" s="23">
        <f t="shared" ref="K3:K66" si="0">I3*(J3/25)</f>
        <v>168.00000000000003</v>
      </c>
      <c r="L3" s="58">
        <f>VLOOKUP(C3,'Master File June-26'!C:L,10,0)</f>
        <v>0</v>
      </c>
      <c r="M3" s="24">
        <f t="shared" ref="M3:M66" si="1">IFERROR((L3/I3*30),0)</f>
        <v>0</v>
      </c>
      <c r="N3" s="25" t="str">
        <f t="shared" ref="N3:N66" si="2">IF(M3&lt;J3,"ORDER NOW","IN STOCK")</f>
        <v>ORDER NOW</v>
      </c>
      <c r="O3" s="25" t="str">
        <f t="shared" ref="O3:O66" si="3">IF(M3&lt;J3,"CRITICAL","FOLLOW UP DELIVERY")</f>
        <v>CRITICAL</v>
      </c>
      <c r="Q3" s="90" t="e">
        <f>VLOOKUP(C3,[2]Sheet1!$C$3:$P$524,14,0)</f>
        <v>#N/A</v>
      </c>
    </row>
    <row r="4" spans="1:17" ht="18.75" hidden="1" x14ac:dyDescent="0.25">
      <c r="A4" s="41">
        <v>432</v>
      </c>
      <c r="B4" s="41" t="s">
        <v>38</v>
      </c>
      <c r="C4" s="41" t="s">
        <v>992</v>
      </c>
      <c r="D4" s="27" t="s">
        <v>993</v>
      </c>
      <c r="E4" s="28" t="s">
        <v>994</v>
      </c>
      <c r="F4" s="5" t="s">
        <v>22</v>
      </c>
      <c r="G4" s="21">
        <v>5.9523809523809534E-2</v>
      </c>
      <c r="H4" s="22">
        <v>16</v>
      </c>
      <c r="I4" s="96">
        <f>H4/G4</f>
        <v>268.79999999999995</v>
      </c>
      <c r="J4" s="5">
        <f>VLOOKUP(C4,'Master File June-26'!C:J,8,0)</f>
        <v>14</v>
      </c>
      <c r="K4" s="23">
        <f t="shared" si="0"/>
        <v>150.52799999999999</v>
      </c>
      <c r="L4" s="58">
        <f>VLOOKUP(C4,'Master File June-26'!C:L,10,0)</f>
        <v>0</v>
      </c>
      <c r="M4" s="24">
        <f t="shared" si="1"/>
        <v>0</v>
      </c>
      <c r="N4" s="25" t="str">
        <f t="shared" si="2"/>
        <v>ORDER NOW</v>
      </c>
      <c r="O4" s="25" t="str">
        <f t="shared" si="3"/>
        <v>CRITICAL</v>
      </c>
      <c r="Q4" s="90">
        <f>VLOOKUP(C4,'Master File June-26'!$C$3:$S$670,17,0)</f>
        <v>46141.525590277779</v>
      </c>
    </row>
    <row r="5" spans="1:17" ht="18.75" hidden="1" x14ac:dyDescent="0.25">
      <c r="A5" s="41">
        <v>433</v>
      </c>
      <c r="B5" s="41" t="s">
        <v>38</v>
      </c>
      <c r="C5" s="41" t="s">
        <v>1208</v>
      </c>
      <c r="D5" s="27" t="s">
        <v>1209</v>
      </c>
      <c r="E5" s="28" t="s">
        <v>1210</v>
      </c>
      <c r="F5" s="5" t="s">
        <v>22</v>
      </c>
      <c r="G5" s="21">
        <v>0.1388888888888889</v>
      </c>
      <c r="H5" s="22">
        <v>38</v>
      </c>
      <c r="I5" s="96">
        <f>H5/G5</f>
        <v>273.59999999999997</v>
      </c>
      <c r="J5" s="5">
        <f>VLOOKUP(C5,'Master File June-26'!C:J,8,0)</f>
        <v>14</v>
      </c>
      <c r="K5" s="23">
        <f t="shared" si="0"/>
        <v>153.21600000000001</v>
      </c>
      <c r="L5" s="58">
        <f>VLOOKUP(C5,'Master File June-26'!C:L,10,0)</f>
        <v>0</v>
      </c>
      <c r="M5" s="24">
        <f t="shared" si="1"/>
        <v>0</v>
      </c>
      <c r="N5" s="25" t="str">
        <f t="shared" si="2"/>
        <v>ORDER NOW</v>
      </c>
      <c r="O5" s="25" t="str">
        <f t="shared" si="3"/>
        <v>CRITICAL</v>
      </c>
      <c r="Q5" s="90" t="e">
        <f>VLOOKUP(C5,[2]Sheet1!$C$3:$P$524,14,0)</f>
        <v>#N/A</v>
      </c>
    </row>
    <row r="6" spans="1:17" ht="18.75" hidden="1" x14ac:dyDescent="0.25">
      <c r="A6" s="41">
        <v>362</v>
      </c>
      <c r="B6" s="41" t="s">
        <v>85</v>
      </c>
      <c r="C6" s="63" t="s">
        <v>888</v>
      </c>
      <c r="D6" s="27" t="s">
        <v>889</v>
      </c>
      <c r="E6" s="28" t="s">
        <v>890</v>
      </c>
      <c r="F6" s="5" t="s">
        <v>22</v>
      </c>
      <c r="G6" s="21">
        <v>0.23809523809523814</v>
      </c>
      <c r="H6" s="22">
        <v>90.5</v>
      </c>
      <c r="I6" s="96">
        <f>H6/G6</f>
        <v>380.09999999999991</v>
      </c>
      <c r="J6" s="5">
        <f>VLOOKUP(C6,'Master File June-26'!C:J,8,0)</f>
        <v>14</v>
      </c>
      <c r="K6" s="23">
        <f t="shared" si="0"/>
        <v>212.85599999999997</v>
      </c>
      <c r="L6" s="58">
        <f>VLOOKUP(C6,'Master File June-26'!C:L,10,0)</f>
        <v>0</v>
      </c>
      <c r="M6" s="24">
        <f t="shared" si="1"/>
        <v>0</v>
      </c>
      <c r="N6" s="25" t="str">
        <f t="shared" si="2"/>
        <v>ORDER NOW</v>
      </c>
      <c r="O6" s="25" t="str">
        <f t="shared" si="3"/>
        <v>CRITICAL</v>
      </c>
      <c r="Q6" s="90" t="e">
        <f>VLOOKUP(C6,[2]Sheet1!$C$3:$P$524,14,0)</f>
        <v>#N/A</v>
      </c>
    </row>
    <row r="7" spans="1:17" ht="18.75" hidden="1" x14ac:dyDescent="0.25">
      <c r="A7" s="41">
        <v>401</v>
      </c>
      <c r="B7" s="41" t="s">
        <v>104</v>
      </c>
      <c r="C7" s="63" t="s">
        <v>105</v>
      </c>
      <c r="D7" s="27" t="s">
        <v>106</v>
      </c>
      <c r="E7" s="28" t="s">
        <v>107</v>
      </c>
      <c r="F7" s="5" t="s">
        <v>22</v>
      </c>
      <c r="G7" s="21">
        <v>4.1666666666666664E-2</v>
      </c>
      <c r="H7" s="22">
        <f>VLOOKUP(C7,'Master File June-26'!$C$3:$I$670,6,0)</f>
        <v>56</v>
      </c>
      <c r="I7" s="96">
        <f>VLOOKUP(C7,'Master File June-26'!$C$3:$I$670,7,0)</f>
        <v>1344</v>
      </c>
      <c r="J7" s="5">
        <f>VLOOKUP(C7,'Master File June-26'!C:J,8,0)</f>
        <v>14</v>
      </c>
      <c r="K7" s="23">
        <f t="shared" si="0"/>
        <v>752.6400000000001</v>
      </c>
      <c r="L7" s="58">
        <f>VLOOKUP(C7,'Master File June-26'!C:L,10,0)</f>
        <v>5884.8</v>
      </c>
      <c r="M7" s="24">
        <f t="shared" si="1"/>
        <v>131.35714285714286</v>
      </c>
      <c r="N7" s="25" t="str">
        <f t="shared" si="2"/>
        <v>IN STOCK</v>
      </c>
      <c r="O7" s="25" t="str">
        <f t="shared" si="3"/>
        <v>FOLLOW UP DELIVERY</v>
      </c>
      <c r="Q7" s="90">
        <f>VLOOKUP(C7,'Master File June-26'!$C$3:$S$670,17,0)</f>
        <v>46138.437743055554</v>
      </c>
    </row>
    <row r="8" spans="1:17" ht="18.75" hidden="1" x14ac:dyDescent="0.25">
      <c r="A8" s="41">
        <v>371</v>
      </c>
      <c r="B8" s="41" t="s">
        <v>85</v>
      </c>
      <c r="C8" s="41" t="s">
        <v>810</v>
      </c>
      <c r="D8" s="27" t="s">
        <v>811</v>
      </c>
      <c r="E8" s="28" t="s">
        <v>101</v>
      </c>
      <c r="F8" s="5" t="s">
        <v>22</v>
      </c>
      <c r="G8" s="21">
        <v>0.16666666666666666</v>
      </c>
      <c r="H8" s="22">
        <f>VLOOKUP(C8,'Master File June-26'!$C$3:$I$670,6,0)</f>
        <v>30.5</v>
      </c>
      <c r="I8" s="96">
        <f>VLOOKUP(C8,'Master File June-26'!$C$3:$I$670,7,0)</f>
        <v>183</v>
      </c>
      <c r="J8" s="5">
        <f>VLOOKUP(C8,'Master File June-26'!C:J,8,0)</f>
        <v>14</v>
      </c>
      <c r="K8" s="23">
        <f t="shared" si="0"/>
        <v>102.48</v>
      </c>
      <c r="L8" s="58">
        <f>VLOOKUP(C8,'Master File June-26'!C:L,10,0)</f>
        <v>0</v>
      </c>
      <c r="M8" s="24">
        <f t="shared" si="1"/>
        <v>0</v>
      </c>
      <c r="N8" s="25" t="str">
        <f t="shared" si="2"/>
        <v>ORDER NOW</v>
      </c>
      <c r="O8" s="25" t="str">
        <f t="shared" si="3"/>
        <v>CRITICAL</v>
      </c>
      <c r="Q8" s="90">
        <f>VLOOKUP(C8,'Master File June-26'!$C$3:$S$670,17,0)</f>
        <v>46128.695219907408</v>
      </c>
    </row>
    <row r="9" spans="1:17" ht="18.75" hidden="1" x14ac:dyDescent="0.25">
      <c r="A9" s="41">
        <v>474</v>
      </c>
      <c r="B9" s="41" t="s">
        <v>38</v>
      </c>
      <c r="C9" s="41" t="s">
        <v>716</v>
      </c>
      <c r="D9" s="27" t="s">
        <v>717</v>
      </c>
      <c r="E9" s="28" t="s">
        <v>718</v>
      </c>
      <c r="F9" s="5" t="s">
        <v>22</v>
      </c>
      <c r="G9" s="21">
        <v>0.1</v>
      </c>
      <c r="H9" s="22">
        <v>80</v>
      </c>
      <c r="I9" s="96">
        <f>H9/G9</f>
        <v>800</v>
      </c>
      <c r="J9" s="5">
        <f>VLOOKUP(C9,'Master File June-26'!C:J,8,0)</f>
        <v>14</v>
      </c>
      <c r="K9" s="23">
        <f t="shared" si="0"/>
        <v>448.00000000000006</v>
      </c>
      <c r="L9" s="58">
        <f>VLOOKUP(C9,'Master File June-26'!C:L,10,0)</f>
        <v>0</v>
      </c>
      <c r="M9" s="24">
        <f t="shared" si="1"/>
        <v>0</v>
      </c>
      <c r="N9" s="25" t="str">
        <f t="shared" si="2"/>
        <v>ORDER NOW</v>
      </c>
      <c r="O9" s="25" t="str">
        <f t="shared" si="3"/>
        <v>CRITICAL</v>
      </c>
      <c r="Q9" s="90" t="e">
        <f>VLOOKUP(C9,[2]Sheet1!$C$3:$P$524,14,0)</f>
        <v>#N/A</v>
      </c>
    </row>
    <row r="10" spans="1:17" ht="18.75" hidden="1" x14ac:dyDescent="0.25">
      <c r="A10" s="41">
        <v>370</v>
      </c>
      <c r="B10" s="41" t="s">
        <v>85</v>
      </c>
      <c r="C10" s="41" t="s">
        <v>1143</v>
      </c>
      <c r="D10" s="27" t="s">
        <v>1144</v>
      </c>
      <c r="E10" s="28" t="s">
        <v>101</v>
      </c>
      <c r="F10" s="5" t="s">
        <v>22</v>
      </c>
      <c r="G10" s="21">
        <v>0.16666666666666666</v>
      </c>
      <c r="H10" s="22">
        <v>50</v>
      </c>
      <c r="I10" s="96">
        <f>H10/G10</f>
        <v>300</v>
      </c>
      <c r="J10" s="5">
        <f>VLOOKUP(C10,'Master File June-26'!C:J,8,0)</f>
        <v>14</v>
      </c>
      <c r="K10" s="23">
        <f t="shared" si="0"/>
        <v>168.00000000000003</v>
      </c>
      <c r="L10" s="58">
        <f>VLOOKUP(C10,'Master File June-26'!C:L,10,0)</f>
        <v>390</v>
      </c>
      <c r="M10" s="24">
        <f t="shared" si="1"/>
        <v>39</v>
      </c>
      <c r="N10" s="25" t="str">
        <f t="shared" si="2"/>
        <v>IN STOCK</v>
      </c>
      <c r="O10" s="25" t="str">
        <f t="shared" si="3"/>
        <v>FOLLOW UP DELIVERY</v>
      </c>
      <c r="Q10" s="90" t="e">
        <f>VLOOKUP(C10,[2]Sheet1!$C$3:$P$524,14,0)</f>
        <v>#N/A</v>
      </c>
    </row>
    <row r="11" spans="1:17" ht="18.75" hidden="1" x14ac:dyDescent="0.25">
      <c r="A11" s="41">
        <v>455</v>
      </c>
      <c r="B11" s="41" t="s">
        <v>85</v>
      </c>
      <c r="C11" s="41" t="s">
        <v>812</v>
      </c>
      <c r="D11" s="27" t="s">
        <v>813</v>
      </c>
      <c r="E11" s="28" t="s">
        <v>814</v>
      </c>
      <c r="F11" s="5" t="s">
        <v>49</v>
      </c>
      <c r="G11" s="21">
        <v>5.5555555555555552E-2</v>
      </c>
      <c r="H11" s="22">
        <v>190</v>
      </c>
      <c r="I11" s="96">
        <f>H11/G11</f>
        <v>3420</v>
      </c>
      <c r="J11" s="5">
        <f>VLOOKUP(C11,'Master File June-26'!C:J,8,0)</f>
        <v>14</v>
      </c>
      <c r="K11" s="23">
        <f t="shared" si="0"/>
        <v>1915.2000000000003</v>
      </c>
      <c r="L11" s="58">
        <f>VLOOKUP(C11,'Master File June-26'!C:L,10,0)</f>
        <v>0</v>
      </c>
      <c r="M11" s="24">
        <f t="shared" si="1"/>
        <v>0</v>
      </c>
      <c r="N11" s="25" t="str">
        <f t="shared" si="2"/>
        <v>ORDER NOW</v>
      </c>
      <c r="O11" s="25" t="str">
        <f t="shared" si="3"/>
        <v>CRITICAL</v>
      </c>
      <c r="Q11" s="90" t="e">
        <f>VLOOKUP(C11,[2]Sheet1!$C$3:$P$524,14,0)</f>
        <v>#N/A</v>
      </c>
    </row>
    <row r="12" spans="1:17" ht="18.75" hidden="1" x14ac:dyDescent="0.25">
      <c r="A12" s="41">
        <v>469</v>
      </c>
      <c r="B12" s="41" t="s">
        <v>38</v>
      </c>
      <c r="C12" s="41" t="s">
        <v>470</v>
      </c>
      <c r="D12" s="27" t="s">
        <v>471</v>
      </c>
      <c r="E12" s="28" t="s">
        <v>469</v>
      </c>
      <c r="F12" s="5" t="s">
        <v>54</v>
      </c>
      <c r="G12" s="21">
        <v>6.6666666666666666E-2</v>
      </c>
      <c r="H12" s="22">
        <f>VLOOKUP(C12,'Master File June-26'!$C$3:$I$670,6,0)</f>
        <v>80</v>
      </c>
      <c r="I12" s="96">
        <f>VLOOKUP(C12,'Master File June-26'!$C$3:$I$670,7,0)</f>
        <v>1200</v>
      </c>
      <c r="J12" s="5">
        <f>VLOOKUP(C12,'Master File June-26'!C:J,8,0)</f>
        <v>14</v>
      </c>
      <c r="K12" s="23">
        <f t="shared" si="0"/>
        <v>672.00000000000011</v>
      </c>
      <c r="L12" s="58">
        <f>VLOOKUP(C12,'Master File June-26'!C:L,10,0)</f>
        <v>750</v>
      </c>
      <c r="M12" s="24">
        <f t="shared" si="1"/>
        <v>18.75</v>
      </c>
      <c r="N12" s="25" t="str">
        <f t="shared" si="2"/>
        <v>IN STOCK</v>
      </c>
      <c r="O12" s="25" t="str">
        <f t="shared" si="3"/>
        <v>FOLLOW UP DELIVERY</v>
      </c>
      <c r="Q12" s="90">
        <f>VLOOKUP(C12,'Master File June-26'!$C$3:$S$670,17,0)</f>
        <v>46118.497789351852</v>
      </c>
    </row>
    <row r="13" spans="1:17" ht="18.75" hidden="1" x14ac:dyDescent="0.25">
      <c r="A13" s="41">
        <v>357</v>
      </c>
      <c r="B13" s="41" t="s">
        <v>38</v>
      </c>
      <c r="C13" s="41" t="s">
        <v>1220</v>
      </c>
      <c r="D13" s="27" t="s">
        <v>1221</v>
      </c>
      <c r="E13" s="28" t="s">
        <v>1222</v>
      </c>
      <c r="F13" s="5" t="s">
        <v>22</v>
      </c>
      <c r="G13" s="21">
        <v>0.16666666666666666</v>
      </c>
      <c r="H13" s="22">
        <f>VLOOKUP(C13,'Master File June-26'!$C$3:$I$670,6,0)</f>
        <v>75.5</v>
      </c>
      <c r="I13" s="96">
        <f>VLOOKUP(C13,'Master File June-26'!$C$3:$I$670,7,0)</f>
        <v>453</v>
      </c>
      <c r="J13" s="5">
        <f>VLOOKUP(C13,'Master File June-26'!C:J,8,0)</f>
        <v>14</v>
      </c>
      <c r="K13" s="23">
        <f t="shared" si="0"/>
        <v>253.68000000000004</v>
      </c>
      <c r="L13" s="58">
        <f>VLOOKUP(C13,'Master File June-26'!C:L,10,0)</f>
        <v>0</v>
      </c>
      <c r="M13" s="24">
        <f t="shared" si="1"/>
        <v>0</v>
      </c>
      <c r="N13" s="25" t="str">
        <f t="shared" si="2"/>
        <v>ORDER NOW</v>
      </c>
      <c r="O13" s="25" t="str">
        <f t="shared" si="3"/>
        <v>CRITICAL</v>
      </c>
      <c r="Q13" s="90">
        <v>46113.430914351855</v>
      </c>
    </row>
    <row r="14" spans="1:17" ht="18.75" hidden="1" x14ac:dyDescent="0.25">
      <c r="A14" s="41">
        <v>360</v>
      </c>
      <c r="B14" s="41" t="s">
        <v>85</v>
      </c>
      <c r="C14" s="41" t="s">
        <v>1438</v>
      </c>
      <c r="D14" s="27" t="s">
        <v>1439</v>
      </c>
      <c r="E14" s="28" t="s">
        <v>101</v>
      </c>
      <c r="F14" s="5" t="s">
        <v>22</v>
      </c>
      <c r="G14" s="21">
        <v>0.16666666666666666</v>
      </c>
      <c r="H14" s="22">
        <f>VLOOKUP(C14,'Master File June-26'!$C$3:$I$670,6,0)</f>
        <v>21</v>
      </c>
      <c r="I14" s="96">
        <f>VLOOKUP(C14,'Master File June-26'!$C$3:$I$670,7,0)</f>
        <v>126</v>
      </c>
      <c r="J14" s="5">
        <f>VLOOKUP(C14,'Master File June-26'!C:J,8,0)</f>
        <v>14</v>
      </c>
      <c r="K14" s="23">
        <f t="shared" si="0"/>
        <v>70.56</v>
      </c>
      <c r="L14" s="58">
        <f>VLOOKUP(C14,'Master File June-26'!C:L,10,0)</f>
        <v>25</v>
      </c>
      <c r="M14" s="24">
        <f t="shared" si="1"/>
        <v>5.9523809523809517</v>
      </c>
      <c r="N14" s="25" t="str">
        <f t="shared" si="2"/>
        <v>ORDER NOW</v>
      </c>
      <c r="O14" s="25" t="str">
        <f t="shared" si="3"/>
        <v>CRITICAL</v>
      </c>
      <c r="Q14" s="90">
        <f>VLOOKUP(C14,'Master File June-26'!$C$3:$S$670,17,0)</f>
        <v>46131.519791666666</v>
      </c>
    </row>
    <row r="15" spans="1:17" ht="18.75" hidden="1" x14ac:dyDescent="0.25">
      <c r="A15" s="41">
        <v>541</v>
      </c>
      <c r="B15" s="41" t="s">
        <v>38</v>
      </c>
      <c r="C15" s="41" t="s">
        <v>1136</v>
      </c>
      <c r="D15" s="37" t="s">
        <v>1137</v>
      </c>
      <c r="E15" s="34" t="s">
        <v>22</v>
      </c>
      <c r="F15" s="5" t="s">
        <v>22</v>
      </c>
      <c r="G15" s="21">
        <v>0.1</v>
      </c>
      <c r="H15" s="22">
        <v>1</v>
      </c>
      <c r="I15" s="96">
        <f>H15/G15</f>
        <v>10</v>
      </c>
      <c r="J15" s="5">
        <f>VLOOKUP(C15,'Master File June-26'!C:J,8,0)</f>
        <v>14</v>
      </c>
      <c r="K15" s="23">
        <f t="shared" si="0"/>
        <v>5.6000000000000005</v>
      </c>
      <c r="L15" s="58">
        <f>VLOOKUP(C15,'Master File June-26'!C:L,10,0)</f>
        <v>0</v>
      </c>
      <c r="M15" s="24">
        <f t="shared" si="1"/>
        <v>0</v>
      </c>
      <c r="N15" s="25" t="str">
        <f t="shared" si="2"/>
        <v>ORDER NOW</v>
      </c>
      <c r="O15" s="25" t="str">
        <f t="shared" si="3"/>
        <v>CRITICAL</v>
      </c>
      <c r="Q15" s="90" t="e">
        <f>VLOOKUP(C15,[2]Sheet1!$C$3:$P$524,14,0)</f>
        <v>#N/A</v>
      </c>
    </row>
    <row r="16" spans="1:17" ht="18.75" hidden="1" x14ac:dyDescent="0.25">
      <c r="A16" s="19">
        <v>163</v>
      </c>
      <c r="B16" s="19" t="s">
        <v>18</v>
      </c>
      <c r="C16" s="19" t="s">
        <v>795</v>
      </c>
      <c r="D16" s="29" t="s">
        <v>796</v>
      </c>
      <c r="E16" s="28" t="s">
        <v>797</v>
      </c>
      <c r="F16" s="5" t="s">
        <v>22</v>
      </c>
      <c r="G16" s="21">
        <v>0.01</v>
      </c>
      <c r="H16" s="22">
        <v>13</v>
      </c>
      <c r="I16" s="96">
        <f>H16/G16</f>
        <v>1300</v>
      </c>
      <c r="J16" s="5">
        <f>VLOOKUP(C16,'Master File June-26'!C:J,8,0)</f>
        <v>14</v>
      </c>
      <c r="K16" s="23">
        <f t="shared" si="0"/>
        <v>728.00000000000011</v>
      </c>
      <c r="L16" s="58">
        <f>VLOOKUP(C16,'Master File June-26'!C:L,10,0)</f>
        <v>1505</v>
      </c>
      <c r="M16" s="24">
        <f t="shared" si="1"/>
        <v>34.730769230769234</v>
      </c>
      <c r="N16" s="25" t="str">
        <f t="shared" si="2"/>
        <v>IN STOCK</v>
      </c>
      <c r="O16" s="25" t="str">
        <f t="shared" si="3"/>
        <v>FOLLOW UP DELIVERY</v>
      </c>
      <c r="Q16" s="90">
        <f>VLOOKUP(C16,'Master File June-26'!$C$3:$S$670,17,0)</f>
        <v>46128.695173611108</v>
      </c>
    </row>
    <row r="17" spans="1:17" ht="18.75" hidden="1" x14ac:dyDescent="0.25">
      <c r="A17" s="19">
        <v>138</v>
      </c>
      <c r="B17" s="19" t="s">
        <v>157</v>
      </c>
      <c r="C17" s="19" t="s">
        <v>940</v>
      </c>
      <c r="D17" s="27" t="s">
        <v>941</v>
      </c>
      <c r="E17" s="28" t="s">
        <v>942</v>
      </c>
      <c r="F17" s="5" t="s">
        <v>49</v>
      </c>
      <c r="G17" s="21">
        <f>1/1000</f>
        <v>1E-3</v>
      </c>
      <c r="H17" s="22">
        <v>25</v>
      </c>
      <c r="I17" s="96">
        <f>H17/G17</f>
        <v>25000</v>
      </c>
      <c r="J17" s="5">
        <f>VLOOKUP(C17,'Master File June-26'!C:J,8,0)</f>
        <v>14</v>
      </c>
      <c r="K17" s="23">
        <f t="shared" si="0"/>
        <v>14000.000000000002</v>
      </c>
      <c r="L17" s="58">
        <f>VLOOKUP(C17,'Master File June-26'!C:L,10,0)</f>
        <v>0</v>
      </c>
      <c r="M17" s="24">
        <f t="shared" si="1"/>
        <v>0</v>
      </c>
      <c r="N17" s="25" t="str">
        <f t="shared" si="2"/>
        <v>ORDER NOW</v>
      </c>
      <c r="O17" s="25" t="str">
        <f t="shared" si="3"/>
        <v>CRITICAL</v>
      </c>
      <c r="P17" t="s">
        <v>30</v>
      </c>
      <c r="Q17" s="90" t="e">
        <f>VLOOKUP(C17,[2]Sheet1!$C$3:$P$524,14,0)</f>
        <v>#N/A</v>
      </c>
    </row>
    <row r="18" spans="1:17" ht="18.75" hidden="1" x14ac:dyDescent="0.25">
      <c r="A18" s="39">
        <v>218</v>
      </c>
      <c r="B18" s="39" t="s">
        <v>239</v>
      </c>
      <c r="C18" s="39" t="s">
        <v>995</v>
      </c>
      <c r="D18" s="27" t="s">
        <v>996</v>
      </c>
      <c r="E18" s="28" t="s">
        <v>160</v>
      </c>
      <c r="F18" s="5" t="s">
        <v>49</v>
      </c>
      <c r="G18" s="21">
        <v>1</v>
      </c>
      <c r="H18" s="22">
        <v>5.5</v>
      </c>
      <c r="I18" s="96">
        <f>H18/G18</f>
        <v>5.5</v>
      </c>
      <c r="J18" s="5">
        <f>VLOOKUP(C18,'Master File June-26'!C:J,8,0)</f>
        <v>14</v>
      </c>
      <c r="K18" s="23">
        <f t="shared" si="0"/>
        <v>3.08</v>
      </c>
      <c r="L18" s="58">
        <f>VLOOKUP(C18,'Master File June-26'!C:L,10,0)</f>
        <v>3</v>
      </c>
      <c r="M18" s="24">
        <f t="shared" si="1"/>
        <v>16.363636363636363</v>
      </c>
      <c r="N18" s="25" t="str">
        <f t="shared" si="2"/>
        <v>IN STOCK</v>
      </c>
      <c r="O18" s="25" t="str">
        <f t="shared" si="3"/>
        <v>FOLLOW UP DELIVERY</v>
      </c>
      <c r="Q18" s="90" t="e">
        <f>VLOOKUP(C18,[2]Sheet1!$C$3:$P$524,14,0)</f>
        <v>#N/A</v>
      </c>
    </row>
    <row r="19" spans="1:17" ht="18.75" hidden="1" x14ac:dyDescent="0.25">
      <c r="A19" s="41">
        <v>344</v>
      </c>
      <c r="B19" s="41" t="s">
        <v>38</v>
      </c>
      <c r="C19" s="41" t="s">
        <v>874</v>
      </c>
      <c r="D19" s="27" t="s">
        <v>875</v>
      </c>
      <c r="E19" s="28" t="s">
        <v>876</v>
      </c>
      <c r="F19" s="5" t="s">
        <v>49</v>
      </c>
      <c r="G19" s="21">
        <v>1.639344262295082</v>
      </c>
      <c r="H19" s="22">
        <f>VLOOKUP(C19,'Master File June-26'!$C$3:$I$670,6,0)</f>
        <v>82.5</v>
      </c>
      <c r="I19" s="96">
        <f>VLOOKUP(C19,'Master File June-26'!$C$3:$I$670,7,0)</f>
        <v>50.324999999999996</v>
      </c>
      <c r="J19" s="5">
        <f>VLOOKUP(C19,'Master File June-26'!C:J,8,0)</f>
        <v>14</v>
      </c>
      <c r="K19" s="23">
        <f t="shared" si="0"/>
        <v>28.181999999999999</v>
      </c>
      <c r="L19" s="58">
        <f>VLOOKUP(C19,'Master File June-26'!C:L,10,0)</f>
        <v>140</v>
      </c>
      <c r="M19" s="24">
        <f t="shared" si="1"/>
        <v>83.45752608047691</v>
      </c>
      <c r="N19" s="25" t="str">
        <f t="shared" si="2"/>
        <v>IN STOCK</v>
      </c>
      <c r="O19" s="25" t="str">
        <f t="shared" si="3"/>
        <v>FOLLOW UP DELIVERY</v>
      </c>
      <c r="Q19" s="90">
        <f>VLOOKUP(C19,'Master File June-26'!$C$3:$S$670,17,0)</f>
        <v>46113.430960648147</v>
      </c>
    </row>
    <row r="20" spans="1:17" ht="18.75" hidden="1" x14ac:dyDescent="0.25">
      <c r="A20" s="41">
        <v>387</v>
      </c>
      <c r="B20" s="41" t="s">
        <v>61</v>
      </c>
      <c r="C20" s="41" t="s">
        <v>1156</v>
      </c>
      <c r="D20" s="27" t="s">
        <v>1157</v>
      </c>
      <c r="E20" s="28" t="s">
        <v>64</v>
      </c>
      <c r="F20" s="5" t="s">
        <v>49</v>
      </c>
      <c r="G20" s="21">
        <v>1</v>
      </c>
      <c r="H20" s="22">
        <v>27.5</v>
      </c>
      <c r="I20" s="96">
        <f>H20/G20</f>
        <v>27.5</v>
      </c>
      <c r="J20" s="5">
        <f>VLOOKUP(C20,'Master File June-26'!C:J,8,0)</f>
        <v>14</v>
      </c>
      <c r="K20" s="23">
        <f t="shared" si="0"/>
        <v>15.400000000000002</v>
      </c>
      <c r="L20" s="58">
        <f>VLOOKUP(C20,'Master File June-26'!C:L,10,0)</f>
        <v>5</v>
      </c>
      <c r="M20" s="24">
        <f t="shared" si="1"/>
        <v>5.454545454545455</v>
      </c>
      <c r="N20" s="25" t="str">
        <f t="shared" si="2"/>
        <v>ORDER NOW</v>
      </c>
      <c r="O20" s="25" t="str">
        <f t="shared" si="3"/>
        <v>CRITICAL</v>
      </c>
      <c r="Q20" s="90" t="e">
        <f>VLOOKUP(C20,[2]Sheet1!$C$3:$P$524,14,0)</f>
        <v>#N/A</v>
      </c>
    </row>
    <row r="21" spans="1:17" ht="18.75" hidden="1" x14ac:dyDescent="0.25">
      <c r="A21" s="19">
        <v>48</v>
      </c>
      <c r="B21" s="19" t="s">
        <v>239</v>
      </c>
      <c r="C21" s="19" t="s">
        <v>1113</v>
      </c>
      <c r="D21" s="27" t="s">
        <v>1114</v>
      </c>
      <c r="E21" s="28" t="s">
        <v>156</v>
      </c>
      <c r="F21" s="5" t="s">
        <v>22</v>
      </c>
      <c r="G21" s="21">
        <f>1/8000</f>
        <v>1.25E-4</v>
      </c>
      <c r="H21" s="22">
        <v>25</v>
      </c>
      <c r="I21" s="96">
        <f>H21/G21</f>
        <v>200000</v>
      </c>
      <c r="J21" s="5">
        <f>VLOOKUP(C21,'Master File June-26'!C:J,8,0)</f>
        <v>14</v>
      </c>
      <c r="K21" s="23">
        <f t="shared" si="0"/>
        <v>112000.00000000001</v>
      </c>
      <c r="L21" s="58">
        <f>VLOOKUP(C21,'Master File June-26'!C:L,10,0)</f>
        <v>119900</v>
      </c>
      <c r="M21" s="24">
        <f t="shared" si="1"/>
        <v>17.984999999999999</v>
      </c>
      <c r="N21" s="25" t="str">
        <f t="shared" si="2"/>
        <v>IN STOCK</v>
      </c>
      <c r="O21" s="25" t="str">
        <f t="shared" si="3"/>
        <v>FOLLOW UP DELIVERY</v>
      </c>
      <c r="P21" t="s">
        <v>30</v>
      </c>
      <c r="Q21" s="90">
        <f>VLOOKUP(C21,'Master File June-26'!$C$3:$S$670,17,0)</f>
        <v>46141.525821759256</v>
      </c>
    </row>
    <row r="22" spans="1:17" ht="18.75" hidden="1" x14ac:dyDescent="0.25">
      <c r="A22" s="19">
        <v>102</v>
      </c>
      <c r="B22" s="19" t="s">
        <v>18</v>
      </c>
      <c r="C22" s="19" t="s">
        <v>96</v>
      </c>
      <c r="D22" s="27" t="s">
        <v>97</v>
      </c>
      <c r="E22" s="28" t="s">
        <v>98</v>
      </c>
      <c r="F22" s="5" t="s">
        <v>46</v>
      </c>
      <c r="G22" s="21">
        <v>2E-3</v>
      </c>
      <c r="H22" s="22">
        <f>VLOOKUP(C22,'Master File June-26'!$C$3:$I$670,6,0)</f>
        <v>16</v>
      </c>
      <c r="I22" s="96">
        <f>VLOOKUP(C22,'Master File June-26'!$C$3:$I$670,7,0)</f>
        <v>8000</v>
      </c>
      <c r="J22" s="5">
        <f>VLOOKUP(C22,'Master File June-26'!C:J,8,0)</f>
        <v>14</v>
      </c>
      <c r="K22" s="23">
        <f t="shared" si="0"/>
        <v>4480</v>
      </c>
      <c r="L22" s="58">
        <f>VLOOKUP(C22,'Master File June-26'!C:L,10,0)</f>
        <v>3000</v>
      </c>
      <c r="M22" s="24">
        <f t="shared" si="1"/>
        <v>11.25</v>
      </c>
      <c r="N22" s="25" t="str">
        <f t="shared" si="2"/>
        <v>ORDER NOW</v>
      </c>
      <c r="O22" s="25" t="str">
        <f t="shared" si="3"/>
        <v>CRITICAL</v>
      </c>
      <c r="P22" t="s">
        <v>30</v>
      </c>
      <c r="Q22" s="90">
        <f>VLOOKUP(C22,'Master File June-26'!$C$3:$S$670,17,0)</f>
        <v>46118.497731481482</v>
      </c>
    </row>
    <row r="23" spans="1:17" ht="18.75" hidden="1" x14ac:dyDescent="0.25">
      <c r="A23" s="19">
        <v>129</v>
      </c>
      <c r="B23" s="19" t="s">
        <v>18</v>
      </c>
      <c r="C23" s="19" t="s">
        <v>197</v>
      </c>
      <c r="D23" s="32" t="s">
        <v>198</v>
      </c>
      <c r="E23" s="33" t="s">
        <v>183</v>
      </c>
      <c r="F23" s="5" t="s">
        <v>22</v>
      </c>
      <c r="G23" s="21">
        <f>1/200</f>
        <v>5.0000000000000001E-3</v>
      </c>
      <c r="H23" s="22">
        <f>VLOOKUP(C23,'Master File June-26'!$C$3:$I$670,6,0)</f>
        <v>50</v>
      </c>
      <c r="I23" s="96">
        <f>VLOOKUP(C23,'Master File June-26'!$C$3:$I$670,7,0)</f>
        <v>10000</v>
      </c>
      <c r="J23" s="5">
        <f>VLOOKUP(C23,'Master File June-26'!C:J,8,0)</f>
        <v>14</v>
      </c>
      <c r="K23" s="23">
        <f t="shared" si="0"/>
        <v>5600.0000000000009</v>
      </c>
      <c r="L23" s="58">
        <f>VLOOKUP(C23,'Master File June-26'!C:L,10,0)</f>
        <v>0</v>
      </c>
      <c r="M23" s="24">
        <f t="shared" si="1"/>
        <v>0</v>
      </c>
      <c r="N23" s="25" t="str">
        <f t="shared" si="2"/>
        <v>ORDER NOW</v>
      </c>
      <c r="O23" s="25" t="str">
        <f t="shared" si="3"/>
        <v>CRITICAL</v>
      </c>
      <c r="P23" t="s">
        <v>30</v>
      </c>
      <c r="Q23" s="90">
        <f>VLOOKUP(C23,'Master File June-26'!$C$3:$S$670,17,0)</f>
        <v>46113.430891203701</v>
      </c>
    </row>
    <row r="24" spans="1:17" ht="18.75" hidden="1" x14ac:dyDescent="0.25">
      <c r="A24" s="41">
        <v>353</v>
      </c>
      <c r="B24" s="41" t="s">
        <v>38</v>
      </c>
      <c r="C24" s="41" t="s">
        <v>769</v>
      </c>
      <c r="D24" s="27" t="s">
        <v>770</v>
      </c>
      <c r="E24" s="28" t="s">
        <v>70</v>
      </c>
      <c r="F24" s="5" t="s">
        <v>54</v>
      </c>
      <c r="G24" s="21">
        <v>0.1</v>
      </c>
      <c r="H24" s="22">
        <v>30.25</v>
      </c>
      <c r="I24" s="96">
        <f>H24/G24</f>
        <v>302.5</v>
      </c>
      <c r="J24" s="5">
        <f>VLOOKUP(C24,'Master File June-26'!C:J,8,0)</f>
        <v>14</v>
      </c>
      <c r="K24" s="23">
        <f t="shared" si="0"/>
        <v>169.4</v>
      </c>
      <c r="L24" s="58">
        <f>VLOOKUP(C24,'Master File June-26'!C:L,10,0)</f>
        <v>10</v>
      </c>
      <c r="M24" s="24">
        <f t="shared" si="1"/>
        <v>0.99173553719008267</v>
      </c>
      <c r="N24" s="25" t="str">
        <f t="shared" si="2"/>
        <v>ORDER NOW</v>
      </c>
      <c r="O24" s="25" t="str">
        <f t="shared" si="3"/>
        <v>CRITICAL</v>
      </c>
      <c r="Q24" s="90">
        <f>VLOOKUP(C24,'Master File June-26'!$C$3:$S$670,17,0)</f>
        <v>46131.432013888887</v>
      </c>
    </row>
    <row r="25" spans="1:17" ht="18.75" hidden="1" x14ac:dyDescent="0.25">
      <c r="A25" s="19">
        <v>3</v>
      </c>
      <c r="B25" s="19" t="s">
        <v>18</v>
      </c>
      <c r="C25" s="19" t="s">
        <v>900</v>
      </c>
      <c r="D25" s="27" t="s">
        <v>901</v>
      </c>
      <c r="E25" s="28" t="s">
        <v>902</v>
      </c>
      <c r="F25" s="5" t="s">
        <v>22</v>
      </c>
      <c r="G25" s="21">
        <v>3.3333333333333332E-4</v>
      </c>
      <c r="H25" s="22">
        <v>83.5</v>
      </c>
      <c r="I25" s="96">
        <f>H25/G25</f>
        <v>250500</v>
      </c>
      <c r="J25" s="5">
        <f>VLOOKUP(C25,'Master File June-26'!C:J,8,0)</f>
        <v>14</v>
      </c>
      <c r="K25" s="23">
        <f t="shared" si="0"/>
        <v>140280</v>
      </c>
      <c r="L25" s="58">
        <f>VLOOKUP(C25,'Master File June-26'!C:L,10,0)</f>
        <v>149000</v>
      </c>
      <c r="M25" s="24">
        <f t="shared" si="1"/>
        <v>17.844311377245507</v>
      </c>
      <c r="N25" s="25" t="str">
        <f t="shared" si="2"/>
        <v>IN STOCK</v>
      </c>
      <c r="O25" s="25" t="str">
        <f t="shared" si="3"/>
        <v>FOLLOW UP DELIVERY</v>
      </c>
      <c r="P25" t="s">
        <v>30</v>
      </c>
      <c r="Q25" s="90" t="e">
        <f>VLOOKUP(C25,[2]Sheet1!$C$3:$P$524,14,0)</f>
        <v>#N/A</v>
      </c>
    </row>
    <row r="26" spans="1:17" ht="18.75" x14ac:dyDescent="0.25">
      <c r="A26" s="39">
        <v>269</v>
      </c>
      <c r="B26" s="39" t="s">
        <v>239</v>
      </c>
      <c r="C26" s="39" t="s">
        <v>760</v>
      </c>
      <c r="D26" s="27" t="s">
        <v>761</v>
      </c>
      <c r="E26" s="28" t="s">
        <v>78</v>
      </c>
      <c r="F26" s="5" t="s">
        <v>49</v>
      </c>
      <c r="G26" s="21">
        <v>1</v>
      </c>
      <c r="H26" s="22">
        <f>VLOOKUP(C26,'Master File June-26'!$C$3:$I$670,6,0)</f>
        <v>99</v>
      </c>
      <c r="I26" s="96">
        <f>VLOOKUP(C26,'Master File June-26'!$C$3:$I$670,7,0)</f>
        <v>99</v>
      </c>
      <c r="J26" s="5">
        <f>VLOOKUP(C26,'Master File June-26'!C:J,8,0)</f>
        <v>14</v>
      </c>
      <c r="K26" s="23">
        <f t="shared" si="0"/>
        <v>55.440000000000005</v>
      </c>
      <c r="L26" s="58">
        <f>VLOOKUP(C26,'Master File June-26'!C:L,10,0)</f>
        <v>0</v>
      </c>
      <c r="M26" s="24">
        <f t="shared" si="1"/>
        <v>0</v>
      </c>
      <c r="N26" s="25" t="str">
        <f t="shared" si="2"/>
        <v>ORDER NOW</v>
      </c>
      <c r="O26" s="25" t="str">
        <f t="shared" si="3"/>
        <v>CRITICAL</v>
      </c>
      <c r="Q26" s="90">
        <f>VLOOKUP(C26,'Master File June-26'!$C$3:$S$670,17,0)</f>
        <v>46128.695069444446</v>
      </c>
    </row>
    <row r="27" spans="1:17" ht="18.75" hidden="1" x14ac:dyDescent="0.25">
      <c r="A27" s="19">
        <v>96</v>
      </c>
      <c r="B27" s="19" t="s">
        <v>18</v>
      </c>
      <c r="C27" s="19" t="s">
        <v>129</v>
      </c>
      <c r="D27" s="120" t="s">
        <v>130</v>
      </c>
      <c r="E27" s="28" t="s">
        <v>119</v>
      </c>
      <c r="F27" s="5" t="s">
        <v>22</v>
      </c>
      <c r="G27" s="21">
        <v>1E-3</v>
      </c>
      <c r="H27" s="22">
        <f>VLOOKUP(C27,'Master File June-26'!$C$3:$I$670,6,0)</f>
        <v>18</v>
      </c>
      <c r="I27" s="96">
        <f>VLOOKUP(C27,'Master File June-26'!$C$3:$I$670,7,0)</f>
        <v>18000</v>
      </c>
      <c r="J27" s="5">
        <f>VLOOKUP(C27,'Master File June-26'!C:J,8,0)</f>
        <v>14</v>
      </c>
      <c r="K27" s="23">
        <f t="shared" si="0"/>
        <v>10080.000000000002</v>
      </c>
      <c r="L27" s="58">
        <f>VLOOKUP(C27,'Master File June-26'!C:L,10,0)</f>
        <v>0</v>
      </c>
      <c r="M27" s="24">
        <f t="shared" si="1"/>
        <v>0</v>
      </c>
      <c r="N27" s="25" t="str">
        <f t="shared" si="2"/>
        <v>ORDER NOW</v>
      </c>
      <c r="O27" s="25" t="str">
        <f t="shared" si="3"/>
        <v>CRITICAL</v>
      </c>
      <c r="P27" t="s">
        <v>30</v>
      </c>
      <c r="Q27" s="90">
        <f>VLOOKUP(C27,'Master File June-26'!$C$3:$S$670,17,0)</f>
        <v>46141.525266203702</v>
      </c>
    </row>
    <row r="28" spans="1:17" ht="18.75" hidden="1" x14ac:dyDescent="0.25">
      <c r="A28" s="41">
        <v>420</v>
      </c>
      <c r="B28" s="41" t="s">
        <v>38</v>
      </c>
      <c r="C28" s="41" t="s">
        <v>1151</v>
      </c>
      <c r="D28" s="27" t="s">
        <v>1152</v>
      </c>
      <c r="E28" s="28" t="s">
        <v>1153</v>
      </c>
      <c r="F28" s="5" t="s">
        <v>54</v>
      </c>
      <c r="G28" s="21">
        <v>2.2222222222222223E-2</v>
      </c>
      <c r="H28" s="22">
        <f>VLOOKUP(C28,'Master File June-26'!$C$3:$I$670,6,0)</f>
        <v>160</v>
      </c>
      <c r="I28" s="96">
        <f>VLOOKUP(C28,'Master File June-26'!$C$3:$I$670,7,0)</f>
        <v>7200</v>
      </c>
      <c r="J28" s="5">
        <f>VLOOKUP(C28,'Master File June-26'!C:J,8,0)</f>
        <v>14</v>
      </c>
      <c r="K28" s="23">
        <f t="shared" si="0"/>
        <v>4032.0000000000005</v>
      </c>
      <c r="L28" s="58">
        <f>VLOOKUP(C28,'Master File June-26'!C:L,10,0)</f>
        <v>4840</v>
      </c>
      <c r="M28" s="24">
        <f t="shared" si="1"/>
        <v>20.166666666666668</v>
      </c>
      <c r="N28" s="25" t="str">
        <f t="shared" si="2"/>
        <v>IN STOCK</v>
      </c>
      <c r="O28" s="25" t="str">
        <f t="shared" si="3"/>
        <v>FOLLOW UP DELIVERY</v>
      </c>
      <c r="Q28" s="90">
        <v>46113.430914351855</v>
      </c>
    </row>
    <row r="29" spans="1:17" ht="18.75" hidden="1" x14ac:dyDescent="0.25">
      <c r="A29" s="39">
        <v>286</v>
      </c>
      <c r="B29" s="39" t="s">
        <v>157</v>
      </c>
      <c r="C29" s="39" t="s">
        <v>294</v>
      </c>
      <c r="D29" s="27" t="s">
        <v>295</v>
      </c>
      <c r="E29" s="28" t="s">
        <v>78</v>
      </c>
      <c r="F29" s="5" t="s">
        <v>49</v>
      </c>
      <c r="G29" s="21">
        <v>1</v>
      </c>
      <c r="H29" s="22">
        <f>VLOOKUP(C29,'Master File June-26'!$C$3:$I$670,6,0)</f>
        <v>44</v>
      </c>
      <c r="I29" s="96">
        <f>VLOOKUP(C29,'Master File June-26'!$C$3:$I$670,7,0)</f>
        <v>44</v>
      </c>
      <c r="J29" s="5">
        <f>VLOOKUP(C29,'Master File June-26'!C:J,8,0)</f>
        <v>14</v>
      </c>
      <c r="K29" s="23">
        <f t="shared" si="0"/>
        <v>24.64</v>
      </c>
      <c r="L29" s="58">
        <f>VLOOKUP(C29,'Master File June-26'!C:L,10,0)</f>
        <v>0</v>
      </c>
      <c r="M29" s="24">
        <f t="shared" si="1"/>
        <v>0</v>
      </c>
      <c r="N29" s="25" t="str">
        <f t="shared" si="2"/>
        <v>ORDER NOW</v>
      </c>
      <c r="O29" s="25" t="str">
        <f t="shared" si="3"/>
        <v>CRITICAL</v>
      </c>
      <c r="Q29" s="90">
        <f>VLOOKUP(C29,'Master File June-26'!$C$3:$S$670,17,0)</f>
        <v>46113.430902777778</v>
      </c>
    </row>
    <row r="30" spans="1:17" ht="18.75" hidden="1" x14ac:dyDescent="0.25">
      <c r="A30" s="19">
        <v>101</v>
      </c>
      <c r="B30" s="19" t="s">
        <v>18</v>
      </c>
      <c r="C30" s="19" t="s">
        <v>927</v>
      </c>
      <c r="D30" s="27" t="s">
        <v>928</v>
      </c>
      <c r="E30" s="28" t="s">
        <v>25</v>
      </c>
      <c r="F30" s="5" t="s">
        <v>22</v>
      </c>
      <c r="G30" s="21">
        <v>2E-3</v>
      </c>
      <c r="H30" s="22">
        <f>VLOOKUP(C30,'Master File June-26'!$C$3:$I$670,6,0)</f>
        <v>24</v>
      </c>
      <c r="I30" s="96">
        <f>VLOOKUP(C30,'Master File June-26'!$C$3:$I$670,7,0)</f>
        <v>12000</v>
      </c>
      <c r="J30" s="5">
        <f>VLOOKUP(C30,'Master File June-26'!C:J,8,0)</f>
        <v>14</v>
      </c>
      <c r="K30" s="23">
        <f t="shared" si="0"/>
        <v>6720.0000000000009</v>
      </c>
      <c r="L30" s="58">
        <f>VLOOKUP(C30,'Master File June-26'!C:L,10,0)</f>
        <v>3000</v>
      </c>
      <c r="M30" s="24">
        <f t="shared" si="1"/>
        <v>7.5</v>
      </c>
      <c r="N30" s="25" t="str">
        <f t="shared" si="2"/>
        <v>ORDER NOW</v>
      </c>
      <c r="O30" s="25" t="str">
        <f t="shared" si="3"/>
        <v>CRITICAL</v>
      </c>
      <c r="P30" t="s">
        <v>30</v>
      </c>
      <c r="Q30" s="90">
        <f>VLOOKUP(C30,'Master File June-26'!$C$3:$S$670,17,0)</f>
        <v>46128.695636574077</v>
      </c>
    </row>
    <row r="31" spans="1:17" ht="18.75" hidden="1" x14ac:dyDescent="0.25">
      <c r="A31" s="19">
        <v>34</v>
      </c>
      <c r="B31" s="19" t="s">
        <v>18</v>
      </c>
      <c r="C31" s="19" t="s">
        <v>871</v>
      </c>
      <c r="D31" s="27" t="s">
        <v>872</v>
      </c>
      <c r="E31" s="28" t="s">
        <v>873</v>
      </c>
      <c r="F31" s="5" t="s">
        <v>22</v>
      </c>
      <c r="G31" s="21">
        <v>2E-3</v>
      </c>
      <c r="H31" s="22">
        <f>VLOOKUP(C31,'Master File June-26'!$C$3:$I$670,6,0)</f>
        <v>192.5</v>
      </c>
      <c r="I31" s="96">
        <f>VLOOKUP(C31,'Master File June-26'!$C$3:$I$670,7,0)</f>
        <v>96250</v>
      </c>
      <c r="J31" s="5">
        <f>VLOOKUP(C31,'Master File June-26'!C:J,8,0)</f>
        <v>60</v>
      </c>
      <c r="K31" s="23">
        <f t="shared" si="0"/>
        <v>231000</v>
      </c>
      <c r="L31" s="58">
        <f>VLOOKUP(C31,'Master File June-26'!C:L,10,0)</f>
        <v>0</v>
      </c>
      <c r="M31" s="24">
        <f t="shared" si="1"/>
        <v>0</v>
      </c>
      <c r="N31" s="25" t="str">
        <f t="shared" si="2"/>
        <v>ORDER NOW</v>
      </c>
      <c r="O31" s="25" t="str">
        <f t="shared" si="3"/>
        <v>CRITICAL</v>
      </c>
      <c r="P31" t="s">
        <v>30</v>
      </c>
      <c r="Q31" s="90">
        <f>VLOOKUP(C31,'Master File June-26'!$C$3:$S$670,17,0)</f>
        <v>46128.695381944446</v>
      </c>
    </row>
    <row r="32" spans="1:17" ht="18.75" hidden="1" x14ac:dyDescent="0.25">
      <c r="A32" s="39">
        <v>192</v>
      </c>
      <c r="B32" s="39" t="s">
        <v>239</v>
      </c>
      <c r="C32" s="39" t="s">
        <v>784</v>
      </c>
      <c r="D32" s="27" t="s">
        <v>785</v>
      </c>
      <c r="E32" s="28" t="s">
        <v>78</v>
      </c>
      <c r="F32" s="5" t="s">
        <v>49</v>
      </c>
      <c r="G32" s="21">
        <v>1</v>
      </c>
      <c r="H32" s="22">
        <f>VLOOKUP(C32,'Master File June-26'!$C$3:$I$670,6,0)</f>
        <v>134</v>
      </c>
      <c r="I32" s="96">
        <f>VLOOKUP(C32,'Master File June-26'!$C$3:$I$670,7,0)</f>
        <v>134</v>
      </c>
      <c r="J32" s="5">
        <f>VLOOKUP(C32,'Master File June-26'!C:J,8,0)</f>
        <v>14</v>
      </c>
      <c r="K32" s="23">
        <f t="shared" si="0"/>
        <v>75.040000000000006</v>
      </c>
      <c r="L32" s="58">
        <f>VLOOKUP(C32,'Master File June-26'!C:L,10,0)</f>
        <v>0</v>
      </c>
      <c r="M32" s="24">
        <f t="shared" si="1"/>
        <v>0</v>
      </c>
      <c r="N32" s="25" t="str">
        <f t="shared" si="2"/>
        <v>ORDER NOW</v>
      </c>
      <c r="O32" s="25" t="str">
        <f t="shared" si="3"/>
        <v>CRITICAL</v>
      </c>
      <c r="Q32" s="90">
        <f>VLOOKUP(C32,'Master File June-26'!$C$3:$S$670,17,0)</f>
        <v>46113.430949074071</v>
      </c>
    </row>
    <row r="33" spans="1:17" ht="18.75" hidden="1" x14ac:dyDescent="0.25">
      <c r="A33" s="41">
        <v>384</v>
      </c>
      <c r="B33" s="41" t="s">
        <v>38</v>
      </c>
      <c r="C33" s="41" t="s">
        <v>120</v>
      </c>
      <c r="D33" s="27" t="s">
        <v>121</v>
      </c>
      <c r="E33" s="28" t="s">
        <v>122</v>
      </c>
      <c r="F33" s="5" t="s">
        <v>22</v>
      </c>
      <c r="G33" s="21">
        <f>1/9</f>
        <v>0.1111111111111111</v>
      </c>
      <c r="H33" s="22">
        <f>VLOOKUP(C33,'Master File June-26'!$C$3:$I$670,6,0)</f>
        <v>22</v>
      </c>
      <c r="I33" s="96">
        <f>VLOOKUP(C33,'Master File June-26'!$C$3:$I$670,7,0)</f>
        <v>198</v>
      </c>
      <c r="J33" s="5">
        <f>VLOOKUP(C33,'Master File June-26'!C:J,8,0)</f>
        <v>14</v>
      </c>
      <c r="K33" s="23">
        <f t="shared" si="0"/>
        <v>110.88000000000001</v>
      </c>
      <c r="L33" s="58">
        <f>VLOOKUP(C33,'Master File June-26'!C:L,10,0)</f>
        <v>0</v>
      </c>
      <c r="M33" s="24">
        <f t="shared" si="1"/>
        <v>0</v>
      </c>
      <c r="N33" s="25" t="str">
        <f t="shared" si="2"/>
        <v>ORDER NOW</v>
      </c>
      <c r="O33" s="25" t="str">
        <f t="shared" si="3"/>
        <v>CRITICAL</v>
      </c>
      <c r="Q33" s="90">
        <f>VLOOKUP(C33,'Master File June-26'!$C$3:$S$670,17,0)</f>
        <v>46128.686388888891</v>
      </c>
    </row>
    <row r="34" spans="1:17" ht="18.75" hidden="1" x14ac:dyDescent="0.25">
      <c r="A34" s="19">
        <v>52</v>
      </c>
      <c r="B34" s="19" t="s">
        <v>18</v>
      </c>
      <c r="C34" s="19" t="s">
        <v>854</v>
      </c>
      <c r="D34" s="29" t="s">
        <v>855</v>
      </c>
      <c r="E34" s="30" t="s">
        <v>856</v>
      </c>
      <c r="F34" s="5" t="s">
        <v>22</v>
      </c>
      <c r="G34" s="21">
        <f>1/1000</f>
        <v>1E-3</v>
      </c>
      <c r="H34" s="22">
        <v>10</v>
      </c>
      <c r="I34" s="96">
        <f>H34/G34</f>
        <v>10000</v>
      </c>
      <c r="J34" s="5">
        <f>VLOOKUP(C34,'Master File June-26'!C:J,8,0)</f>
        <v>14</v>
      </c>
      <c r="K34" s="23">
        <f t="shared" si="0"/>
        <v>5600.0000000000009</v>
      </c>
      <c r="L34" s="58">
        <f>VLOOKUP(C34,'Master File June-26'!C:L,10,0)</f>
        <v>0</v>
      </c>
      <c r="M34" s="24">
        <f t="shared" si="1"/>
        <v>0</v>
      </c>
      <c r="N34" s="25" t="str">
        <f t="shared" si="2"/>
        <v>ORDER NOW</v>
      </c>
      <c r="O34" s="25" t="str">
        <f t="shared" si="3"/>
        <v>CRITICAL</v>
      </c>
      <c r="P34" t="s">
        <v>30</v>
      </c>
      <c r="Q34" s="90" t="e">
        <f>VLOOKUP(C34,[2]Sheet1!$C$3:$P$524,14,0)</f>
        <v>#N/A</v>
      </c>
    </row>
    <row r="35" spans="1:17" ht="18.75" hidden="1" x14ac:dyDescent="0.25">
      <c r="A35" s="19">
        <v>11</v>
      </c>
      <c r="B35" s="19" t="s">
        <v>18</v>
      </c>
      <c r="C35" s="19" t="s">
        <v>143</v>
      </c>
      <c r="D35" s="121" t="s">
        <v>144</v>
      </c>
      <c r="E35" s="30" t="s">
        <v>145</v>
      </c>
      <c r="F35" s="5" t="s">
        <v>22</v>
      </c>
      <c r="G35" s="21">
        <f>1/8000</f>
        <v>1.25E-4</v>
      </c>
      <c r="H35" s="22">
        <f>VLOOKUP(C35,'Master File June-26'!$C$3:$I$670,6,0)</f>
        <v>8</v>
      </c>
      <c r="I35" s="96">
        <f>VLOOKUP(C35,'Master File June-26'!$C$3:$I$670,7,0)</f>
        <v>64000</v>
      </c>
      <c r="J35" s="5">
        <f>VLOOKUP(C35,'Master File June-26'!C:J,8,0)</f>
        <v>14</v>
      </c>
      <c r="K35" s="23">
        <f t="shared" si="0"/>
        <v>35840</v>
      </c>
      <c r="L35" s="58">
        <f>VLOOKUP(C35,'Master File June-26'!C:L,10,0)</f>
        <v>150</v>
      </c>
      <c r="M35" s="24">
        <f t="shared" si="1"/>
        <v>7.03125E-2</v>
      </c>
      <c r="N35" s="25" t="str">
        <f t="shared" si="2"/>
        <v>ORDER NOW</v>
      </c>
      <c r="O35" s="25" t="str">
        <f t="shared" si="3"/>
        <v>CRITICAL</v>
      </c>
      <c r="P35" t="s">
        <v>30</v>
      </c>
      <c r="Q35" s="90">
        <f>VLOOKUP(C35,'Master File June-26'!$C$3:$S$670,17,0)</f>
        <v>46141.525289351855</v>
      </c>
    </row>
    <row r="36" spans="1:17" ht="18.75" hidden="1" x14ac:dyDescent="0.25">
      <c r="A36" s="19">
        <v>97</v>
      </c>
      <c r="B36" s="19" t="s">
        <v>18</v>
      </c>
      <c r="C36" s="19" t="s">
        <v>117</v>
      </c>
      <c r="D36" s="27" t="s">
        <v>118</v>
      </c>
      <c r="E36" s="28" t="s">
        <v>119</v>
      </c>
      <c r="F36" s="5" t="s">
        <v>22</v>
      </c>
      <c r="G36" s="21">
        <v>1E-3</v>
      </c>
      <c r="H36" s="22">
        <f>VLOOKUP(C36,'Master File June-26'!$C$3:$I$670,6,0)</f>
        <v>400</v>
      </c>
      <c r="I36" s="96">
        <f>VLOOKUP(C36,'Master File June-26'!$C$3:$I$670,7,0)</f>
        <v>400000</v>
      </c>
      <c r="J36" s="5">
        <f>VLOOKUP(C36,'Master File June-26'!C:J,8,0)</f>
        <v>14</v>
      </c>
      <c r="K36" s="23">
        <f t="shared" si="0"/>
        <v>224000.00000000003</v>
      </c>
      <c r="L36" s="58">
        <f>VLOOKUP(C36,'Master File June-26'!C:L,10,0)</f>
        <v>0</v>
      </c>
      <c r="M36" s="24">
        <f t="shared" si="1"/>
        <v>0</v>
      </c>
      <c r="N36" s="25" t="str">
        <f t="shared" si="2"/>
        <v>ORDER NOW</v>
      </c>
      <c r="O36" s="25" t="str">
        <f t="shared" si="3"/>
        <v>CRITICAL</v>
      </c>
      <c r="P36" t="s">
        <v>30</v>
      </c>
      <c r="Q36" s="90">
        <f>VLOOKUP(C36,'Master File June-26'!$C$3:$S$670,17,0)</f>
        <v>46128.686377314814</v>
      </c>
    </row>
    <row r="37" spans="1:17" ht="18.75" hidden="1" x14ac:dyDescent="0.25">
      <c r="A37" s="41">
        <v>539</v>
      </c>
      <c r="B37" s="41" t="s">
        <v>38</v>
      </c>
      <c r="C37" s="41" t="s">
        <v>39</v>
      </c>
      <c r="D37" s="37" t="s">
        <v>40</v>
      </c>
      <c r="E37" s="34" t="s">
        <v>22</v>
      </c>
      <c r="F37" s="5" t="s">
        <v>22</v>
      </c>
      <c r="G37" s="21">
        <v>1</v>
      </c>
      <c r="H37" s="22">
        <v>2</v>
      </c>
      <c r="I37" s="96">
        <f>H37/G37</f>
        <v>2</v>
      </c>
      <c r="J37" s="5">
        <f>VLOOKUP(C37,'Master File June-26'!C:J,8,0)</f>
        <v>14</v>
      </c>
      <c r="K37" s="23">
        <f t="shared" si="0"/>
        <v>1.1200000000000001</v>
      </c>
      <c r="L37" s="58">
        <f>VLOOKUP(C37,'Master File June-26'!C:L,10,0)</f>
        <v>0</v>
      </c>
      <c r="M37" s="24">
        <f t="shared" si="1"/>
        <v>0</v>
      </c>
      <c r="N37" s="25" t="str">
        <f t="shared" si="2"/>
        <v>ORDER NOW</v>
      </c>
      <c r="O37" s="25" t="str">
        <f t="shared" si="3"/>
        <v>CRITICAL</v>
      </c>
      <c r="Q37" s="90" t="e">
        <f>VLOOKUP(C37,[2]Sheet1!$C$3:$P$524,14,0)</f>
        <v>#N/A</v>
      </c>
    </row>
    <row r="38" spans="1:17" ht="18.75" hidden="1" x14ac:dyDescent="0.25">
      <c r="A38" s="19">
        <v>158</v>
      </c>
      <c r="B38" s="19" t="s">
        <v>157</v>
      </c>
      <c r="C38" s="19" t="s">
        <v>217</v>
      </c>
      <c r="D38" s="27" t="s">
        <v>218</v>
      </c>
      <c r="E38" s="28" t="s">
        <v>78</v>
      </c>
      <c r="F38" s="5" t="s">
        <v>49</v>
      </c>
      <c r="G38" s="21">
        <v>1</v>
      </c>
      <c r="H38" s="22">
        <f>VLOOKUP(C38,'Master File June-26'!$C$3:$I$670,6,0)</f>
        <v>80</v>
      </c>
      <c r="I38" s="96">
        <f>VLOOKUP(C38,'Master File June-26'!$C$3:$I$670,7,0)</f>
        <v>80</v>
      </c>
      <c r="J38" s="5">
        <f>VLOOKUP(C38,'Master File June-26'!C:J,8,0)</f>
        <v>14</v>
      </c>
      <c r="K38" s="23">
        <f t="shared" si="0"/>
        <v>44.800000000000004</v>
      </c>
      <c r="L38" s="58">
        <f>VLOOKUP(C38,'Master File June-26'!C:L,10,0)</f>
        <v>0</v>
      </c>
      <c r="M38" s="24">
        <f t="shared" si="1"/>
        <v>0</v>
      </c>
      <c r="N38" s="25" t="str">
        <f t="shared" si="2"/>
        <v>ORDER NOW</v>
      </c>
      <c r="O38" s="25" t="str">
        <f t="shared" si="3"/>
        <v>CRITICAL</v>
      </c>
      <c r="Q38" s="90">
        <f>VLOOKUP(C38,'Master File June-26'!$C$3:$S$670,17,0)</f>
        <v>46113.430902777778</v>
      </c>
    </row>
    <row r="39" spans="1:17" ht="18.75" hidden="1" x14ac:dyDescent="0.25">
      <c r="A39" s="19">
        <v>53</v>
      </c>
      <c r="B39" s="19" t="s">
        <v>18</v>
      </c>
      <c r="C39" s="19" t="s">
        <v>843</v>
      </c>
      <c r="D39" s="29" t="s">
        <v>844</v>
      </c>
      <c r="E39" s="30" t="s">
        <v>845</v>
      </c>
      <c r="F39" s="5" t="s">
        <v>22</v>
      </c>
      <c r="G39" s="21">
        <f>1/600</f>
        <v>1.6666666666666668E-3</v>
      </c>
      <c r="H39" s="22">
        <f>VLOOKUP(C39,'Master File June-26'!$C$3:$I$670,6,0)</f>
        <v>20</v>
      </c>
      <c r="I39" s="96">
        <f>VLOOKUP(C39,'Master File June-26'!$C$3:$I$670,7,0)</f>
        <v>12000</v>
      </c>
      <c r="J39" s="5">
        <f>VLOOKUP(C39,'Master File June-26'!C:J,8,0)</f>
        <v>14</v>
      </c>
      <c r="K39" s="23">
        <f t="shared" si="0"/>
        <v>6720.0000000000009</v>
      </c>
      <c r="L39" s="58">
        <f>VLOOKUP(C39,'Master File June-26'!C:L,10,0)</f>
        <v>0</v>
      </c>
      <c r="M39" s="24">
        <f t="shared" si="1"/>
        <v>0</v>
      </c>
      <c r="N39" s="25" t="str">
        <f t="shared" si="2"/>
        <v>ORDER NOW</v>
      </c>
      <c r="O39" s="25" t="str">
        <f t="shared" si="3"/>
        <v>CRITICAL</v>
      </c>
      <c r="P39" t="s">
        <v>30</v>
      </c>
      <c r="Q39" s="90">
        <f>VLOOKUP(C39,'Master File June-26'!$C$3:$S$670,17,0)</f>
        <v>46128.687893518516</v>
      </c>
    </row>
    <row r="40" spans="1:17" ht="18.75" hidden="1" x14ac:dyDescent="0.25">
      <c r="A40" s="19">
        <v>160</v>
      </c>
      <c r="B40" s="19" t="s">
        <v>18</v>
      </c>
      <c r="C40" s="19" t="s">
        <v>141</v>
      </c>
      <c r="D40" s="120" t="s">
        <v>142</v>
      </c>
      <c r="E40" s="28" t="s">
        <v>78</v>
      </c>
      <c r="F40" s="5" t="s">
        <v>49</v>
      </c>
      <c r="G40" s="21">
        <v>1</v>
      </c>
      <c r="H40" s="22">
        <f>VLOOKUP(C40,'Master File June-26'!$C$3:$I$670,6,0)</f>
        <v>60000</v>
      </c>
      <c r="I40" s="96">
        <f>VLOOKUP(C40,'Master File June-26'!$C$3:$I$670,7,0)</f>
        <v>60000</v>
      </c>
      <c r="J40" s="5">
        <f>VLOOKUP(C40,'Master File June-26'!C:J,8,0)</f>
        <v>14</v>
      </c>
      <c r="K40" s="23">
        <f t="shared" si="0"/>
        <v>33600</v>
      </c>
      <c r="L40" s="58">
        <f>VLOOKUP(C40,'Master File June-26'!C:L,10,0)</f>
        <v>0</v>
      </c>
      <c r="M40" s="24">
        <f t="shared" si="1"/>
        <v>0</v>
      </c>
      <c r="N40" s="25" t="str">
        <f t="shared" si="2"/>
        <v>ORDER NOW</v>
      </c>
      <c r="O40" s="25" t="str">
        <f t="shared" si="3"/>
        <v>CRITICAL</v>
      </c>
      <c r="Q40" s="90">
        <f>VLOOKUP(C40,'Master File June-26'!$C$3:$S$670,17,0)</f>
        <v>46138.481400462966</v>
      </c>
    </row>
    <row r="41" spans="1:17" ht="18.75" hidden="1" x14ac:dyDescent="0.25">
      <c r="A41" s="19">
        <v>46</v>
      </c>
      <c r="B41" s="19" t="s">
        <v>18</v>
      </c>
      <c r="C41" s="19" t="s">
        <v>152</v>
      </c>
      <c r="D41" s="121" t="s">
        <v>153</v>
      </c>
      <c r="E41" s="30"/>
      <c r="F41" s="5" t="s">
        <v>22</v>
      </c>
      <c r="G41" s="21">
        <v>1</v>
      </c>
      <c r="H41" s="22">
        <f>VLOOKUP(C41,'Master File June-26'!$C$3:$I$670,6,0)</f>
        <v>5.5</v>
      </c>
      <c r="I41" s="96">
        <f>VLOOKUP(C41,'Master File June-26'!$C$3:$I$670,7,0)</f>
        <v>5.5</v>
      </c>
      <c r="J41" s="5">
        <f>VLOOKUP(C41,'Master File June-26'!C:J,8,0)</f>
        <v>14</v>
      </c>
      <c r="K41" s="23">
        <f t="shared" si="0"/>
        <v>3.08</v>
      </c>
      <c r="L41" s="58">
        <f>VLOOKUP(C41,'Master File June-26'!C:L,10,0)</f>
        <v>0</v>
      </c>
      <c r="M41" s="24">
        <f t="shared" si="1"/>
        <v>0</v>
      </c>
      <c r="N41" s="25" t="str">
        <f t="shared" si="2"/>
        <v>ORDER NOW</v>
      </c>
      <c r="O41" s="25" t="str">
        <f t="shared" si="3"/>
        <v>CRITICAL</v>
      </c>
      <c r="P41" t="s">
        <v>30</v>
      </c>
      <c r="Q41" s="90">
        <f>VLOOKUP(C41,'Master File June-26'!$C$3:$S$670,17,0)</f>
        <v>46113.430879629632</v>
      </c>
    </row>
    <row r="42" spans="1:17" ht="18.75" hidden="1" x14ac:dyDescent="0.25">
      <c r="A42" s="19">
        <v>50</v>
      </c>
      <c r="B42" s="19" t="s">
        <v>157</v>
      </c>
      <c r="C42" s="19" t="s">
        <v>158</v>
      </c>
      <c r="D42" s="27" t="s">
        <v>159</v>
      </c>
      <c r="E42" s="28" t="s">
        <v>160</v>
      </c>
      <c r="F42" s="5" t="s">
        <v>49</v>
      </c>
      <c r="G42" s="21">
        <v>1</v>
      </c>
      <c r="H42" s="22">
        <f>VLOOKUP(C42,'Master File June-26'!$C$3:$I$670,6,0)</f>
        <v>44</v>
      </c>
      <c r="I42" s="96">
        <f>VLOOKUP(C42,'Master File June-26'!$C$3:$I$670,7,0)</f>
        <v>44</v>
      </c>
      <c r="J42" s="5">
        <f>VLOOKUP(C42,'Master File June-26'!C:J,8,0)</f>
        <v>14</v>
      </c>
      <c r="K42" s="23">
        <f t="shared" si="0"/>
        <v>24.64</v>
      </c>
      <c r="L42" s="58">
        <f>VLOOKUP(C42,'Master File June-26'!C:L,10,0)</f>
        <v>0</v>
      </c>
      <c r="M42" s="24">
        <f t="shared" si="1"/>
        <v>0</v>
      </c>
      <c r="N42" s="25" t="str">
        <f t="shared" si="2"/>
        <v>ORDER NOW</v>
      </c>
      <c r="O42" s="25" t="str">
        <f t="shared" si="3"/>
        <v>CRITICAL</v>
      </c>
      <c r="P42" t="s">
        <v>30</v>
      </c>
      <c r="Q42" s="90">
        <f>VLOOKUP(C42,'Master File June-26'!$C$3:$S$670,17,0)</f>
        <v>46113.430879629632</v>
      </c>
    </row>
    <row r="43" spans="1:17" ht="18.75" hidden="1" x14ac:dyDescent="0.25">
      <c r="A43" s="19">
        <v>66</v>
      </c>
      <c r="B43" s="19" t="s">
        <v>18</v>
      </c>
      <c r="C43" s="19" t="s">
        <v>168</v>
      </c>
      <c r="D43" s="120" t="s">
        <v>169</v>
      </c>
      <c r="E43" s="28" t="s">
        <v>170</v>
      </c>
      <c r="F43" s="5" t="s">
        <v>22</v>
      </c>
      <c r="G43" s="21">
        <v>4.1666666666666664E-2</v>
      </c>
      <c r="H43" s="22">
        <f>VLOOKUP(C43,'Master File June-26'!$C$3:$I$670,6,0)</f>
        <v>5.5</v>
      </c>
      <c r="I43" s="96">
        <f>VLOOKUP(C43,'Master File June-26'!$C$3:$I$670,7,0)</f>
        <v>132</v>
      </c>
      <c r="J43" s="5">
        <f>VLOOKUP(C43,'Master File June-26'!C:J,8,0)</f>
        <v>14</v>
      </c>
      <c r="K43" s="23">
        <f t="shared" si="0"/>
        <v>73.92</v>
      </c>
      <c r="L43" s="58">
        <f>VLOOKUP(C43,'Master File June-26'!C:L,10,0)</f>
        <v>0</v>
      </c>
      <c r="M43" s="24">
        <f t="shared" si="1"/>
        <v>0</v>
      </c>
      <c r="N43" s="25" t="str">
        <f t="shared" si="2"/>
        <v>ORDER NOW</v>
      </c>
      <c r="O43" s="25" t="str">
        <f t="shared" si="3"/>
        <v>CRITICAL</v>
      </c>
      <c r="P43" t="s">
        <v>30</v>
      </c>
      <c r="Q43" s="90">
        <f>VLOOKUP(C43,'Master File June-26'!$C$3:$S$670,17,0)</f>
        <v>46113.430891203701</v>
      </c>
    </row>
    <row r="44" spans="1:17" ht="18.75" hidden="1" x14ac:dyDescent="0.25">
      <c r="A44" s="19">
        <v>69</v>
      </c>
      <c r="B44" s="19" t="s">
        <v>18</v>
      </c>
      <c r="C44" s="19" t="s">
        <v>171</v>
      </c>
      <c r="D44" s="29" t="s">
        <v>172</v>
      </c>
      <c r="E44" s="30"/>
      <c r="F44" s="5"/>
      <c r="G44" s="21">
        <v>1</v>
      </c>
      <c r="H44" s="22">
        <f>VLOOKUP(C44,'Master File June-26'!$C$3:$I$670,6,0)</f>
        <v>5.5</v>
      </c>
      <c r="I44" s="96">
        <f>VLOOKUP(C44,'Master File June-26'!$C$3:$I$670,7,0)</f>
        <v>5.5</v>
      </c>
      <c r="J44" s="5">
        <f>VLOOKUP(C44,'Master File June-26'!C:J,8,0)</f>
        <v>14</v>
      </c>
      <c r="K44" s="23">
        <f t="shared" si="0"/>
        <v>3.08</v>
      </c>
      <c r="L44" s="58">
        <f>VLOOKUP(C44,'Master File June-26'!C:L,10,0)</f>
        <v>0</v>
      </c>
      <c r="M44" s="24">
        <f t="shared" si="1"/>
        <v>0</v>
      </c>
      <c r="N44" s="25" t="str">
        <f t="shared" si="2"/>
        <v>ORDER NOW</v>
      </c>
      <c r="O44" s="25" t="str">
        <f t="shared" si="3"/>
        <v>CRITICAL</v>
      </c>
      <c r="P44" t="s">
        <v>30</v>
      </c>
      <c r="Q44" s="90">
        <f>VLOOKUP(C44,'Master File June-26'!$C$3:$S$670,17,0)</f>
        <v>46113.430891203701</v>
      </c>
    </row>
    <row r="45" spans="1:17" ht="18.75" hidden="1" x14ac:dyDescent="0.25">
      <c r="A45" s="19">
        <v>72</v>
      </c>
      <c r="B45" s="19" t="s">
        <v>18</v>
      </c>
      <c r="C45" s="19" t="s">
        <v>173</v>
      </c>
      <c r="D45" s="27" t="s">
        <v>174</v>
      </c>
      <c r="E45" s="28" t="s">
        <v>175</v>
      </c>
      <c r="F45" s="5" t="s">
        <v>22</v>
      </c>
      <c r="G45" s="21">
        <f>1/50</f>
        <v>0.02</v>
      </c>
      <c r="H45" s="22">
        <f>VLOOKUP(C45,'Master File June-26'!$C$3:$I$670,6,0)</f>
        <v>11</v>
      </c>
      <c r="I45" s="96">
        <f>VLOOKUP(C45,'Master File June-26'!$C$3:$I$670,7,0)</f>
        <v>550</v>
      </c>
      <c r="J45" s="5">
        <f>VLOOKUP(C45,'Master File June-26'!C:J,8,0)</f>
        <v>14</v>
      </c>
      <c r="K45" s="23">
        <f t="shared" si="0"/>
        <v>308.00000000000006</v>
      </c>
      <c r="L45" s="58">
        <f>VLOOKUP(C45,'Master File June-26'!C:L,10,0)</f>
        <v>0</v>
      </c>
      <c r="M45" s="24">
        <f t="shared" si="1"/>
        <v>0</v>
      </c>
      <c r="N45" s="25" t="str">
        <f t="shared" si="2"/>
        <v>ORDER NOW</v>
      </c>
      <c r="O45" s="25" t="str">
        <f t="shared" si="3"/>
        <v>CRITICAL</v>
      </c>
      <c r="P45" t="s">
        <v>30</v>
      </c>
      <c r="Q45" s="90">
        <f>VLOOKUP(C45,'Master File June-26'!$C$3:$S$670,17,0)</f>
        <v>46114.517268518517</v>
      </c>
    </row>
    <row r="46" spans="1:17" ht="18.75" hidden="1" x14ac:dyDescent="0.25">
      <c r="A46" s="19">
        <v>107</v>
      </c>
      <c r="B46" s="19" t="s">
        <v>18</v>
      </c>
      <c r="C46" s="19" t="s">
        <v>181</v>
      </c>
      <c r="D46" s="27" t="s">
        <v>182</v>
      </c>
      <c r="E46" s="28" t="s">
        <v>183</v>
      </c>
      <c r="F46" s="5" t="s">
        <v>22</v>
      </c>
      <c r="G46" s="21">
        <v>5.0000000000000001E-3</v>
      </c>
      <c r="H46" s="22">
        <f>VLOOKUP(C46,'Master File June-26'!$C$3:$I$670,6,0)</f>
        <v>25</v>
      </c>
      <c r="I46" s="96">
        <f>VLOOKUP(C46,'Master File June-26'!$C$3:$I$670,7,0)</f>
        <v>5000</v>
      </c>
      <c r="J46" s="5">
        <f>VLOOKUP(C46,'Master File June-26'!C:J,8,0)</f>
        <v>14</v>
      </c>
      <c r="K46" s="23">
        <f t="shared" si="0"/>
        <v>2800.0000000000005</v>
      </c>
      <c r="L46" s="58">
        <f>VLOOKUP(C46,'Master File June-26'!C:L,10,0)</f>
        <v>0</v>
      </c>
      <c r="M46" s="24">
        <f t="shared" si="1"/>
        <v>0</v>
      </c>
      <c r="N46" s="25" t="str">
        <f t="shared" si="2"/>
        <v>ORDER NOW</v>
      </c>
      <c r="O46" s="25" t="str">
        <f t="shared" si="3"/>
        <v>CRITICAL</v>
      </c>
      <c r="P46" t="s">
        <v>30</v>
      </c>
      <c r="Q46" s="90">
        <f>VLOOKUP(C46,'Master File June-26'!$C$3:$S$670,17,0)</f>
        <v>46113.430891203701</v>
      </c>
    </row>
    <row r="47" spans="1:17" ht="18.75" hidden="1" x14ac:dyDescent="0.25">
      <c r="A47" s="19">
        <v>112</v>
      </c>
      <c r="B47" s="19" t="s">
        <v>18</v>
      </c>
      <c r="C47" s="19" t="s">
        <v>187</v>
      </c>
      <c r="D47" s="27" t="s">
        <v>188</v>
      </c>
      <c r="E47" s="28" t="s">
        <v>180</v>
      </c>
      <c r="F47" s="5" t="s">
        <v>22</v>
      </c>
      <c r="G47" s="21">
        <f>1/1000</f>
        <v>1E-3</v>
      </c>
      <c r="H47" s="22">
        <f>VLOOKUP(C47,'Master File June-26'!$C$3:$I$670,6,0)</f>
        <v>15</v>
      </c>
      <c r="I47" s="96">
        <f>VLOOKUP(C47,'Master File June-26'!$C$3:$I$670,7,0)</f>
        <v>15000</v>
      </c>
      <c r="J47" s="5">
        <f>VLOOKUP(C47,'Master File June-26'!C:J,8,0)</f>
        <v>14</v>
      </c>
      <c r="K47" s="23">
        <f t="shared" si="0"/>
        <v>8400</v>
      </c>
      <c r="L47" s="58">
        <f>VLOOKUP(C47,'Master File June-26'!C:L,10,0)</f>
        <v>0</v>
      </c>
      <c r="M47" s="24">
        <f t="shared" si="1"/>
        <v>0</v>
      </c>
      <c r="N47" s="25" t="str">
        <f t="shared" si="2"/>
        <v>ORDER NOW</v>
      </c>
      <c r="O47" s="25" t="str">
        <f t="shared" si="3"/>
        <v>CRITICAL</v>
      </c>
      <c r="P47" t="s">
        <v>30</v>
      </c>
      <c r="Q47" s="90">
        <f>VLOOKUP(C47,'Master File June-26'!$C$3:$S$670,17,0)</f>
        <v>46113.430891203701</v>
      </c>
    </row>
    <row r="48" spans="1:17" ht="18.75" hidden="1" x14ac:dyDescent="0.25">
      <c r="A48" s="19">
        <v>116</v>
      </c>
      <c r="B48" s="19" t="s">
        <v>18</v>
      </c>
      <c r="C48" s="19" t="s">
        <v>189</v>
      </c>
      <c r="D48" s="27" t="s">
        <v>190</v>
      </c>
      <c r="E48" s="28" t="s">
        <v>191</v>
      </c>
      <c r="F48" s="5" t="s">
        <v>22</v>
      </c>
      <c r="G48" s="21">
        <v>1E-3</v>
      </c>
      <c r="H48" s="22">
        <f>VLOOKUP(C48,'Master File June-26'!$C$3:$I$670,6,0)</f>
        <v>8</v>
      </c>
      <c r="I48" s="96">
        <f>VLOOKUP(C48,'Master File June-26'!$C$3:$I$670,7,0)</f>
        <v>8000</v>
      </c>
      <c r="J48" s="5">
        <f>VLOOKUP(C48,'Master File June-26'!C:J,8,0)</f>
        <v>14</v>
      </c>
      <c r="K48" s="23">
        <f t="shared" si="0"/>
        <v>4480</v>
      </c>
      <c r="L48" s="58">
        <f>VLOOKUP(C48,'Master File June-26'!C:L,10,0)</f>
        <v>0</v>
      </c>
      <c r="M48" s="24">
        <f t="shared" si="1"/>
        <v>0</v>
      </c>
      <c r="N48" s="25" t="str">
        <f t="shared" si="2"/>
        <v>ORDER NOW</v>
      </c>
      <c r="O48" s="25" t="str">
        <f t="shared" si="3"/>
        <v>CRITICAL</v>
      </c>
      <c r="P48" t="s">
        <v>30</v>
      </c>
      <c r="Q48" s="90">
        <f>VLOOKUP(C48,'Master File June-26'!$C$3:$S$670,17,0)</f>
        <v>46113.430891203701</v>
      </c>
    </row>
    <row r="49" spans="1:17" ht="18.75" hidden="1" x14ac:dyDescent="0.25">
      <c r="A49" s="19">
        <v>127</v>
      </c>
      <c r="B49" s="19" t="s">
        <v>18</v>
      </c>
      <c r="C49" s="19" t="s">
        <v>194</v>
      </c>
      <c r="D49" s="27" t="s">
        <v>195</v>
      </c>
      <c r="E49" s="28" t="s">
        <v>196</v>
      </c>
      <c r="F49" s="5" t="s">
        <v>46</v>
      </c>
      <c r="G49" s="21">
        <v>0.01</v>
      </c>
      <c r="H49" s="22">
        <f>VLOOKUP(C49,'Master File June-26'!$C$3:$I$670,6,0)</f>
        <v>300</v>
      </c>
      <c r="I49" s="96">
        <f>VLOOKUP(C49,'Master File June-26'!$C$3:$I$670,7,0)</f>
        <v>30000</v>
      </c>
      <c r="J49" s="5">
        <f>VLOOKUP(C49,'Master File June-26'!C:J,8,0)</f>
        <v>14</v>
      </c>
      <c r="K49" s="23">
        <f t="shared" si="0"/>
        <v>16800</v>
      </c>
      <c r="L49" s="58">
        <f>VLOOKUP(C49,'Master File June-26'!C:L,10,0)</f>
        <v>0</v>
      </c>
      <c r="M49" s="24">
        <f t="shared" si="1"/>
        <v>0</v>
      </c>
      <c r="N49" s="25" t="str">
        <f t="shared" si="2"/>
        <v>ORDER NOW</v>
      </c>
      <c r="O49" s="25" t="str">
        <f t="shared" si="3"/>
        <v>CRITICAL</v>
      </c>
      <c r="P49" t="s">
        <v>30</v>
      </c>
      <c r="Q49" s="90">
        <f>VLOOKUP(C49,'Master File June-26'!$C$3:$S$670,17,0)</f>
        <v>46113.430891203701</v>
      </c>
    </row>
    <row r="50" spans="1:17" ht="18.75" hidden="1" x14ac:dyDescent="0.25">
      <c r="A50" s="19">
        <v>136</v>
      </c>
      <c r="B50" s="19" t="s">
        <v>18</v>
      </c>
      <c r="C50" s="19" t="s">
        <v>199</v>
      </c>
      <c r="D50" s="32" t="s">
        <v>200</v>
      </c>
      <c r="E50" s="33" t="s">
        <v>201</v>
      </c>
      <c r="F50" s="5" t="s">
        <v>46</v>
      </c>
      <c r="G50" s="21">
        <v>0.02</v>
      </c>
      <c r="H50" s="22">
        <f>VLOOKUP(C50,'Master File June-26'!$C$3:$I$670,6,0)</f>
        <v>0</v>
      </c>
      <c r="I50" s="96">
        <f>VLOOKUP(C50,'Master File June-26'!$C$3:$I$670,7,0)</f>
        <v>0</v>
      </c>
      <c r="J50" s="5">
        <f>VLOOKUP(C50,'Master File June-26'!C:J,8,0)</f>
        <v>14</v>
      </c>
      <c r="K50" s="23">
        <f t="shared" si="0"/>
        <v>0</v>
      </c>
      <c r="L50" s="58">
        <f>VLOOKUP(C50,'Master File June-26'!C:L,10,0)</f>
        <v>0</v>
      </c>
      <c r="M50" s="24">
        <f t="shared" si="1"/>
        <v>0</v>
      </c>
      <c r="N50" s="25" t="str">
        <f t="shared" si="2"/>
        <v>ORDER NOW</v>
      </c>
      <c r="O50" s="25" t="str">
        <f t="shared" si="3"/>
        <v>CRITICAL</v>
      </c>
      <c r="P50" t="s">
        <v>30</v>
      </c>
      <c r="Q50" s="90">
        <f>VLOOKUP(C50,'Master File June-26'!$C$3:$S$670,17,0)</f>
        <v>46113.430891203701</v>
      </c>
    </row>
    <row r="51" spans="1:17" ht="18.75" hidden="1" x14ac:dyDescent="0.25">
      <c r="A51" s="19">
        <v>144</v>
      </c>
      <c r="B51" s="19" t="s">
        <v>18</v>
      </c>
      <c r="C51" s="19" t="s">
        <v>202</v>
      </c>
      <c r="D51" s="65" t="s">
        <v>203</v>
      </c>
      <c r="E51" s="33" t="s">
        <v>49</v>
      </c>
      <c r="F51" s="5" t="s">
        <v>49</v>
      </c>
      <c r="G51" s="21">
        <v>1</v>
      </c>
      <c r="H51" s="22">
        <f>VLOOKUP(C51,'Master File June-26'!$C$3:$I$670,6,0)</f>
        <v>0</v>
      </c>
      <c r="I51" s="96">
        <f>VLOOKUP(C51,'Master File June-26'!$C$3:$I$670,7,0)</f>
        <v>200</v>
      </c>
      <c r="J51" s="5">
        <f>VLOOKUP(C51,'Master File June-26'!C:J,8,0)</f>
        <v>14</v>
      </c>
      <c r="K51" s="23">
        <f t="shared" si="0"/>
        <v>112.00000000000001</v>
      </c>
      <c r="L51" s="58">
        <f>VLOOKUP(C51,'Master File June-26'!C:L,10,0)</f>
        <v>0</v>
      </c>
      <c r="M51" s="24">
        <f t="shared" si="1"/>
        <v>0</v>
      </c>
      <c r="N51" s="25" t="str">
        <f t="shared" si="2"/>
        <v>ORDER NOW</v>
      </c>
      <c r="O51" s="25" t="str">
        <f t="shared" si="3"/>
        <v>CRITICAL</v>
      </c>
      <c r="P51" t="s">
        <v>30</v>
      </c>
      <c r="Q51" s="90">
        <f>VLOOKUP(C51,'Master File June-26'!$C$3:$S$670,17,0)</f>
        <v>46113.430891203701</v>
      </c>
    </row>
    <row r="52" spans="1:17" ht="18.75" hidden="1" x14ac:dyDescent="0.25">
      <c r="A52" s="19">
        <v>150</v>
      </c>
      <c r="B52" s="19" t="s">
        <v>18</v>
      </c>
      <c r="C52" s="19" t="s">
        <v>206</v>
      </c>
      <c r="D52" s="27" t="s">
        <v>207</v>
      </c>
      <c r="E52" s="28" t="s">
        <v>208</v>
      </c>
      <c r="F52" s="5" t="s">
        <v>46</v>
      </c>
      <c r="G52" s="21">
        <f>1/500</f>
        <v>2E-3</v>
      </c>
      <c r="H52" s="22">
        <f>VLOOKUP(C52,'Master File June-26'!$C$3:$I$670,6,0)</f>
        <v>6</v>
      </c>
      <c r="I52" s="96">
        <f>VLOOKUP(C52,'Master File June-26'!$C$3:$I$670,7,0)</f>
        <v>3000</v>
      </c>
      <c r="J52" s="5">
        <f>VLOOKUP(C52,'Master File June-26'!C:J,8,0)</f>
        <v>14</v>
      </c>
      <c r="K52" s="23">
        <f t="shared" si="0"/>
        <v>1680.0000000000002</v>
      </c>
      <c r="L52" s="58">
        <f>VLOOKUP(C52,'Master File June-26'!C:L,10,0)</f>
        <v>0</v>
      </c>
      <c r="M52" s="24">
        <f t="shared" si="1"/>
        <v>0</v>
      </c>
      <c r="N52" s="25" t="str">
        <f t="shared" si="2"/>
        <v>ORDER NOW</v>
      </c>
      <c r="O52" s="25" t="str">
        <f t="shared" si="3"/>
        <v>CRITICAL</v>
      </c>
      <c r="P52" t="s">
        <v>30</v>
      </c>
      <c r="Q52" s="90">
        <f>VLOOKUP(C52,'Master File June-26'!$C$3:$S$670,17,0)</f>
        <v>46113.430902777778</v>
      </c>
    </row>
    <row r="53" spans="1:17" ht="18.75" hidden="1" x14ac:dyDescent="0.25">
      <c r="A53" s="19">
        <v>157</v>
      </c>
      <c r="B53" s="19" t="s">
        <v>18</v>
      </c>
      <c r="C53" s="19" t="s">
        <v>214</v>
      </c>
      <c r="D53" s="29" t="s">
        <v>215</v>
      </c>
      <c r="E53" s="28" t="s">
        <v>216</v>
      </c>
      <c r="F53" s="5" t="s">
        <v>49</v>
      </c>
      <c r="G53" s="21">
        <f>1/25</f>
        <v>0.04</v>
      </c>
      <c r="H53" s="22">
        <f>VLOOKUP(C53,'Master File June-26'!$C$3:$I$670,6,0)</f>
        <v>400</v>
      </c>
      <c r="I53" s="96">
        <f>VLOOKUP(C53,'Master File June-26'!$C$3:$I$670,7,0)</f>
        <v>10000</v>
      </c>
      <c r="J53" s="5">
        <f>VLOOKUP(C53,'Master File June-26'!C:J,8,0)</f>
        <v>14</v>
      </c>
      <c r="K53" s="23">
        <f t="shared" si="0"/>
        <v>5600.0000000000009</v>
      </c>
      <c r="L53" s="58">
        <f>VLOOKUP(C53,'Master File June-26'!C:L,10,0)</f>
        <v>0</v>
      </c>
      <c r="M53" s="24">
        <f t="shared" si="1"/>
        <v>0</v>
      </c>
      <c r="N53" s="25" t="str">
        <f t="shared" si="2"/>
        <v>ORDER NOW</v>
      </c>
      <c r="O53" s="25" t="str">
        <f t="shared" si="3"/>
        <v>CRITICAL</v>
      </c>
      <c r="Q53" s="90">
        <f>VLOOKUP(C53,'Master File June-26'!$C$3:$S$670,17,0)</f>
        <v>46113.430902777778</v>
      </c>
    </row>
    <row r="54" spans="1:17" ht="18.75" hidden="1" x14ac:dyDescent="0.25">
      <c r="A54" s="19">
        <v>170</v>
      </c>
      <c r="B54" s="19" t="s">
        <v>18</v>
      </c>
      <c r="C54" s="19" t="s">
        <v>221</v>
      </c>
      <c r="D54" s="27" t="s">
        <v>222</v>
      </c>
      <c r="E54" s="28" t="s">
        <v>223</v>
      </c>
      <c r="F54" s="5" t="s">
        <v>22</v>
      </c>
      <c r="G54" s="21">
        <v>6.6666666666666671E-3</v>
      </c>
      <c r="H54" s="22">
        <f>VLOOKUP(C54,'Master File June-26'!$C$3:$I$670,6,0)</f>
        <v>50</v>
      </c>
      <c r="I54" s="96">
        <f>VLOOKUP(C54,'Master File June-26'!$C$3:$I$670,7,0)</f>
        <v>7499.9999999999991</v>
      </c>
      <c r="J54" s="5">
        <f>VLOOKUP(C54,'Master File June-26'!C:J,8,0)</f>
        <v>14</v>
      </c>
      <c r="K54" s="23">
        <f t="shared" si="0"/>
        <v>4200</v>
      </c>
      <c r="L54" s="58">
        <f>VLOOKUP(C54,'Master File June-26'!C:L,10,0)</f>
        <v>0</v>
      </c>
      <c r="M54" s="24">
        <f t="shared" si="1"/>
        <v>0</v>
      </c>
      <c r="N54" s="25" t="str">
        <f t="shared" si="2"/>
        <v>ORDER NOW</v>
      </c>
      <c r="O54" s="25" t="str">
        <f t="shared" si="3"/>
        <v>CRITICAL</v>
      </c>
      <c r="Q54" s="90">
        <f>VLOOKUP(C54,'Master File June-26'!$C$3:$S$670,17,0)</f>
        <v>46113.430902777778</v>
      </c>
    </row>
    <row r="55" spans="1:17" ht="18.75" hidden="1" x14ac:dyDescent="0.25">
      <c r="A55" s="19">
        <v>173</v>
      </c>
      <c r="B55" s="19" t="s">
        <v>18</v>
      </c>
      <c r="C55" s="19" t="s">
        <v>36</v>
      </c>
      <c r="D55" s="37" t="s">
        <v>37</v>
      </c>
      <c r="E55" s="34" t="s">
        <v>22</v>
      </c>
      <c r="F55" s="5" t="s">
        <v>22</v>
      </c>
      <c r="G55" s="21">
        <v>1</v>
      </c>
      <c r="H55" s="22">
        <v>2</v>
      </c>
      <c r="I55" s="96">
        <f>H55/G55</f>
        <v>2</v>
      </c>
      <c r="J55" s="5">
        <f>VLOOKUP(C55,'Master File June-26'!C:J,8,0)</f>
        <v>14</v>
      </c>
      <c r="K55" s="23">
        <f t="shared" si="0"/>
        <v>1.1200000000000001</v>
      </c>
      <c r="L55" s="58">
        <f>VLOOKUP(C55,'Master File June-26'!C:L,10,0)</f>
        <v>0</v>
      </c>
      <c r="M55" s="24">
        <f t="shared" si="1"/>
        <v>0</v>
      </c>
      <c r="N55" s="25" t="str">
        <f t="shared" si="2"/>
        <v>ORDER NOW</v>
      </c>
      <c r="O55" s="25" t="str">
        <f t="shared" si="3"/>
        <v>CRITICAL</v>
      </c>
      <c r="Q55" s="90" t="e">
        <f>VLOOKUP(C55,[2]Sheet1!$C$3:$P$524,14,0)</f>
        <v>#N/A</v>
      </c>
    </row>
    <row r="56" spans="1:17" ht="18.75" hidden="1" x14ac:dyDescent="0.25">
      <c r="A56" s="19">
        <v>177</v>
      </c>
      <c r="B56" s="19" t="s">
        <v>18</v>
      </c>
      <c r="C56" s="19" t="s">
        <v>224</v>
      </c>
      <c r="D56" s="37" t="s">
        <v>225</v>
      </c>
      <c r="E56" s="34" t="s">
        <v>22</v>
      </c>
      <c r="F56" s="5" t="s">
        <v>22</v>
      </c>
      <c r="G56" s="21">
        <v>3.1250000000000002E-3</v>
      </c>
      <c r="H56" s="22">
        <f>VLOOKUP(C56,'Master File June-26'!$C$3:$I$670,6,0)</f>
        <v>10</v>
      </c>
      <c r="I56" s="96">
        <f>VLOOKUP(C56,'Master File June-26'!$C$3:$I$670,7,0)</f>
        <v>3200</v>
      </c>
      <c r="J56" s="5">
        <f>VLOOKUP(C56,'Master File June-26'!C:J,8,0)</f>
        <v>14</v>
      </c>
      <c r="K56" s="23">
        <f t="shared" si="0"/>
        <v>1792.0000000000002</v>
      </c>
      <c r="L56" s="58">
        <f>VLOOKUP(C56,'Master File June-26'!C:L,10,0)</f>
        <v>0</v>
      </c>
      <c r="M56" s="24">
        <f t="shared" si="1"/>
        <v>0</v>
      </c>
      <c r="N56" s="25" t="str">
        <f t="shared" si="2"/>
        <v>ORDER NOW</v>
      </c>
      <c r="O56" s="25" t="str">
        <f t="shared" si="3"/>
        <v>CRITICAL</v>
      </c>
      <c r="Q56" s="90">
        <f>VLOOKUP(C56,'Master File June-26'!$C$3:$S$670,17,0)</f>
        <v>46113.430902777778</v>
      </c>
    </row>
    <row r="57" spans="1:17" ht="18.75" hidden="1" x14ac:dyDescent="0.25">
      <c r="A57" s="19"/>
      <c r="B57" s="19"/>
      <c r="C57" s="19" t="s">
        <v>1619</v>
      </c>
      <c r="D57" s="4" t="s">
        <v>1620</v>
      </c>
      <c r="E57" s="34"/>
      <c r="F57" s="5"/>
      <c r="G57" s="21"/>
      <c r="H57" s="22">
        <f>VLOOKUP(C57,'Master File June-26'!$C$3:$I$670,6,0)</f>
        <v>70</v>
      </c>
      <c r="I57" s="96">
        <f>VLOOKUP(C57,'Master File June-26'!$C$3:$I$670,7,0)</f>
        <v>56000</v>
      </c>
      <c r="J57" s="5">
        <f>VLOOKUP(C57,'Master File June-26'!C:J,8,0)</f>
        <v>60</v>
      </c>
      <c r="K57" s="23">
        <f t="shared" si="0"/>
        <v>134400</v>
      </c>
      <c r="L57" s="58">
        <f>VLOOKUP(C57,'Master File June-26'!C:L,10,0)</f>
        <v>16000</v>
      </c>
      <c r="M57" s="24">
        <f t="shared" si="1"/>
        <v>8.5714285714285712</v>
      </c>
      <c r="N57" s="25" t="str">
        <f t="shared" si="2"/>
        <v>ORDER NOW</v>
      </c>
      <c r="O57" s="25" t="str">
        <f t="shared" si="3"/>
        <v>CRITICAL</v>
      </c>
      <c r="Q57" s="90" t="e">
        <f>VLOOKUP(C57,[2]Sheet1!$C$3:$P$524,14,0)</f>
        <v>#N/A</v>
      </c>
    </row>
    <row r="58" spans="1:17" ht="18.75" hidden="1" x14ac:dyDescent="0.25">
      <c r="A58" s="19"/>
      <c r="B58" s="19"/>
      <c r="C58" s="19" t="s">
        <v>1621</v>
      </c>
      <c r="D58" s="4" t="s">
        <v>1622</v>
      </c>
      <c r="E58" s="34"/>
      <c r="F58" s="5"/>
      <c r="G58" s="21"/>
      <c r="H58" s="22">
        <f>VLOOKUP(C58,'Master File June-26'!$C$3:$I$670,6,0)</f>
        <v>10</v>
      </c>
      <c r="I58" s="96">
        <f>VLOOKUP(C58,'Master File June-26'!$C$3:$I$670,7,0)</f>
        <v>6000</v>
      </c>
      <c r="J58" s="5">
        <f>VLOOKUP(C58,'Master File June-26'!C:J,8,0)</f>
        <v>60</v>
      </c>
      <c r="K58" s="23">
        <f t="shared" si="0"/>
        <v>14400</v>
      </c>
      <c r="L58" s="58">
        <f>VLOOKUP(C58,'Master File June-26'!C:L,10,0)</f>
        <v>0</v>
      </c>
      <c r="M58" s="24">
        <f t="shared" si="1"/>
        <v>0</v>
      </c>
      <c r="N58" s="25" t="str">
        <f t="shared" si="2"/>
        <v>ORDER NOW</v>
      </c>
      <c r="O58" s="25" t="str">
        <f t="shared" si="3"/>
        <v>CRITICAL</v>
      </c>
      <c r="Q58" s="90" t="e">
        <f>VLOOKUP(C58,[2]Sheet1!$C$3:$P$524,14,0)</f>
        <v>#N/A</v>
      </c>
    </row>
    <row r="59" spans="1:17" ht="18.75" hidden="1" x14ac:dyDescent="0.25">
      <c r="A59" s="39">
        <v>194</v>
      </c>
      <c r="B59" s="39" t="s">
        <v>157</v>
      </c>
      <c r="C59" s="39" t="s">
        <v>673</v>
      </c>
      <c r="D59" s="27" t="s">
        <v>674</v>
      </c>
      <c r="E59" s="28" t="s">
        <v>675</v>
      </c>
      <c r="F59" s="5" t="s">
        <v>22</v>
      </c>
      <c r="G59" s="21">
        <v>0.1</v>
      </c>
      <c r="H59" s="22">
        <f>VLOOKUP(C59,'Master File June-26'!$C$3:$I$670,6,0)</f>
        <v>33</v>
      </c>
      <c r="I59" s="96">
        <f>VLOOKUP(C59,'Master File June-26'!$C$3:$I$670,7,0)</f>
        <v>330</v>
      </c>
      <c r="J59" s="5">
        <f>VLOOKUP(C59,'Master File June-26'!C:J,8,0)</f>
        <v>14</v>
      </c>
      <c r="K59" s="23">
        <f t="shared" si="0"/>
        <v>184.8</v>
      </c>
      <c r="L59" s="58">
        <f>VLOOKUP(C59,'Master File June-26'!C:L,10,0)</f>
        <v>0</v>
      </c>
      <c r="M59" s="24">
        <f t="shared" si="1"/>
        <v>0</v>
      </c>
      <c r="N59" s="25" t="str">
        <f t="shared" si="2"/>
        <v>ORDER NOW</v>
      </c>
      <c r="O59" s="25" t="str">
        <f t="shared" si="3"/>
        <v>CRITICAL</v>
      </c>
      <c r="Q59" s="90">
        <f>VLOOKUP(C59,'Master File June-26'!$C$3:$S$670,17,0)</f>
        <v>46113.430949074071</v>
      </c>
    </row>
    <row r="60" spans="1:17" ht="18.75" hidden="1" x14ac:dyDescent="0.25">
      <c r="A60" s="39">
        <v>195</v>
      </c>
      <c r="B60" s="39" t="s">
        <v>18</v>
      </c>
      <c r="C60" s="39" t="s">
        <v>237</v>
      </c>
      <c r="D60" s="31" t="s">
        <v>238</v>
      </c>
      <c r="E60" s="34" t="s">
        <v>160</v>
      </c>
      <c r="F60" s="5" t="s">
        <v>49</v>
      </c>
      <c r="G60" s="21">
        <v>1</v>
      </c>
      <c r="H60" s="22">
        <f>VLOOKUP(C60,'Master File June-26'!$C$3:$I$670,6,0)</f>
        <v>11</v>
      </c>
      <c r="I60" s="96">
        <f>VLOOKUP(C60,'Master File June-26'!$C$3:$I$670,7,0)</f>
        <v>11</v>
      </c>
      <c r="J60" s="5">
        <f>VLOOKUP(C60,'Master File June-26'!C:J,8,0)</f>
        <v>14</v>
      </c>
      <c r="K60" s="23">
        <f t="shared" si="0"/>
        <v>6.16</v>
      </c>
      <c r="L60" s="58">
        <f>VLOOKUP(C60,'Master File June-26'!C:L,10,0)</f>
        <v>0</v>
      </c>
      <c r="M60" s="24">
        <f t="shared" si="1"/>
        <v>0</v>
      </c>
      <c r="N60" s="25" t="str">
        <f t="shared" si="2"/>
        <v>ORDER NOW</v>
      </c>
      <c r="O60" s="25" t="str">
        <f t="shared" si="3"/>
        <v>CRITICAL</v>
      </c>
      <c r="Q60" s="90">
        <f>VLOOKUP(C60,'Master File June-26'!$C$3:$S$670,17,0)</f>
        <v>46138.481412037036</v>
      </c>
    </row>
    <row r="61" spans="1:17" ht="18.75" hidden="1" x14ac:dyDescent="0.25">
      <c r="A61" s="39">
        <v>196</v>
      </c>
      <c r="B61" s="39" t="s">
        <v>239</v>
      </c>
      <c r="C61" s="39" t="s">
        <v>240</v>
      </c>
      <c r="D61" s="27" t="s">
        <v>241</v>
      </c>
      <c r="E61" s="28" t="s">
        <v>160</v>
      </c>
      <c r="F61" s="5" t="s">
        <v>49</v>
      </c>
      <c r="G61" s="21">
        <v>1</v>
      </c>
      <c r="H61" s="22">
        <f>VLOOKUP(C61,'Master File June-26'!$C$3:$I$670,6,0)</f>
        <v>680</v>
      </c>
      <c r="I61" s="96">
        <f>VLOOKUP(C61,'Master File June-26'!$C$3:$I$670,7,0)</f>
        <v>680</v>
      </c>
      <c r="J61" s="5">
        <f>VLOOKUP(C61,'Master File June-26'!C:J,8,0)</f>
        <v>14</v>
      </c>
      <c r="K61" s="23">
        <f t="shared" si="0"/>
        <v>380.8</v>
      </c>
      <c r="L61" s="58">
        <f>VLOOKUP(C61,'Master File June-26'!C:L,10,0)</f>
        <v>0</v>
      </c>
      <c r="M61" s="24">
        <f t="shared" si="1"/>
        <v>0</v>
      </c>
      <c r="N61" s="25" t="str">
        <f t="shared" si="2"/>
        <v>ORDER NOW</v>
      </c>
      <c r="O61" s="25" t="str">
        <f t="shared" si="3"/>
        <v>CRITICAL</v>
      </c>
      <c r="Q61" s="90">
        <f>VLOOKUP(C61,'Master File June-26'!$C$3:$S$670,17,0)</f>
        <v>46113.430902777778</v>
      </c>
    </row>
    <row r="62" spans="1:17" ht="18.75" hidden="1" x14ac:dyDescent="0.25">
      <c r="A62" s="39">
        <v>204</v>
      </c>
      <c r="B62" s="39" t="s">
        <v>242</v>
      </c>
      <c r="C62" s="39" t="s">
        <v>243</v>
      </c>
      <c r="D62" s="31" t="s">
        <v>244</v>
      </c>
      <c r="E62" s="34" t="s">
        <v>160</v>
      </c>
      <c r="F62" s="5" t="s">
        <v>49</v>
      </c>
      <c r="G62" s="21">
        <v>1</v>
      </c>
      <c r="H62" s="22">
        <f>VLOOKUP(C62,'Master File June-26'!$C$3:$I$670,6,0)</f>
        <v>88</v>
      </c>
      <c r="I62" s="96">
        <f>VLOOKUP(C62,'Master File June-26'!$C$3:$I$670,7,0)</f>
        <v>88</v>
      </c>
      <c r="J62" s="5">
        <f>VLOOKUP(C62,'Master File June-26'!C:J,8,0)</f>
        <v>14</v>
      </c>
      <c r="K62" s="23">
        <f t="shared" si="0"/>
        <v>49.28</v>
      </c>
      <c r="L62" s="58">
        <f>VLOOKUP(C62,'Master File June-26'!C:L,10,0)</f>
        <v>0</v>
      </c>
      <c r="M62" s="24">
        <f t="shared" si="1"/>
        <v>0</v>
      </c>
      <c r="N62" s="25" t="str">
        <f t="shared" si="2"/>
        <v>ORDER NOW</v>
      </c>
      <c r="O62" s="25" t="str">
        <f t="shared" si="3"/>
        <v>CRITICAL</v>
      </c>
      <c r="Q62" s="90">
        <f>VLOOKUP(C62,'Master File June-26'!$C$3:$S$670,17,0)</f>
        <v>46113.430902777778</v>
      </c>
    </row>
    <row r="63" spans="1:17" ht="18.75" hidden="1" x14ac:dyDescent="0.25">
      <c r="A63" s="39">
        <v>206</v>
      </c>
      <c r="B63" s="39" t="s">
        <v>239</v>
      </c>
      <c r="C63" s="39" t="s">
        <v>667</v>
      </c>
      <c r="D63" s="27" t="s">
        <v>668</v>
      </c>
      <c r="E63" s="28" t="s">
        <v>78</v>
      </c>
      <c r="F63" s="5" t="s">
        <v>49</v>
      </c>
      <c r="G63" s="21">
        <v>1</v>
      </c>
      <c r="H63" s="22">
        <f>VLOOKUP(C63,'Master File June-26'!$C$3:$I$670,6,0)</f>
        <v>282.5</v>
      </c>
      <c r="I63" s="96">
        <f>VLOOKUP(C63,'Master File June-26'!$C$3:$I$670,7,0)</f>
        <v>282.5</v>
      </c>
      <c r="J63" s="5">
        <f>VLOOKUP(C63,'Master File June-26'!C:J,8,0)</f>
        <v>14</v>
      </c>
      <c r="K63" s="23">
        <f t="shared" si="0"/>
        <v>158.20000000000002</v>
      </c>
      <c r="L63" s="58">
        <f>VLOOKUP(C63,'Master File June-26'!C:L,10,0)</f>
        <v>0</v>
      </c>
      <c r="M63" s="24">
        <f t="shared" si="1"/>
        <v>0</v>
      </c>
      <c r="N63" s="25" t="str">
        <f t="shared" si="2"/>
        <v>ORDER NOW</v>
      </c>
      <c r="O63" s="25" t="str">
        <f t="shared" si="3"/>
        <v>CRITICAL</v>
      </c>
      <c r="Q63" s="90">
        <f>VLOOKUP(C63,'Master File June-26'!$C$3:$S$670,17,0)</f>
        <v>46113.430949074071</v>
      </c>
    </row>
    <row r="64" spans="1:17" ht="18.75" hidden="1" x14ac:dyDescent="0.25">
      <c r="A64" s="39">
        <v>207</v>
      </c>
      <c r="B64" s="39" t="s">
        <v>239</v>
      </c>
      <c r="C64" s="39" t="s">
        <v>680</v>
      </c>
      <c r="D64" s="31" t="s">
        <v>681</v>
      </c>
      <c r="E64" s="34" t="s">
        <v>78</v>
      </c>
      <c r="F64" s="5" t="s">
        <v>49</v>
      </c>
      <c r="G64" s="21">
        <v>1</v>
      </c>
      <c r="H64" s="22">
        <f>VLOOKUP(C64,'Master File June-26'!$C$3:$I$670,6,0)</f>
        <v>110</v>
      </c>
      <c r="I64" s="96">
        <f>VLOOKUP(C64,'Master File June-26'!$C$3:$I$670,7,0)</f>
        <v>110</v>
      </c>
      <c r="J64" s="5">
        <f>VLOOKUP(C64,'Master File June-26'!C:J,8,0)</f>
        <v>14</v>
      </c>
      <c r="K64" s="23">
        <f t="shared" si="0"/>
        <v>61.600000000000009</v>
      </c>
      <c r="L64" s="58">
        <f>VLOOKUP(C64,'Master File June-26'!C:L,10,0)</f>
        <v>0</v>
      </c>
      <c r="M64" s="24">
        <f t="shared" si="1"/>
        <v>0</v>
      </c>
      <c r="N64" s="25" t="str">
        <f t="shared" si="2"/>
        <v>ORDER NOW</v>
      </c>
      <c r="O64" s="25" t="str">
        <f t="shared" si="3"/>
        <v>CRITICAL</v>
      </c>
      <c r="Q64" s="90">
        <f>VLOOKUP(C64,'Master File June-26'!$C$3:$S$670,17,0)</f>
        <v>46113.430949074071</v>
      </c>
    </row>
    <row r="65" spans="1:17" ht="18.75" hidden="1" x14ac:dyDescent="0.25">
      <c r="A65" s="39">
        <v>208</v>
      </c>
      <c r="B65" s="39" t="s">
        <v>298</v>
      </c>
      <c r="C65" s="39" t="s">
        <v>707</v>
      </c>
      <c r="D65" s="27" t="s">
        <v>708</v>
      </c>
      <c r="E65" s="28" t="s">
        <v>160</v>
      </c>
      <c r="F65" s="5" t="s">
        <v>49</v>
      </c>
      <c r="G65" s="21">
        <v>1</v>
      </c>
      <c r="H65" s="22">
        <f>VLOOKUP(C65,'Master File June-26'!$C$3:$I$670,6,0)</f>
        <v>55</v>
      </c>
      <c r="I65" s="96">
        <f>VLOOKUP(C65,'Master File June-26'!$C$3:$I$670,7,0)</f>
        <v>55</v>
      </c>
      <c r="J65" s="5">
        <f>VLOOKUP(C65,'Master File June-26'!C:J,8,0)</f>
        <v>14</v>
      </c>
      <c r="K65" s="23">
        <f t="shared" si="0"/>
        <v>30.800000000000004</v>
      </c>
      <c r="L65" s="58">
        <f>VLOOKUP(C65,'Master File June-26'!C:L,10,0)</f>
        <v>0</v>
      </c>
      <c r="M65" s="24">
        <f t="shared" si="1"/>
        <v>0</v>
      </c>
      <c r="N65" s="25" t="str">
        <f t="shared" si="2"/>
        <v>ORDER NOW</v>
      </c>
      <c r="O65" s="25" t="str">
        <f t="shared" si="3"/>
        <v>CRITICAL</v>
      </c>
      <c r="Q65" s="90">
        <f>VLOOKUP(C65,'Master File June-26'!$C$3:$S$670,17,0)</f>
        <v>46138.481388888889</v>
      </c>
    </row>
    <row r="66" spans="1:17" ht="18.75" hidden="1" x14ac:dyDescent="0.25">
      <c r="A66" s="39">
        <v>221</v>
      </c>
      <c r="B66" s="39" t="s">
        <v>123</v>
      </c>
      <c r="C66" s="39" t="s">
        <v>250</v>
      </c>
      <c r="D66" s="27" t="s">
        <v>251</v>
      </c>
      <c r="E66" s="28" t="s">
        <v>78</v>
      </c>
      <c r="F66" s="5" t="s">
        <v>49</v>
      </c>
      <c r="G66" s="21">
        <v>1</v>
      </c>
      <c r="H66" s="22">
        <f>VLOOKUP(C66,'Master File June-26'!$C$3:$I$670,6,0)</f>
        <v>115.5</v>
      </c>
      <c r="I66" s="96">
        <f>VLOOKUP(C66,'Master File June-26'!$C$3:$I$670,7,0)</f>
        <v>115.5</v>
      </c>
      <c r="J66" s="5">
        <f>VLOOKUP(C66,'Master File June-26'!C:J,8,0)</f>
        <v>14</v>
      </c>
      <c r="K66" s="23">
        <f t="shared" si="0"/>
        <v>64.680000000000007</v>
      </c>
      <c r="L66" s="58">
        <f>VLOOKUP(C66,'Master File June-26'!C:L,10,0)</f>
        <v>0</v>
      </c>
      <c r="M66" s="24">
        <f t="shared" si="1"/>
        <v>0</v>
      </c>
      <c r="N66" s="25" t="str">
        <f t="shared" si="2"/>
        <v>ORDER NOW</v>
      </c>
      <c r="O66" s="25" t="str">
        <f t="shared" si="3"/>
        <v>CRITICAL</v>
      </c>
      <c r="Q66" s="90">
        <f>VLOOKUP(C66,'Master File June-26'!$C$3:$S$670,17,0)</f>
        <v>46113.430902777778</v>
      </c>
    </row>
    <row r="67" spans="1:17" ht="18.75" hidden="1" x14ac:dyDescent="0.25">
      <c r="A67" s="39">
        <v>224</v>
      </c>
      <c r="B67" s="39" t="s">
        <v>123</v>
      </c>
      <c r="C67" s="39" t="s">
        <v>252</v>
      </c>
      <c r="D67" s="27" t="s">
        <v>253</v>
      </c>
      <c r="E67" s="28" t="s">
        <v>254</v>
      </c>
      <c r="F67" s="5" t="s">
        <v>49</v>
      </c>
      <c r="G67" s="21">
        <v>1</v>
      </c>
      <c r="H67" s="22">
        <f>VLOOKUP(C67,'Master File June-26'!$C$3:$I$670,6,0)</f>
        <v>99</v>
      </c>
      <c r="I67" s="96">
        <f>VLOOKUP(C67,'Master File June-26'!$C$3:$I$670,7,0)</f>
        <v>99</v>
      </c>
      <c r="J67" s="5">
        <f>VLOOKUP(C67,'Master File June-26'!C:J,8,0)</f>
        <v>14</v>
      </c>
      <c r="K67" s="23">
        <f t="shared" ref="K67:K130" si="4">I67*(J67/25)</f>
        <v>55.440000000000005</v>
      </c>
      <c r="L67" s="58">
        <f>VLOOKUP(C67,'Master File June-26'!C:L,10,0)</f>
        <v>0</v>
      </c>
      <c r="M67" s="24">
        <f t="shared" ref="M67:M130" si="5">IFERROR((L67/I67*30),0)</f>
        <v>0</v>
      </c>
      <c r="N67" s="25" t="str">
        <f t="shared" ref="N67:N130" si="6">IF(M67&lt;J67,"ORDER NOW","IN STOCK")</f>
        <v>ORDER NOW</v>
      </c>
      <c r="O67" s="25" t="str">
        <f t="shared" ref="O67:O130" si="7">IF(M67&lt;J67,"CRITICAL","FOLLOW UP DELIVERY")</f>
        <v>CRITICAL</v>
      </c>
      <c r="Q67" s="90">
        <f>VLOOKUP(C67,'Master File June-26'!$C$3:$S$670,17,0)</f>
        <v>46113.430902777778</v>
      </c>
    </row>
    <row r="68" spans="1:17" ht="18.75" hidden="1" x14ac:dyDescent="0.25">
      <c r="A68" s="39">
        <v>225</v>
      </c>
      <c r="B68" s="39" t="s">
        <v>239</v>
      </c>
      <c r="C68" s="39" t="s">
        <v>255</v>
      </c>
      <c r="D68" s="27" t="s">
        <v>256</v>
      </c>
      <c r="E68" s="28" t="s">
        <v>160</v>
      </c>
      <c r="F68" s="5" t="s">
        <v>49</v>
      </c>
      <c r="G68" s="21">
        <v>1</v>
      </c>
      <c r="H68" s="22">
        <f>VLOOKUP(C68,'Master File June-26'!$C$3:$I$670,6,0)</f>
        <v>66</v>
      </c>
      <c r="I68" s="96">
        <f>VLOOKUP(C68,'Master File June-26'!$C$3:$I$670,7,0)</f>
        <v>66</v>
      </c>
      <c r="J68" s="5">
        <f>VLOOKUP(C68,'Master File June-26'!C:J,8,0)</f>
        <v>14</v>
      </c>
      <c r="K68" s="23">
        <f t="shared" si="4"/>
        <v>36.96</v>
      </c>
      <c r="L68" s="58">
        <f>VLOOKUP(C68,'Master File June-26'!C:L,10,0)</f>
        <v>0</v>
      </c>
      <c r="M68" s="24">
        <f t="shared" si="5"/>
        <v>0</v>
      </c>
      <c r="N68" s="25" t="str">
        <f t="shared" si="6"/>
        <v>ORDER NOW</v>
      </c>
      <c r="O68" s="25" t="str">
        <f t="shared" si="7"/>
        <v>CRITICAL</v>
      </c>
      <c r="Q68" s="90">
        <f>VLOOKUP(C68,'Master File June-26'!$C$3:$S$670,17,0)</f>
        <v>46113.430902777778</v>
      </c>
    </row>
    <row r="69" spans="1:17" ht="18.75" hidden="1" x14ac:dyDescent="0.25">
      <c r="A69" s="39">
        <v>227</v>
      </c>
      <c r="B69" s="39" t="s">
        <v>239</v>
      </c>
      <c r="C69" s="39" t="s">
        <v>257</v>
      </c>
      <c r="D69" s="27" t="s">
        <v>258</v>
      </c>
      <c r="E69" s="28" t="s">
        <v>160</v>
      </c>
      <c r="F69" s="5" t="s">
        <v>49</v>
      </c>
      <c r="G69" s="21">
        <v>1</v>
      </c>
      <c r="H69" s="22">
        <f>VLOOKUP(C69,'Master File June-26'!$C$3:$I$670,6,0)</f>
        <v>5.5</v>
      </c>
      <c r="I69" s="96">
        <f>VLOOKUP(C69,'Master File June-26'!$C$3:$I$670,7,0)</f>
        <v>5.5</v>
      </c>
      <c r="J69" s="5">
        <f>VLOOKUP(C69,'Master File June-26'!C:J,8,0)</f>
        <v>14</v>
      </c>
      <c r="K69" s="23">
        <f t="shared" si="4"/>
        <v>3.08</v>
      </c>
      <c r="L69" s="58">
        <f>VLOOKUP(C69,'Master File June-26'!C:L,10,0)</f>
        <v>0</v>
      </c>
      <c r="M69" s="24">
        <f t="shared" si="5"/>
        <v>0</v>
      </c>
      <c r="N69" s="25" t="str">
        <f t="shared" si="6"/>
        <v>ORDER NOW</v>
      </c>
      <c r="O69" s="25" t="str">
        <f t="shared" si="7"/>
        <v>CRITICAL</v>
      </c>
      <c r="Q69" s="90">
        <f>VLOOKUP(C69,'Master File June-26'!$C$3:$S$670,17,0)</f>
        <v>46113.430902777778</v>
      </c>
    </row>
    <row r="70" spans="1:17" ht="18.75" hidden="1" x14ac:dyDescent="0.25">
      <c r="A70" s="39">
        <v>229</v>
      </c>
      <c r="B70" s="39" t="s">
        <v>239</v>
      </c>
      <c r="C70" s="39" t="s">
        <v>259</v>
      </c>
      <c r="D70" s="27" t="s">
        <v>260</v>
      </c>
      <c r="E70" s="28" t="s">
        <v>78</v>
      </c>
      <c r="F70" s="5" t="s">
        <v>49</v>
      </c>
      <c r="G70" s="21">
        <v>1</v>
      </c>
      <c r="H70" s="22">
        <f>VLOOKUP(C70,'Master File June-26'!$C$3:$I$670,6,0)</f>
        <v>5.5</v>
      </c>
      <c r="I70" s="96">
        <f>VLOOKUP(C70,'Master File June-26'!$C$3:$I$670,7,0)</f>
        <v>0</v>
      </c>
      <c r="J70" s="5">
        <f>VLOOKUP(C70,'Master File June-26'!C:J,8,0)</f>
        <v>14</v>
      </c>
      <c r="K70" s="23">
        <f t="shared" si="4"/>
        <v>0</v>
      </c>
      <c r="L70" s="58">
        <f>VLOOKUP(C70,'Master File June-26'!C:L,10,0)</f>
        <v>0</v>
      </c>
      <c r="M70" s="24">
        <f t="shared" si="5"/>
        <v>0</v>
      </c>
      <c r="N70" s="25" t="str">
        <f t="shared" si="6"/>
        <v>ORDER NOW</v>
      </c>
      <c r="O70" s="25" t="str">
        <f t="shared" si="7"/>
        <v>CRITICAL</v>
      </c>
      <c r="Q70" s="90">
        <f>VLOOKUP(C70,'Master File June-26'!$C$3:$S$670,17,0)</f>
        <v>46113.430902777778</v>
      </c>
    </row>
    <row r="71" spans="1:17" ht="18.75" hidden="1" x14ac:dyDescent="0.25">
      <c r="A71" s="39">
        <v>234</v>
      </c>
      <c r="B71" s="39" t="s">
        <v>123</v>
      </c>
      <c r="C71" s="39" t="s">
        <v>669</v>
      </c>
      <c r="D71" s="27" t="s">
        <v>670</v>
      </c>
      <c r="E71" s="28" t="s">
        <v>126</v>
      </c>
      <c r="F71" s="5" t="s">
        <v>49</v>
      </c>
      <c r="G71" s="21">
        <v>1</v>
      </c>
      <c r="H71" s="22">
        <f>VLOOKUP(C71,'Master File June-26'!$C$3:$I$670,6,0)</f>
        <v>16.5</v>
      </c>
      <c r="I71" s="96">
        <f>VLOOKUP(C71,'Master File June-26'!$C$3:$I$670,7,0)</f>
        <v>16.5</v>
      </c>
      <c r="J71" s="5">
        <f>VLOOKUP(C71,'Master File June-26'!C:J,8,0)</f>
        <v>14</v>
      </c>
      <c r="K71" s="23">
        <f t="shared" si="4"/>
        <v>9.24</v>
      </c>
      <c r="L71" s="58">
        <f>VLOOKUP(C71,'Master File June-26'!C:L,10,0)</f>
        <v>0</v>
      </c>
      <c r="M71" s="24">
        <f t="shared" si="5"/>
        <v>0</v>
      </c>
      <c r="N71" s="25" t="str">
        <f t="shared" si="6"/>
        <v>ORDER NOW</v>
      </c>
      <c r="O71" s="25" t="str">
        <f t="shared" si="7"/>
        <v>CRITICAL</v>
      </c>
      <c r="Q71" s="90">
        <f>VLOOKUP(C71,'Master File June-26'!$C$3:$S$670,17,0)</f>
        <v>46113.430902777778</v>
      </c>
    </row>
    <row r="72" spans="1:17" ht="18.75" hidden="1" x14ac:dyDescent="0.25">
      <c r="A72" s="39">
        <v>252</v>
      </c>
      <c r="B72" s="39" t="s">
        <v>123</v>
      </c>
      <c r="C72" s="39" t="s">
        <v>261</v>
      </c>
      <c r="D72" s="27" t="s">
        <v>262</v>
      </c>
      <c r="E72" s="28" t="s">
        <v>263</v>
      </c>
      <c r="F72" s="5" t="s">
        <v>264</v>
      </c>
      <c r="G72" s="21">
        <f>1/20</f>
        <v>0.05</v>
      </c>
      <c r="H72" s="22">
        <f>VLOOKUP(C72,'Master File June-26'!$C$3:$I$670,6,0)</f>
        <v>5.5</v>
      </c>
      <c r="I72" s="96">
        <f>VLOOKUP(C72,'Master File June-26'!$C$3:$I$670,7,0)</f>
        <v>110</v>
      </c>
      <c r="J72" s="5">
        <f>VLOOKUP(C72,'Master File June-26'!C:J,8,0)</f>
        <v>14</v>
      </c>
      <c r="K72" s="23">
        <f t="shared" si="4"/>
        <v>61.600000000000009</v>
      </c>
      <c r="L72" s="58">
        <f>VLOOKUP(C72,'Master File June-26'!C:L,10,0)</f>
        <v>0</v>
      </c>
      <c r="M72" s="24">
        <f t="shared" si="5"/>
        <v>0</v>
      </c>
      <c r="N72" s="25" t="str">
        <f t="shared" si="6"/>
        <v>ORDER NOW</v>
      </c>
      <c r="O72" s="25" t="str">
        <f t="shared" si="7"/>
        <v>CRITICAL</v>
      </c>
      <c r="Q72" s="90">
        <f>VLOOKUP(C72,'Master File June-26'!$C$3:$S$670,17,0)</f>
        <v>46113.430902777778</v>
      </c>
    </row>
    <row r="73" spans="1:17" ht="18.75" hidden="1" x14ac:dyDescent="0.25">
      <c r="A73" s="39">
        <v>260</v>
      </c>
      <c r="B73" s="39" t="s">
        <v>265</v>
      </c>
      <c r="C73" s="39" t="s">
        <v>266</v>
      </c>
      <c r="D73" s="27" t="s">
        <v>267</v>
      </c>
      <c r="E73" s="28" t="s">
        <v>268</v>
      </c>
      <c r="F73" s="5" t="s">
        <v>46</v>
      </c>
      <c r="G73" s="21">
        <v>0.1</v>
      </c>
      <c r="H73" s="22">
        <f>VLOOKUP(C73,'Master File June-26'!$C$3:$I$670,6,0)</f>
        <v>184</v>
      </c>
      <c r="I73" s="96">
        <f>VLOOKUP(C73,'Master File June-26'!$C$3:$I$670,7,0)</f>
        <v>1840</v>
      </c>
      <c r="J73" s="5">
        <f>VLOOKUP(C73,'Master File June-26'!C:J,8,0)</f>
        <v>14</v>
      </c>
      <c r="K73" s="23">
        <f t="shared" si="4"/>
        <v>1030.4000000000001</v>
      </c>
      <c r="L73" s="58">
        <f>VLOOKUP(C73,'Master File June-26'!C:L,10,0)</f>
        <v>0</v>
      </c>
      <c r="M73" s="24">
        <f t="shared" si="5"/>
        <v>0</v>
      </c>
      <c r="N73" s="25" t="str">
        <f t="shared" si="6"/>
        <v>ORDER NOW</v>
      </c>
      <c r="O73" s="25" t="str">
        <f t="shared" si="7"/>
        <v>CRITICAL</v>
      </c>
      <c r="Q73" s="90">
        <f>VLOOKUP(C73,'Master File June-26'!$C$3:$S$670,17,0)</f>
        <v>46113.430902777778</v>
      </c>
    </row>
    <row r="74" spans="1:17" ht="18.75" hidden="1" x14ac:dyDescent="0.25">
      <c r="A74" s="39">
        <v>275</v>
      </c>
      <c r="B74" s="39" t="s">
        <v>157</v>
      </c>
      <c r="C74" s="39" t="s">
        <v>281</v>
      </c>
      <c r="D74" s="27" t="s">
        <v>282</v>
      </c>
      <c r="E74" s="28" t="s">
        <v>160</v>
      </c>
      <c r="F74" s="5" t="s">
        <v>49</v>
      </c>
      <c r="G74" s="21">
        <v>1</v>
      </c>
      <c r="H74" s="22">
        <f>VLOOKUP(C74,'Master File June-26'!$C$3:$I$670,6,0)</f>
        <v>22</v>
      </c>
      <c r="I74" s="96">
        <f>VLOOKUP(C74,'Master File June-26'!$C$3:$I$670,7,0)</f>
        <v>22</v>
      </c>
      <c r="J74" s="5">
        <f>VLOOKUP(C74,'Master File June-26'!C:J,8,0)</f>
        <v>14</v>
      </c>
      <c r="K74" s="23">
        <f t="shared" si="4"/>
        <v>12.32</v>
      </c>
      <c r="L74" s="58">
        <f>VLOOKUP(C74,'Master File June-26'!C:L,10,0)</f>
        <v>0</v>
      </c>
      <c r="M74" s="24">
        <f t="shared" si="5"/>
        <v>0</v>
      </c>
      <c r="N74" s="25" t="str">
        <f t="shared" si="6"/>
        <v>ORDER NOW</v>
      </c>
      <c r="O74" s="25" t="str">
        <f t="shared" si="7"/>
        <v>CRITICAL</v>
      </c>
      <c r="Q74" s="90">
        <f>VLOOKUP(C74,'Master File June-26'!$C$3:$S$670,17,0)</f>
        <v>46113.430902777778</v>
      </c>
    </row>
    <row r="75" spans="1:17" ht="18.75" hidden="1" x14ac:dyDescent="0.25">
      <c r="A75" s="39">
        <v>276</v>
      </c>
      <c r="B75" s="39" t="s">
        <v>157</v>
      </c>
      <c r="C75" s="39" t="s">
        <v>283</v>
      </c>
      <c r="D75" s="27" t="s">
        <v>284</v>
      </c>
      <c r="E75" s="28" t="s">
        <v>160</v>
      </c>
      <c r="F75" s="5" t="s">
        <v>49</v>
      </c>
      <c r="G75" s="21">
        <v>1</v>
      </c>
      <c r="H75" s="22">
        <f>VLOOKUP(C75,'Master File June-26'!$C$3:$I$670,6,0)</f>
        <v>600</v>
      </c>
      <c r="I75" s="96">
        <f>VLOOKUP(C75,'Master File June-26'!$C$3:$I$670,7,0)</f>
        <v>600</v>
      </c>
      <c r="J75" s="5">
        <f>VLOOKUP(C75,'Master File June-26'!C:J,8,0)</f>
        <v>14</v>
      </c>
      <c r="K75" s="23">
        <f t="shared" si="4"/>
        <v>336.00000000000006</v>
      </c>
      <c r="L75" s="58">
        <f>VLOOKUP(C75,'Master File June-26'!C:L,10,0)</f>
        <v>0</v>
      </c>
      <c r="M75" s="24">
        <f t="shared" si="5"/>
        <v>0</v>
      </c>
      <c r="N75" s="25" t="str">
        <f t="shared" si="6"/>
        <v>ORDER NOW</v>
      </c>
      <c r="O75" s="25" t="str">
        <f t="shared" si="7"/>
        <v>CRITICAL</v>
      </c>
      <c r="Q75" s="90">
        <f>VLOOKUP(C75,'Master File June-26'!$C$3:$S$670,17,0)</f>
        <v>46113.430902777778</v>
      </c>
    </row>
    <row r="76" spans="1:17" ht="18.75" hidden="1" x14ac:dyDescent="0.25">
      <c r="A76" s="39">
        <v>279</v>
      </c>
      <c r="B76" s="39" t="s">
        <v>18</v>
      </c>
      <c r="C76" s="39" t="s">
        <v>285</v>
      </c>
      <c r="D76" s="27" t="s">
        <v>286</v>
      </c>
      <c r="E76" s="28" t="s">
        <v>160</v>
      </c>
      <c r="F76" s="5" t="s">
        <v>49</v>
      </c>
      <c r="G76" s="21">
        <v>1</v>
      </c>
      <c r="H76" s="22">
        <f>VLOOKUP(C76,'Master File June-26'!$C$3:$I$670,6,0)</f>
        <v>27.5</v>
      </c>
      <c r="I76" s="96">
        <f>VLOOKUP(C76,'Master File June-26'!$C$3:$I$670,7,0)</f>
        <v>27.5</v>
      </c>
      <c r="J76" s="5">
        <f>VLOOKUP(C76,'Master File June-26'!C:J,8,0)</f>
        <v>14</v>
      </c>
      <c r="K76" s="23">
        <f t="shared" si="4"/>
        <v>15.400000000000002</v>
      </c>
      <c r="L76" s="58">
        <f>VLOOKUP(C76,'Master File June-26'!C:L,10,0)</f>
        <v>0</v>
      </c>
      <c r="M76" s="24">
        <f t="shared" si="5"/>
        <v>0</v>
      </c>
      <c r="N76" s="25" t="str">
        <f t="shared" si="6"/>
        <v>ORDER NOW</v>
      </c>
      <c r="O76" s="25" t="str">
        <f t="shared" si="7"/>
        <v>CRITICAL</v>
      </c>
      <c r="Q76" s="90">
        <f>VLOOKUP(C76,'Master File June-26'!$C$3:$S$670,17,0)</f>
        <v>46113.430902777778</v>
      </c>
    </row>
    <row r="77" spans="1:17" ht="18.75" hidden="1" x14ac:dyDescent="0.25">
      <c r="A77" s="39">
        <v>282</v>
      </c>
      <c r="B77" s="39" t="s">
        <v>18</v>
      </c>
      <c r="C77" s="39" t="s">
        <v>287</v>
      </c>
      <c r="D77" s="27" t="s">
        <v>288</v>
      </c>
      <c r="E77" s="28" t="s">
        <v>289</v>
      </c>
      <c r="F77" s="5" t="s">
        <v>22</v>
      </c>
      <c r="G77" s="21">
        <v>8.3333333333333339E-4</v>
      </c>
      <c r="H77" s="22">
        <f>VLOOKUP(C77,'Master File June-26'!$C$3:$I$670,6,0)</f>
        <v>11</v>
      </c>
      <c r="I77" s="96">
        <f>VLOOKUP(C77,'Master File June-26'!$C$3:$I$670,7,0)</f>
        <v>13200</v>
      </c>
      <c r="J77" s="5">
        <f>VLOOKUP(C77,'Master File June-26'!C:J,8,0)</f>
        <v>14</v>
      </c>
      <c r="K77" s="23">
        <f t="shared" si="4"/>
        <v>7392.0000000000009</v>
      </c>
      <c r="L77" s="58">
        <f>VLOOKUP(C77,'Master File June-26'!C:L,10,0)</f>
        <v>0</v>
      </c>
      <c r="M77" s="24">
        <f t="shared" si="5"/>
        <v>0</v>
      </c>
      <c r="N77" s="25" t="str">
        <f t="shared" si="6"/>
        <v>ORDER NOW</v>
      </c>
      <c r="O77" s="25" t="str">
        <f t="shared" si="7"/>
        <v>CRITICAL</v>
      </c>
      <c r="Q77" s="90">
        <f>VLOOKUP(C77,'Master File June-26'!$C$3:$S$670,17,0)</f>
        <v>46113.430902777778</v>
      </c>
    </row>
    <row r="78" spans="1:17" ht="18.75" hidden="1" x14ac:dyDescent="0.25">
      <c r="A78" s="39">
        <v>283</v>
      </c>
      <c r="B78" s="39" t="s">
        <v>18</v>
      </c>
      <c r="C78" s="39" t="s">
        <v>290</v>
      </c>
      <c r="D78" s="27" t="s">
        <v>291</v>
      </c>
      <c r="E78" s="28" t="s">
        <v>78</v>
      </c>
      <c r="F78" s="5" t="s">
        <v>49</v>
      </c>
      <c r="G78" s="21">
        <v>1</v>
      </c>
      <c r="H78" s="22">
        <f>VLOOKUP(C78,'Master File June-26'!$C$3:$I$670,6,0)</f>
        <v>22</v>
      </c>
      <c r="I78" s="96">
        <f>VLOOKUP(C78,'Master File June-26'!$C$3:$I$670,7,0)</f>
        <v>22</v>
      </c>
      <c r="J78" s="5">
        <f>VLOOKUP(C78,'Master File June-26'!C:J,8,0)</f>
        <v>14</v>
      </c>
      <c r="K78" s="23">
        <f t="shared" si="4"/>
        <v>12.32</v>
      </c>
      <c r="L78" s="58">
        <f>VLOOKUP(C78,'Master File June-26'!C:L,10,0)</f>
        <v>0</v>
      </c>
      <c r="M78" s="24">
        <f t="shared" si="5"/>
        <v>0</v>
      </c>
      <c r="N78" s="25" t="str">
        <f t="shared" si="6"/>
        <v>ORDER NOW</v>
      </c>
      <c r="O78" s="25" t="str">
        <f t="shared" si="7"/>
        <v>CRITICAL</v>
      </c>
      <c r="Q78" s="90">
        <f>VLOOKUP(C78,'Master File June-26'!$C$3:$S$670,17,0)</f>
        <v>46113.430902777778</v>
      </c>
    </row>
    <row r="79" spans="1:17" ht="18.75" hidden="1" x14ac:dyDescent="0.25">
      <c r="A79" s="39">
        <v>288</v>
      </c>
      <c r="B79" s="39" t="s">
        <v>18</v>
      </c>
      <c r="C79" s="39" t="s">
        <v>296</v>
      </c>
      <c r="D79" s="27" t="s">
        <v>297</v>
      </c>
      <c r="E79" s="28" t="s">
        <v>78</v>
      </c>
      <c r="F79" s="5" t="s">
        <v>49</v>
      </c>
      <c r="G79" s="21">
        <v>1</v>
      </c>
      <c r="H79" s="22">
        <f>VLOOKUP(C79,'Master File June-26'!$C$3:$I$670,6,0)</f>
        <v>121</v>
      </c>
      <c r="I79" s="96">
        <f>VLOOKUP(C79,'Master File June-26'!$C$3:$I$670,7,0)</f>
        <v>121</v>
      </c>
      <c r="J79" s="5">
        <f>VLOOKUP(C79,'Master File June-26'!C:J,8,0)</f>
        <v>14</v>
      </c>
      <c r="K79" s="23">
        <f t="shared" si="4"/>
        <v>67.760000000000005</v>
      </c>
      <c r="L79" s="58">
        <f>VLOOKUP(C79,'Master File June-26'!C:L,10,0)</f>
        <v>0</v>
      </c>
      <c r="M79" s="24">
        <f t="shared" si="5"/>
        <v>0</v>
      </c>
      <c r="N79" s="25" t="str">
        <f t="shared" si="6"/>
        <v>ORDER NOW</v>
      </c>
      <c r="O79" s="25" t="str">
        <f t="shared" si="7"/>
        <v>CRITICAL</v>
      </c>
      <c r="Q79" s="90">
        <f>VLOOKUP(C79,'Master File June-26'!$C$3:$S$670,17,0)</f>
        <v>46113.430902777778</v>
      </c>
    </row>
    <row r="80" spans="1:17" ht="18.75" hidden="1" x14ac:dyDescent="0.25">
      <c r="A80" s="39">
        <v>289</v>
      </c>
      <c r="B80" s="39" t="s">
        <v>298</v>
      </c>
      <c r="C80" s="39" t="s">
        <v>299</v>
      </c>
      <c r="D80" s="31" t="s">
        <v>300</v>
      </c>
      <c r="E80" s="34" t="s">
        <v>160</v>
      </c>
      <c r="F80" s="5" t="s">
        <v>49</v>
      </c>
      <c r="G80" s="21">
        <v>1</v>
      </c>
      <c r="H80" s="22">
        <f>VLOOKUP(C80,'Master File June-26'!$C$3:$I$670,6,0)</f>
        <v>11</v>
      </c>
      <c r="I80" s="96">
        <f>VLOOKUP(C80,'Master File June-26'!$C$3:$I$670,7,0)</f>
        <v>11</v>
      </c>
      <c r="J80" s="5">
        <f>VLOOKUP(C80,'Master File June-26'!C:J,8,0)</f>
        <v>14</v>
      </c>
      <c r="K80" s="23">
        <f t="shared" si="4"/>
        <v>6.16</v>
      </c>
      <c r="L80" s="58">
        <f>VLOOKUP(C80,'Master File June-26'!C:L,10,0)</f>
        <v>0</v>
      </c>
      <c r="M80" s="24">
        <f t="shared" si="5"/>
        <v>0</v>
      </c>
      <c r="N80" s="25" t="str">
        <f t="shared" si="6"/>
        <v>ORDER NOW</v>
      </c>
      <c r="O80" s="25" t="str">
        <f t="shared" si="7"/>
        <v>CRITICAL</v>
      </c>
      <c r="Q80" s="90">
        <f>VLOOKUP(C80,'Master File June-26'!$C$3:$S$670,17,0)</f>
        <v>46113.430902777778</v>
      </c>
    </row>
    <row r="81" spans="1:17" ht="18.75" hidden="1" x14ac:dyDescent="0.25">
      <c r="A81" s="39">
        <v>290</v>
      </c>
      <c r="B81" s="39" t="s">
        <v>239</v>
      </c>
      <c r="C81" s="39" t="s">
        <v>301</v>
      </c>
      <c r="D81" s="27" t="s">
        <v>302</v>
      </c>
      <c r="E81" s="28" t="s">
        <v>78</v>
      </c>
      <c r="F81" s="5" t="s">
        <v>49</v>
      </c>
      <c r="G81" s="21">
        <v>1</v>
      </c>
      <c r="H81" s="22">
        <f>VLOOKUP(C81,'Master File June-26'!$C$3:$I$670,6,0)</f>
        <v>27.5</v>
      </c>
      <c r="I81" s="96">
        <f>VLOOKUP(C81,'Master File June-26'!$C$3:$I$670,7,0)</f>
        <v>27.5</v>
      </c>
      <c r="J81" s="5">
        <f>VLOOKUP(C81,'Master File June-26'!C:J,8,0)</f>
        <v>14</v>
      </c>
      <c r="K81" s="23">
        <f t="shared" si="4"/>
        <v>15.400000000000002</v>
      </c>
      <c r="L81" s="58">
        <f>VLOOKUP(C81,'Master File June-26'!C:L,10,0)</f>
        <v>0</v>
      </c>
      <c r="M81" s="24">
        <f t="shared" si="5"/>
        <v>0</v>
      </c>
      <c r="N81" s="25" t="str">
        <f t="shared" si="6"/>
        <v>ORDER NOW</v>
      </c>
      <c r="O81" s="25" t="str">
        <f t="shared" si="7"/>
        <v>CRITICAL</v>
      </c>
      <c r="Q81" s="90">
        <f>VLOOKUP(C81,'Master File June-26'!$C$3:$S$670,17,0)</f>
        <v>46113.430902777778</v>
      </c>
    </row>
    <row r="82" spans="1:17" ht="18.75" hidden="1" x14ac:dyDescent="0.25">
      <c r="A82" s="39">
        <v>291</v>
      </c>
      <c r="B82" s="39" t="s">
        <v>18</v>
      </c>
      <c r="C82" s="39" t="s">
        <v>303</v>
      </c>
      <c r="D82" s="27" t="s">
        <v>304</v>
      </c>
      <c r="E82" s="28" t="s">
        <v>160</v>
      </c>
      <c r="F82" s="5" t="s">
        <v>49</v>
      </c>
      <c r="G82" s="21">
        <v>1</v>
      </c>
      <c r="H82" s="22">
        <f>VLOOKUP(C82,'Master File June-26'!$C$3:$I$670,6,0)</f>
        <v>82.5</v>
      </c>
      <c r="I82" s="96">
        <f>VLOOKUP(C82,'Master File June-26'!$C$3:$I$670,7,0)</f>
        <v>82.5</v>
      </c>
      <c r="J82" s="5">
        <f>VLOOKUP(C82,'Master File June-26'!C:J,8,0)</f>
        <v>14</v>
      </c>
      <c r="K82" s="23">
        <f t="shared" si="4"/>
        <v>46.2</v>
      </c>
      <c r="L82" s="58">
        <f>VLOOKUP(C82,'Master File June-26'!C:L,10,0)</f>
        <v>0</v>
      </c>
      <c r="M82" s="24">
        <f t="shared" si="5"/>
        <v>0</v>
      </c>
      <c r="N82" s="25" t="str">
        <f t="shared" si="6"/>
        <v>ORDER NOW</v>
      </c>
      <c r="O82" s="25" t="str">
        <f t="shared" si="7"/>
        <v>CRITICAL</v>
      </c>
      <c r="Q82" s="90">
        <f>VLOOKUP(C82,'Master File June-26'!$C$3:$S$670,17,0)</f>
        <v>46113.430902777778</v>
      </c>
    </row>
    <row r="83" spans="1:17" ht="18.75" hidden="1" x14ac:dyDescent="0.25">
      <c r="A83" s="39">
        <v>292</v>
      </c>
      <c r="B83" s="39" t="s">
        <v>157</v>
      </c>
      <c r="C83" s="39" t="s">
        <v>305</v>
      </c>
      <c r="D83" s="27" t="s">
        <v>306</v>
      </c>
      <c r="E83" s="28" t="s">
        <v>160</v>
      </c>
      <c r="F83" s="5" t="s">
        <v>49</v>
      </c>
      <c r="G83" s="21">
        <v>1</v>
      </c>
      <c r="H83" s="22">
        <f>VLOOKUP(C83,'Master File June-26'!$C$3:$I$670,6,0)</f>
        <v>165</v>
      </c>
      <c r="I83" s="96">
        <f>VLOOKUP(C83,'Master File June-26'!$C$3:$I$670,7,0)</f>
        <v>165</v>
      </c>
      <c r="J83" s="5">
        <f>VLOOKUP(C83,'Master File June-26'!C:J,8,0)</f>
        <v>14</v>
      </c>
      <c r="K83" s="23">
        <f t="shared" si="4"/>
        <v>92.4</v>
      </c>
      <c r="L83" s="58">
        <f>VLOOKUP(C83,'Master File June-26'!C:L,10,0)</f>
        <v>0</v>
      </c>
      <c r="M83" s="24">
        <f t="shared" si="5"/>
        <v>0</v>
      </c>
      <c r="N83" s="25" t="str">
        <f t="shared" si="6"/>
        <v>ORDER NOW</v>
      </c>
      <c r="O83" s="25" t="str">
        <f t="shared" si="7"/>
        <v>CRITICAL</v>
      </c>
      <c r="Q83" s="90">
        <f>VLOOKUP(C83,'Master File June-26'!$C$3:$S$670,17,0)</f>
        <v>46113.430902777778</v>
      </c>
    </row>
    <row r="84" spans="1:17" ht="18.75" hidden="1" x14ac:dyDescent="0.25">
      <c r="A84" s="39">
        <v>293</v>
      </c>
      <c r="B84" s="39" t="s">
        <v>18</v>
      </c>
      <c r="C84" s="39" t="s">
        <v>307</v>
      </c>
      <c r="D84" s="27" t="s">
        <v>308</v>
      </c>
      <c r="E84" s="28" t="s">
        <v>160</v>
      </c>
      <c r="F84" s="5" t="s">
        <v>49</v>
      </c>
      <c r="G84" s="21">
        <v>1</v>
      </c>
      <c r="H84" s="22">
        <f>VLOOKUP(C84,'Master File June-26'!$C$3:$I$670,6,0)</f>
        <v>209</v>
      </c>
      <c r="I84" s="96">
        <f>VLOOKUP(C84,'Master File June-26'!$C$3:$I$670,7,0)</f>
        <v>209</v>
      </c>
      <c r="J84" s="5">
        <f>VLOOKUP(C84,'Master File June-26'!C:J,8,0)</f>
        <v>14</v>
      </c>
      <c r="K84" s="23">
        <f t="shared" si="4"/>
        <v>117.04</v>
      </c>
      <c r="L84" s="58">
        <f>VLOOKUP(C84,'Master File June-26'!C:L,10,0)</f>
        <v>0</v>
      </c>
      <c r="M84" s="24">
        <f t="shared" si="5"/>
        <v>0</v>
      </c>
      <c r="N84" s="25" t="str">
        <f t="shared" si="6"/>
        <v>ORDER NOW</v>
      </c>
      <c r="O84" s="25" t="str">
        <f t="shared" si="7"/>
        <v>CRITICAL</v>
      </c>
      <c r="Q84" s="90">
        <f>VLOOKUP(C84,'Master File June-26'!$C$3:$S$670,17,0)</f>
        <v>46113.430902777778</v>
      </c>
    </row>
    <row r="85" spans="1:17" ht="18.75" hidden="1" x14ac:dyDescent="0.25">
      <c r="A85" s="39">
        <v>295</v>
      </c>
      <c r="B85" s="39" t="s">
        <v>18</v>
      </c>
      <c r="C85" s="39" t="s">
        <v>309</v>
      </c>
      <c r="D85" s="27" t="s">
        <v>310</v>
      </c>
      <c r="E85" s="28" t="s">
        <v>78</v>
      </c>
      <c r="F85" s="5" t="s">
        <v>49</v>
      </c>
      <c r="G85" s="21">
        <v>1</v>
      </c>
      <c r="H85" s="22">
        <f>VLOOKUP(C85,'Master File June-26'!$C$3:$I$670,6,0)</f>
        <v>11</v>
      </c>
      <c r="I85" s="96">
        <f>VLOOKUP(C85,'Master File June-26'!$C$3:$I$670,7,0)</f>
        <v>11</v>
      </c>
      <c r="J85" s="5">
        <f>VLOOKUP(C85,'Master File June-26'!C:J,8,0)</f>
        <v>14</v>
      </c>
      <c r="K85" s="23">
        <f t="shared" si="4"/>
        <v>6.16</v>
      </c>
      <c r="L85" s="58">
        <f>VLOOKUP(C85,'Master File June-26'!C:L,10,0)</f>
        <v>0</v>
      </c>
      <c r="M85" s="24">
        <f t="shared" si="5"/>
        <v>0</v>
      </c>
      <c r="N85" s="25" t="str">
        <f t="shared" si="6"/>
        <v>ORDER NOW</v>
      </c>
      <c r="O85" s="25" t="str">
        <f t="shared" si="7"/>
        <v>CRITICAL</v>
      </c>
      <c r="Q85" s="90">
        <f>VLOOKUP(C85,'Master File June-26'!$C$3:$S$670,17,0)</f>
        <v>46113.430902777778</v>
      </c>
    </row>
    <row r="86" spans="1:17" ht="18.75" hidden="1" x14ac:dyDescent="0.25">
      <c r="A86" s="39">
        <v>296</v>
      </c>
      <c r="B86" s="39" t="s">
        <v>18</v>
      </c>
      <c r="C86" s="39" t="s">
        <v>311</v>
      </c>
      <c r="D86" s="27" t="s">
        <v>312</v>
      </c>
      <c r="E86" s="28" t="s">
        <v>78</v>
      </c>
      <c r="F86" s="5" t="s">
        <v>49</v>
      </c>
      <c r="G86" s="21">
        <v>1</v>
      </c>
      <c r="H86" s="22">
        <f>VLOOKUP(C86,'Master File June-26'!$C$3:$I$670,6,0)</f>
        <v>22</v>
      </c>
      <c r="I86" s="96">
        <f>VLOOKUP(C86,'Master File June-26'!$C$3:$I$670,7,0)</f>
        <v>22</v>
      </c>
      <c r="J86" s="5">
        <f>VLOOKUP(C86,'Master File June-26'!C:J,8,0)</f>
        <v>14</v>
      </c>
      <c r="K86" s="23">
        <f t="shared" si="4"/>
        <v>12.32</v>
      </c>
      <c r="L86" s="58">
        <f>VLOOKUP(C86,'Master File June-26'!C:L,10,0)</f>
        <v>0</v>
      </c>
      <c r="M86" s="24">
        <f t="shared" si="5"/>
        <v>0</v>
      </c>
      <c r="N86" s="25" t="str">
        <f t="shared" si="6"/>
        <v>ORDER NOW</v>
      </c>
      <c r="O86" s="25" t="str">
        <f t="shared" si="7"/>
        <v>CRITICAL</v>
      </c>
      <c r="Q86" s="90">
        <f>VLOOKUP(C86,'Master File June-26'!$C$3:$S$670,17,0)</f>
        <v>46113.430902777778</v>
      </c>
    </row>
    <row r="87" spans="1:17" ht="18.75" hidden="1" x14ac:dyDescent="0.25">
      <c r="A87" s="39">
        <v>297</v>
      </c>
      <c r="B87" s="39" t="s">
        <v>18</v>
      </c>
      <c r="C87" s="39" t="s">
        <v>313</v>
      </c>
      <c r="D87" s="27" t="s">
        <v>314</v>
      </c>
      <c r="E87" s="28" t="s">
        <v>78</v>
      </c>
      <c r="F87" s="5" t="s">
        <v>49</v>
      </c>
      <c r="G87" s="21">
        <v>1</v>
      </c>
      <c r="H87" s="22">
        <f>VLOOKUP(C87,'Master File June-26'!$C$3:$I$670,6,0)</f>
        <v>11</v>
      </c>
      <c r="I87" s="96">
        <f>VLOOKUP(C87,'Master File June-26'!$C$3:$I$670,7,0)</f>
        <v>11</v>
      </c>
      <c r="J87" s="5">
        <f>VLOOKUP(C87,'Master File June-26'!C:J,8,0)</f>
        <v>14</v>
      </c>
      <c r="K87" s="23">
        <f t="shared" si="4"/>
        <v>6.16</v>
      </c>
      <c r="L87" s="58">
        <f>VLOOKUP(C87,'Master File June-26'!C:L,10,0)</f>
        <v>0</v>
      </c>
      <c r="M87" s="24">
        <f t="shared" si="5"/>
        <v>0</v>
      </c>
      <c r="N87" s="25" t="str">
        <f t="shared" si="6"/>
        <v>ORDER NOW</v>
      </c>
      <c r="O87" s="25" t="str">
        <f t="shared" si="7"/>
        <v>CRITICAL</v>
      </c>
      <c r="Q87" s="90">
        <f>VLOOKUP(C87,'Master File June-26'!$C$3:$S$670,17,0)</f>
        <v>46113.430914351855</v>
      </c>
    </row>
    <row r="88" spans="1:17" ht="18.75" hidden="1" x14ac:dyDescent="0.25">
      <c r="A88" s="39">
        <v>298</v>
      </c>
      <c r="B88" s="39" t="s">
        <v>18</v>
      </c>
      <c r="C88" s="39" t="s">
        <v>315</v>
      </c>
      <c r="D88" s="31" t="s">
        <v>316</v>
      </c>
      <c r="E88" s="34" t="s">
        <v>78</v>
      </c>
      <c r="F88" s="5" t="s">
        <v>49</v>
      </c>
      <c r="G88" s="21">
        <v>1</v>
      </c>
      <c r="H88" s="22">
        <f>VLOOKUP(C88,'Master File June-26'!$C$3:$I$670,6,0)</f>
        <v>11</v>
      </c>
      <c r="I88" s="96">
        <f>VLOOKUP(C88,'Master File June-26'!$C$3:$I$670,7,0)</f>
        <v>11</v>
      </c>
      <c r="J88" s="5">
        <f>VLOOKUP(C88,'Master File June-26'!C:J,8,0)</f>
        <v>14</v>
      </c>
      <c r="K88" s="23">
        <f t="shared" si="4"/>
        <v>6.16</v>
      </c>
      <c r="L88" s="58">
        <f>VLOOKUP(C88,'Master File June-26'!C:L,10,0)</f>
        <v>0</v>
      </c>
      <c r="M88" s="24">
        <f t="shared" si="5"/>
        <v>0</v>
      </c>
      <c r="N88" s="25" t="str">
        <f t="shared" si="6"/>
        <v>ORDER NOW</v>
      </c>
      <c r="O88" s="25" t="str">
        <f t="shared" si="7"/>
        <v>CRITICAL</v>
      </c>
      <c r="Q88" s="90">
        <f>VLOOKUP(C88,'Master File June-26'!$C$3:$S$670,17,0)</f>
        <v>46113.430914351855</v>
      </c>
    </row>
    <row r="89" spans="1:17" ht="18.75" hidden="1" x14ac:dyDescent="0.25">
      <c r="A89" s="39">
        <v>299</v>
      </c>
      <c r="B89" s="39" t="s">
        <v>18</v>
      </c>
      <c r="C89" s="39" t="s">
        <v>317</v>
      </c>
      <c r="D89" s="31" t="s">
        <v>318</v>
      </c>
      <c r="E89" s="31" t="s">
        <v>78</v>
      </c>
      <c r="F89" s="5" t="s">
        <v>49</v>
      </c>
      <c r="G89" s="21">
        <v>1</v>
      </c>
      <c r="H89" s="22">
        <f>VLOOKUP(C89,'Master File June-26'!$C$3:$I$670,6,0)</f>
        <v>11</v>
      </c>
      <c r="I89" s="96">
        <f>VLOOKUP(C89,'Master File June-26'!$C$3:$I$670,7,0)</f>
        <v>11</v>
      </c>
      <c r="J89" s="5">
        <f>VLOOKUP(C89,'Master File June-26'!C:J,8,0)</f>
        <v>14</v>
      </c>
      <c r="K89" s="23">
        <f t="shared" si="4"/>
        <v>6.16</v>
      </c>
      <c r="L89" s="58">
        <f>VLOOKUP(C89,'Master File June-26'!C:L,10,0)</f>
        <v>0</v>
      </c>
      <c r="M89" s="24">
        <f t="shared" si="5"/>
        <v>0</v>
      </c>
      <c r="N89" s="25" t="str">
        <f t="shared" si="6"/>
        <v>ORDER NOW</v>
      </c>
      <c r="O89" s="25" t="str">
        <f t="shared" si="7"/>
        <v>CRITICAL</v>
      </c>
      <c r="Q89" s="90">
        <f>VLOOKUP(C89,'Master File June-26'!$C$3:$S$670,17,0)</f>
        <v>46113.430914351855</v>
      </c>
    </row>
    <row r="90" spans="1:17" ht="18.75" hidden="1" x14ac:dyDescent="0.25">
      <c r="A90" s="39">
        <v>300</v>
      </c>
      <c r="B90" s="39" t="s">
        <v>234</v>
      </c>
      <c r="C90" s="39" t="s">
        <v>319</v>
      </c>
      <c r="D90" s="31" t="s">
        <v>320</v>
      </c>
      <c r="E90" s="34" t="s">
        <v>78</v>
      </c>
      <c r="F90" s="5" t="s">
        <v>49</v>
      </c>
      <c r="G90" s="21">
        <v>1</v>
      </c>
      <c r="H90" s="22">
        <f>VLOOKUP(C90,'Master File June-26'!$C$3:$I$670,6,0)</f>
        <v>11</v>
      </c>
      <c r="I90" s="96">
        <f>VLOOKUP(C90,'Master File June-26'!$C$3:$I$670,7,0)</f>
        <v>11</v>
      </c>
      <c r="J90" s="5">
        <f>VLOOKUP(C90,'Master File June-26'!C:J,8,0)</f>
        <v>14</v>
      </c>
      <c r="K90" s="23">
        <f t="shared" si="4"/>
        <v>6.16</v>
      </c>
      <c r="L90" s="58">
        <f>VLOOKUP(C90,'Master File June-26'!C:L,10,0)</f>
        <v>0</v>
      </c>
      <c r="M90" s="24">
        <f t="shared" si="5"/>
        <v>0</v>
      </c>
      <c r="N90" s="25" t="str">
        <f t="shared" si="6"/>
        <v>ORDER NOW</v>
      </c>
      <c r="O90" s="25" t="str">
        <f t="shared" si="7"/>
        <v>CRITICAL</v>
      </c>
      <c r="Q90" s="90">
        <f>VLOOKUP(C90,'Master File June-26'!$C$3:$S$670,17,0)</f>
        <v>46113.430914351855</v>
      </c>
    </row>
    <row r="91" spans="1:17" ht="18.75" hidden="1" x14ac:dyDescent="0.25">
      <c r="A91" s="39">
        <v>301</v>
      </c>
      <c r="B91" s="39" t="s">
        <v>18</v>
      </c>
      <c r="C91" s="39" t="s">
        <v>321</v>
      </c>
      <c r="D91" s="31" t="s">
        <v>322</v>
      </c>
      <c r="E91" s="34" t="s">
        <v>78</v>
      </c>
      <c r="F91" s="5" t="s">
        <v>49</v>
      </c>
      <c r="G91" s="21">
        <v>1</v>
      </c>
      <c r="H91" s="22">
        <f>VLOOKUP(C91,'Master File June-26'!$C$3:$I$670,6,0)</f>
        <v>11</v>
      </c>
      <c r="I91" s="96">
        <f>VLOOKUP(C91,'Master File June-26'!$C$3:$I$670,7,0)</f>
        <v>11</v>
      </c>
      <c r="J91" s="5">
        <f>VLOOKUP(C91,'Master File June-26'!C:J,8,0)</f>
        <v>14</v>
      </c>
      <c r="K91" s="23">
        <f t="shared" si="4"/>
        <v>6.16</v>
      </c>
      <c r="L91" s="58">
        <f>VLOOKUP(C91,'Master File June-26'!C:L,10,0)</f>
        <v>0</v>
      </c>
      <c r="M91" s="24">
        <f t="shared" si="5"/>
        <v>0</v>
      </c>
      <c r="N91" s="25" t="str">
        <f t="shared" si="6"/>
        <v>ORDER NOW</v>
      </c>
      <c r="O91" s="25" t="str">
        <f t="shared" si="7"/>
        <v>CRITICAL</v>
      </c>
      <c r="Q91" s="90">
        <f>VLOOKUP(C91,'Master File June-26'!$C$3:$S$670,17,0)</f>
        <v>46113.430914351855</v>
      </c>
    </row>
    <row r="92" spans="1:17" ht="18.75" hidden="1" x14ac:dyDescent="0.25">
      <c r="A92" s="39">
        <v>302</v>
      </c>
      <c r="B92" s="39" t="s">
        <v>18</v>
      </c>
      <c r="C92" s="39" t="s">
        <v>323</v>
      </c>
      <c r="D92" s="31" t="s">
        <v>324</v>
      </c>
      <c r="E92" s="34" t="s">
        <v>78</v>
      </c>
      <c r="F92" s="5" t="s">
        <v>49</v>
      </c>
      <c r="G92" s="21">
        <v>1</v>
      </c>
      <c r="H92" s="22">
        <f>VLOOKUP(C92,'Master File June-26'!$C$3:$I$670,6,0)</f>
        <v>11</v>
      </c>
      <c r="I92" s="96">
        <f>VLOOKUP(C92,'Master File June-26'!$C$3:$I$670,7,0)</f>
        <v>11</v>
      </c>
      <c r="J92" s="5">
        <f>VLOOKUP(C92,'Master File June-26'!C:J,8,0)</f>
        <v>14</v>
      </c>
      <c r="K92" s="23">
        <f t="shared" si="4"/>
        <v>6.16</v>
      </c>
      <c r="L92" s="58">
        <f>VLOOKUP(C92,'Master File June-26'!C:L,10,0)</f>
        <v>0</v>
      </c>
      <c r="M92" s="24">
        <f t="shared" si="5"/>
        <v>0</v>
      </c>
      <c r="N92" s="25" t="str">
        <f t="shared" si="6"/>
        <v>ORDER NOW</v>
      </c>
      <c r="O92" s="25" t="str">
        <f t="shared" si="7"/>
        <v>CRITICAL</v>
      </c>
      <c r="Q92" s="90">
        <f>VLOOKUP(C92,'Master File June-26'!$C$3:$S$670,17,0)</f>
        <v>46113.430914351855</v>
      </c>
    </row>
    <row r="93" spans="1:17" ht="18.75" hidden="1" x14ac:dyDescent="0.25">
      <c r="A93" s="39">
        <v>304</v>
      </c>
      <c r="B93" s="39" t="s">
        <v>18</v>
      </c>
      <c r="C93" s="39" t="s">
        <v>325</v>
      </c>
      <c r="D93" s="31" t="s">
        <v>326</v>
      </c>
      <c r="E93" s="34" t="s">
        <v>78</v>
      </c>
      <c r="F93" s="5" t="s">
        <v>49</v>
      </c>
      <c r="G93" s="21">
        <v>1</v>
      </c>
      <c r="H93" s="22">
        <f>VLOOKUP(C93,'Master File June-26'!$C$3:$I$670,6,0)</f>
        <v>11</v>
      </c>
      <c r="I93" s="96">
        <f>VLOOKUP(C93,'Master File June-26'!$C$3:$I$670,7,0)</f>
        <v>11</v>
      </c>
      <c r="J93" s="5">
        <f>VLOOKUP(C93,'Master File June-26'!C:J,8,0)</f>
        <v>14</v>
      </c>
      <c r="K93" s="23">
        <f t="shared" si="4"/>
        <v>6.16</v>
      </c>
      <c r="L93" s="58">
        <f>VLOOKUP(C93,'Master File June-26'!C:L,10,0)</f>
        <v>0</v>
      </c>
      <c r="M93" s="24">
        <f t="shared" si="5"/>
        <v>0</v>
      </c>
      <c r="N93" s="25" t="str">
        <f t="shared" si="6"/>
        <v>ORDER NOW</v>
      </c>
      <c r="O93" s="25" t="str">
        <f t="shared" si="7"/>
        <v>CRITICAL</v>
      </c>
      <c r="Q93" s="90">
        <f>VLOOKUP(C93,'Master File June-26'!$C$3:$S$670,17,0)</f>
        <v>46113.430914351855</v>
      </c>
    </row>
    <row r="94" spans="1:17" ht="18.75" hidden="1" x14ac:dyDescent="0.25">
      <c r="A94" s="39">
        <v>305</v>
      </c>
      <c r="B94" s="39" t="s">
        <v>18</v>
      </c>
      <c r="C94" s="39" t="s">
        <v>327</v>
      </c>
      <c r="D94" s="28" t="s">
        <v>328</v>
      </c>
      <c r="E94" s="28" t="s">
        <v>78</v>
      </c>
      <c r="F94" s="5" t="s">
        <v>49</v>
      </c>
      <c r="G94" s="21">
        <v>1</v>
      </c>
      <c r="H94" s="22">
        <f>VLOOKUP(C94,'Master File June-26'!$C$3:$I$670,6,0)</f>
        <v>22</v>
      </c>
      <c r="I94" s="96">
        <f>VLOOKUP(C94,'Master File June-26'!$C$3:$I$670,7,0)</f>
        <v>22</v>
      </c>
      <c r="J94" s="5">
        <f>VLOOKUP(C94,'Master File June-26'!C:J,8,0)</f>
        <v>14</v>
      </c>
      <c r="K94" s="23">
        <f t="shared" si="4"/>
        <v>12.32</v>
      </c>
      <c r="L94" s="58">
        <f>VLOOKUP(C94,'Master File June-26'!C:L,10,0)</f>
        <v>0</v>
      </c>
      <c r="M94" s="24">
        <f t="shared" si="5"/>
        <v>0</v>
      </c>
      <c r="N94" s="25" t="str">
        <f t="shared" si="6"/>
        <v>ORDER NOW</v>
      </c>
      <c r="O94" s="25" t="str">
        <f t="shared" si="7"/>
        <v>CRITICAL</v>
      </c>
      <c r="Q94" s="90">
        <f>VLOOKUP(C94,'Master File June-26'!$C$3:$S$670,17,0)</f>
        <v>46113.430914351855</v>
      </c>
    </row>
    <row r="95" spans="1:17" ht="18.75" hidden="1" x14ac:dyDescent="0.25">
      <c r="A95" s="39">
        <v>308</v>
      </c>
      <c r="B95" s="39" t="s">
        <v>239</v>
      </c>
      <c r="C95" s="39" t="s">
        <v>333</v>
      </c>
      <c r="D95" s="28" t="s">
        <v>334</v>
      </c>
      <c r="E95" s="28" t="s">
        <v>160</v>
      </c>
      <c r="F95" s="5" t="s">
        <v>49</v>
      </c>
      <c r="G95" s="21">
        <v>1</v>
      </c>
      <c r="H95" s="22">
        <f>VLOOKUP(C95,'Master File June-26'!$C$3:$I$670,6,0)</f>
        <v>8</v>
      </c>
      <c r="I95" s="96">
        <f>VLOOKUP(C95,'Master File June-26'!$C$3:$I$670,7,0)</f>
        <v>8</v>
      </c>
      <c r="J95" s="5">
        <f>VLOOKUP(C95,'Master File June-26'!C:J,8,0)</f>
        <v>14</v>
      </c>
      <c r="K95" s="23">
        <f t="shared" si="4"/>
        <v>4.4800000000000004</v>
      </c>
      <c r="L95" s="58">
        <f>VLOOKUP(C95,'Master File June-26'!C:L,10,0)</f>
        <v>1</v>
      </c>
      <c r="M95" s="24">
        <f t="shared" si="5"/>
        <v>3.75</v>
      </c>
      <c r="N95" s="25" t="str">
        <f t="shared" si="6"/>
        <v>ORDER NOW</v>
      </c>
      <c r="O95" s="25" t="str">
        <f t="shared" si="7"/>
        <v>CRITICAL</v>
      </c>
      <c r="Q95" s="90">
        <f>VLOOKUP(C95,'Master File June-26'!$C$3:$S$670,17,0)</f>
        <v>46113.430914351855</v>
      </c>
    </row>
    <row r="96" spans="1:17" ht="18.75" hidden="1" x14ac:dyDescent="0.25">
      <c r="A96" s="39">
        <v>310</v>
      </c>
      <c r="B96" s="39" t="s">
        <v>18</v>
      </c>
      <c r="C96" s="39" t="s">
        <v>337</v>
      </c>
      <c r="D96" s="28" t="s">
        <v>338</v>
      </c>
      <c r="E96" s="28" t="s">
        <v>78</v>
      </c>
      <c r="F96" s="5" t="s">
        <v>49</v>
      </c>
      <c r="G96" s="21">
        <v>1</v>
      </c>
      <c r="H96" s="22">
        <f>VLOOKUP(C96,'Master File June-26'!$C$3:$I$670,6,0)</f>
        <v>8</v>
      </c>
      <c r="I96" s="96">
        <f>VLOOKUP(C96,'Master File June-26'!$C$3:$I$670,7,0)</f>
        <v>8</v>
      </c>
      <c r="J96" s="5">
        <f>VLOOKUP(C96,'Master File June-26'!C:J,8,0)</f>
        <v>14</v>
      </c>
      <c r="K96" s="23">
        <f t="shared" si="4"/>
        <v>4.4800000000000004</v>
      </c>
      <c r="L96" s="58">
        <f>VLOOKUP(C96,'Master File June-26'!C:L,10,0)</f>
        <v>0</v>
      </c>
      <c r="M96" s="24">
        <f t="shared" si="5"/>
        <v>0</v>
      </c>
      <c r="N96" s="25" t="str">
        <f t="shared" si="6"/>
        <v>ORDER NOW</v>
      </c>
      <c r="O96" s="25" t="str">
        <f t="shared" si="7"/>
        <v>CRITICAL</v>
      </c>
      <c r="Q96" s="90">
        <f>VLOOKUP(C96,'Master File June-26'!$C$3:$S$670,17,0)</f>
        <v>46118.497731481482</v>
      </c>
    </row>
    <row r="97" spans="1:17" ht="18.75" hidden="1" x14ac:dyDescent="0.25">
      <c r="A97" s="39">
        <v>311</v>
      </c>
      <c r="B97" s="39" t="s">
        <v>339</v>
      </c>
      <c r="C97" s="39" t="s">
        <v>340</v>
      </c>
      <c r="D97" s="28" t="s">
        <v>341</v>
      </c>
      <c r="E97" s="28" t="s">
        <v>78</v>
      </c>
      <c r="F97" s="5" t="s">
        <v>49</v>
      </c>
      <c r="G97" s="21">
        <v>1</v>
      </c>
      <c r="H97" s="22">
        <f>VLOOKUP(C97,'Master File June-26'!$C$3:$I$670,6,0)</f>
        <v>200</v>
      </c>
      <c r="I97" s="96">
        <f>VLOOKUP(C97,'Master File June-26'!$C$3:$I$670,7,0)</f>
        <v>200</v>
      </c>
      <c r="J97" s="5">
        <f>VLOOKUP(C97,'Master File June-26'!C:J,8,0)</f>
        <v>14</v>
      </c>
      <c r="K97" s="23">
        <f t="shared" si="4"/>
        <v>112.00000000000001</v>
      </c>
      <c r="L97" s="58">
        <f>VLOOKUP(C97,'Master File June-26'!C:L,10,0)</f>
        <v>0</v>
      </c>
      <c r="M97" s="24">
        <f t="shared" si="5"/>
        <v>0</v>
      </c>
      <c r="N97" s="25" t="str">
        <f t="shared" si="6"/>
        <v>ORDER NOW</v>
      </c>
      <c r="O97" s="25" t="str">
        <f t="shared" si="7"/>
        <v>CRITICAL</v>
      </c>
      <c r="Q97" s="90">
        <f>VLOOKUP(C97,'Master File June-26'!$C$3:$S$670,17,0)</f>
        <v>46113.430914351855</v>
      </c>
    </row>
    <row r="98" spans="1:17" ht="18.75" hidden="1" x14ac:dyDescent="0.25">
      <c r="A98" s="39">
        <v>312</v>
      </c>
      <c r="B98" s="39" t="s">
        <v>339</v>
      </c>
      <c r="C98" s="39" t="s">
        <v>342</v>
      </c>
      <c r="D98" s="28" t="s">
        <v>343</v>
      </c>
      <c r="E98" s="28" t="s">
        <v>78</v>
      </c>
      <c r="F98" s="5" t="s">
        <v>49</v>
      </c>
      <c r="G98" s="21">
        <v>1</v>
      </c>
      <c r="H98" s="22">
        <f>VLOOKUP(C98,'Master File June-26'!$C$3:$I$670,6,0)</f>
        <v>200</v>
      </c>
      <c r="I98" s="96">
        <f>VLOOKUP(C98,'Master File June-26'!$C$3:$I$670,7,0)</f>
        <v>200</v>
      </c>
      <c r="J98" s="5">
        <f>VLOOKUP(C98,'Master File June-26'!C:J,8,0)</f>
        <v>14</v>
      </c>
      <c r="K98" s="23">
        <f t="shared" si="4"/>
        <v>112.00000000000001</v>
      </c>
      <c r="L98" s="58">
        <f>VLOOKUP(C98,'Master File June-26'!C:L,10,0)</f>
        <v>0</v>
      </c>
      <c r="M98" s="24">
        <f t="shared" si="5"/>
        <v>0</v>
      </c>
      <c r="N98" s="25" t="str">
        <f t="shared" si="6"/>
        <v>ORDER NOW</v>
      </c>
      <c r="O98" s="25" t="str">
        <f t="shared" si="7"/>
        <v>CRITICAL</v>
      </c>
      <c r="Q98" s="90">
        <f>VLOOKUP(C98,'Master File June-26'!$C$3:$S$670,17,0)</f>
        <v>46113.430914351855</v>
      </c>
    </row>
    <row r="99" spans="1:17" ht="18.75" hidden="1" x14ac:dyDescent="0.25">
      <c r="A99" s="39">
        <v>317</v>
      </c>
      <c r="B99" s="39" t="s">
        <v>123</v>
      </c>
      <c r="C99" s="39" t="s">
        <v>350</v>
      </c>
      <c r="D99" s="28" t="s">
        <v>351</v>
      </c>
      <c r="E99" s="28" t="s">
        <v>352</v>
      </c>
      <c r="F99" s="5" t="s">
        <v>22</v>
      </c>
      <c r="G99" s="21">
        <v>0.1</v>
      </c>
      <c r="H99" s="22">
        <f>VLOOKUP(C99,'Master File June-26'!$C$3:$I$670,6,0)</f>
        <v>1</v>
      </c>
      <c r="I99" s="96">
        <f>VLOOKUP(C99,'Master File June-26'!$C$3:$I$670,7,0)</f>
        <v>10</v>
      </c>
      <c r="J99" s="5">
        <f>VLOOKUP(C99,'Master File June-26'!C:J,8,0)</f>
        <v>14</v>
      </c>
      <c r="K99" s="23">
        <f t="shared" si="4"/>
        <v>5.6000000000000005</v>
      </c>
      <c r="L99" s="58">
        <f>VLOOKUP(C99,'Master File June-26'!C:L,10,0)</f>
        <v>0</v>
      </c>
      <c r="M99" s="24">
        <f t="shared" si="5"/>
        <v>0</v>
      </c>
      <c r="N99" s="25" t="str">
        <f t="shared" si="6"/>
        <v>ORDER NOW</v>
      </c>
      <c r="O99" s="25" t="str">
        <f t="shared" si="7"/>
        <v>CRITICAL</v>
      </c>
      <c r="Q99" s="90">
        <f>VLOOKUP(C99,'Master File June-26'!$C$3:$S$670,17,0)</f>
        <v>46113.430914351855</v>
      </c>
    </row>
    <row r="100" spans="1:17" ht="18.75" hidden="1" x14ac:dyDescent="0.25">
      <c r="A100" s="39">
        <v>319</v>
      </c>
      <c r="B100" s="39" t="s">
        <v>123</v>
      </c>
      <c r="C100" s="39" t="s">
        <v>355</v>
      </c>
      <c r="D100" s="28" t="s">
        <v>356</v>
      </c>
      <c r="E100" s="28" t="s">
        <v>49</v>
      </c>
      <c r="F100" s="5" t="s">
        <v>49</v>
      </c>
      <c r="G100" s="21">
        <v>1</v>
      </c>
      <c r="H100" s="22">
        <f>VLOOKUP(C100,'Master File June-26'!$C$3:$I$670,6,0)</f>
        <v>30</v>
      </c>
      <c r="I100" s="96">
        <f>VLOOKUP(C100,'Master File June-26'!$C$3:$I$670,7,0)</f>
        <v>30</v>
      </c>
      <c r="J100" s="5">
        <f>VLOOKUP(C100,'Master File June-26'!C:J,8,0)</f>
        <v>14</v>
      </c>
      <c r="K100" s="23">
        <f t="shared" si="4"/>
        <v>16.8</v>
      </c>
      <c r="L100" s="58">
        <f>VLOOKUP(C100,'Master File June-26'!C:L,10,0)</f>
        <v>0</v>
      </c>
      <c r="M100" s="24">
        <f t="shared" si="5"/>
        <v>0</v>
      </c>
      <c r="N100" s="25" t="str">
        <f t="shared" si="6"/>
        <v>ORDER NOW</v>
      </c>
      <c r="O100" s="25" t="str">
        <f t="shared" si="7"/>
        <v>CRITICAL</v>
      </c>
      <c r="Q100" s="90">
        <f>VLOOKUP(C100,'Master File June-26'!$C$3:$S$670,17,0)</f>
        <v>46113.430914351855</v>
      </c>
    </row>
    <row r="101" spans="1:17" ht="18.75" hidden="1" x14ac:dyDescent="0.25">
      <c r="A101" s="39">
        <v>321</v>
      </c>
      <c r="B101" s="39" t="s">
        <v>157</v>
      </c>
      <c r="C101" s="39" t="s">
        <v>357</v>
      </c>
      <c r="D101" s="28" t="s">
        <v>358</v>
      </c>
      <c r="E101" s="28" t="s">
        <v>180</v>
      </c>
      <c r="F101" s="5" t="s">
        <v>22</v>
      </c>
      <c r="G101" s="21">
        <v>1E-3</v>
      </c>
      <c r="H101" s="22">
        <f>VLOOKUP(C101,'Master File June-26'!$C$3:$I$670,6,0)</f>
        <v>5</v>
      </c>
      <c r="I101" s="96">
        <f>VLOOKUP(C101,'Master File June-26'!$C$3:$I$670,7,0)</f>
        <v>5000</v>
      </c>
      <c r="J101" s="5">
        <f>VLOOKUP(C101,'Master File June-26'!C:J,8,0)</f>
        <v>14</v>
      </c>
      <c r="K101" s="23">
        <f t="shared" si="4"/>
        <v>2800.0000000000005</v>
      </c>
      <c r="L101" s="58">
        <f>VLOOKUP(C101,'Master File June-26'!C:L,10,0)</f>
        <v>0</v>
      </c>
      <c r="M101" s="24">
        <f t="shared" si="5"/>
        <v>0</v>
      </c>
      <c r="N101" s="25" t="str">
        <f t="shared" si="6"/>
        <v>ORDER NOW</v>
      </c>
      <c r="O101" s="25" t="str">
        <f t="shared" si="7"/>
        <v>CRITICAL</v>
      </c>
      <c r="Q101" s="90">
        <f>VLOOKUP(C101,'Master File June-26'!$C$3:$S$670,17,0)</f>
        <v>46113.430914351855</v>
      </c>
    </row>
    <row r="102" spans="1:17" ht="18.75" hidden="1" x14ac:dyDescent="0.25">
      <c r="A102" s="39">
        <v>322</v>
      </c>
      <c r="B102" s="39" t="s">
        <v>157</v>
      </c>
      <c r="C102" s="39" t="s">
        <v>359</v>
      </c>
      <c r="D102" s="28" t="s">
        <v>360</v>
      </c>
      <c r="E102" s="28" t="s">
        <v>160</v>
      </c>
      <c r="F102" s="5" t="s">
        <v>49</v>
      </c>
      <c r="G102" s="21">
        <v>1</v>
      </c>
      <c r="H102" s="22">
        <f>VLOOKUP(C102,'Master File June-26'!$C$3:$I$670,6,0)</f>
        <v>5</v>
      </c>
      <c r="I102" s="96">
        <f>VLOOKUP(C102,'Master File June-26'!$C$3:$I$670,7,0)</f>
        <v>5</v>
      </c>
      <c r="J102" s="5">
        <f>VLOOKUP(C102,'Master File June-26'!C:J,8,0)</f>
        <v>14</v>
      </c>
      <c r="K102" s="23">
        <f t="shared" si="4"/>
        <v>2.8000000000000003</v>
      </c>
      <c r="L102" s="58">
        <f>VLOOKUP(C102,'Master File June-26'!C:L,10,0)</f>
        <v>0</v>
      </c>
      <c r="M102" s="24">
        <f t="shared" si="5"/>
        <v>0</v>
      </c>
      <c r="N102" s="25" t="str">
        <f t="shared" si="6"/>
        <v>ORDER NOW</v>
      </c>
      <c r="O102" s="25" t="str">
        <f t="shared" si="7"/>
        <v>CRITICAL</v>
      </c>
      <c r="Q102" s="90">
        <f>VLOOKUP(C102,'Master File June-26'!$C$3:$S$670,17,0)</f>
        <v>46131.431921296295</v>
      </c>
    </row>
    <row r="103" spans="1:17" ht="18.75" hidden="1" x14ac:dyDescent="0.25">
      <c r="A103" s="41">
        <v>372</v>
      </c>
      <c r="B103" s="41" t="s">
        <v>85</v>
      </c>
      <c r="C103" s="41" t="s">
        <v>372</v>
      </c>
      <c r="D103" s="28" t="s">
        <v>373</v>
      </c>
      <c r="E103" s="28" t="s">
        <v>374</v>
      </c>
      <c r="F103" s="5" t="s">
        <v>22</v>
      </c>
      <c r="G103" s="21">
        <v>0.16666666666666666</v>
      </c>
      <c r="H103" s="22">
        <f>VLOOKUP(C103,'Master File June-26'!$C$3:$I$670,6,0)</f>
        <v>16.5</v>
      </c>
      <c r="I103" s="96">
        <f>VLOOKUP(C103,'Master File June-26'!$C$3:$I$670,7,0)</f>
        <v>99</v>
      </c>
      <c r="J103" s="5">
        <f>VLOOKUP(C103,'Master File June-26'!C:J,8,0)</f>
        <v>14</v>
      </c>
      <c r="K103" s="23">
        <f t="shared" si="4"/>
        <v>55.440000000000005</v>
      </c>
      <c r="L103" s="58">
        <f>VLOOKUP(C103,'Master File June-26'!C:L,10,0)</f>
        <v>0</v>
      </c>
      <c r="M103" s="24">
        <f t="shared" si="5"/>
        <v>0</v>
      </c>
      <c r="N103" s="25" t="str">
        <f t="shared" si="6"/>
        <v>ORDER NOW</v>
      </c>
      <c r="O103" s="25" t="str">
        <f t="shared" si="7"/>
        <v>CRITICAL</v>
      </c>
      <c r="Q103" s="90">
        <f>VLOOKUP(C103,'Master File June-26'!$C$3:$S$670,17,0)</f>
        <v>46113.430914351855</v>
      </c>
    </row>
    <row r="104" spans="1:17" ht="18.75" hidden="1" x14ac:dyDescent="0.25">
      <c r="A104" s="41">
        <v>373</v>
      </c>
      <c r="B104" s="41" t="s">
        <v>85</v>
      </c>
      <c r="C104" s="41" t="s">
        <v>375</v>
      </c>
      <c r="D104" s="28" t="s">
        <v>376</v>
      </c>
      <c r="E104" s="28" t="s">
        <v>374</v>
      </c>
      <c r="F104" s="5" t="s">
        <v>22</v>
      </c>
      <c r="G104" s="21">
        <v>0.16666666666666666</v>
      </c>
      <c r="H104" s="22">
        <f>VLOOKUP(C104,'Master File June-26'!$C$3:$I$670,6,0)</f>
        <v>11</v>
      </c>
      <c r="I104" s="96">
        <f>VLOOKUP(C104,'Master File June-26'!$C$3:$I$670,7,0)</f>
        <v>66</v>
      </c>
      <c r="J104" s="5">
        <f>VLOOKUP(C104,'Master File June-26'!C:J,8,0)</f>
        <v>14</v>
      </c>
      <c r="K104" s="23">
        <f t="shared" si="4"/>
        <v>36.96</v>
      </c>
      <c r="L104" s="58">
        <f>VLOOKUP(C104,'Master File June-26'!C:L,10,0)</f>
        <v>0</v>
      </c>
      <c r="M104" s="24">
        <f t="shared" si="5"/>
        <v>0</v>
      </c>
      <c r="N104" s="25" t="str">
        <f t="shared" si="6"/>
        <v>ORDER NOW</v>
      </c>
      <c r="O104" s="25" t="str">
        <f t="shared" si="7"/>
        <v>CRITICAL</v>
      </c>
      <c r="Q104" s="90">
        <f>VLOOKUP(C104,'Master File June-26'!$C$3:$S$670,17,0)</f>
        <v>46113.430914351855</v>
      </c>
    </row>
    <row r="105" spans="1:17" ht="18.75" hidden="1" x14ac:dyDescent="0.25">
      <c r="A105" s="41">
        <v>379</v>
      </c>
      <c r="B105" s="41" t="s">
        <v>61</v>
      </c>
      <c r="C105" s="41" t="s">
        <v>379</v>
      </c>
      <c r="D105" s="28" t="s">
        <v>380</v>
      </c>
      <c r="E105" s="28" t="s">
        <v>381</v>
      </c>
      <c r="F105" s="5" t="s">
        <v>22</v>
      </c>
      <c r="G105" s="21">
        <f>1/12</f>
        <v>8.3333333333333329E-2</v>
      </c>
      <c r="H105" s="22">
        <f>VLOOKUP(C105,'Master File June-26'!$C$3:$I$670,6,0)</f>
        <v>66</v>
      </c>
      <c r="I105" s="96">
        <f>VLOOKUP(C105,'Master File June-26'!$C$3:$I$670,7,0)</f>
        <v>792</v>
      </c>
      <c r="J105" s="5">
        <f>VLOOKUP(C105,'Master File June-26'!C:J,8,0)</f>
        <v>14</v>
      </c>
      <c r="K105" s="23">
        <f t="shared" si="4"/>
        <v>443.52000000000004</v>
      </c>
      <c r="L105" s="58">
        <f>VLOOKUP(C105,'Master File June-26'!C:L,10,0)</f>
        <v>0</v>
      </c>
      <c r="M105" s="24">
        <f t="shared" si="5"/>
        <v>0</v>
      </c>
      <c r="N105" s="25" t="str">
        <f t="shared" si="6"/>
        <v>ORDER NOW</v>
      </c>
      <c r="O105" s="25" t="str">
        <f t="shared" si="7"/>
        <v>CRITICAL</v>
      </c>
      <c r="Q105" s="90">
        <f>VLOOKUP(C105,'Master File June-26'!$C$3:$S$670,17,0)</f>
        <v>46113.430914351855</v>
      </c>
    </row>
    <row r="106" spans="1:17" ht="18.75" hidden="1" x14ac:dyDescent="0.25">
      <c r="A106" s="41">
        <v>412</v>
      </c>
      <c r="B106" s="41" t="s">
        <v>38</v>
      </c>
      <c r="C106" s="41" t="s">
        <v>390</v>
      </c>
      <c r="D106" s="28" t="s">
        <v>391</v>
      </c>
      <c r="E106" s="28" t="s">
        <v>392</v>
      </c>
      <c r="F106" s="5" t="s">
        <v>49</v>
      </c>
      <c r="G106" s="21">
        <v>0.1</v>
      </c>
      <c r="H106" s="22">
        <f>VLOOKUP(C106,'Master File June-26'!$C$3:$I$670,6,0)</f>
        <v>0</v>
      </c>
      <c r="I106" s="96">
        <f>VLOOKUP(C106,'Master File June-26'!$C$3:$I$670,7,0)</f>
        <v>0</v>
      </c>
      <c r="J106" s="5">
        <f>VLOOKUP(C106,'Master File June-26'!C:J,8,0)</f>
        <v>14</v>
      </c>
      <c r="K106" s="23">
        <f t="shared" si="4"/>
        <v>0</v>
      </c>
      <c r="L106" s="58">
        <f>VLOOKUP(C106,'Master File June-26'!C:L,10,0)</f>
        <v>0</v>
      </c>
      <c r="M106" s="24">
        <f t="shared" si="5"/>
        <v>0</v>
      </c>
      <c r="N106" s="25" t="str">
        <f t="shared" si="6"/>
        <v>ORDER NOW</v>
      </c>
      <c r="O106" s="25" t="str">
        <f t="shared" si="7"/>
        <v>CRITICAL</v>
      </c>
      <c r="Q106" s="90">
        <f>VLOOKUP(C106,'Master File June-26'!$C$3:$S$670,17,0)</f>
        <v>46127.531087962961</v>
      </c>
    </row>
    <row r="107" spans="1:17" ht="18.75" hidden="1" x14ac:dyDescent="0.25">
      <c r="A107" s="41">
        <v>418</v>
      </c>
      <c r="B107" s="41" t="s">
        <v>38</v>
      </c>
      <c r="C107" s="41" t="s">
        <v>396</v>
      </c>
      <c r="D107" s="28" t="s">
        <v>397</v>
      </c>
      <c r="E107" s="28" t="s">
        <v>398</v>
      </c>
      <c r="F107" s="5" t="s">
        <v>46</v>
      </c>
      <c r="G107" s="21">
        <v>0.1</v>
      </c>
      <c r="H107" s="22">
        <f>VLOOKUP(C107,'Master File June-26'!$C$3:$I$670,6,0)</f>
        <v>90</v>
      </c>
      <c r="I107" s="96">
        <f>VLOOKUP(C107,'Master File June-26'!$C$3:$I$670,7,0)</f>
        <v>900</v>
      </c>
      <c r="J107" s="5">
        <f>VLOOKUP(C107,'Master File June-26'!C:J,8,0)</f>
        <v>14</v>
      </c>
      <c r="K107" s="23">
        <f t="shared" si="4"/>
        <v>504.00000000000006</v>
      </c>
      <c r="L107" s="58">
        <f>VLOOKUP(C107,'Master File June-26'!C:L,10,0)</f>
        <v>0</v>
      </c>
      <c r="M107" s="24">
        <f t="shared" si="5"/>
        <v>0</v>
      </c>
      <c r="N107" s="25" t="str">
        <f t="shared" si="6"/>
        <v>ORDER NOW</v>
      </c>
      <c r="O107" s="25" t="str">
        <f t="shared" si="7"/>
        <v>CRITICAL</v>
      </c>
      <c r="Q107" s="90">
        <f>VLOOKUP(C107,'Master File June-26'!$C$3:$S$670,17,0)</f>
        <v>46113.430914351855</v>
      </c>
    </row>
    <row r="108" spans="1:17" ht="18.75" hidden="1" x14ac:dyDescent="0.25">
      <c r="A108" s="41">
        <v>437</v>
      </c>
      <c r="B108" s="41" t="s">
        <v>61</v>
      </c>
      <c r="C108" s="41" t="s">
        <v>410</v>
      </c>
      <c r="D108" s="28" t="s">
        <v>411</v>
      </c>
      <c r="E108" s="28" t="s">
        <v>412</v>
      </c>
      <c r="F108" s="5" t="s">
        <v>22</v>
      </c>
      <c r="G108" s="21">
        <v>0.05</v>
      </c>
      <c r="H108" s="22">
        <f>VLOOKUP(C108,'Master File June-26'!$C$3:$I$670,6,0)</f>
        <v>170</v>
      </c>
      <c r="I108" s="96">
        <f>VLOOKUP(C108,'Master File June-26'!$C$3:$I$670,7,0)</f>
        <v>3400</v>
      </c>
      <c r="J108" s="5">
        <f>VLOOKUP(C108,'Master File June-26'!C:J,8,0)</f>
        <v>14</v>
      </c>
      <c r="K108" s="23">
        <f t="shared" si="4"/>
        <v>1904.0000000000002</v>
      </c>
      <c r="L108" s="58">
        <f>VLOOKUP(C108,'Master File June-26'!C:L,10,0)</f>
        <v>0</v>
      </c>
      <c r="M108" s="24">
        <f t="shared" si="5"/>
        <v>0</v>
      </c>
      <c r="N108" s="25" t="str">
        <f t="shared" si="6"/>
        <v>ORDER NOW</v>
      </c>
      <c r="O108" s="25" t="str">
        <f t="shared" si="7"/>
        <v>CRITICAL</v>
      </c>
      <c r="Q108" s="90">
        <f>VLOOKUP(C108,'Master File June-26'!$C$3:$S$670,17,0)</f>
        <v>46113.430925925924</v>
      </c>
    </row>
    <row r="109" spans="1:17" ht="18.75" hidden="1" x14ac:dyDescent="0.25">
      <c r="A109" s="41">
        <v>438</v>
      </c>
      <c r="B109" s="41" t="s">
        <v>61</v>
      </c>
      <c r="C109" s="41" t="s">
        <v>413</v>
      </c>
      <c r="D109" s="35" t="s">
        <v>414</v>
      </c>
      <c r="E109" s="28" t="s">
        <v>415</v>
      </c>
      <c r="F109" s="5" t="s">
        <v>89</v>
      </c>
      <c r="G109" s="21">
        <f>1/9.08</f>
        <v>0.11013215859030837</v>
      </c>
      <c r="H109" s="22">
        <f>VLOOKUP(C109,'Master File June-26'!$C$3:$I$670,6,0)</f>
        <v>2</v>
      </c>
      <c r="I109" s="96">
        <f>VLOOKUP(C109,'Master File June-26'!$C$3:$I$670,7,0)</f>
        <v>18.16</v>
      </c>
      <c r="J109" s="5">
        <f>VLOOKUP(C109,'Master File June-26'!C:J,8,0)</f>
        <v>14</v>
      </c>
      <c r="K109" s="23">
        <f t="shared" si="4"/>
        <v>10.169600000000001</v>
      </c>
      <c r="L109" s="58">
        <f>VLOOKUP(C109,'Master File June-26'!C:L,10,0)</f>
        <v>0</v>
      </c>
      <c r="M109" s="24">
        <f t="shared" si="5"/>
        <v>0</v>
      </c>
      <c r="N109" s="25" t="str">
        <f t="shared" si="6"/>
        <v>ORDER NOW</v>
      </c>
      <c r="O109" s="25" t="str">
        <f t="shared" si="7"/>
        <v>CRITICAL</v>
      </c>
      <c r="Q109" s="90">
        <f>VLOOKUP(C109,'Master File June-26'!$C$3:$S$670,17,0)</f>
        <v>46113.430925925924</v>
      </c>
    </row>
    <row r="110" spans="1:17" ht="18.75" hidden="1" x14ac:dyDescent="0.25">
      <c r="A110" s="41">
        <v>442</v>
      </c>
      <c r="B110" s="41" t="s">
        <v>61</v>
      </c>
      <c r="C110" s="41" t="s">
        <v>419</v>
      </c>
      <c r="D110" s="28" t="s">
        <v>420</v>
      </c>
      <c r="E110" s="28" t="s">
        <v>421</v>
      </c>
      <c r="F110" s="5" t="s">
        <v>89</v>
      </c>
      <c r="G110" s="21">
        <f>1/(40*0.25)</f>
        <v>0.1</v>
      </c>
      <c r="H110" s="22">
        <f>VLOOKUP(C110,'Master File June-26'!$C$3:$I$670,6,0)</f>
        <v>40</v>
      </c>
      <c r="I110" s="96">
        <f>VLOOKUP(C110,'Master File June-26'!$C$3:$I$670,7,0)</f>
        <v>400</v>
      </c>
      <c r="J110" s="5">
        <f>VLOOKUP(C110,'Master File June-26'!C:J,8,0)</f>
        <v>14</v>
      </c>
      <c r="K110" s="23">
        <f t="shared" si="4"/>
        <v>224.00000000000003</v>
      </c>
      <c r="L110" s="58">
        <f>VLOOKUP(C110,'Master File June-26'!C:L,10,0)</f>
        <v>0</v>
      </c>
      <c r="M110" s="24">
        <f t="shared" si="5"/>
        <v>0</v>
      </c>
      <c r="N110" s="25" t="str">
        <f t="shared" si="6"/>
        <v>ORDER NOW</v>
      </c>
      <c r="O110" s="25" t="str">
        <f t="shared" si="7"/>
        <v>CRITICAL</v>
      </c>
      <c r="Q110" s="90">
        <f>VLOOKUP(C110,'Master File June-26'!$C$3:$S$670,17,0)</f>
        <v>46113.430925925924</v>
      </c>
    </row>
    <row r="111" spans="1:17" ht="18.75" hidden="1" x14ac:dyDescent="0.25">
      <c r="A111" s="41">
        <v>443</v>
      </c>
      <c r="B111" s="41" t="s">
        <v>61</v>
      </c>
      <c r="C111" s="41" t="s">
        <v>422</v>
      </c>
      <c r="D111" s="30" t="s">
        <v>423</v>
      </c>
      <c r="E111" s="28" t="s">
        <v>424</v>
      </c>
      <c r="F111" s="5" t="s">
        <v>22</v>
      </c>
      <c r="G111" s="21">
        <f>1/610</f>
        <v>1.639344262295082E-3</v>
      </c>
      <c r="H111" s="22">
        <f>VLOOKUP(C111,'Master File June-26'!$C$3:$I$670,6,0)</f>
        <v>5</v>
      </c>
      <c r="I111" s="96">
        <f>VLOOKUP(C111,'Master File June-26'!$C$3:$I$670,7,0)</f>
        <v>30.599999999999998</v>
      </c>
      <c r="J111" s="5">
        <f>VLOOKUP(C111,'Master File June-26'!C:J,8,0)</f>
        <v>14</v>
      </c>
      <c r="K111" s="23">
        <f t="shared" si="4"/>
        <v>17.135999999999999</v>
      </c>
      <c r="L111" s="58">
        <f>VLOOKUP(C111,'Master File June-26'!C:L,10,0)</f>
        <v>0</v>
      </c>
      <c r="M111" s="24">
        <f t="shared" si="5"/>
        <v>0</v>
      </c>
      <c r="N111" s="25" t="str">
        <f t="shared" si="6"/>
        <v>ORDER NOW</v>
      </c>
      <c r="O111" s="25" t="str">
        <f t="shared" si="7"/>
        <v>CRITICAL</v>
      </c>
      <c r="Q111" s="90">
        <f>VLOOKUP(C111,'Master File June-26'!$C$3:$S$670,17,0)</f>
        <v>46113.430925925924</v>
      </c>
    </row>
    <row r="112" spans="1:17" ht="18.75" hidden="1" x14ac:dyDescent="0.25">
      <c r="A112" s="41">
        <v>448</v>
      </c>
      <c r="B112" s="41" t="s">
        <v>61</v>
      </c>
      <c r="C112" s="41" t="s">
        <v>435</v>
      </c>
      <c r="D112" s="28" t="s">
        <v>436</v>
      </c>
      <c r="E112" s="28" t="s">
        <v>437</v>
      </c>
      <c r="F112" s="5" t="s">
        <v>22</v>
      </c>
      <c r="G112" s="21">
        <v>5.000000000000001E-3</v>
      </c>
      <c r="H112" s="22">
        <f>VLOOKUP(C112,'Master File June-26'!$C$3:$I$670,6,0)</f>
        <v>100</v>
      </c>
      <c r="I112" s="96">
        <f>VLOOKUP(C112,'Master File June-26'!$C$3:$I$670,7,0)</f>
        <v>800</v>
      </c>
      <c r="J112" s="5">
        <f>VLOOKUP(C112,'Master File June-26'!C:J,8,0)</f>
        <v>14</v>
      </c>
      <c r="K112" s="23">
        <f t="shared" si="4"/>
        <v>448.00000000000006</v>
      </c>
      <c r="L112" s="58">
        <f>VLOOKUP(C112,'Master File June-26'!C:L,10,0)</f>
        <v>0</v>
      </c>
      <c r="M112" s="24">
        <f t="shared" si="5"/>
        <v>0</v>
      </c>
      <c r="N112" s="25" t="str">
        <f t="shared" si="6"/>
        <v>ORDER NOW</v>
      </c>
      <c r="O112" s="25" t="str">
        <f t="shared" si="7"/>
        <v>CRITICAL</v>
      </c>
      <c r="Q112" s="90">
        <f>VLOOKUP(C112,'Master File June-26'!$C$3:$S$670,17,0)</f>
        <v>46118.497754629629</v>
      </c>
    </row>
    <row r="113" spans="1:17" ht="18.75" hidden="1" x14ac:dyDescent="0.25">
      <c r="A113" s="41">
        <v>457</v>
      </c>
      <c r="B113" s="41" t="s">
        <v>85</v>
      </c>
      <c r="C113" s="41" t="s">
        <v>447</v>
      </c>
      <c r="D113" s="35" t="s">
        <v>448</v>
      </c>
      <c r="E113" s="28" t="s">
        <v>49</v>
      </c>
      <c r="F113" s="5" t="s">
        <v>49</v>
      </c>
      <c r="G113" s="21">
        <v>1</v>
      </c>
      <c r="H113" s="22">
        <f>VLOOKUP(C113,'Master File June-26'!$C$3:$I$670,6,0)</f>
        <v>11</v>
      </c>
      <c r="I113" s="96">
        <f>VLOOKUP(C113,'Master File June-26'!$C$3:$I$670,7,0)</f>
        <v>11</v>
      </c>
      <c r="J113" s="5">
        <f>VLOOKUP(C113,'Master File June-26'!C:J,8,0)</f>
        <v>14</v>
      </c>
      <c r="K113" s="23">
        <f t="shared" si="4"/>
        <v>6.16</v>
      </c>
      <c r="L113" s="58">
        <f>VLOOKUP(C113,'Master File June-26'!C:L,10,0)</f>
        <v>0</v>
      </c>
      <c r="M113" s="24">
        <f t="shared" si="5"/>
        <v>0</v>
      </c>
      <c r="N113" s="25" t="str">
        <f t="shared" si="6"/>
        <v>ORDER NOW</v>
      </c>
      <c r="O113" s="25" t="str">
        <f t="shared" si="7"/>
        <v>CRITICAL</v>
      </c>
      <c r="Q113" s="90">
        <f>VLOOKUP(C113,'Master File June-26'!$C$3:$S$670,17,0)</f>
        <v>46113.430925925924</v>
      </c>
    </row>
    <row r="114" spans="1:17" ht="18.75" hidden="1" x14ac:dyDescent="0.25">
      <c r="A114" s="41">
        <v>461</v>
      </c>
      <c r="B114" s="41" t="s">
        <v>38</v>
      </c>
      <c r="C114" s="41" t="s">
        <v>455</v>
      </c>
      <c r="D114" s="28" t="s">
        <v>456</v>
      </c>
      <c r="E114" s="28" t="s">
        <v>457</v>
      </c>
      <c r="F114" s="5" t="s">
        <v>54</v>
      </c>
      <c r="G114" s="21">
        <v>1</v>
      </c>
      <c r="H114" s="22">
        <f>VLOOKUP(C114,'Master File June-26'!$C$3:$I$670,6,0)</f>
        <v>25</v>
      </c>
      <c r="I114" s="96">
        <f>VLOOKUP(C114,'Master File June-26'!$C$3:$I$670,7,0)</f>
        <v>25</v>
      </c>
      <c r="J114" s="5">
        <f>VLOOKUP(C114,'Master File June-26'!C:J,8,0)</f>
        <v>14</v>
      </c>
      <c r="K114" s="23">
        <f t="shared" si="4"/>
        <v>14.000000000000002</v>
      </c>
      <c r="L114" s="58">
        <f>VLOOKUP(C114,'Master File June-26'!C:L,10,0)</f>
        <v>0</v>
      </c>
      <c r="M114" s="24">
        <f t="shared" si="5"/>
        <v>0</v>
      </c>
      <c r="N114" s="25" t="str">
        <f t="shared" si="6"/>
        <v>ORDER NOW</v>
      </c>
      <c r="O114" s="25" t="str">
        <f t="shared" si="7"/>
        <v>CRITICAL</v>
      </c>
      <c r="Q114" s="90">
        <f>VLOOKUP(C114,'Master File June-26'!$C$3:$S$670,17,0)</f>
        <v>46113.430925925924</v>
      </c>
    </row>
    <row r="115" spans="1:17" ht="18.75" hidden="1" x14ac:dyDescent="0.25">
      <c r="A115" s="41">
        <v>499</v>
      </c>
      <c r="B115" s="41" t="s">
        <v>38</v>
      </c>
      <c r="C115" s="41" t="s">
        <v>485</v>
      </c>
      <c r="D115" s="28" t="s">
        <v>486</v>
      </c>
      <c r="E115" s="28" t="s">
        <v>487</v>
      </c>
      <c r="F115" s="5" t="s">
        <v>22</v>
      </c>
      <c r="G115" s="21">
        <v>0.05</v>
      </c>
      <c r="H115" s="22">
        <f>VLOOKUP(C115,'Master File June-26'!$C$3:$I$670,6,0)</f>
        <v>0</v>
      </c>
      <c r="I115" s="96">
        <f>VLOOKUP(C115,'Master File June-26'!$C$3:$I$670,7,0)</f>
        <v>0</v>
      </c>
      <c r="J115" s="5">
        <f>VLOOKUP(C115,'Master File June-26'!C:J,8,0)</f>
        <v>14</v>
      </c>
      <c r="K115" s="23">
        <f t="shared" si="4"/>
        <v>0</v>
      </c>
      <c r="L115" s="58">
        <f>VLOOKUP(C115,'Master File June-26'!C:L,10,0)</f>
        <v>0</v>
      </c>
      <c r="M115" s="24">
        <f t="shared" si="5"/>
        <v>0</v>
      </c>
      <c r="N115" s="25" t="str">
        <f t="shared" si="6"/>
        <v>ORDER NOW</v>
      </c>
      <c r="O115" s="25" t="str">
        <f t="shared" si="7"/>
        <v>CRITICAL</v>
      </c>
      <c r="Q115" s="90">
        <f>VLOOKUP(C115,'Master File June-26'!$C$3:$S$670,17,0)</f>
        <v>46113.430925925924</v>
      </c>
    </row>
    <row r="116" spans="1:17" ht="18.75" hidden="1" x14ac:dyDescent="0.25">
      <c r="A116" s="41">
        <v>508</v>
      </c>
      <c r="B116" s="41" t="s">
        <v>38</v>
      </c>
      <c r="C116" s="41" t="s">
        <v>682</v>
      </c>
      <c r="D116" s="28" t="s">
        <v>683</v>
      </c>
      <c r="E116" s="28" t="s">
        <v>684</v>
      </c>
      <c r="F116" s="5" t="s">
        <v>22</v>
      </c>
      <c r="G116" s="21">
        <v>0.10416666666666666</v>
      </c>
      <c r="H116" s="22">
        <f>VLOOKUP(C116,'Master File June-26'!$C$3:$I$670,6,0)</f>
        <v>70</v>
      </c>
      <c r="I116" s="96">
        <f>VLOOKUP(C116,'Master File June-26'!$C$3:$I$670,7,0)</f>
        <v>672.00000000000011</v>
      </c>
      <c r="J116" s="5">
        <f>VLOOKUP(C116,'Master File June-26'!C:J,8,0)</f>
        <v>14</v>
      </c>
      <c r="K116" s="23">
        <f t="shared" si="4"/>
        <v>376.32000000000011</v>
      </c>
      <c r="L116" s="58">
        <f>VLOOKUP(C116,'Master File June-26'!C:L,10,0)</f>
        <v>0</v>
      </c>
      <c r="M116" s="24">
        <f t="shared" si="5"/>
        <v>0</v>
      </c>
      <c r="N116" s="25" t="str">
        <f t="shared" si="6"/>
        <v>ORDER NOW</v>
      </c>
      <c r="O116" s="25" t="str">
        <f t="shared" si="7"/>
        <v>CRITICAL</v>
      </c>
      <c r="Q116" s="90">
        <f>VLOOKUP(C116,'Master File June-26'!$C$3:$S$670,17,0)</f>
        <v>46113.430925925924</v>
      </c>
    </row>
    <row r="117" spans="1:17" ht="18.75" hidden="1" x14ac:dyDescent="0.25">
      <c r="A117" s="41">
        <v>514</v>
      </c>
      <c r="B117" s="41" t="s">
        <v>38</v>
      </c>
      <c r="C117" s="41" t="s">
        <v>497</v>
      </c>
      <c r="D117" s="28" t="s">
        <v>498</v>
      </c>
      <c r="E117" s="28" t="s">
        <v>496</v>
      </c>
      <c r="F117" s="67" t="s">
        <v>22</v>
      </c>
      <c r="G117" s="21">
        <v>0.125</v>
      </c>
      <c r="H117" s="22">
        <f>VLOOKUP(C117,'Master File June-26'!$C$3:$I$670,6,0)</f>
        <v>0</v>
      </c>
      <c r="I117" s="96">
        <f>VLOOKUP(C117,'Master File June-26'!$C$3:$I$670,7,0)</f>
        <v>0</v>
      </c>
      <c r="J117" s="5">
        <f>VLOOKUP(C117,'Master File June-26'!C:J,8,0)</f>
        <v>14</v>
      </c>
      <c r="K117" s="23">
        <f t="shared" si="4"/>
        <v>0</v>
      </c>
      <c r="L117" s="58">
        <f>VLOOKUP(C117,'Master File June-26'!C:L,10,0)</f>
        <v>0</v>
      </c>
      <c r="M117" s="24">
        <f t="shared" si="5"/>
        <v>0</v>
      </c>
      <c r="N117" s="25" t="str">
        <f t="shared" si="6"/>
        <v>ORDER NOW</v>
      </c>
      <c r="O117" s="25" t="str">
        <f t="shared" si="7"/>
        <v>CRITICAL</v>
      </c>
      <c r="Q117" s="90">
        <f>VLOOKUP(C117,'Master File June-26'!$C$3:$S$670,17,0)</f>
        <v>46118.497812499998</v>
      </c>
    </row>
    <row r="118" spans="1:17" ht="18.75" hidden="1" x14ac:dyDescent="0.25">
      <c r="A118" s="41">
        <v>518</v>
      </c>
      <c r="B118" s="41" t="s">
        <v>38</v>
      </c>
      <c r="C118" s="41" t="s">
        <v>499</v>
      </c>
      <c r="D118" s="28" t="s">
        <v>500</v>
      </c>
      <c r="E118" s="28" t="s">
        <v>501</v>
      </c>
      <c r="F118" s="5" t="s">
        <v>89</v>
      </c>
      <c r="G118" s="21">
        <f>1/15</f>
        <v>6.6666666666666666E-2</v>
      </c>
      <c r="H118" s="22">
        <f>VLOOKUP(C118,'Master File June-26'!$C$3:$I$670,6,0)</f>
        <v>1</v>
      </c>
      <c r="I118" s="96">
        <f>VLOOKUP(C118,'Master File June-26'!$C$3:$I$670,7,0)</f>
        <v>15</v>
      </c>
      <c r="J118" s="5">
        <f>VLOOKUP(C118,'Master File June-26'!C:J,8,0)</f>
        <v>14</v>
      </c>
      <c r="K118" s="23">
        <f t="shared" si="4"/>
        <v>8.4</v>
      </c>
      <c r="L118" s="58">
        <f>VLOOKUP(C118,'Master File June-26'!C:L,10,0)</f>
        <v>0</v>
      </c>
      <c r="M118" s="24">
        <f t="shared" si="5"/>
        <v>0</v>
      </c>
      <c r="N118" s="25" t="str">
        <f t="shared" si="6"/>
        <v>ORDER NOW</v>
      </c>
      <c r="O118" s="25" t="str">
        <f t="shared" si="7"/>
        <v>CRITICAL</v>
      </c>
      <c r="Q118" s="90">
        <f>VLOOKUP(C118,'Master File June-26'!$C$3:$S$670,17,0)</f>
        <v>46113.430925925924</v>
      </c>
    </row>
    <row r="119" spans="1:17" ht="18.75" hidden="1" x14ac:dyDescent="0.25">
      <c r="A119" s="41">
        <v>530</v>
      </c>
      <c r="B119" s="41" t="s">
        <v>38</v>
      </c>
      <c r="C119" s="41" t="s">
        <v>702</v>
      </c>
      <c r="D119" s="40" t="s">
        <v>703</v>
      </c>
      <c r="E119" s="34" t="s">
        <v>64</v>
      </c>
      <c r="F119" s="5" t="s">
        <v>22</v>
      </c>
      <c r="G119" s="21">
        <v>0.1</v>
      </c>
      <c r="H119" s="22">
        <f>VLOOKUP(C119,'Master File June-26'!$C$3:$I$670,6,0)</f>
        <v>100</v>
      </c>
      <c r="I119" s="96">
        <f>VLOOKUP(C119,'Master File June-26'!$C$3:$I$670,7,0)</f>
        <v>1000</v>
      </c>
      <c r="J119" s="5">
        <f>VLOOKUP(C119,'Master File June-26'!C:J,8,0)</f>
        <v>14</v>
      </c>
      <c r="K119" s="23">
        <f t="shared" si="4"/>
        <v>560</v>
      </c>
      <c r="L119" s="58">
        <f>VLOOKUP(C119,'Master File June-26'!C:L,10,0)</f>
        <v>80</v>
      </c>
      <c r="M119" s="24">
        <f t="shared" si="5"/>
        <v>2.4</v>
      </c>
      <c r="N119" s="25" t="str">
        <f t="shared" si="6"/>
        <v>ORDER NOW</v>
      </c>
      <c r="O119" s="25" t="str">
        <f t="shared" si="7"/>
        <v>CRITICAL</v>
      </c>
      <c r="Q119" s="90">
        <f>VLOOKUP(C119,'Master File June-26'!$C$3:$S$670,17,0)</f>
        <v>0</v>
      </c>
    </row>
    <row r="120" spans="1:17" ht="18.75" hidden="1" x14ac:dyDescent="0.25">
      <c r="A120" s="41">
        <v>543</v>
      </c>
      <c r="B120" s="41" t="s">
        <v>61</v>
      </c>
      <c r="C120" s="41" t="s">
        <v>62</v>
      </c>
      <c r="D120" s="46" t="s">
        <v>63</v>
      </c>
      <c r="E120" s="34" t="s">
        <v>64</v>
      </c>
      <c r="F120" s="5" t="s">
        <v>49</v>
      </c>
      <c r="G120" s="21">
        <v>1</v>
      </c>
      <c r="H120" s="22">
        <f>VLOOKUP(C120,'Master File June-26'!$C$3:$I$670,6,0)</f>
        <v>13</v>
      </c>
      <c r="I120" s="96">
        <f>VLOOKUP(C120,'Master File June-26'!$C$3:$I$670,7,0)</f>
        <v>13</v>
      </c>
      <c r="J120" s="5">
        <f>VLOOKUP(C120,'Master File June-26'!C:J,8,0)</f>
        <v>14</v>
      </c>
      <c r="K120" s="23">
        <f t="shared" si="4"/>
        <v>7.2800000000000011</v>
      </c>
      <c r="L120" s="58">
        <f>VLOOKUP(C120,'Master File June-26'!C:L,10,0)</f>
        <v>0</v>
      </c>
      <c r="M120" s="24">
        <f t="shared" si="5"/>
        <v>0</v>
      </c>
      <c r="N120" s="25" t="str">
        <f t="shared" si="6"/>
        <v>ORDER NOW</v>
      </c>
      <c r="O120" s="25" t="str">
        <f t="shared" si="7"/>
        <v>CRITICAL</v>
      </c>
      <c r="Q120" s="90">
        <f>VLOOKUP(C120,'Master File June-26'!$C$3:$S$670,17,0)</f>
        <v>0</v>
      </c>
    </row>
    <row r="121" spans="1:17" ht="18.75" hidden="1" x14ac:dyDescent="0.25">
      <c r="A121" s="41">
        <v>544</v>
      </c>
      <c r="B121" s="41" t="s">
        <v>61</v>
      </c>
      <c r="C121" s="41" t="s">
        <v>520</v>
      </c>
      <c r="D121" s="40" t="s">
        <v>521</v>
      </c>
      <c r="E121" s="34" t="s">
        <v>64</v>
      </c>
      <c r="F121" s="5" t="s">
        <v>49</v>
      </c>
      <c r="G121" s="21">
        <v>1</v>
      </c>
      <c r="H121" s="22">
        <f>VLOOKUP(C121,'Master File June-26'!$C$3:$I$670,6,0)</f>
        <v>10</v>
      </c>
      <c r="I121" s="96">
        <f>VLOOKUP(C121,'Master File June-26'!$C$3:$I$670,7,0)</f>
        <v>10</v>
      </c>
      <c r="J121" s="5">
        <f>VLOOKUP(C121,'Master File June-26'!C:J,8,0)</f>
        <v>14</v>
      </c>
      <c r="K121" s="23">
        <f t="shared" si="4"/>
        <v>5.6000000000000005</v>
      </c>
      <c r="L121" s="58">
        <f>VLOOKUP(C121,'Master File June-26'!C:L,10,0)</f>
        <v>0</v>
      </c>
      <c r="M121" s="24">
        <f t="shared" si="5"/>
        <v>0</v>
      </c>
      <c r="N121" s="25" t="str">
        <f t="shared" si="6"/>
        <v>ORDER NOW</v>
      </c>
      <c r="O121" s="25" t="str">
        <f t="shared" si="7"/>
        <v>CRITICAL</v>
      </c>
      <c r="Q121" s="90">
        <f>VLOOKUP(C121,'Master File June-26'!$C$3:$S$670,17,0)</f>
        <v>46138.481423611112</v>
      </c>
    </row>
    <row r="122" spans="1:17" ht="18.75" hidden="1" x14ac:dyDescent="0.25">
      <c r="A122" s="41">
        <v>545</v>
      </c>
      <c r="B122" s="41" t="s">
        <v>61</v>
      </c>
      <c r="C122" s="41" t="s">
        <v>522</v>
      </c>
      <c r="D122" s="46" t="s">
        <v>523</v>
      </c>
      <c r="E122" s="34" t="s">
        <v>64</v>
      </c>
      <c r="F122" s="5" t="s">
        <v>49</v>
      </c>
      <c r="G122" s="21">
        <v>1</v>
      </c>
      <c r="H122" s="22">
        <f>VLOOKUP(C122,'Master File June-26'!$C$3:$I$670,6,0)</f>
        <v>15</v>
      </c>
      <c r="I122" s="96">
        <f>VLOOKUP(C122,'Master File June-26'!$C$3:$I$670,7,0)</f>
        <v>15</v>
      </c>
      <c r="J122" s="5">
        <f>VLOOKUP(C122,'Master File June-26'!C:J,8,0)</f>
        <v>14</v>
      </c>
      <c r="K122" s="23">
        <f t="shared" si="4"/>
        <v>8.4</v>
      </c>
      <c r="L122" s="58">
        <f>VLOOKUP(C122,'Master File June-26'!C:L,10,0)</f>
        <v>0</v>
      </c>
      <c r="M122" s="24">
        <f t="shared" si="5"/>
        <v>0</v>
      </c>
      <c r="N122" s="25" t="str">
        <f t="shared" si="6"/>
        <v>ORDER NOW</v>
      </c>
      <c r="O122" s="25" t="str">
        <f t="shared" si="7"/>
        <v>CRITICAL</v>
      </c>
      <c r="Q122" s="90">
        <f>VLOOKUP(C122,'Master File June-26'!$C$3:$S$670,17,0)</f>
        <v>46131.431944444441</v>
      </c>
    </row>
    <row r="123" spans="1:17" ht="18.75" hidden="1" x14ac:dyDescent="0.25">
      <c r="A123" s="41">
        <v>549</v>
      </c>
      <c r="B123" s="41" t="s">
        <v>61</v>
      </c>
      <c r="C123" s="41" t="s">
        <v>524</v>
      </c>
      <c r="D123" s="40" t="s">
        <v>525</v>
      </c>
      <c r="E123" s="34" t="s">
        <v>22</v>
      </c>
      <c r="F123" s="5" t="s">
        <v>22</v>
      </c>
      <c r="G123" s="21">
        <v>1</v>
      </c>
      <c r="H123" s="22">
        <f>VLOOKUP(C123,'Master File June-26'!$C$3:$I$670,6,0)</f>
        <v>20</v>
      </c>
      <c r="I123" s="96">
        <f>VLOOKUP(C123,'Master File June-26'!$C$3:$I$670,7,0)</f>
        <v>20</v>
      </c>
      <c r="J123" s="5">
        <f>VLOOKUP(C123,'Master File June-26'!C:J,8,0)</f>
        <v>14</v>
      </c>
      <c r="K123" s="23">
        <f t="shared" si="4"/>
        <v>11.200000000000001</v>
      </c>
      <c r="L123" s="58">
        <f>VLOOKUP(C123,'Master File June-26'!C:L,10,0)</f>
        <v>0</v>
      </c>
      <c r="M123" s="24">
        <f t="shared" si="5"/>
        <v>0</v>
      </c>
      <c r="N123" s="25" t="str">
        <f t="shared" si="6"/>
        <v>ORDER NOW</v>
      </c>
      <c r="O123" s="25" t="str">
        <f t="shared" si="7"/>
        <v>CRITICAL</v>
      </c>
      <c r="Q123" s="90">
        <f>VLOOKUP(C123,'Master File June-26'!$C$3:$S$670,17,0)</f>
        <v>46113.430925925924</v>
      </c>
    </row>
    <row r="124" spans="1:17" ht="18.75" hidden="1" x14ac:dyDescent="0.25">
      <c r="A124" s="41">
        <v>550</v>
      </c>
      <c r="B124" s="41" t="s">
        <v>61</v>
      </c>
      <c r="C124" s="41" t="s">
        <v>700</v>
      </c>
      <c r="D124" s="40" t="s">
        <v>701</v>
      </c>
      <c r="E124" s="34" t="s">
        <v>22</v>
      </c>
      <c r="F124" s="5" t="s">
        <v>22</v>
      </c>
      <c r="G124" s="21">
        <v>1</v>
      </c>
      <c r="H124" s="22">
        <v>10</v>
      </c>
      <c r="I124" s="96">
        <f>H124/G124</f>
        <v>10</v>
      </c>
      <c r="J124" s="5">
        <f>VLOOKUP(C124,'Master File June-26'!C:J,8,0)</f>
        <v>14</v>
      </c>
      <c r="K124" s="23">
        <f t="shared" si="4"/>
        <v>5.6000000000000005</v>
      </c>
      <c r="L124" s="58">
        <f>VLOOKUP(C124,'Master File June-26'!C:L,10,0)</f>
        <v>0</v>
      </c>
      <c r="M124" s="24">
        <f t="shared" si="5"/>
        <v>0</v>
      </c>
      <c r="N124" s="25" t="str">
        <f t="shared" si="6"/>
        <v>ORDER NOW</v>
      </c>
      <c r="O124" s="25" t="str">
        <f t="shared" si="7"/>
        <v>CRITICAL</v>
      </c>
      <c r="Q124" s="90" t="e">
        <f>VLOOKUP(C124,[2]Sheet1!$C$3:$P$524,14,0)</f>
        <v>#N/A</v>
      </c>
    </row>
    <row r="125" spans="1:17" ht="18.75" hidden="1" x14ac:dyDescent="0.25">
      <c r="A125" s="41">
        <v>569</v>
      </c>
      <c r="B125" s="41" t="s">
        <v>61</v>
      </c>
      <c r="C125" s="41" t="s">
        <v>530</v>
      </c>
      <c r="D125" s="28" t="s">
        <v>531</v>
      </c>
      <c r="E125" s="28" t="s">
        <v>22</v>
      </c>
      <c r="F125" s="5" t="s">
        <v>22</v>
      </c>
      <c r="G125" s="21">
        <v>1</v>
      </c>
      <c r="H125" s="22">
        <f>VLOOKUP(C125,'Master File June-26'!$C$3:$I$670,6,0)</f>
        <v>5</v>
      </c>
      <c r="I125" s="96">
        <f>VLOOKUP(C125,'Master File June-26'!$C$3:$I$670,7,0)</f>
        <v>5</v>
      </c>
      <c r="J125" s="5">
        <f>VLOOKUP(C125,'Master File June-26'!C:J,8,0)</f>
        <v>14</v>
      </c>
      <c r="K125" s="23">
        <f t="shared" si="4"/>
        <v>2.8000000000000003</v>
      </c>
      <c r="L125" s="58">
        <f>VLOOKUP(C125,'Master File June-26'!C:L,10,0)</f>
        <v>0</v>
      </c>
      <c r="M125" s="24">
        <f t="shared" si="5"/>
        <v>0</v>
      </c>
      <c r="N125" s="25" t="str">
        <f t="shared" si="6"/>
        <v>ORDER NOW</v>
      </c>
      <c r="O125" s="25" t="str">
        <f t="shared" si="7"/>
        <v>CRITICAL</v>
      </c>
      <c r="Q125" s="90">
        <f>VLOOKUP(C125,'Master File June-26'!$C$3:$S$670,17,0)</f>
        <v>46113.430925925924</v>
      </c>
    </row>
    <row r="126" spans="1:17" ht="18.75" hidden="1" x14ac:dyDescent="0.25">
      <c r="A126" s="41">
        <v>570</v>
      </c>
      <c r="B126" s="41" t="s">
        <v>85</v>
      </c>
      <c r="C126" s="41" t="s">
        <v>532</v>
      </c>
      <c r="D126" s="28" t="s">
        <v>533</v>
      </c>
      <c r="E126" s="28" t="s">
        <v>22</v>
      </c>
      <c r="F126" s="5" t="s">
        <v>22</v>
      </c>
      <c r="G126" s="21">
        <v>1</v>
      </c>
      <c r="H126" s="22">
        <f>VLOOKUP(C126,'Master File June-26'!$C$3:$I$670,6,0)</f>
        <v>10</v>
      </c>
      <c r="I126" s="96">
        <f>VLOOKUP(C126,'Master File June-26'!$C$3:$I$670,7,0)</f>
        <v>10</v>
      </c>
      <c r="J126" s="5">
        <f>VLOOKUP(C126,'Master File June-26'!C:J,8,0)</f>
        <v>14</v>
      </c>
      <c r="K126" s="23">
        <f t="shared" si="4"/>
        <v>5.6000000000000005</v>
      </c>
      <c r="L126" s="58">
        <f>VLOOKUP(C126,'Master File June-26'!C:L,10,0)</f>
        <v>0</v>
      </c>
      <c r="M126" s="24">
        <f t="shared" si="5"/>
        <v>0</v>
      </c>
      <c r="N126" s="25" t="str">
        <f t="shared" si="6"/>
        <v>ORDER NOW</v>
      </c>
      <c r="O126" s="25" t="str">
        <f t="shared" si="7"/>
        <v>CRITICAL</v>
      </c>
      <c r="Q126" s="90">
        <f>VLOOKUP(C126,'Master File June-26'!$C$3:$S$670,17,0)</f>
        <v>46118.497835648152</v>
      </c>
    </row>
    <row r="127" spans="1:17" ht="18.75" hidden="1" x14ac:dyDescent="0.25">
      <c r="A127" s="41">
        <v>571</v>
      </c>
      <c r="B127" s="41" t="s">
        <v>61</v>
      </c>
      <c r="C127" s="41" t="s">
        <v>534</v>
      </c>
      <c r="D127" s="20" t="s">
        <v>535</v>
      </c>
      <c r="E127" s="34" t="s">
        <v>64</v>
      </c>
      <c r="F127" s="5" t="s">
        <v>49</v>
      </c>
      <c r="G127" s="21">
        <v>1</v>
      </c>
      <c r="H127" s="22">
        <f>VLOOKUP(C127,'Master File June-26'!$C$3:$I$670,6,0)</f>
        <v>25</v>
      </c>
      <c r="I127" s="96">
        <f>VLOOKUP(C127,'Master File June-26'!$C$3:$I$670,7,0)</f>
        <v>25</v>
      </c>
      <c r="J127" s="5">
        <f>VLOOKUP(C127,'Master File June-26'!C:J,8,0)</f>
        <v>14</v>
      </c>
      <c r="K127" s="23">
        <f t="shared" si="4"/>
        <v>14.000000000000002</v>
      </c>
      <c r="L127" s="58">
        <f>VLOOKUP(C127,'Master File June-26'!C:L,10,0)</f>
        <v>0</v>
      </c>
      <c r="M127" s="24">
        <f t="shared" si="5"/>
        <v>0</v>
      </c>
      <c r="N127" s="25" t="str">
        <f t="shared" si="6"/>
        <v>ORDER NOW</v>
      </c>
      <c r="O127" s="25" t="str">
        <f t="shared" si="7"/>
        <v>CRITICAL</v>
      </c>
      <c r="Q127" s="90">
        <f>VLOOKUP(C127,'Master File June-26'!$C$3:$S$670,17,0)</f>
        <v>46113.430925925924</v>
      </c>
    </row>
    <row r="128" spans="1:17" ht="18.75" hidden="1" x14ac:dyDescent="0.25">
      <c r="A128" s="41">
        <v>573</v>
      </c>
      <c r="B128" s="41" t="s">
        <v>38</v>
      </c>
      <c r="C128" s="41" t="s">
        <v>536</v>
      </c>
      <c r="D128" s="20" t="s">
        <v>537</v>
      </c>
      <c r="E128" s="34" t="s">
        <v>64</v>
      </c>
      <c r="F128" s="5" t="s">
        <v>49</v>
      </c>
      <c r="G128" s="21">
        <v>1</v>
      </c>
      <c r="H128" s="22">
        <f>VLOOKUP(C128,'Master File June-26'!$C$3:$I$670,6,0)</f>
        <v>1</v>
      </c>
      <c r="I128" s="96">
        <f>VLOOKUP(C128,'Master File June-26'!$C$3:$I$670,7,0)</f>
        <v>1</v>
      </c>
      <c r="J128" s="5">
        <f>VLOOKUP(C128,'Master File June-26'!C:J,8,0)</f>
        <v>14</v>
      </c>
      <c r="K128" s="23">
        <f t="shared" si="4"/>
        <v>0.56000000000000005</v>
      </c>
      <c r="L128" s="58">
        <f>VLOOKUP(C128,'Master File June-26'!C:L,10,0)</f>
        <v>6</v>
      </c>
      <c r="M128" s="24">
        <f t="shared" si="5"/>
        <v>180</v>
      </c>
      <c r="N128" s="25" t="str">
        <f t="shared" si="6"/>
        <v>IN STOCK</v>
      </c>
      <c r="O128" s="25" t="str">
        <f t="shared" si="7"/>
        <v>FOLLOW UP DELIVERY</v>
      </c>
      <c r="Q128" s="90">
        <f>VLOOKUP(C128,'Master File June-26'!$C$3:$S$670,17,0)</f>
        <v>46113.430925925924</v>
      </c>
    </row>
    <row r="129" spans="1:17" ht="18.75" hidden="1" x14ac:dyDescent="0.25">
      <c r="A129" s="41">
        <v>575</v>
      </c>
      <c r="B129" s="41" t="s">
        <v>38</v>
      </c>
      <c r="C129" s="41" t="s">
        <v>538</v>
      </c>
      <c r="D129" s="20" t="s">
        <v>539</v>
      </c>
      <c r="E129" s="34" t="s">
        <v>64</v>
      </c>
      <c r="F129" s="5" t="s">
        <v>49</v>
      </c>
      <c r="G129" s="21">
        <v>1</v>
      </c>
      <c r="H129" s="22">
        <f>VLOOKUP(C129,'Master File June-26'!$C$3:$I$670,6,0)</f>
        <v>4</v>
      </c>
      <c r="I129" s="96">
        <f>VLOOKUP(C129,'Master File June-26'!$C$3:$I$670,7,0)</f>
        <v>4</v>
      </c>
      <c r="J129" s="5">
        <f>VLOOKUP(C129,'Master File June-26'!C:J,8,0)</f>
        <v>14</v>
      </c>
      <c r="K129" s="23">
        <f t="shared" si="4"/>
        <v>2.2400000000000002</v>
      </c>
      <c r="L129" s="58">
        <f>VLOOKUP(C129,'Master File June-26'!C:L,10,0)</f>
        <v>10</v>
      </c>
      <c r="M129" s="24">
        <f t="shared" si="5"/>
        <v>75</v>
      </c>
      <c r="N129" s="25" t="str">
        <f t="shared" si="6"/>
        <v>IN STOCK</v>
      </c>
      <c r="O129" s="25" t="str">
        <f t="shared" si="7"/>
        <v>FOLLOW UP DELIVERY</v>
      </c>
      <c r="Q129" s="90">
        <f>VLOOKUP(C129,'Master File June-26'!$C$3:$S$670,17,0)</f>
        <v>46113.430925925924</v>
      </c>
    </row>
    <row r="130" spans="1:17" ht="18.75" hidden="1" x14ac:dyDescent="0.25">
      <c r="A130" s="41">
        <v>577</v>
      </c>
      <c r="B130" s="41" t="s">
        <v>38</v>
      </c>
      <c r="C130" s="41" t="s">
        <v>542</v>
      </c>
      <c r="D130" s="20" t="s">
        <v>543</v>
      </c>
      <c r="E130" s="34" t="s">
        <v>64</v>
      </c>
      <c r="F130" s="5" t="s">
        <v>49</v>
      </c>
      <c r="G130" s="21">
        <v>1</v>
      </c>
      <c r="H130" s="22">
        <f>VLOOKUP(C130,'Master File June-26'!$C$3:$I$670,6,0)</f>
        <v>8</v>
      </c>
      <c r="I130" s="96">
        <f>VLOOKUP(C130,'Master File June-26'!$C$3:$I$670,7,0)</f>
        <v>8</v>
      </c>
      <c r="J130" s="5">
        <f>VLOOKUP(C130,'Master File June-26'!C:J,8,0)</f>
        <v>14</v>
      </c>
      <c r="K130" s="23">
        <f t="shared" si="4"/>
        <v>4.4800000000000004</v>
      </c>
      <c r="L130" s="58">
        <f>VLOOKUP(C130,'Master File June-26'!C:L,10,0)</f>
        <v>0</v>
      </c>
      <c r="M130" s="24">
        <f t="shared" si="5"/>
        <v>0</v>
      </c>
      <c r="N130" s="25" t="str">
        <f t="shared" si="6"/>
        <v>ORDER NOW</v>
      </c>
      <c r="O130" s="25" t="str">
        <f t="shared" si="7"/>
        <v>CRITICAL</v>
      </c>
      <c r="Q130" s="90">
        <f>VLOOKUP(C130,'Master File June-26'!$C$3:$S$670,17,0)</f>
        <v>46113.430937500001</v>
      </c>
    </row>
    <row r="131" spans="1:17" ht="18.75" hidden="1" x14ac:dyDescent="0.25">
      <c r="A131" s="41">
        <v>578</v>
      </c>
      <c r="B131" s="41" t="s">
        <v>38</v>
      </c>
      <c r="C131" s="41" t="s">
        <v>544</v>
      </c>
      <c r="D131" s="20" t="s">
        <v>545</v>
      </c>
      <c r="E131" s="34" t="s">
        <v>64</v>
      </c>
      <c r="F131" s="5" t="s">
        <v>49</v>
      </c>
      <c r="G131" s="21">
        <v>1</v>
      </c>
      <c r="H131" s="22">
        <f>VLOOKUP(C131,'Master File June-26'!$C$3:$I$670,6,0)</f>
        <v>3</v>
      </c>
      <c r="I131" s="96">
        <f>VLOOKUP(C131,'Master File June-26'!$C$3:$I$670,7,0)</f>
        <v>3</v>
      </c>
      <c r="J131" s="5">
        <f>VLOOKUP(C131,'Master File June-26'!C:J,8,0)</f>
        <v>14</v>
      </c>
      <c r="K131" s="23">
        <f t="shared" ref="K131:K194" si="8">I131*(J131/25)</f>
        <v>1.6800000000000002</v>
      </c>
      <c r="L131" s="58">
        <f>VLOOKUP(C131,'Master File June-26'!C:L,10,0)</f>
        <v>0</v>
      </c>
      <c r="M131" s="24">
        <f t="shared" ref="M131:M194" si="9">IFERROR((L131/I131*30),0)</f>
        <v>0</v>
      </c>
      <c r="N131" s="25" t="str">
        <f t="shared" ref="N131:N194" si="10">IF(M131&lt;J131,"ORDER NOW","IN STOCK")</f>
        <v>ORDER NOW</v>
      </c>
      <c r="O131" s="25" t="str">
        <f t="shared" ref="O131:O194" si="11">IF(M131&lt;J131,"CRITICAL","FOLLOW UP DELIVERY")</f>
        <v>CRITICAL</v>
      </c>
      <c r="Q131" s="90">
        <f>VLOOKUP(C131,'Master File June-26'!$C$3:$S$670,17,0)</f>
        <v>46113.430937500001</v>
      </c>
    </row>
    <row r="132" spans="1:17" ht="18.75" hidden="1" x14ac:dyDescent="0.25">
      <c r="A132" s="49">
        <v>579</v>
      </c>
      <c r="B132" s="49" t="s">
        <v>298</v>
      </c>
      <c r="C132" s="49" t="s">
        <v>546</v>
      </c>
      <c r="D132" s="20" t="s">
        <v>547</v>
      </c>
      <c r="E132" s="20" t="s">
        <v>49</v>
      </c>
      <c r="F132" s="5" t="s">
        <v>49</v>
      </c>
      <c r="G132" s="21">
        <v>1</v>
      </c>
      <c r="H132" s="22">
        <f>VLOOKUP(C132,'Master File June-26'!$C$3:$I$670,6,0)</f>
        <v>49.5</v>
      </c>
      <c r="I132" s="96">
        <f>VLOOKUP(C132,'Master File June-26'!$C$3:$I$670,7,0)</f>
        <v>49.5</v>
      </c>
      <c r="J132" s="5">
        <f>VLOOKUP(C132,'Master File June-26'!C:J,8,0)</f>
        <v>14</v>
      </c>
      <c r="K132" s="23">
        <f t="shared" si="8"/>
        <v>27.720000000000002</v>
      </c>
      <c r="L132" s="58">
        <f>VLOOKUP(C132,'Master File June-26'!C:L,10,0)</f>
        <v>0</v>
      </c>
      <c r="M132" s="24">
        <f t="shared" si="9"/>
        <v>0</v>
      </c>
      <c r="N132" s="25" t="str">
        <f t="shared" si="10"/>
        <v>ORDER NOW</v>
      </c>
      <c r="O132" s="25" t="str">
        <f t="shared" si="11"/>
        <v>CRITICAL</v>
      </c>
      <c r="Q132" s="90">
        <f>VLOOKUP(C132,'Master File June-26'!$C$3:$S$670,17,0)</f>
        <v>46131.431956018518</v>
      </c>
    </row>
    <row r="133" spans="1:17" ht="18.75" hidden="1" x14ac:dyDescent="0.25">
      <c r="A133" s="49">
        <v>580</v>
      </c>
      <c r="B133" s="49" t="s">
        <v>298</v>
      </c>
      <c r="C133" s="49" t="s">
        <v>548</v>
      </c>
      <c r="D133" s="4" t="s">
        <v>549</v>
      </c>
      <c r="E133" s="20" t="s">
        <v>49</v>
      </c>
      <c r="F133" s="5" t="s">
        <v>49</v>
      </c>
      <c r="G133" s="21">
        <v>1</v>
      </c>
      <c r="H133" s="22">
        <f>VLOOKUP(C133,'Master File June-26'!$C$3:$I$670,6,0)</f>
        <v>5.5</v>
      </c>
      <c r="I133" s="96">
        <f>VLOOKUP(C133,'Master File June-26'!$C$3:$I$670,7,0)</f>
        <v>5.5</v>
      </c>
      <c r="J133" s="5">
        <f>VLOOKUP(C133,'Master File June-26'!C:J,8,0)</f>
        <v>14</v>
      </c>
      <c r="K133" s="23">
        <f t="shared" si="8"/>
        <v>3.08</v>
      </c>
      <c r="L133" s="58">
        <f>VLOOKUP(C133,'Master File June-26'!C:L,10,0)</f>
        <v>0</v>
      </c>
      <c r="M133" s="24">
        <f t="shared" si="9"/>
        <v>0</v>
      </c>
      <c r="N133" s="25" t="str">
        <f t="shared" si="10"/>
        <v>ORDER NOW</v>
      </c>
      <c r="O133" s="25" t="str">
        <f t="shared" si="11"/>
        <v>CRITICAL</v>
      </c>
      <c r="Q133" s="90">
        <f>VLOOKUP(C133,'Master File June-26'!$C$3:$S$670,17,0)</f>
        <v>46113.430937500001</v>
      </c>
    </row>
    <row r="134" spans="1:17" ht="18.75" hidden="1" x14ac:dyDescent="0.25">
      <c r="A134" s="49">
        <v>582</v>
      </c>
      <c r="B134" s="49" t="s">
        <v>298</v>
      </c>
      <c r="C134" s="49" t="s">
        <v>550</v>
      </c>
      <c r="D134" s="27" t="s">
        <v>551</v>
      </c>
      <c r="E134" s="28" t="s">
        <v>49</v>
      </c>
      <c r="F134" s="5" t="s">
        <v>49</v>
      </c>
      <c r="G134" s="21">
        <v>1</v>
      </c>
      <c r="H134" s="22">
        <f>VLOOKUP(C134,'Master File June-26'!$C$3:$I$670,6,0)</f>
        <v>22</v>
      </c>
      <c r="I134" s="96">
        <f>VLOOKUP(C134,'Master File June-26'!$C$3:$I$670,7,0)</f>
        <v>22</v>
      </c>
      <c r="J134" s="5">
        <f>VLOOKUP(C134,'Master File June-26'!C:J,8,0)</f>
        <v>14</v>
      </c>
      <c r="K134" s="23">
        <f t="shared" si="8"/>
        <v>12.32</v>
      </c>
      <c r="L134" s="58">
        <f>VLOOKUP(C134,'Master File June-26'!C:L,10,0)</f>
        <v>0</v>
      </c>
      <c r="M134" s="24">
        <f t="shared" si="9"/>
        <v>0</v>
      </c>
      <c r="N134" s="25" t="str">
        <f t="shared" si="10"/>
        <v>ORDER NOW</v>
      </c>
      <c r="O134" s="25" t="str">
        <f t="shared" si="11"/>
        <v>CRITICAL</v>
      </c>
      <c r="Q134" s="90">
        <f>VLOOKUP(C134,'Master File June-26'!$C$3:$S$670,17,0)</f>
        <v>46113.430937500001</v>
      </c>
    </row>
    <row r="135" spans="1:17" ht="18.75" hidden="1" x14ac:dyDescent="0.25">
      <c r="A135" s="49">
        <v>583</v>
      </c>
      <c r="B135" s="49" t="s">
        <v>242</v>
      </c>
      <c r="C135" s="49" t="s">
        <v>552</v>
      </c>
      <c r="D135" s="27" t="s">
        <v>553</v>
      </c>
      <c r="E135" s="28" t="s">
        <v>49</v>
      </c>
      <c r="F135" s="5" t="s">
        <v>49</v>
      </c>
      <c r="G135" s="21">
        <v>1</v>
      </c>
      <c r="H135" s="22">
        <f>VLOOKUP(C135,'Master File June-26'!$C$3:$I$670,6,0)</f>
        <v>67.5</v>
      </c>
      <c r="I135" s="96">
        <f>VLOOKUP(C135,'Master File June-26'!$C$3:$I$670,7,0)</f>
        <v>67.5</v>
      </c>
      <c r="J135" s="5">
        <f>VLOOKUP(C135,'Master File June-26'!C:J,8,0)</f>
        <v>14</v>
      </c>
      <c r="K135" s="23">
        <f t="shared" si="8"/>
        <v>37.800000000000004</v>
      </c>
      <c r="L135" s="58">
        <f>VLOOKUP(C135,'Master File June-26'!C:L,10,0)</f>
        <v>0</v>
      </c>
      <c r="M135" s="24">
        <f t="shared" si="9"/>
        <v>0</v>
      </c>
      <c r="N135" s="25" t="str">
        <f t="shared" si="10"/>
        <v>ORDER NOW</v>
      </c>
      <c r="O135" s="25" t="str">
        <f t="shared" si="11"/>
        <v>CRITICAL</v>
      </c>
      <c r="Q135" s="90">
        <f>VLOOKUP(C135,'Master File June-26'!$C$3:$S$670,17,0)</f>
        <v>46113.430937500001</v>
      </c>
    </row>
    <row r="136" spans="1:17" ht="18.75" hidden="1" x14ac:dyDescent="0.25">
      <c r="A136" s="49">
        <v>588</v>
      </c>
      <c r="B136" s="49" t="s">
        <v>239</v>
      </c>
      <c r="C136" s="49" t="s">
        <v>556</v>
      </c>
      <c r="D136" s="4" t="s">
        <v>557</v>
      </c>
      <c r="E136" s="20" t="s">
        <v>49</v>
      </c>
      <c r="F136" s="5" t="s">
        <v>49</v>
      </c>
      <c r="G136" s="21">
        <v>1</v>
      </c>
      <c r="H136" s="22">
        <f>VLOOKUP(C136,'Master File June-26'!$C$3:$I$670,6,0)</f>
        <v>54.5</v>
      </c>
      <c r="I136" s="96">
        <f>VLOOKUP(C136,'Master File June-26'!$C$3:$I$670,7,0)</f>
        <v>54.5</v>
      </c>
      <c r="J136" s="5">
        <f>VLOOKUP(C136,'Master File June-26'!C:J,8,0)</f>
        <v>14</v>
      </c>
      <c r="K136" s="23">
        <f t="shared" si="8"/>
        <v>30.520000000000003</v>
      </c>
      <c r="L136" s="58">
        <f>VLOOKUP(C136,'Master File June-26'!C:L,10,0)</f>
        <v>0</v>
      </c>
      <c r="M136" s="24">
        <f t="shared" si="9"/>
        <v>0</v>
      </c>
      <c r="N136" s="25" t="str">
        <f t="shared" si="10"/>
        <v>ORDER NOW</v>
      </c>
      <c r="O136" s="25" t="str">
        <f t="shared" si="11"/>
        <v>CRITICAL</v>
      </c>
      <c r="Q136" s="90">
        <f>VLOOKUP(C136,'Master File June-26'!$C$3:$S$670,17,0)</f>
        <v>46113.430937500001</v>
      </c>
    </row>
    <row r="137" spans="1:17" ht="18.75" hidden="1" x14ac:dyDescent="0.25">
      <c r="A137" s="49">
        <v>589</v>
      </c>
      <c r="B137" s="49" t="s">
        <v>239</v>
      </c>
      <c r="C137" s="49" t="s">
        <v>558</v>
      </c>
      <c r="D137" s="4" t="s">
        <v>559</v>
      </c>
      <c r="E137" s="20" t="s">
        <v>49</v>
      </c>
      <c r="F137" s="5" t="s">
        <v>49</v>
      </c>
      <c r="G137" s="21">
        <v>1</v>
      </c>
      <c r="H137" s="22">
        <f>VLOOKUP(C137,'Master File June-26'!$C$3:$I$670,6,0)</f>
        <v>5.5</v>
      </c>
      <c r="I137" s="96">
        <f>VLOOKUP(C137,'Master File June-26'!$C$3:$I$670,7,0)</f>
        <v>5.5</v>
      </c>
      <c r="J137" s="5">
        <f>VLOOKUP(C137,'Master File June-26'!C:J,8,0)</f>
        <v>14</v>
      </c>
      <c r="K137" s="23">
        <f t="shared" si="8"/>
        <v>3.08</v>
      </c>
      <c r="L137" s="58">
        <f>VLOOKUP(C137,'Master File June-26'!C:L,10,0)</f>
        <v>0</v>
      </c>
      <c r="M137" s="24">
        <f t="shared" si="9"/>
        <v>0</v>
      </c>
      <c r="N137" s="25" t="str">
        <f t="shared" si="10"/>
        <v>ORDER NOW</v>
      </c>
      <c r="O137" s="25" t="str">
        <f t="shared" si="11"/>
        <v>CRITICAL</v>
      </c>
      <c r="Q137" s="90">
        <f>VLOOKUP(C137,'Master File June-26'!$C$3:$S$670,17,0)</f>
        <v>46113.430937500001</v>
      </c>
    </row>
    <row r="138" spans="1:17" ht="18.75" hidden="1" x14ac:dyDescent="0.25">
      <c r="A138" s="49">
        <v>595</v>
      </c>
      <c r="B138" s="49" t="s">
        <v>239</v>
      </c>
      <c r="C138" s="49" t="s">
        <v>568</v>
      </c>
      <c r="D138" s="37" t="s">
        <v>569</v>
      </c>
      <c r="E138" s="34" t="s">
        <v>49</v>
      </c>
      <c r="F138" s="5" t="s">
        <v>49</v>
      </c>
      <c r="G138" s="21">
        <v>1</v>
      </c>
      <c r="H138" s="22">
        <f>VLOOKUP(C138,'Master File June-26'!$C$3:$I$670,6,0)</f>
        <v>1</v>
      </c>
      <c r="I138" s="96">
        <f>VLOOKUP(C138,'Master File June-26'!$C$3:$I$670,7,0)</f>
        <v>1</v>
      </c>
      <c r="J138" s="5">
        <f>VLOOKUP(C138,'Master File June-26'!C:J,8,0)</f>
        <v>14</v>
      </c>
      <c r="K138" s="23">
        <f t="shared" si="8"/>
        <v>0.56000000000000005</v>
      </c>
      <c r="L138" s="58">
        <f>VLOOKUP(C138,'Master File June-26'!C:L,10,0)</f>
        <v>0</v>
      </c>
      <c r="M138" s="24">
        <f t="shared" si="9"/>
        <v>0</v>
      </c>
      <c r="N138" s="25" t="str">
        <f t="shared" si="10"/>
        <v>ORDER NOW</v>
      </c>
      <c r="O138" s="25" t="str">
        <f t="shared" si="11"/>
        <v>CRITICAL</v>
      </c>
      <c r="Q138" s="90">
        <f>VLOOKUP(C138,'Master File June-26'!$C$3:$S$670,17,0)</f>
        <v>46113.430937500001</v>
      </c>
    </row>
    <row r="139" spans="1:17" ht="18.75" hidden="1" x14ac:dyDescent="0.25">
      <c r="A139" s="49">
        <v>596</v>
      </c>
      <c r="B139" s="49" t="s">
        <v>239</v>
      </c>
      <c r="C139" s="49" t="s">
        <v>570</v>
      </c>
      <c r="D139" s="37" t="s">
        <v>571</v>
      </c>
      <c r="E139" s="34" t="s">
        <v>49</v>
      </c>
      <c r="F139" s="5" t="s">
        <v>49</v>
      </c>
      <c r="G139" s="21">
        <v>1</v>
      </c>
      <c r="H139" s="22">
        <f>VLOOKUP(C139,'Master File June-26'!$C$3:$I$670,6,0)</f>
        <v>2</v>
      </c>
      <c r="I139" s="96">
        <f>VLOOKUP(C139,'Master File June-26'!$C$3:$I$670,7,0)</f>
        <v>2</v>
      </c>
      <c r="J139" s="5">
        <f>VLOOKUP(C139,'Master File June-26'!C:J,8,0)</f>
        <v>14</v>
      </c>
      <c r="K139" s="23">
        <f t="shared" si="8"/>
        <v>1.1200000000000001</v>
      </c>
      <c r="L139" s="58">
        <f>VLOOKUP(C139,'Master File June-26'!C:L,10,0)</f>
        <v>0</v>
      </c>
      <c r="M139" s="24">
        <f t="shared" si="9"/>
        <v>0</v>
      </c>
      <c r="N139" s="25" t="str">
        <f t="shared" si="10"/>
        <v>ORDER NOW</v>
      </c>
      <c r="O139" s="25" t="str">
        <f t="shared" si="11"/>
        <v>CRITICAL</v>
      </c>
      <c r="Q139" s="90">
        <f>VLOOKUP(C139,'Master File June-26'!$C$3:$S$670,17,0)</f>
        <v>46113.430937500001</v>
      </c>
    </row>
    <row r="140" spans="1:17" ht="18.75" hidden="1" x14ac:dyDescent="0.25">
      <c r="A140" s="49">
        <v>597</v>
      </c>
      <c r="B140" s="49" t="s">
        <v>239</v>
      </c>
      <c r="C140" s="49" t="s">
        <v>572</v>
      </c>
      <c r="D140" s="40" t="s">
        <v>573</v>
      </c>
      <c r="E140" s="31" t="s">
        <v>49</v>
      </c>
      <c r="F140" s="5" t="s">
        <v>49</v>
      </c>
      <c r="G140" s="21">
        <v>1</v>
      </c>
      <c r="H140" s="22">
        <f>VLOOKUP(C140,'Master File June-26'!$C$3:$I$670,6,0)</f>
        <v>25</v>
      </c>
      <c r="I140" s="96">
        <f>VLOOKUP(C140,'Master File June-26'!$C$3:$I$670,7,0)</f>
        <v>25</v>
      </c>
      <c r="J140" s="5">
        <f>VLOOKUP(C140,'Master File June-26'!C:J,8,0)</f>
        <v>14</v>
      </c>
      <c r="K140" s="23">
        <f t="shared" si="8"/>
        <v>14.000000000000002</v>
      </c>
      <c r="L140" s="58">
        <f>VLOOKUP(C140,'Master File June-26'!C:L,10,0)</f>
        <v>0</v>
      </c>
      <c r="M140" s="24">
        <f t="shared" si="9"/>
        <v>0</v>
      </c>
      <c r="N140" s="25" t="str">
        <f t="shared" si="10"/>
        <v>ORDER NOW</v>
      </c>
      <c r="O140" s="25" t="str">
        <f t="shared" si="11"/>
        <v>CRITICAL</v>
      </c>
      <c r="Q140" s="90">
        <f>VLOOKUP(C140,'Master File June-26'!$C$3:$S$670,17,0)</f>
        <v>46113.430937500001</v>
      </c>
    </row>
    <row r="141" spans="1:17" ht="18.75" hidden="1" x14ac:dyDescent="0.25">
      <c r="A141" s="4">
        <v>602</v>
      </c>
      <c r="B141" s="4" t="s">
        <v>85</v>
      </c>
      <c r="C141" s="4" t="s">
        <v>99</v>
      </c>
      <c r="D141" s="28" t="s">
        <v>100</v>
      </c>
      <c r="E141" s="27" t="s">
        <v>101</v>
      </c>
      <c r="F141" s="5" t="s">
        <v>22</v>
      </c>
      <c r="G141" s="21">
        <f>1/6</f>
        <v>0.16666666666666666</v>
      </c>
      <c r="H141" s="22">
        <f>VLOOKUP(C141,'Master File June-26'!$C$3:$I$670,6,0)</f>
        <v>5.5</v>
      </c>
      <c r="I141" s="96">
        <f>VLOOKUP(C141,'Master File June-26'!$C$3:$I$670,7,0)</f>
        <v>33</v>
      </c>
      <c r="J141" s="5">
        <f>VLOOKUP(C141,'Master File June-26'!C:J,8,0)</f>
        <v>14</v>
      </c>
      <c r="K141" s="23">
        <f t="shared" si="8"/>
        <v>18.48</v>
      </c>
      <c r="L141" s="58">
        <f>VLOOKUP(C141,'Master File June-26'!C:L,10,0)</f>
        <v>0</v>
      </c>
      <c r="M141" s="24">
        <f t="shared" si="9"/>
        <v>0</v>
      </c>
      <c r="N141" s="25" t="str">
        <f t="shared" si="10"/>
        <v>ORDER NOW</v>
      </c>
      <c r="O141" s="25" t="str">
        <f t="shared" si="11"/>
        <v>CRITICAL</v>
      </c>
      <c r="Q141" s="90">
        <f>VLOOKUP(C141,'Master File June-26'!$C$3:$S$670,17,0)</f>
        <v>46113.430937500001</v>
      </c>
    </row>
    <row r="142" spans="1:17" ht="18.75" hidden="1" x14ac:dyDescent="0.25">
      <c r="A142" s="4">
        <v>603</v>
      </c>
      <c r="B142" s="4" t="s">
        <v>85</v>
      </c>
      <c r="C142" s="4" t="s">
        <v>576</v>
      </c>
      <c r="D142" s="28" t="s">
        <v>577</v>
      </c>
      <c r="E142" s="27" t="s">
        <v>101</v>
      </c>
      <c r="F142" s="5" t="s">
        <v>22</v>
      </c>
      <c r="G142" s="21">
        <f>1/6</f>
        <v>0.16666666666666666</v>
      </c>
      <c r="H142" s="22">
        <f>VLOOKUP(C142,'Master File June-26'!$C$3:$I$670,6,0)</f>
        <v>5.5</v>
      </c>
      <c r="I142" s="96">
        <f>VLOOKUP(C142,'Master File June-26'!$C$3:$I$670,7,0)</f>
        <v>33</v>
      </c>
      <c r="J142" s="5">
        <f>VLOOKUP(C142,'Master File June-26'!C:J,8,0)</f>
        <v>14</v>
      </c>
      <c r="K142" s="23">
        <f t="shared" si="8"/>
        <v>18.48</v>
      </c>
      <c r="L142" s="58">
        <f>VLOOKUP(C142,'Master File June-26'!C:L,10,0)</f>
        <v>0</v>
      </c>
      <c r="M142" s="24">
        <f t="shared" si="9"/>
        <v>0</v>
      </c>
      <c r="N142" s="25" t="str">
        <f t="shared" si="10"/>
        <v>ORDER NOW</v>
      </c>
      <c r="O142" s="25" t="str">
        <f t="shared" si="11"/>
        <v>CRITICAL</v>
      </c>
      <c r="Q142" s="90">
        <f>VLOOKUP(C142,'Master File June-26'!$C$3:$S$670,17,0)</f>
        <v>46113.430937500001</v>
      </c>
    </row>
    <row r="143" spans="1:17" ht="18.75" hidden="1" x14ac:dyDescent="0.25">
      <c r="A143" s="4">
        <v>604</v>
      </c>
      <c r="B143" s="4" t="s">
        <v>85</v>
      </c>
      <c r="C143" s="4" t="s">
        <v>578</v>
      </c>
      <c r="D143" s="50" t="s">
        <v>579</v>
      </c>
      <c r="E143" s="31" t="s">
        <v>22</v>
      </c>
      <c r="F143" s="5" t="s">
        <v>22</v>
      </c>
      <c r="G143" s="21">
        <v>1</v>
      </c>
      <c r="H143" s="22">
        <f>VLOOKUP(C143,'Master File June-26'!$C$3:$I$670,6,0)</f>
        <v>25</v>
      </c>
      <c r="I143" s="96">
        <f>VLOOKUP(C143,'Master File June-26'!$C$3:$I$670,7,0)</f>
        <v>25</v>
      </c>
      <c r="J143" s="5">
        <f>VLOOKUP(C143,'Master File June-26'!C:J,8,0)</f>
        <v>14</v>
      </c>
      <c r="K143" s="23">
        <f t="shared" si="8"/>
        <v>14.000000000000002</v>
      </c>
      <c r="L143" s="58">
        <f>VLOOKUP(C143,'Master File June-26'!C:L,10,0)</f>
        <v>0</v>
      </c>
      <c r="M143" s="24">
        <f t="shared" si="9"/>
        <v>0</v>
      </c>
      <c r="N143" s="25" t="str">
        <f t="shared" si="10"/>
        <v>ORDER NOW</v>
      </c>
      <c r="O143" s="25" t="str">
        <f t="shared" si="11"/>
        <v>CRITICAL</v>
      </c>
      <c r="Q143" s="90">
        <f>VLOOKUP(C143,'Master File June-26'!$C$3:$S$670,17,0)</f>
        <v>46113.430937500001</v>
      </c>
    </row>
    <row r="144" spans="1:17" ht="18.75" hidden="1" x14ac:dyDescent="0.25">
      <c r="A144" s="4">
        <v>605</v>
      </c>
      <c r="B144" s="4" t="s">
        <v>85</v>
      </c>
      <c r="C144" s="4" t="s">
        <v>580</v>
      </c>
      <c r="D144" s="50" t="s">
        <v>581</v>
      </c>
      <c r="E144" s="31" t="s">
        <v>22</v>
      </c>
      <c r="F144" s="5" t="s">
        <v>22</v>
      </c>
      <c r="G144" s="21">
        <v>1</v>
      </c>
      <c r="H144" s="22">
        <f>VLOOKUP(C144,'Master File June-26'!$C$3:$I$670,6,0)</f>
        <v>25</v>
      </c>
      <c r="I144" s="96">
        <f>VLOOKUP(C144,'Master File June-26'!$C$3:$I$670,7,0)</f>
        <v>25</v>
      </c>
      <c r="J144" s="5">
        <f>VLOOKUP(C144,'Master File June-26'!C:J,8,0)</f>
        <v>14</v>
      </c>
      <c r="K144" s="23">
        <f t="shared" si="8"/>
        <v>14.000000000000002</v>
      </c>
      <c r="L144" s="58">
        <f>VLOOKUP(C144,'Master File June-26'!C:L,10,0)</f>
        <v>0</v>
      </c>
      <c r="M144" s="24">
        <f t="shared" si="9"/>
        <v>0</v>
      </c>
      <c r="N144" s="25" t="str">
        <f t="shared" si="10"/>
        <v>ORDER NOW</v>
      </c>
      <c r="O144" s="25" t="str">
        <f t="shared" si="11"/>
        <v>CRITICAL</v>
      </c>
      <c r="Q144" s="90">
        <f>VLOOKUP(C144,'Master File June-26'!$C$3:$S$670,17,0)</f>
        <v>46113.430937500001</v>
      </c>
    </row>
    <row r="145" spans="1:17" ht="18.75" hidden="1" x14ac:dyDescent="0.25">
      <c r="A145" s="4">
        <v>608</v>
      </c>
      <c r="B145" s="4" t="s">
        <v>133</v>
      </c>
      <c r="C145" s="4" t="s">
        <v>582</v>
      </c>
      <c r="D145" s="28" t="s">
        <v>583</v>
      </c>
      <c r="E145" s="27" t="s">
        <v>64</v>
      </c>
      <c r="F145" s="5" t="s">
        <v>49</v>
      </c>
      <c r="G145" s="21">
        <v>1</v>
      </c>
      <c r="H145" s="22">
        <f>VLOOKUP(C145,'Master File June-26'!$C$3:$I$670,6,0)</f>
        <v>5940</v>
      </c>
      <c r="I145" s="96">
        <f>VLOOKUP(C145,'Master File June-26'!$C$3:$I$670,7,0)</f>
        <v>5940</v>
      </c>
      <c r="J145" s="5">
        <f>VLOOKUP(C145,'Master File June-26'!C:J,8,0)</f>
        <v>14</v>
      </c>
      <c r="K145" s="23">
        <f t="shared" si="8"/>
        <v>3326.4</v>
      </c>
      <c r="L145" s="58">
        <f>VLOOKUP(C145,'Master File June-26'!C:L,10,0)</f>
        <v>0</v>
      </c>
      <c r="M145" s="24">
        <f t="shared" si="9"/>
        <v>0</v>
      </c>
      <c r="N145" s="25" t="str">
        <f t="shared" si="10"/>
        <v>ORDER NOW</v>
      </c>
      <c r="O145" s="25" t="str">
        <f t="shared" si="11"/>
        <v>CRITICAL</v>
      </c>
      <c r="Q145" s="90">
        <f>VLOOKUP(C145,'Master File June-26'!$C$3:$S$670,17,0)</f>
        <v>46113.430937500001</v>
      </c>
    </row>
    <row r="146" spans="1:17" ht="18.75" hidden="1" x14ac:dyDescent="0.25">
      <c r="A146" s="39">
        <v>213</v>
      </c>
      <c r="B146" s="39" t="s">
        <v>123</v>
      </c>
      <c r="C146" s="39" t="s">
        <v>752</v>
      </c>
      <c r="D146" s="28" t="s">
        <v>753</v>
      </c>
      <c r="E146" s="27" t="s">
        <v>754</v>
      </c>
      <c r="F146" s="5" t="s">
        <v>49</v>
      </c>
      <c r="G146" s="21">
        <v>1</v>
      </c>
      <c r="H146" s="22">
        <f>VLOOKUP(C146,'Master File June-26'!$C$3:$I$670,6,0)</f>
        <v>175</v>
      </c>
      <c r="I146" s="96">
        <f>VLOOKUP(C146,'Master File June-26'!$C$3:$I$670,7,0)</f>
        <v>175</v>
      </c>
      <c r="J146" s="5">
        <f>VLOOKUP(C146,'Master File June-26'!C:J,8,0)</f>
        <v>14</v>
      </c>
      <c r="K146" s="23">
        <f t="shared" si="8"/>
        <v>98.000000000000014</v>
      </c>
      <c r="L146" s="58">
        <f>VLOOKUP(C146,'Master File June-26'!C:L,10,0)</f>
        <v>207</v>
      </c>
      <c r="M146" s="24">
        <f t="shared" si="9"/>
        <v>35.485714285714288</v>
      </c>
      <c r="N146" s="25" t="str">
        <f t="shared" si="10"/>
        <v>IN STOCK</v>
      </c>
      <c r="O146" s="25" t="str">
        <f t="shared" si="11"/>
        <v>FOLLOW UP DELIVERY</v>
      </c>
      <c r="Q146" s="90">
        <f>VLOOKUP(C146,'Master File June-26'!$C$3:$S$670,17,0)</f>
        <v>46113.430949074071</v>
      </c>
    </row>
    <row r="147" spans="1:17" ht="18.75" hidden="1" x14ac:dyDescent="0.25">
      <c r="A147" s="19">
        <v>42</v>
      </c>
      <c r="B147" s="19" t="s">
        <v>18</v>
      </c>
      <c r="C147" s="19" t="s">
        <v>914</v>
      </c>
      <c r="D147" s="70" t="s">
        <v>915</v>
      </c>
      <c r="E147" s="29" t="s">
        <v>916</v>
      </c>
      <c r="F147" s="5" t="s">
        <v>49</v>
      </c>
      <c r="G147" s="21">
        <f>1/100</f>
        <v>0.01</v>
      </c>
      <c r="H147" s="22">
        <f>VLOOKUP(C147,'Master File June-26'!$C$3:$I$670,6,0)</f>
        <v>5.5</v>
      </c>
      <c r="I147" s="96">
        <f>VLOOKUP(C147,'Master File June-26'!$C$3:$I$670,7,0)</f>
        <v>550</v>
      </c>
      <c r="J147" s="5">
        <f>VLOOKUP(C147,'Master File June-26'!C:J,8,0)</f>
        <v>14</v>
      </c>
      <c r="K147" s="23">
        <f t="shared" si="8"/>
        <v>308.00000000000006</v>
      </c>
      <c r="L147" s="58">
        <f>VLOOKUP(C147,'Master File June-26'!C:L,10,0)</f>
        <v>0</v>
      </c>
      <c r="M147" s="24">
        <f t="shared" si="9"/>
        <v>0</v>
      </c>
      <c r="N147" s="25" t="str">
        <f t="shared" si="10"/>
        <v>ORDER NOW</v>
      </c>
      <c r="O147" s="25" t="str">
        <f t="shared" si="11"/>
        <v>CRITICAL</v>
      </c>
      <c r="P147" t="s">
        <v>30</v>
      </c>
      <c r="Q147" s="90">
        <f>VLOOKUP(C147,'Master File June-26'!$C$3:$S$670,17,0)</f>
        <v>46131.432083333333</v>
      </c>
    </row>
    <row r="148" spans="1:17" ht="18.75" hidden="1" x14ac:dyDescent="0.25">
      <c r="A148" s="39">
        <v>226</v>
      </c>
      <c r="B148" s="39" t="s">
        <v>123</v>
      </c>
      <c r="C148" s="39" t="s">
        <v>932</v>
      </c>
      <c r="D148" s="28" t="s">
        <v>933</v>
      </c>
      <c r="E148" s="27" t="s">
        <v>254</v>
      </c>
      <c r="F148" s="5" t="s">
        <v>49</v>
      </c>
      <c r="G148" s="21">
        <v>1</v>
      </c>
      <c r="H148" s="22">
        <f>VLOOKUP(C148,'Master File June-26'!$C$3:$I$670,6,0)</f>
        <v>132</v>
      </c>
      <c r="I148" s="96">
        <f>VLOOKUP(C148,'Master File June-26'!$C$3:$I$670,7,0)</f>
        <v>132</v>
      </c>
      <c r="J148" s="5">
        <f>VLOOKUP(C148,'Master File June-26'!C:J,8,0)</f>
        <v>14</v>
      </c>
      <c r="K148" s="23">
        <f t="shared" si="8"/>
        <v>73.92</v>
      </c>
      <c r="L148" s="58">
        <f>VLOOKUP(C148,'Master File June-26'!C:L,10,0)</f>
        <v>0</v>
      </c>
      <c r="M148" s="24">
        <f t="shared" si="9"/>
        <v>0</v>
      </c>
      <c r="N148" s="25" t="str">
        <f t="shared" si="10"/>
        <v>ORDER NOW</v>
      </c>
      <c r="O148" s="25" t="str">
        <f t="shared" si="11"/>
        <v>CRITICAL</v>
      </c>
      <c r="Q148" s="90">
        <f>VLOOKUP(C148,'Master File June-26'!$C$3:$S$670,17,0)</f>
        <v>46128.695671296293</v>
      </c>
    </row>
    <row r="149" spans="1:17" ht="18.75" hidden="1" x14ac:dyDescent="0.25">
      <c r="A149" s="41">
        <v>487</v>
      </c>
      <c r="B149" s="41" t="s">
        <v>38</v>
      </c>
      <c r="C149" s="41" t="s">
        <v>1215</v>
      </c>
      <c r="D149" s="28" t="s">
        <v>1216</v>
      </c>
      <c r="E149" s="27" t="s">
        <v>1217</v>
      </c>
      <c r="F149" s="5" t="s">
        <v>22</v>
      </c>
      <c r="G149" s="21">
        <f>1/20</f>
        <v>0.05</v>
      </c>
      <c r="H149" s="22">
        <f>VLOOKUP(C149,'Master File June-26'!$C$3:$I$670,6,0)</f>
        <v>1</v>
      </c>
      <c r="I149" s="96">
        <f>VLOOKUP(C149,'Master File June-26'!$C$3:$I$670,7,0)</f>
        <v>20</v>
      </c>
      <c r="J149" s="5">
        <f>VLOOKUP(C149,'Master File June-26'!C:J,8,0)</f>
        <v>14</v>
      </c>
      <c r="K149" s="23">
        <f t="shared" si="8"/>
        <v>11.200000000000001</v>
      </c>
      <c r="L149" s="58">
        <f>VLOOKUP(C149,'Master File June-26'!C:L,10,0)</f>
        <v>0</v>
      </c>
      <c r="M149" s="24">
        <f t="shared" si="9"/>
        <v>0</v>
      </c>
      <c r="N149" s="25" t="str">
        <f t="shared" si="10"/>
        <v>ORDER NOW</v>
      </c>
      <c r="O149" s="25" t="str">
        <f t="shared" si="11"/>
        <v>CRITICAL</v>
      </c>
      <c r="Q149" s="90">
        <f>VLOOKUP(C149,'Master File June-26'!$C$3:$S$670,17,0)</f>
        <v>46141.525914351849</v>
      </c>
    </row>
    <row r="150" spans="1:17" ht="18.75" hidden="1" x14ac:dyDescent="0.25">
      <c r="A150" s="41">
        <v>574</v>
      </c>
      <c r="B150" s="41" t="s">
        <v>38</v>
      </c>
      <c r="C150" s="41" t="s">
        <v>1335</v>
      </c>
      <c r="D150" s="20" t="s">
        <v>1336</v>
      </c>
      <c r="E150" s="31" t="s">
        <v>64</v>
      </c>
      <c r="F150" s="5" t="s">
        <v>49</v>
      </c>
      <c r="G150" s="21">
        <v>1</v>
      </c>
      <c r="H150" s="22">
        <v>3</v>
      </c>
      <c r="I150" s="96">
        <f>H150/G150</f>
        <v>3</v>
      </c>
      <c r="J150" s="5">
        <f>VLOOKUP(C150,'Master File June-26'!C:J,8,0)</f>
        <v>14</v>
      </c>
      <c r="K150" s="23">
        <f t="shared" si="8"/>
        <v>1.6800000000000002</v>
      </c>
      <c r="L150" s="58">
        <f>VLOOKUP(C150,'Master File June-26'!C:L,10,0)</f>
        <v>0</v>
      </c>
      <c r="M150" s="24">
        <f t="shared" si="9"/>
        <v>0</v>
      </c>
      <c r="N150" s="25" t="str">
        <f t="shared" si="10"/>
        <v>ORDER NOW</v>
      </c>
      <c r="O150" s="25" t="str">
        <f t="shared" si="11"/>
        <v>CRITICAL</v>
      </c>
      <c r="Q150" s="90" t="e">
        <f>VLOOKUP(C150,[2]Sheet1!$C$3:$P$524,14,0)</f>
        <v>#N/A</v>
      </c>
    </row>
    <row r="151" spans="1:17" ht="18.75" hidden="1" x14ac:dyDescent="0.25">
      <c r="A151" s="41">
        <v>572</v>
      </c>
      <c r="B151" s="41" t="s">
        <v>38</v>
      </c>
      <c r="C151" s="41" t="s">
        <v>1432</v>
      </c>
      <c r="D151" s="55" t="s">
        <v>1433</v>
      </c>
      <c r="E151" s="31" t="s">
        <v>64</v>
      </c>
      <c r="F151" s="5" t="s">
        <v>49</v>
      </c>
      <c r="G151" s="21">
        <v>1</v>
      </c>
      <c r="H151" s="22">
        <v>5</v>
      </c>
      <c r="I151" s="96">
        <f>H151/G151</f>
        <v>5</v>
      </c>
      <c r="J151" s="5">
        <f>VLOOKUP(C151,'Master File June-26'!C:J,8,0)</f>
        <v>14</v>
      </c>
      <c r="K151" s="23">
        <f t="shared" si="8"/>
        <v>2.8000000000000003</v>
      </c>
      <c r="L151" s="58">
        <f>VLOOKUP(C151,'Master File June-26'!C:L,10,0)</f>
        <v>0</v>
      </c>
      <c r="M151" s="24">
        <f t="shared" si="9"/>
        <v>0</v>
      </c>
      <c r="N151" s="25" t="str">
        <f t="shared" si="10"/>
        <v>ORDER NOW</v>
      </c>
      <c r="O151" s="25" t="str">
        <f t="shared" si="11"/>
        <v>CRITICAL</v>
      </c>
      <c r="Q151" s="90" t="e">
        <f>VLOOKUP(C151,[2]Sheet1!$C$3:$P$524,14,0)</f>
        <v>#N/A</v>
      </c>
    </row>
    <row r="152" spans="1:17" ht="18.75" hidden="1" x14ac:dyDescent="0.25">
      <c r="A152" s="19">
        <v>55</v>
      </c>
      <c r="B152" s="19" t="s">
        <v>18</v>
      </c>
      <c r="C152" s="19" t="s">
        <v>1325</v>
      </c>
      <c r="D152" s="30" t="s">
        <v>1326</v>
      </c>
      <c r="E152" s="29" t="s">
        <v>1327</v>
      </c>
      <c r="F152" s="5" t="s">
        <v>22</v>
      </c>
      <c r="G152" s="21">
        <f>1/1200</f>
        <v>8.3333333333333339E-4</v>
      </c>
      <c r="H152" s="22">
        <f>VLOOKUP(C152,'Master File June-26'!$C$3:$I$670,6,0)</f>
        <v>10</v>
      </c>
      <c r="I152" s="96">
        <f>VLOOKUP(C152,'Master File June-26'!$C$3:$I$670,7,0)</f>
        <v>12000</v>
      </c>
      <c r="J152" s="5">
        <f>VLOOKUP(C152,'Master File June-26'!C:J,8,0)</f>
        <v>14</v>
      </c>
      <c r="K152" s="23">
        <f t="shared" si="8"/>
        <v>6720.0000000000009</v>
      </c>
      <c r="L152" s="58">
        <f>VLOOKUP(C152,'Master File June-26'!C:L,10,0)</f>
        <v>0</v>
      </c>
      <c r="M152" s="24">
        <f t="shared" si="9"/>
        <v>0</v>
      </c>
      <c r="N152" s="25" t="str">
        <f t="shared" si="10"/>
        <v>ORDER NOW</v>
      </c>
      <c r="O152" s="25" t="str">
        <f t="shared" si="11"/>
        <v>CRITICAL</v>
      </c>
      <c r="P152" t="s">
        <v>30</v>
      </c>
      <c r="Q152" s="90">
        <f>VLOOKUP(C152,'Master File June-26'!$C$3:$S$670,17,0)</f>
        <v>46131.519212962965</v>
      </c>
    </row>
    <row r="153" spans="1:17" ht="18.75" hidden="1" x14ac:dyDescent="0.25">
      <c r="A153" s="39">
        <v>222</v>
      </c>
      <c r="B153" s="39" t="s">
        <v>123</v>
      </c>
      <c r="C153" s="39" t="s">
        <v>860</v>
      </c>
      <c r="D153" s="28" t="s">
        <v>861</v>
      </c>
      <c r="E153" s="27" t="s">
        <v>254</v>
      </c>
      <c r="F153" s="5" t="s">
        <v>49</v>
      </c>
      <c r="G153" s="21">
        <v>1</v>
      </c>
      <c r="H153" s="22">
        <f>VLOOKUP(C153,'Master File June-26'!$C$3:$I$670,6,0)</f>
        <v>220</v>
      </c>
      <c r="I153" s="96">
        <f>VLOOKUP(C153,'Master File June-26'!$C$3:$I$670,7,0)</f>
        <v>220</v>
      </c>
      <c r="J153" s="5">
        <f>VLOOKUP(C153,'Master File June-26'!C:J,8,0)</f>
        <v>14</v>
      </c>
      <c r="K153" s="23">
        <f t="shared" si="8"/>
        <v>123.20000000000002</v>
      </c>
      <c r="L153" s="58">
        <f>VLOOKUP(C153,'Master File June-26'!C:L,10,0)</f>
        <v>0</v>
      </c>
      <c r="M153" s="24">
        <f t="shared" si="9"/>
        <v>0</v>
      </c>
      <c r="N153" s="25" t="str">
        <f t="shared" si="10"/>
        <v>ORDER NOW</v>
      </c>
      <c r="O153" s="25" t="str">
        <f t="shared" si="11"/>
        <v>CRITICAL</v>
      </c>
      <c r="Q153" s="90">
        <f>VLOOKUP(C153,'Master File June-26'!$C$3:$S$670,17,0)</f>
        <v>46134.446388888886</v>
      </c>
    </row>
    <row r="154" spans="1:17" ht="18.75" hidden="1" x14ac:dyDescent="0.25">
      <c r="A154" s="39">
        <v>219</v>
      </c>
      <c r="B154" s="39" t="s">
        <v>123</v>
      </c>
      <c r="C154" s="39" t="s">
        <v>1261</v>
      </c>
      <c r="D154" s="28" t="s">
        <v>1262</v>
      </c>
      <c r="E154" s="27" t="s">
        <v>78</v>
      </c>
      <c r="F154" s="5" t="s">
        <v>49</v>
      </c>
      <c r="G154" s="21">
        <v>1</v>
      </c>
      <c r="H154" s="22">
        <f>VLOOKUP(C154,'Master File June-26'!$C$3:$I$670,6,0)</f>
        <v>79</v>
      </c>
      <c r="I154" s="96">
        <f>VLOOKUP(C154,'Master File June-26'!$C$3:$I$670,7,0)</f>
        <v>79</v>
      </c>
      <c r="J154" s="5">
        <f>VLOOKUP(C154,'Master File June-26'!C:J,8,0)</f>
        <v>14</v>
      </c>
      <c r="K154" s="23">
        <f t="shared" si="8"/>
        <v>44.24</v>
      </c>
      <c r="L154" s="58">
        <f>VLOOKUP(C154,'Master File June-26'!C:L,10,0)</f>
        <v>0</v>
      </c>
      <c r="M154" s="24">
        <f t="shared" si="9"/>
        <v>0</v>
      </c>
      <c r="N154" s="25" t="str">
        <f t="shared" si="10"/>
        <v>ORDER NOW</v>
      </c>
      <c r="O154" s="25" t="str">
        <f t="shared" si="11"/>
        <v>CRITICAL</v>
      </c>
      <c r="Q154" s="90" t="e">
        <f>VLOOKUP(C154,[2]Sheet1!$C$3:$P$524,14,0)</f>
        <v>#N/A</v>
      </c>
    </row>
    <row r="155" spans="1:17" ht="18.75" hidden="1" x14ac:dyDescent="0.25">
      <c r="A155" s="39">
        <v>223</v>
      </c>
      <c r="B155" s="39" t="s">
        <v>123</v>
      </c>
      <c r="C155" s="39" t="s">
        <v>1301</v>
      </c>
      <c r="D155" s="28" t="s">
        <v>1302</v>
      </c>
      <c r="E155" s="27" t="s">
        <v>254</v>
      </c>
      <c r="F155" s="5" t="s">
        <v>49</v>
      </c>
      <c r="G155" s="21">
        <v>1</v>
      </c>
      <c r="H155" s="22">
        <f>VLOOKUP(C155,'Master File June-26'!$C$3:$I$670,6,0)</f>
        <v>67</v>
      </c>
      <c r="I155" s="96">
        <f>VLOOKUP(C155,'Master File June-26'!$C$3:$I$670,7,0)</f>
        <v>67</v>
      </c>
      <c r="J155" s="5">
        <f>VLOOKUP(C155,'Master File June-26'!C:J,8,0)</f>
        <v>14</v>
      </c>
      <c r="K155" s="23">
        <f t="shared" si="8"/>
        <v>37.520000000000003</v>
      </c>
      <c r="L155" s="58">
        <f>VLOOKUP(C155,'Master File June-26'!C:L,10,0)</f>
        <v>0</v>
      </c>
      <c r="M155" s="24">
        <f t="shared" si="9"/>
        <v>0</v>
      </c>
      <c r="N155" s="25" t="str">
        <f t="shared" si="10"/>
        <v>ORDER NOW</v>
      </c>
      <c r="O155" s="25" t="str">
        <f t="shared" si="11"/>
        <v>CRITICAL</v>
      </c>
      <c r="Q155" s="90" t="e">
        <f>VLOOKUP(C155,[2]Sheet1!$C$3:$P$524,14,0)</f>
        <v>#N/A</v>
      </c>
    </row>
    <row r="156" spans="1:17" ht="18.75" hidden="1" x14ac:dyDescent="0.25">
      <c r="A156" s="39">
        <v>220</v>
      </c>
      <c r="B156" s="39" t="s">
        <v>239</v>
      </c>
      <c r="C156" s="39" t="s">
        <v>1409</v>
      </c>
      <c r="D156" s="28" t="s">
        <v>1410</v>
      </c>
      <c r="E156" s="27" t="s">
        <v>160</v>
      </c>
      <c r="F156" s="5" t="s">
        <v>49</v>
      </c>
      <c r="G156" s="21">
        <v>1</v>
      </c>
      <c r="H156" s="22">
        <v>27.5</v>
      </c>
      <c r="I156" s="96">
        <f>H156/G156</f>
        <v>27.5</v>
      </c>
      <c r="J156" s="5">
        <f>VLOOKUP(C156,'Master File June-26'!C:J,8,0)</f>
        <v>14</v>
      </c>
      <c r="K156" s="23">
        <f t="shared" si="8"/>
        <v>15.400000000000002</v>
      </c>
      <c r="L156" s="58">
        <f>VLOOKUP(C156,'Master File June-26'!C:L,10,0)</f>
        <v>0</v>
      </c>
      <c r="M156" s="24">
        <f t="shared" si="9"/>
        <v>0</v>
      </c>
      <c r="N156" s="25" t="str">
        <f t="shared" si="10"/>
        <v>ORDER NOW</v>
      </c>
      <c r="O156" s="25" t="str">
        <f t="shared" si="11"/>
        <v>CRITICAL</v>
      </c>
      <c r="Q156" s="90" t="e">
        <f>VLOOKUP(C156,[2]Sheet1!$C$3:$P$524,14,0)</f>
        <v>#N/A</v>
      </c>
    </row>
    <row r="157" spans="1:17" ht="18.75" hidden="1" x14ac:dyDescent="0.25">
      <c r="A157" s="41">
        <v>350</v>
      </c>
      <c r="B157" s="41" t="s">
        <v>38</v>
      </c>
      <c r="C157" s="41" t="s">
        <v>1416</v>
      </c>
      <c r="D157" s="30" t="s">
        <v>1417</v>
      </c>
      <c r="E157" s="29"/>
      <c r="F157" s="5"/>
      <c r="G157" s="21">
        <v>1</v>
      </c>
      <c r="H157" s="22">
        <v>27.5</v>
      </c>
      <c r="I157" s="96">
        <f>H157/G157</f>
        <v>27.5</v>
      </c>
      <c r="J157" s="5">
        <f>VLOOKUP(C157,'Master File June-26'!C:J,8,0)</f>
        <v>14</v>
      </c>
      <c r="K157" s="23">
        <f t="shared" si="8"/>
        <v>15.400000000000002</v>
      </c>
      <c r="L157" s="58">
        <f>VLOOKUP(C157,'Master File June-26'!C:L,10,0)</f>
        <v>0</v>
      </c>
      <c r="M157" s="24">
        <f t="shared" si="9"/>
        <v>0</v>
      </c>
      <c r="N157" s="25" t="str">
        <f t="shared" si="10"/>
        <v>ORDER NOW</v>
      </c>
      <c r="O157" s="25" t="str">
        <f t="shared" si="11"/>
        <v>CRITICAL</v>
      </c>
      <c r="Q157" s="90" t="e">
        <f>VLOOKUP(C157,[2]Sheet1!$C$3:$P$524,14,0)</f>
        <v>#N/A</v>
      </c>
    </row>
    <row r="158" spans="1:17" ht="18.75" hidden="1" x14ac:dyDescent="0.25">
      <c r="A158" s="19">
        <v>153</v>
      </c>
      <c r="B158" s="19" t="s">
        <v>18</v>
      </c>
      <c r="C158" s="19" t="s">
        <v>1474</v>
      </c>
      <c r="D158" s="28" t="s">
        <v>1475</v>
      </c>
      <c r="E158" s="27" t="s">
        <v>49</v>
      </c>
      <c r="F158" s="5" t="s">
        <v>49</v>
      </c>
      <c r="G158" s="21">
        <v>1</v>
      </c>
      <c r="H158" s="22">
        <v>3</v>
      </c>
      <c r="I158" s="96">
        <f>H158/G158</f>
        <v>3</v>
      </c>
      <c r="J158" s="5">
        <f>VLOOKUP(C158,'Master File June-26'!C:J,8,0)</f>
        <v>14</v>
      </c>
      <c r="K158" s="23">
        <f t="shared" si="8"/>
        <v>1.6800000000000002</v>
      </c>
      <c r="L158" s="58">
        <f>VLOOKUP(C158,'Master File June-26'!C:L,10,0)</f>
        <v>5000</v>
      </c>
      <c r="M158" s="24">
        <f t="shared" si="9"/>
        <v>50000</v>
      </c>
      <c r="N158" s="25" t="str">
        <f t="shared" si="10"/>
        <v>IN STOCK</v>
      </c>
      <c r="O158" s="25" t="str">
        <f t="shared" si="11"/>
        <v>FOLLOW UP DELIVERY</v>
      </c>
      <c r="P158" t="s">
        <v>30</v>
      </c>
      <c r="Q158" s="90" t="e">
        <f>VLOOKUP(C158,[2]Sheet1!$C$3:$P$524,14,0)</f>
        <v>#N/A</v>
      </c>
    </row>
    <row r="159" spans="1:17" ht="18.75" hidden="1" x14ac:dyDescent="0.25">
      <c r="A159" s="39">
        <v>331</v>
      </c>
      <c r="B159" s="39" t="s">
        <v>157</v>
      </c>
      <c r="C159" s="39" t="s">
        <v>1580</v>
      </c>
      <c r="D159" s="133" t="s">
        <v>1581</v>
      </c>
      <c r="E159" s="31" t="s">
        <v>22</v>
      </c>
      <c r="F159" s="5" t="s">
        <v>22</v>
      </c>
      <c r="G159" s="21">
        <v>1E-3</v>
      </c>
      <c r="H159" s="22">
        <v>5</v>
      </c>
      <c r="I159" s="96">
        <f>H159/G159</f>
        <v>5000</v>
      </c>
      <c r="J159" s="5">
        <f>VLOOKUP(C159,'Master File June-26'!C:J,8,0)</f>
        <v>14</v>
      </c>
      <c r="K159" s="23">
        <f t="shared" si="8"/>
        <v>2800.0000000000005</v>
      </c>
      <c r="L159" s="58">
        <f>VLOOKUP(C159,'Master File June-26'!C:L,10,0)</f>
        <v>0</v>
      </c>
      <c r="M159" s="24">
        <f t="shared" si="9"/>
        <v>0</v>
      </c>
      <c r="N159" s="25" t="str">
        <f t="shared" si="10"/>
        <v>ORDER NOW</v>
      </c>
      <c r="O159" s="25" t="str">
        <f t="shared" si="11"/>
        <v>CRITICAL</v>
      </c>
      <c r="Q159" s="90" t="e">
        <f>VLOOKUP(C159,[2]Sheet1!$C$3:$P$524,14,0)</f>
        <v>#N/A</v>
      </c>
    </row>
    <row r="160" spans="1:17" ht="18.75" hidden="1" x14ac:dyDescent="0.25">
      <c r="A160" s="41">
        <v>337</v>
      </c>
      <c r="B160" s="41" t="s">
        <v>38</v>
      </c>
      <c r="C160" s="41" t="s">
        <v>1021</v>
      </c>
      <c r="D160" s="28" t="s">
        <v>1022</v>
      </c>
      <c r="E160" s="27" t="s">
        <v>1023</v>
      </c>
      <c r="F160" s="5" t="s">
        <v>22</v>
      </c>
      <c r="G160" s="21">
        <v>8.3333333333333339E-4</v>
      </c>
      <c r="H160" s="22">
        <f>VLOOKUP(C160,'Master File June-26'!$C$3:$I$670,6,0)</f>
        <v>22</v>
      </c>
      <c r="I160" s="96">
        <f>VLOOKUP(C160,'Master File June-26'!$C$3:$I$670,7,0)</f>
        <v>528</v>
      </c>
      <c r="J160" s="5">
        <f>VLOOKUP(C160,'Master File June-26'!C:J,8,0)</f>
        <v>14</v>
      </c>
      <c r="K160" s="23">
        <f t="shared" si="8"/>
        <v>295.68</v>
      </c>
      <c r="L160" s="58">
        <f>VLOOKUP(C160,'Master File June-26'!C:L,10,0)</f>
        <v>0</v>
      </c>
      <c r="M160" s="24">
        <f t="shared" si="9"/>
        <v>0</v>
      </c>
      <c r="N160" s="25" t="str">
        <f t="shared" si="10"/>
        <v>ORDER NOW</v>
      </c>
      <c r="O160" s="25" t="str">
        <f t="shared" si="11"/>
        <v>CRITICAL</v>
      </c>
      <c r="Q160" s="90">
        <f>VLOOKUP(C160,'Master File June-26'!$C$3:$S$670,17,0)</f>
        <v>46131.517777777779</v>
      </c>
    </row>
    <row r="161" spans="1:17" ht="18.75" hidden="1" x14ac:dyDescent="0.25">
      <c r="A161" s="39">
        <v>197</v>
      </c>
      <c r="B161" s="39" t="s">
        <v>239</v>
      </c>
      <c r="C161" s="39" t="s">
        <v>755</v>
      </c>
      <c r="D161" s="28" t="s">
        <v>756</v>
      </c>
      <c r="E161" s="27" t="s">
        <v>160</v>
      </c>
      <c r="F161" s="5" t="s">
        <v>49</v>
      </c>
      <c r="G161" s="21">
        <v>1</v>
      </c>
      <c r="H161" s="22">
        <f>VLOOKUP(C161,'Master File June-26'!$C$3:$I$670,6,0)</f>
        <v>220</v>
      </c>
      <c r="I161" s="96">
        <f>VLOOKUP(C161,'Master File June-26'!$C$3:$I$670,7,0)</f>
        <v>220</v>
      </c>
      <c r="J161" s="5">
        <f>VLOOKUP(C161,'Master File June-26'!C:J,8,0)</f>
        <v>14</v>
      </c>
      <c r="K161" s="23">
        <f t="shared" si="8"/>
        <v>123.20000000000002</v>
      </c>
      <c r="L161" s="58">
        <f>VLOOKUP(C161,'Master File June-26'!C:L,10,0)</f>
        <v>0</v>
      </c>
      <c r="M161" s="24">
        <f t="shared" si="9"/>
        <v>0</v>
      </c>
      <c r="N161" s="25" t="str">
        <f t="shared" si="10"/>
        <v>ORDER NOW</v>
      </c>
      <c r="O161" s="25" t="str">
        <f t="shared" si="11"/>
        <v>CRITICAL</v>
      </c>
      <c r="Q161" s="90">
        <f>VLOOKUP(C161,'Master File June-26'!$C$3:$S$670,17,0)</f>
        <v>46138.481458333335</v>
      </c>
    </row>
    <row r="162" spans="1:17" ht="18.75" hidden="1" x14ac:dyDescent="0.25">
      <c r="A162" s="41">
        <v>546</v>
      </c>
      <c r="B162" s="41" t="s">
        <v>61</v>
      </c>
      <c r="C162" s="41" t="s">
        <v>985</v>
      </c>
      <c r="D162" s="40" t="s">
        <v>986</v>
      </c>
      <c r="E162" s="31" t="s">
        <v>64</v>
      </c>
      <c r="F162" s="5" t="s">
        <v>49</v>
      </c>
      <c r="G162" s="21">
        <v>1</v>
      </c>
      <c r="H162" s="22">
        <f>VLOOKUP(C162,'Master File June-26'!$C$3:$I$670,6,0)</f>
        <v>10</v>
      </c>
      <c r="I162" s="96">
        <f>VLOOKUP(C162,'Master File June-26'!$C$3:$I$670,7,0)</f>
        <v>10</v>
      </c>
      <c r="J162" s="5">
        <f>VLOOKUP(C162,'Master File June-26'!C:J,8,0)</f>
        <v>14</v>
      </c>
      <c r="K162" s="23">
        <f t="shared" si="8"/>
        <v>5.6000000000000005</v>
      </c>
      <c r="L162" s="58">
        <f>VLOOKUP(C162,'Master File June-26'!C:L,10,0)</f>
        <v>0</v>
      </c>
      <c r="M162" s="24">
        <f t="shared" si="9"/>
        <v>0</v>
      </c>
      <c r="N162" s="25" t="str">
        <f t="shared" si="10"/>
        <v>ORDER NOW</v>
      </c>
      <c r="O162" s="25" t="str">
        <f t="shared" si="11"/>
        <v>CRITICAL</v>
      </c>
      <c r="Q162" s="90">
        <f>VLOOKUP(C162,'Master File June-26'!$C$3:$S$670,17,0)</f>
        <v>46141.525925925926</v>
      </c>
    </row>
    <row r="163" spans="1:17" ht="18.75" hidden="1" x14ac:dyDescent="0.25">
      <c r="A163" s="19">
        <v>13</v>
      </c>
      <c r="B163" s="19" t="s">
        <v>18</v>
      </c>
      <c r="C163" s="19" t="s">
        <v>1205</v>
      </c>
      <c r="D163" s="30" t="s">
        <v>1206</v>
      </c>
      <c r="E163" s="29" t="s">
        <v>1207</v>
      </c>
      <c r="F163" s="5" t="s">
        <v>22</v>
      </c>
      <c r="G163" s="21">
        <v>4.0000000000000001E-3</v>
      </c>
      <c r="H163" s="22">
        <v>110</v>
      </c>
      <c r="I163" s="96">
        <f>H163/G163</f>
        <v>27500</v>
      </c>
      <c r="J163" s="5">
        <f>VLOOKUP(C163,'Master File June-26'!C:J,8,0)</f>
        <v>14</v>
      </c>
      <c r="K163" s="23">
        <f t="shared" si="8"/>
        <v>15400.000000000002</v>
      </c>
      <c r="L163" s="58">
        <f>VLOOKUP(C163,'Master File June-26'!C:L,10,0)</f>
        <v>3000</v>
      </c>
      <c r="M163" s="24">
        <f t="shared" si="9"/>
        <v>3.2727272727272725</v>
      </c>
      <c r="N163" s="25" t="str">
        <f t="shared" si="10"/>
        <v>ORDER NOW</v>
      </c>
      <c r="O163" s="25" t="str">
        <f t="shared" si="11"/>
        <v>CRITICAL</v>
      </c>
      <c r="P163" t="s">
        <v>30</v>
      </c>
      <c r="Q163" s="90" t="e">
        <f>VLOOKUP(C163,[2]Sheet1!$C$3:$P$524,14,0)</f>
        <v>#N/A</v>
      </c>
    </row>
    <row r="164" spans="1:17" ht="18.75" hidden="1" x14ac:dyDescent="0.25">
      <c r="A164" s="41">
        <v>561</v>
      </c>
      <c r="B164" s="41" t="s">
        <v>38</v>
      </c>
      <c r="C164" s="41" t="s">
        <v>691</v>
      </c>
      <c r="D164" s="40" t="s">
        <v>692</v>
      </c>
      <c r="E164" s="31" t="s">
        <v>22</v>
      </c>
      <c r="F164" s="5" t="s">
        <v>22</v>
      </c>
      <c r="G164" s="21">
        <v>1</v>
      </c>
      <c r="H164" s="22">
        <v>5</v>
      </c>
      <c r="I164" s="96">
        <f>H164/G164</f>
        <v>5</v>
      </c>
      <c r="J164" s="5">
        <f>VLOOKUP(C164,'Master File June-26'!C:J,8,0)</f>
        <v>14</v>
      </c>
      <c r="K164" s="23">
        <f t="shared" si="8"/>
        <v>2.8000000000000003</v>
      </c>
      <c r="L164" s="58">
        <f>VLOOKUP(C164,'Master File June-26'!C:L,10,0)</f>
        <v>0</v>
      </c>
      <c r="M164" s="24">
        <f t="shared" si="9"/>
        <v>0</v>
      </c>
      <c r="N164" s="25" t="str">
        <f t="shared" si="10"/>
        <v>ORDER NOW</v>
      </c>
      <c r="O164" s="25" t="str">
        <f t="shared" si="11"/>
        <v>CRITICAL</v>
      </c>
      <c r="Q164" s="90" t="e">
        <f>VLOOKUP(C164,[2]Sheet1!$C$3:$P$524,14,0)</f>
        <v>#N/A</v>
      </c>
    </row>
    <row r="165" spans="1:17" ht="18.75" hidden="1" x14ac:dyDescent="0.25">
      <c r="A165" s="41">
        <v>336</v>
      </c>
      <c r="B165" s="41" t="s">
        <v>38</v>
      </c>
      <c r="C165" s="41" t="s">
        <v>1407</v>
      </c>
      <c r="D165" s="28" t="s">
        <v>1408</v>
      </c>
      <c r="E165" s="27" t="s">
        <v>1244</v>
      </c>
      <c r="F165" s="5" t="s">
        <v>22</v>
      </c>
      <c r="G165" s="21">
        <v>0.2</v>
      </c>
      <c r="H165" s="22">
        <v>88</v>
      </c>
      <c r="I165" s="96">
        <f>H165/G165</f>
        <v>440</v>
      </c>
      <c r="J165" s="5">
        <f>VLOOKUP(C165,'Master File June-26'!C:J,8,0)</f>
        <v>14</v>
      </c>
      <c r="K165" s="23">
        <f t="shared" si="8"/>
        <v>246.40000000000003</v>
      </c>
      <c r="L165" s="58">
        <f>VLOOKUP(C165,'Master File June-26'!C:L,10,0)</f>
        <v>0</v>
      </c>
      <c r="M165" s="24">
        <f t="shared" si="9"/>
        <v>0</v>
      </c>
      <c r="N165" s="25" t="str">
        <f t="shared" si="10"/>
        <v>ORDER NOW</v>
      </c>
      <c r="O165" s="25" t="str">
        <f t="shared" si="11"/>
        <v>CRITICAL</v>
      </c>
      <c r="Q165" s="90" t="e">
        <f>VLOOKUP(C165,[2]Sheet1!$C$3:$P$524,14,0)</f>
        <v>#N/A</v>
      </c>
    </row>
    <row r="166" spans="1:17" ht="18.75" hidden="1" x14ac:dyDescent="0.25">
      <c r="A166" s="41">
        <v>351</v>
      </c>
      <c r="B166" s="41" t="s">
        <v>38</v>
      </c>
      <c r="C166" s="41" t="s">
        <v>827</v>
      </c>
      <c r="D166" s="28" t="s">
        <v>828</v>
      </c>
      <c r="E166" s="27" t="s">
        <v>829</v>
      </c>
      <c r="F166" s="5" t="s">
        <v>22</v>
      </c>
      <c r="G166" s="21">
        <f>1/8000</f>
        <v>1.25E-4</v>
      </c>
      <c r="H166" s="22">
        <v>27.5</v>
      </c>
      <c r="I166" s="96">
        <f>H166/G166</f>
        <v>220000</v>
      </c>
      <c r="J166" s="5">
        <f>VLOOKUP(C166,'Master File June-26'!C:J,8,0)</f>
        <v>14</v>
      </c>
      <c r="K166" s="23">
        <f t="shared" si="8"/>
        <v>123200.00000000001</v>
      </c>
      <c r="L166" s="58">
        <f>VLOOKUP(C166,'Master File June-26'!C:L,10,0)</f>
        <v>0</v>
      </c>
      <c r="M166" s="24">
        <f t="shared" si="9"/>
        <v>0</v>
      </c>
      <c r="N166" s="25" t="str">
        <f t="shared" si="10"/>
        <v>ORDER NOW</v>
      </c>
      <c r="O166" s="25" t="str">
        <f t="shared" si="11"/>
        <v>CRITICAL</v>
      </c>
      <c r="Q166" s="90" t="e">
        <f>VLOOKUP(C166,[2]Sheet1!$C$3:$P$524,14,0)</f>
        <v>#N/A</v>
      </c>
    </row>
    <row r="167" spans="1:17" ht="18.75" hidden="1" x14ac:dyDescent="0.25">
      <c r="A167" s="19">
        <v>51</v>
      </c>
      <c r="B167" s="19" t="s">
        <v>157</v>
      </c>
      <c r="C167" s="19" t="s">
        <v>777</v>
      </c>
      <c r="D167" s="28" t="s">
        <v>778</v>
      </c>
      <c r="E167" s="27" t="s">
        <v>779</v>
      </c>
      <c r="F167" s="5" t="s">
        <v>22</v>
      </c>
      <c r="G167" s="21">
        <v>0.02</v>
      </c>
      <c r="H167" s="22">
        <f>VLOOKUP(C167,'Master File June-26'!$C$3:$I$670,6,0)</f>
        <v>79.5</v>
      </c>
      <c r="I167" s="96">
        <f>VLOOKUP(C167,'Master File June-26'!$C$3:$I$670,7,0)</f>
        <v>3975</v>
      </c>
      <c r="J167" s="5">
        <f>VLOOKUP(C167,'Master File June-26'!C:J,8,0)</f>
        <v>14</v>
      </c>
      <c r="K167" s="23">
        <f t="shared" si="8"/>
        <v>2226</v>
      </c>
      <c r="L167" s="58">
        <f>VLOOKUP(C167,'Master File June-26'!C:L,10,0)</f>
        <v>503</v>
      </c>
      <c r="M167" s="24">
        <f t="shared" si="9"/>
        <v>3.7962264150943397</v>
      </c>
      <c r="N167" s="25" t="str">
        <f t="shared" si="10"/>
        <v>ORDER NOW</v>
      </c>
      <c r="O167" s="25" t="str">
        <f t="shared" si="11"/>
        <v>CRITICAL</v>
      </c>
      <c r="P167" t="s">
        <v>30</v>
      </c>
      <c r="Q167" s="90">
        <f>VLOOKUP(C167,'Master File June-26'!$C$3:$S$670,17,0)</f>
        <v>46128.687743055554</v>
      </c>
    </row>
    <row r="168" spans="1:17" ht="18.75" hidden="1" x14ac:dyDescent="0.25">
      <c r="A168" s="41">
        <v>478</v>
      </c>
      <c r="B168" s="41" t="s">
        <v>38</v>
      </c>
      <c r="C168" s="41" t="s">
        <v>978</v>
      </c>
      <c r="D168" s="28" t="s">
        <v>979</v>
      </c>
      <c r="E168" s="27" t="s">
        <v>980</v>
      </c>
      <c r="F168" s="5" t="s">
        <v>22</v>
      </c>
      <c r="G168" s="21">
        <v>0.53333333333333333</v>
      </c>
      <c r="H168" s="22">
        <f>VLOOKUP(C168,'Master File June-26'!$C$3:$I$670,6,0)</f>
        <v>300</v>
      </c>
      <c r="I168" s="96">
        <f>VLOOKUP(C168,'Master File June-26'!$C$3:$I$670,7,0)</f>
        <v>562.5</v>
      </c>
      <c r="J168" s="5">
        <f>VLOOKUP(C168,'Master File June-26'!C:J,8,0)</f>
        <v>14</v>
      </c>
      <c r="K168" s="23">
        <f t="shared" si="8"/>
        <v>315.00000000000006</v>
      </c>
      <c r="L168" s="58">
        <f>VLOOKUP(C168,'Master File June-26'!C:L,10,0)</f>
        <v>0</v>
      </c>
      <c r="M168" s="24">
        <f t="shared" si="9"/>
        <v>0</v>
      </c>
      <c r="N168" s="25" t="str">
        <f t="shared" si="10"/>
        <v>ORDER NOW</v>
      </c>
      <c r="O168" s="25" t="str">
        <f t="shared" si="11"/>
        <v>CRITICAL</v>
      </c>
      <c r="Q168" s="90">
        <v>46113.430925925924</v>
      </c>
    </row>
    <row r="169" spans="1:17" ht="18.75" hidden="1" x14ac:dyDescent="0.25">
      <c r="A169" s="41">
        <v>465</v>
      </c>
      <c r="B169" s="41" t="s">
        <v>38</v>
      </c>
      <c r="C169" s="41" t="s">
        <v>1015</v>
      </c>
      <c r="D169" s="28" t="s">
        <v>1016</v>
      </c>
      <c r="E169" s="27" t="s">
        <v>1017</v>
      </c>
      <c r="F169" s="5" t="s">
        <v>22</v>
      </c>
      <c r="G169" s="21">
        <v>0.1</v>
      </c>
      <c r="H169" s="22">
        <f>VLOOKUP(C169,'Master File June-26'!$C$3:$I$670,6,0)</f>
        <v>80</v>
      </c>
      <c r="I169" s="96">
        <f>VLOOKUP(C169,'Master File June-26'!$C$3:$I$670,7,0)</f>
        <v>800</v>
      </c>
      <c r="J169" s="5">
        <f>VLOOKUP(C169,'Master File June-26'!C:J,8,0)</f>
        <v>14</v>
      </c>
      <c r="K169" s="23">
        <f t="shared" si="8"/>
        <v>448.00000000000006</v>
      </c>
      <c r="L169" s="58">
        <f>VLOOKUP(C169,'Master File June-26'!C:L,10,0)</f>
        <v>0</v>
      </c>
      <c r="M169" s="24">
        <f t="shared" si="9"/>
        <v>0</v>
      </c>
      <c r="N169" s="25" t="str">
        <f t="shared" si="10"/>
        <v>ORDER NOW</v>
      </c>
      <c r="O169" s="25" t="str">
        <f t="shared" si="11"/>
        <v>CRITICAL</v>
      </c>
      <c r="Q169" s="90">
        <f>VLOOKUP(C169,'Master File June-26'!$C$3:$S$670,17,0)</f>
        <v>46141.525891203702</v>
      </c>
    </row>
    <row r="170" spans="1:17" ht="18.75" hidden="1" x14ac:dyDescent="0.25">
      <c r="A170" s="39">
        <v>214</v>
      </c>
      <c r="B170" s="39" t="s">
        <v>123</v>
      </c>
      <c r="C170" s="39" t="s">
        <v>1089</v>
      </c>
      <c r="D170" s="28" t="s">
        <v>1090</v>
      </c>
      <c r="E170" s="27" t="s">
        <v>754</v>
      </c>
      <c r="F170" s="5" t="s">
        <v>49</v>
      </c>
      <c r="G170" s="21">
        <v>1</v>
      </c>
      <c r="H170" s="22">
        <v>120</v>
      </c>
      <c r="I170" s="96">
        <f>H170/G170</f>
        <v>120</v>
      </c>
      <c r="J170" s="5">
        <f>VLOOKUP(C170,'Master File June-26'!C:J,8,0)</f>
        <v>14</v>
      </c>
      <c r="K170" s="23">
        <f t="shared" si="8"/>
        <v>67.2</v>
      </c>
      <c r="L170" s="58">
        <f>VLOOKUP(C170,'Master File June-26'!C:L,10,0)</f>
        <v>64</v>
      </c>
      <c r="M170" s="24">
        <f t="shared" si="9"/>
        <v>16</v>
      </c>
      <c r="N170" s="25" t="str">
        <f t="shared" si="10"/>
        <v>IN STOCK</v>
      </c>
      <c r="O170" s="25" t="str">
        <f t="shared" si="11"/>
        <v>FOLLOW UP DELIVERY</v>
      </c>
      <c r="Q170" s="90" t="e">
        <f>VLOOKUP(C170,[2]Sheet1!$C$3:$P$524,14,0)</f>
        <v>#N/A</v>
      </c>
    </row>
    <row r="171" spans="1:17" ht="18.75" hidden="1" x14ac:dyDescent="0.25">
      <c r="A171" s="39">
        <v>211</v>
      </c>
      <c r="B171" s="39" t="s">
        <v>123</v>
      </c>
      <c r="C171" s="39" t="s">
        <v>733</v>
      </c>
      <c r="D171" s="28" t="s">
        <v>734</v>
      </c>
      <c r="E171" s="27" t="s">
        <v>160</v>
      </c>
      <c r="F171" s="5" t="s">
        <v>49</v>
      </c>
      <c r="G171" s="21">
        <v>2.2222222222222223</v>
      </c>
      <c r="H171" s="22">
        <f>VLOOKUP(C171,'Master File June-26'!$C$3:$I$670,6,0)</f>
        <v>155.5</v>
      </c>
      <c r="I171" s="96">
        <f>VLOOKUP(C171,'Master File June-26'!$C$3:$I$670,7,0)</f>
        <v>69.974999999999994</v>
      </c>
      <c r="J171" s="5">
        <f>VLOOKUP(C171,'Master File June-26'!C:J,8,0)</f>
        <v>14</v>
      </c>
      <c r="K171" s="23">
        <f t="shared" si="8"/>
        <v>39.186</v>
      </c>
      <c r="L171" s="58">
        <f>VLOOKUP(C171,'Master File June-26'!C:L,10,0)</f>
        <v>0</v>
      </c>
      <c r="M171" s="24">
        <f t="shared" si="9"/>
        <v>0</v>
      </c>
      <c r="N171" s="25" t="str">
        <f t="shared" si="10"/>
        <v>ORDER NOW</v>
      </c>
      <c r="O171" s="25" t="str">
        <f t="shared" si="11"/>
        <v>CRITICAL</v>
      </c>
      <c r="Q171" s="90">
        <f>VLOOKUP(C171,'Master File June-26'!$C$3:$S$670,17,0)</f>
        <v>46134.446250000001</v>
      </c>
    </row>
    <row r="172" spans="1:17" ht="18.75" hidden="1" x14ac:dyDescent="0.25">
      <c r="A172" s="19"/>
      <c r="B172" s="19"/>
      <c r="C172" s="19" t="s">
        <v>1623</v>
      </c>
      <c r="D172" s="20" t="s">
        <v>1624</v>
      </c>
      <c r="E172" s="31"/>
      <c r="F172" s="5"/>
      <c r="G172" s="21"/>
      <c r="H172" s="22">
        <f>VLOOKUP(C172,'Master File June-26'!$C$3:$I$670,6,0)</f>
        <v>1</v>
      </c>
      <c r="I172" s="96">
        <f>VLOOKUP(C172,'Master File June-26'!$C$3:$I$670,7,0)</f>
        <v>1000</v>
      </c>
      <c r="J172" s="5">
        <f>VLOOKUP(C172,'Master File June-26'!C:J,8,0)</f>
        <v>60</v>
      </c>
      <c r="K172" s="23">
        <f t="shared" si="8"/>
        <v>2400</v>
      </c>
      <c r="L172" s="58">
        <f>VLOOKUP(C172,'Master File June-26'!C:L,10,0)</f>
        <v>5000</v>
      </c>
      <c r="M172" s="24">
        <f t="shared" si="9"/>
        <v>150</v>
      </c>
      <c r="N172" s="25" t="str">
        <f t="shared" si="10"/>
        <v>IN STOCK</v>
      </c>
      <c r="O172" s="25" t="str">
        <f t="shared" si="11"/>
        <v>FOLLOW UP DELIVERY</v>
      </c>
      <c r="Q172" s="90" t="e">
        <f>VLOOKUP(C172,[2]Sheet1!$C$3:$P$524,14,0)</f>
        <v>#N/A</v>
      </c>
    </row>
    <row r="173" spans="1:17" ht="18.75" hidden="1" x14ac:dyDescent="0.25">
      <c r="A173" s="41">
        <v>427</v>
      </c>
      <c r="B173" s="41" t="s">
        <v>38</v>
      </c>
      <c r="C173" s="41" t="s">
        <v>819</v>
      </c>
      <c r="D173" s="28" t="s">
        <v>820</v>
      </c>
      <c r="E173" s="27" t="s">
        <v>821</v>
      </c>
      <c r="F173" s="5" t="s">
        <v>54</v>
      </c>
      <c r="G173" s="21">
        <v>0.02</v>
      </c>
      <c r="H173" s="22">
        <f>VLOOKUP(C173,'Master File June-26'!$C$3:$I$670,6,0)</f>
        <v>450</v>
      </c>
      <c r="I173" s="96">
        <f>VLOOKUP(C173,'Master File June-26'!$C$3:$I$670,7,0)</f>
        <v>22500</v>
      </c>
      <c r="J173" s="5">
        <f>VLOOKUP(C173,'Master File June-26'!C:J,8,0)</f>
        <v>14</v>
      </c>
      <c r="K173" s="23">
        <f t="shared" si="8"/>
        <v>12600.000000000002</v>
      </c>
      <c r="L173" s="58">
        <f>VLOOKUP(C173,'Master File June-26'!C:L,10,0)</f>
        <v>6000</v>
      </c>
      <c r="M173" s="24">
        <f t="shared" si="9"/>
        <v>8</v>
      </c>
      <c r="N173" s="25" t="str">
        <f t="shared" si="10"/>
        <v>ORDER NOW</v>
      </c>
      <c r="O173" s="25" t="str">
        <f t="shared" si="11"/>
        <v>CRITICAL</v>
      </c>
      <c r="Q173" s="90">
        <f>VLOOKUP(C173,'Master File June-26'!$C$3:$S$670,17,0)</f>
        <v>46141.525567129633</v>
      </c>
    </row>
    <row r="174" spans="1:17" ht="18.75" hidden="1" x14ac:dyDescent="0.25">
      <c r="A174" s="39">
        <v>281</v>
      </c>
      <c r="B174" s="39" t="s">
        <v>239</v>
      </c>
      <c r="C174" s="39" t="s">
        <v>950</v>
      </c>
      <c r="D174" s="28" t="s">
        <v>951</v>
      </c>
      <c r="E174" s="27" t="s">
        <v>952</v>
      </c>
      <c r="F174" s="5" t="s">
        <v>46</v>
      </c>
      <c r="G174" s="21">
        <v>0.16666666666666666</v>
      </c>
      <c r="H174" s="22">
        <v>570</v>
      </c>
      <c r="I174" s="96">
        <f>H174/G174</f>
        <v>3420</v>
      </c>
      <c r="J174" s="5">
        <f>VLOOKUP(C174,'Master File June-26'!C:J,8,0)</f>
        <v>14</v>
      </c>
      <c r="K174" s="23">
        <f t="shared" si="8"/>
        <v>1915.2000000000003</v>
      </c>
      <c r="L174" s="58">
        <f>VLOOKUP(C174,'Master File June-26'!C:L,10,0)</f>
        <v>12</v>
      </c>
      <c r="M174" s="24">
        <f t="shared" si="9"/>
        <v>0.10526315789473685</v>
      </c>
      <c r="N174" s="25" t="str">
        <f t="shared" si="10"/>
        <v>ORDER NOW</v>
      </c>
      <c r="O174" s="25" t="str">
        <f t="shared" si="11"/>
        <v>CRITICAL</v>
      </c>
      <c r="Q174" s="90" t="e">
        <f>VLOOKUP(C174,[2]Sheet1!$C$3:$P$524,14,0)</f>
        <v>#N/A</v>
      </c>
    </row>
    <row r="175" spans="1:17" ht="18.75" hidden="1" x14ac:dyDescent="0.25">
      <c r="A175" s="19">
        <v>7</v>
      </c>
      <c r="B175" s="19"/>
      <c r="C175" s="19" t="s">
        <v>1256</v>
      </c>
      <c r="D175" s="20" t="s">
        <v>1257</v>
      </c>
      <c r="E175" s="31" t="s">
        <v>1258</v>
      </c>
      <c r="F175" s="5" t="s">
        <v>49</v>
      </c>
      <c r="G175" s="21">
        <f>1/1500</f>
        <v>6.6666666666666664E-4</v>
      </c>
      <c r="H175" s="22">
        <v>6</v>
      </c>
      <c r="I175" s="96">
        <f>H175/G175</f>
        <v>9000</v>
      </c>
      <c r="J175" s="5">
        <f>VLOOKUP(C175,'Master File June-26'!C:J,8,0)</f>
        <v>60</v>
      </c>
      <c r="K175" s="23">
        <f t="shared" si="8"/>
        <v>21600</v>
      </c>
      <c r="L175" s="58">
        <f>VLOOKUP(C175,'Master File June-26'!C:L,10,0)</f>
        <v>0</v>
      </c>
      <c r="M175" s="24">
        <f t="shared" si="9"/>
        <v>0</v>
      </c>
      <c r="N175" s="25" t="str">
        <f t="shared" si="10"/>
        <v>ORDER NOW</v>
      </c>
      <c r="O175" s="25" t="str">
        <f t="shared" si="11"/>
        <v>CRITICAL</v>
      </c>
      <c r="P175" t="s">
        <v>30</v>
      </c>
      <c r="Q175" s="90" t="e">
        <f>VLOOKUP(C175,[2]Sheet1!$C$3:$P$524,14,0)</f>
        <v>#N/A</v>
      </c>
    </row>
    <row r="176" spans="1:17" ht="18.75" hidden="1" x14ac:dyDescent="0.25">
      <c r="A176" s="41">
        <v>395</v>
      </c>
      <c r="B176" s="41" t="s">
        <v>38</v>
      </c>
      <c r="C176" s="41" t="s">
        <v>82</v>
      </c>
      <c r="D176" s="28" t="s">
        <v>83</v>
      </c>
      <c r="E176" s="27"/>
      <c r="F176" s="5"/>
      <c r="G176" s="21">
        <f>1/96</f>
        <v>1.0416666666666666E-2</v>
      </c>
      <c r="H176" s="22">
        <f>VLOOKUP(C176,'Master File June-26'!$C$3:$I$670,6,0)</f>
        <v>16</v>
      </c>
      <c r="I176" s="96">
        <f>VLOOKUP(C176,'Master File June-26'!$C$3:$I$670,7,0)</f>
        <v>60.800000000000004</v>
      </c>
      <c r="J176" s="5">
        <f>VLOOKUP(C176,'Master File June-26'!C:J,8,0)</f>
        <v>14</v>
      </c>
      <c r="K176" s="23">
        <f t="shared" si="8"/>
        <v>34.048000000000009</v>
      </c>
      <c r="L176" s="58">
        <f>VLOOKUP(C176,'Master File June-26'!C:L,10,0)</f>
        <v>0</v>
      </c>
      <c r="M176" s="24">
        <f t="shared" si="9"/>
        <v>0</v>
      </c>
      <c r="N176" s="25" t="str">
        <f t="shared" si="10"/>
        <v>ORDER NOW</v>
      </c>
      <c r="O176" s="25" t="str">
        <f t="shared" si="11"/>
        <v>CRITICAL</v>
      </c>
      <c r="Q176" s="90" t="e">
        <f>VLOOKUP(C176,[2]Sheet1!$C$3:$P$524,14,0)</f>
        <v>#N/A</v>
      </c>
    </row>
    <row r="177" spans="1:17" ht="18.75" hidden="1" x14ac:dyDescent="0.25">
      <c r="A177" s="41">
        <v>468</v>
      </c>
      <c r="B177" s="41" t="s">
        <v>38</v>
      </c>
      <c r="C177" s="41" t="s">
        <v>467</v>
      </c>
      <c r="D177" s="28" t="s">
        <v>468</v>
      </c>
      <c r="E177" s="27" t="s">
        <v>469</v>
      </c>
      <c r="F177" s="5" t="s">
        <v>54</v>
      </c>
      <c r="G177" s="21">
        <v>6.6666666666666666E-2</v>
      </c>
      <c r="H177" s="22">
        <f>VLOOKUP(C177,'Master File June-26'!$C$3:$I$670,6,0)</f>
        <v>120</v>
      </c>
      <c r="I177" s="96">
        <f>VLOOKUP(C177,'Master File June-26'!$C$3:$I$670,7,0)</f>
        <v>1800</v>
      </c>
      <c r="J177" s="5">
        <f>VLOOKUP(C177,'Master File June-26'!C:J,8,0)</f>
        <v>14</v>
      </c>
      <c r="K177" s="23">
        <f t="shared" si="8"/>
        <v>1008.0000000000001</v>
      </c>
      <c r="L177" s="58">
        <f>VLOOKUP(C177,'Master File June-26'!C:L,10,0)</f>
        <v>0</v>
      </c>
      <c r="M177" s="24">
        <f t="shared" si="9"/>
        <v>0</v>
      </c>
      <c r="N177" s="25" t="str">
        <f t="shared" si="10"/>
        <v>ORDER NOW</v>
      </c>
      <c r="O177" s="25" t="str">
        <f t="shared" si="11"/>
        <v>CRITICAL</v>
      </c>
      <c r="Q177" s="90">
        <f>VLOOKUP(C177,'Master File June-26'!$C$3:$S$670,17,0)</f>
        <v>46113.430925925924</v>
      </c>
    </row>
    <row r="178" spans="1:17" ht="18.75" hidden="1" x14ac:dyDescent="0.25">
      <c r="A178" s="41">
        <v>504</v>
      </c>
      <c r="B178" s="41" t="s">
        <v>38</v>
      </c>
      <c r="C178" s="41" t="s">
        <v>1555</v>
      </c>
      <c r="D178" s="28" t="s">
        <v>1556</v>
      </c>
      <c r="E178" s="27" t="s">
        <v>1557</v>
      </c>
      <c r="F178" s="5" t="s">
        <v>54</v>
      </c>
      <c r="G178" s="21">
        <v>0.1</v>
      </c>
      <c r="H178" s="22">
        <v>15</v>
      </c>
      <c r="I178" s="96">
        <f>H178/G178</f>
        <v>150</v>
      </c>
      <c r="J178" s="5">
        <f>VLOOKUP(C178,'Master File June-26'!C:J,8,0)</f>
        <v>14</v>
      </c>
      <c r="K178" s="23">
        <f t="shared" si="8"/>
        <v>84.000000000000014</v>
      </c>
      <c r="L178" s="58">
        <f>VLOOKUP(C178,'Master File June-26'!C:L,10,0)</f>
        <v>0</v>
      </c>
      <c r="M178" s="24">
        <f t="shared" si="9"/>
        <v>0</v>
      </c>
      <c r="N178" s="25" t="str">
        <f t="shared" si="10"/>
        <v>ORDER NOW</v>
      </c>
      <c r="O178" s="25" t="str">
        <f t="shared" si="11"/>
        <v>CRITICAL</v>
      </c>
      <c r="Q178" s="90" t="e">
        <f>VLOOKUP(C178,[2]Sheet1!$C$3:$P$524,14,0)</f>
        <v>#N/A</v>
      </c>
    </row>
    <row r="179" spans="1:17" ht="18.75" hidden="1" x14ac:dyDescent="0.25">
      <c r="A179" s="41">
        <v>486</v>
      </c>
      <c r="B179" s="41" t="s">
        <v>38</v>
      </c>
      <c r="C179" s="41" t="s">
        <v>1282</v>
      </c>
      <c r="D179" s="28" t="s">
        <v>1283</v>
      </c>
      <c r="E179" s="27" t="s">
        <v>1284</v>
      </c>
      <c r="F179" s="5" t="s">
        <v>89</v>
      </c>
      <c r="G179" s="21">
        <f>1/144</f>
        <v>6.9444444444444441E-3</v>
      </c>
      <c r="H179" s="22">
        <v>1</v>
      </c>
      <c r="I179" s="96">
        <f>H179/G179</f>
        <v>144</v>
      </c>
      <c r="J179" s="5">
        <f>VLOOKUP(C179,'Master File June-26'!C:J,8,0)</f>
        <v>14</v>
      </c>
      <c r="K179" s="23">
        <f t="shared" si="8"/>
        <v>80.640000000000015</v>
      </c>
      <c r="L179" s="58">
        <f>VLOOKUP(C179,'Master File June-26'!C:L,10,0)</f>
        <v>0</v>
      </c>
      <c r="M179" s="24">
        <f t="shared" si="9"/>
        <v>0</v>
      </c>
      <c r="N179" s="25" t="str">
        <f t="shared" si="10"/>
        <v>ORDER NOW</v>
      </c>
      <c r="O179" s="25" t="str">
        <f t="shared" si="11"/>
        <v>CRITICAL</v>
      </c>
      <c r="Q179" s="90" t="e">
        <f>VLOOKUP(C179,[2]Sheet1!$C$3:$P$524,14,0)</f>
        <v>#N/A</v>
      </c>
    </row>
    <row r="180" spans="1:17" ht="18.75" hidden="1" x14ac:dyDescent="0.25">
      <c r="A180" s="41">
        <v>554</v>
      </c>
      <c r="B180" s="41" t="s">
        <v>38</v>
      </c>
      <c r="C180" s="41" t="s">
        <v>1169</v>
      </c>
      <c r="D180" s="40" t="s">
        <v>1170</v>
      </c>
      <c r="E180" s="31" t="s">
        <v>22</v>
      </c>
      <c r="F180" s="5" t="s">
        <v>22</v>
      </c>
      <c r="G180" s="21">
        <v>1</v>
      </c>
      <c r="H180" s="22">
        <v>5</v>
      </c>
      <c r="I180" s="96">
        <f>H180/G180</f>
        <v>5</v>
      </c>
      <c r="J180" s="5">
        <f>VLOOKUP(C180,'Master File June-26'!C:J,8,0)</f>
        <v>14</v>
      </c>
      <c r="K180" s="23">
        <f t="shared" si="8"/>
        <v>2.8000000000000003</v>
      </c>
      <c r="L180" s="58">
        <f>VLOOKUP(C180,'Master File June-26'!C:L,10,0)</f>
        <v>0</v>
      </c>
      <c r="M180" s="24">
        <f t="shared" si="9"/>
        <v>0</v>
      </c>
      <c r="N180" s="25" t="str">
        <f t="shared" si="10"/>
        <v>ORDER NOW</v>
      </c>
      <c r="O180" s="25" t="str">
        <f t="shared" si="11"/>
        <v>CRITICAL</v>
      </c>
      <c r="Q180" s="90" t="e">
        <f>VLOOKUP(C180,[2]Sheet1!$C$3:$P$524,14,0)</f>
        <v>#N/A</v>
      </c>
    </row>
    <row r="181" spans="1:17" ht="18.75" hidden="1" x14ac:dyDescent="0.25">
      <c r="A181" s="41">
        <v>421</v>
      </c>
      <c r="B181" s="41" t="s">
        <v>38</v>
      </c>
      <c r="C181" s="41" t="s">
        <v>399</v>
      </c>
      <c r="D181" s="28" t="s">
        <v>400</v>
      </c>
      <c r="E181" s="27" t="s">
        <v>401</v>
      </c>
      <c r="F181" s="5" t="s">
        <v>54</v>
      </c>
      <c r="G181" s="21">
        <v>0.04</v>
      </c>
      <c r="H181" s="22">
        <f>VLOOKUP(C181,'Master File June-26'!$C$3:$I$670,6,0)</f>
        <v>4</v>
      </c>
      <c r="I181" s="96">
        <f>VLOOKUP(C181,'Master File June-26'!$C$3:$I$670,7,0)</f>
        <v>100</v>
      </c>
      <c r="J181" s="5">
        <f>VLOOKUP(C181,'Master File June-26'!C:J,8,0)</f>
        <v>14</v>
      </c>
      <c r="K181" s="23">
        <f t="shared" si="8"/>
        <v>56.000000000000007</v>
      </c>
      <c r="L181" s="58">
        <f>VLOOKUP(C181,'Master File June-26'!C:L,10,0)</f>
        <v>0</v>
      </c>
      <c r="M181" s="24">
        <f t="shared" si="9"/>
        <v>0</v>
      </c>
      <c r="N181" s="25" t="str">
        <f t="shared" si="10"/>
        <v>ORDER NOW</v>
      </c>
      <c r="O181" s="25" t="str">
        <f t="shared" si="11"/>
        <v>CRITICAL</v>
      </c>
      <c r="Q181" s="90">
        <f>VLOOKUP(C181,'Master File June-26'!$C$3:$S$670,17,0)</f>
        <v>46131.517870370371</v>
      </c>
    </row>
    <row r="182" spans="1:17" ht="18.75" hidden="1" x14ac:dyDescent="0.25">
      <c r="A182" s="41">
        <v>496</v>
      </c>
      <c r="B182" s="41" t="s">
        <v>38</v>
      </c>
      <c r="C182" s="41" t="s">
        <v>1094</v>
      </c>
      <c r="D182" s="35" t="s">
        <v>1095</v>
      </c>
      <c r="E182" s="27" t="s">
        <v>64</v>
      </c>
      <c r="F182" s="5" t="s">
        <v>49</v>
      </c>
      <c r="G182" s="21">
        <v>1</v>
      </c>
      <c r="H182" s="22">
        <v>10</v>
      </c>
      <c r="I182" s="96">
        <f>H182/G182</f>
        <v>10</v>
      </c>
      <c r="J182" s="5">
        <f>VLOOKUP(C182,'Master File June-26'!C:J,8,0)</f>
        <v>14</v>
      </c>
      <c r="K182" s="23">
        <f t="shared" si="8"/>
        <v>5.6000000000000005</v>
      </c>
      <c r="L182" s="58">
        <f>VLOOKUP(C182,'Master File June-26'!C:L,10,0)</f>
        <v>0</v>
      </c>
      <c r="M182" s="24">
        <f t="shared" si="9"/>
        <v>0</v>
      </c>
      <c r="N182" s="25" t="str">
        <f t="shared" si="10"/>
        <v>ORDER NOW</v>
      </c>
      <c r="O182" s="25" t="str">
        <f t="shared" si="11"/>
        <v>CRITICAL</v>
      </c>
      <c r="Q182" s="90" t="e">
        <f>VLOOKUP(C182,[2]Sheet1!$C$3:$P$524,14,0)</f>
        <v>#N/A</v>
      </c>
    </row>
    <row r="183" spans="1:17" ht="18.75" hidden="1" x14ac:dyDescent="0.25">
      <c r="A183" s="41">
        <v>542</v>
      </c>
      <c r="B183" s="41" t="s">
        <v>61</v>
      </c>
      <c r="C183" s="41" t="s">
        <v>817</v>
      </c>
      <c r="D183" s="40" t="s">
        <v>818</v>
      </c>
      <c r="E183" s="31" t="s">
        <v>64</v>
      </c>
      <c r="F183" s="5" t="s">
        <v>49</v>
      </c>
      <c r="G183" s="21">
        <v>1</v>
      </c>
      <c r="H183" s="22">
        <f>VLOOKUP(C183,'Master File June-26'!$C$3:$I$670,6,0)</f>
        <v>15</v>
      </c>
      <c r="I183" s="96">
        <f>VLOOKUP(C183,'Master File June-26'!$C$3:$I$670,7,0)</f>
        <v>15</v>
      </c>
      <c r="J183" s="5">
        <f>VLOOKUP(C183,'Master File June-26'!C:J,8,0)</f>
        <v>14</v>
      </c>
      <c r="K183" s="23">
        <f t="shared" si="8"/>
        <v>8.4</v>
      </c>
      <c r="L183" s="58">
        <f>VLOOKUP(C183,'Master File June-26'!C:L,10,0)</f>
        <v>0</v>
      </c>
      <c r="M183" s="24">
        <f t="shared" si="9"/>
        <v>0</v>
      </c>
      <c r="N183" s="25" t="str">
        <f t="shared" si="10"/>
        <v>ORDER NOW</v>
      </c>
      <c r="O183" s="25" t="str">
        <f t="shared" si="11"/>
        <v>CRITICAL</v>
      </c>
      <c r="Q183" s="90">
        <f>VLOOKUP(C183,'Master File June-26'!$C$3:$S$670,17,0)</f>
        <v>46131.432025462964</v>
      </c>
    </row>
    <row r="184" spans="1:17" ht="18.75" hidden="1" x14ac:dyDescent="0.25">
      <c r="A184" s="41">
        <v>531</v>
      </c>
      <c r="B184" s="41" t="s">
        <v>38</v>
      </c>
      <c r="C184" s="41" t="s">
        <v>1134</v>
      </c>
      <c r="D184" s="40" t="s">
        <v>1135</v>
      </c>
      <c r="E184" s="31" t="s">
        <v>64</v>
      </c>
      <c r="F184" s="5" t="s">
        <v>22</v>
      </c>
      <c r="G184" s="21">
        <v>1</v>
      </c>
      <c r="H184" s="22">
        <v>5</v>
      </c>
      <c r="I184" s="96">
        <f>H184/G184</f>
        <v>5</v>
      </c>
      <c r="J184" s="5">
        <f>VLOOKUP(C184,'Master File June-26'!C:J,8,0)</f>
        <v>14</v>
      </c>
      <c r="K184" s="23">
        <f t="shared" si="8"/>
        <v>2.8000000000000003</v>
      </c>
      <c r="L184" s="58">
        <f>VLOOKUP(C184,'Master File June-26'!C:L,10,0)</f>
        <v>0</v>
      </c>
      <c r="M184" s="24">
        <f t="shared" si="9"/>
        <v>0</v>
      </c>
      <c r="N184" s="25" t="str">
        <f t="shared" si="10"/>
        <v>ORDER NOW</v>
      </c>
      <c r="O184" s="25" t="str">
        <f t="shared" si="11"/>
        <v>CRITICAL</v>
      </c>
      <c r="Q184" s="90" t="e">
        <f>VLOOKUP(C184,[2]Sheet1!$C$3:$P$524,14,0)</f>
        <v>#N/A</v>
      </c>
    </row>
    <row r="185" spans="1:17" ht="18.75" hidden="1" x14ac:dyDescent="0.25">
      <c r="A185" s="41">
        <v>516</v>
      </c>
      <c r="B185" s="41" t="s">
        <v>38</v>
      </c>
      <c r="C185" s="41" t="s">
        <v>55</v>
      </c>
      <c r="D185" s="28" t="s">
        <v>56</v>
      </c>
      <c r="E185" s="27" t="s">
        <v>57</v>
      </c>
      <c r="F185" s="5" t="s">
        <v>54</v>
      </c>
      <c r="G185" s="21">
        <v>0.14285714285714285</v>
      </c>
      <c r="H185" s="22">
        <v>12</v>
      </c>
      <c r="I185" s="96">
        <f>H185/G185</f>
        <v>84</v>
      </c>
      <c r="J185" s="5">
        <f>VLOOKUP(C185,'Master File June-26'!C:J,8,0)</f>
        <v>14</v>
      </c>
      <c r="K185" s="23">
        <f t="shared" si="8"/>
        <v>47.040000000000006</v>
      </c>
      <c r="L185" s="58">
        <f>VLOOKUP(C185,'Master File June-26'!C:L,10,0)</f>
        <v>0</v>
      </c>
      <c r="M185" s="24">
        <f t="shared" si="9"/>
        <v>0</v>
      </c>
      <c r="N185" s="25" t="str">
        <f t="shared" si="10"/>
        <v>ORDER NOW</v>
      </c>
      <c r="O185" s="25" t="str">
        <f t="shared" si="11"/>
        <v>CRITICAL</v>
      </c>
      <c r="Q185" s="90">
        <f>VLOOKUP(C185,'Master File June-26'!$C$3:$S$670,17,0)</f>
        <v>46113.430925925924</v>
      </c>
    </row>
    <row r="186" spans="1:17" ht="18.75" hidden="1" x14ac:dyDescent="0.25">
      <c r="A186" s="41">
        <v>423</v>
      </c>
      <c r="B186" s="41" t="s">
        <v>38</v>
      </c>
      <c r="C186" s="41" t="s">
        <v>1057</v>
      </c>
      <c r="D186" s="28" t="s">
        <v>1058</v>
      </c>
      <c r="E186" s="27" t="s">
        <v>1059</v>
      </c>
      <c r="F186" s="5" t="s">
        <v>54</v>
      </c>
      <c r="G186" s="21">
        <v>0.04</v>
      </c>
      <c r="H186" s="22">
        <f>VLOOKUP(C186,'Master File June-26'!$C$3:$I$670,6,0)</f>
        <v>40</v>
      </c>
      <c r="I186" s="96">
        <f>VLOOKUP(C186,'Master File June-26'!$C$3:$I$670,7,0)</f>
        <v>1000</v>
      </c>
      <c r="J186" s="5">
        <f>VLOOKUP(C186,'Master File June-26'!C:J,8,0)</f>
        <v>14</v>
      </c>
      <c r="K186" s="23">
        <f t="shared" si="8"/>
        <v>560</v>
      </c>
      <c r="L186" s="58">
        <f>VLOOKUP(C186,'Master File June-26'!C:L,10,0)</f>
        <v>0</v>
      </c>
      <c r="M186" s="24">
        <f t="shared" si="9"/>
        <v>0</v>
      </c>
      <c r="N186" s="25" t="str">
        <f t="shared" si="10"/>
        <v>ORDER NOW</v>
      </c>
      <c r="O186" s="25" t="str">
        <f t="shared" si="11"/>
        <v>CRITICAL</v>
      </c>
      <c r="Q186" s="90">
        <f>VLOOKUP(C186,'Master File June-26'!$C$3:$S$670,17,0)</f>
        <v>46141.525694444441</v>
      </c>
    </row>
    <row r="187" spans="1:17" ht="18.75" hidden="1" x14ac:dyDescent="0.25">
      <c r="A187" s="41">
        <v>408</v>
      </c>
      <c r="B187" s="41" t="s">
        <v>38</v>
      </c>
      <c r="C187" s="41" t="s">
        <v>1411</v>
      </c>
      <c r="D187" s="28" t="s">
        <v>1412</v>
      </c>
      <c r="E187" s="27" t="s">
        <v>826</v>
      </c>
      <c r="F187" s="5" t="s">
        <v>49</v>
      </c>
      <c r="G187" s="21">
        <v>1</v>
      </c>
      <c r="H187" s="22">
        <v>8</v>
      </c>
      <c r="I187" s="96">
        <f>H187/G187</f>
        <v>8</v>
      </c>
      <c r="J187" s="5">
        <f>VLOOKUP(C187,'Master File June-26'!C:J,8,0)</f>
        <v>14</v>
      </c>
      <c r="K187" s="23">
        <f t="shared" si="8"/>
        <v>4.4800000000000004</v>
      </c>
      <c r="L187" s="58">
        <f>VLOOKUP(C187,'Master File June-26'!C:L,10,0)</f>
        <v>0</v>
      </c>
      <c r="M187" s="24">
        <f t="shared" si="9"/>
        <v>0</v>
      </c>
      <c r="N187" s="25" t="str">
        <f t="shared" si="10"/>
        <v>ORDER NOW</v>
      </c>
      <c r="O187" s="25" t="str">
        <f t="shared" si="11"/>
        <v>CRITICAL</v>
      </c>
      <c r="Q187" s="90" t="e">
        <f>VLOOKUP(C187,[2]Sheet1!$C$3:$P$524,14,0)</f>
        <v>#N/A</v>
      </c>
    </row>
    <row r="188" spans="1:17" ht="18.75" hidden="1" x14ac:dyDescent="0.25">
      <c r="A188" s="41">
        <v>411</v>
      </c>
      <c r="B188" s="41" t="s">
        <v>38</v>
      </c>
      <c r="C188" s="41" t="s">
        <v>1443</v>
      </c>
      <c r="D188" s="28" t="s">
        <v>1444</v>
      </c>
      <c r="E188" s="27" t="s">
        <v>1445</v>
      </c>
      <c r="F188" s="5" t="s">
        <v>49</v>
      </c>
      <c r="G188" s="21">
        <v>0.37037037037037035</v>
      </c>
      <c r="H188" s="22">
        <v>11</v>
      </c>
      <c r="I188" s="96">
        <f>H188/G188</f>
        <v>29.700000000000003</v>
      </c>
      <c r="J188" s="5">
        <f>VLOOKUP(C188,'Master File June-26'!C:J,8,0)</f>
        <v>14</v>
      </c>
      <c r="K188" s="23">
        <f t="shared" si="8"/>
        <v>16.632000000000001</v>
      </c>
      <c r="L188" s="58">
        <f>VLOOKUP(C188,'Master File June-26'!C:L,10,0)</f>
        <v>0</v>
      </c>
      <c r="M188" s="24">
        <f t="shared" si="9"/>
        <v>0</v>
      </c>
      <c r="N188" s="25" t="str">
        <f t="shared" si="10"/>
        <v>ORDER NOW</v>
      </c>
      <c r="O188" s="25" t="str">
        <f t="shared" si="11"/>
        <v>CRITICAL</v>
      </c>
      <c r="Q188" s="90" t="e">
        <f>VLOOKUP(C188,[2]Sheet1!$C$3:$P$524,14,0)</f>
        <v>#N/A</v>
      </c>
    </row>
    <row r="189" spans="1:17" ht="18.75" hidden="1" x14ac:dyDescent="0.25">
      <c r="A189" s="41">
        <v>462</v>
      </c>
      <c r="B189" s="41" t="s">
        <v>38</v>
      </c>
      <c r="C189" s="41" t="s">
        <v>961</v>
      </c>
      <c r="D189" s="28" t="s">
        <v>962</v>
      </c>
      <c r="E189" s="27" t="s">
        <v>963</v>
      </c>
      <c r="F189" s="5" t="s">
        <v>22</v>
      </c>
      <c r="G189" s="21">
        <v>4.1666666666666664E-2</v>
      </c>
      <c r="H189" s="22">
        <f>VLOOKUP(C189,'Master File June-26'!$C$3:$I$670,6,0)</f>
        <v>12</v>
      </c>
      <c r="I189" s="96">
        <f>VLOOKUP(C189,'Master File June-26'!$C$3:$I$670,7,0)</f>
        <v>288</v>
      </c>
      <c r="J189" s="5">
        <f>VLOOKUP(C189,'Master File June-26'!C:J,8,0)</f>
        <v>14</v>
      </c>
      <c r="K189" s="23">
        <f t="shared" si="8"/>
        <v>161.28000000000003</v>
      </c>
      <c r="L189" s="58">
        <f>VLOOKUP(C189,'Master File June-26'!C:L,10,0)</f>
        <v>0</v>
      </c>
      <c r="M189" s="24">
        <f t="shared" si="9"/>
        <v>0</v>
      </c>
      <c r="N189" s="25" t="str">
        <f t="shared" si="10"/>
        <v>ORDER NOW</v>
      </c>
      <c r="O189" s="25" t="str">
        <f t="shared" si="11"/>
        <v>CRITICAL</v>
      </c>
      <c r="Q189" s="90">
        <f>VLOOKUP(C189,'Master File June-26'!$C$3:$S$670,17,0)</f>
        <v>46138.62327546296</v>
      </c>
    </row>
    <row r="190" spans="1:17" ht="18.75" hidden="1" x14ac:dyDescent="0.25">
      <c r="A190" s="41">
        <v>576</v>
      </c>
      <c r="B190" s="41" t="s">
        <v>38</v>
      </c>
      <c r="C190" s="41" t="s">
        <v>540</v>
      </c>
      <c r="D190" s="20" t="s">
        <v>541</v>
      </c>
      <c r="E190" s="31" t="s">
        <v>64</v>
      </c>
      <c r="F190" s="5" t="s">
        <v>49</v>
      </c>
      <c r="G190" s="21">
        <v>1</v>
      </c>
      <c r="H190" s="22">
        <f>VLOOKUP(C190,'Master File June-26'!$C$3:$I$670,6,0)</f>
        <v>1</v>
      </c>
      <c r="I190" s="96">
        <f>VLOOKUP(C190,'Master File June-26'!$C$3:$I$670,7,0)</f>
        <v>1</v>
      </c>
      <c r="J190" s="5">
        <f>VLOOKUP(C190,'Master File June-26'!C:J,8,0)</f>
        <v>14</v>
      </c>
      <c r="K190" s="23">
        <f t="shared" si="8"/>
        <v>0.56000000000000005</v>
      </c>
      <c r="L190" s="58">
        <f>VLOOKUP(C190,'Master File June-26'!C:L,10,0)</f>
        <v>0</v>
      </c>
      <c r="M190" s="24">
        <f t="shared" si="9"/>
        <v>0</v>
      </c>
      <c r="N190" s="25" t="str">
        <f t="shared" si="10"/>
        <v>ORDER NOW</v>
      </c>
      <c r="O190" s="25" t="str">
        <f t="shared" si="11"/>
        <v>CRITICAL</v>
      </c>
      <c r="Q190" s="90">
        <f>VLOOKUP(C190,'Master File June-26'!$C$3:$S$670,17,0)</f>
        <v>46131.515243055554</v>
      </c>
    </row>
    <row r="191" spans="1:17" ht="18.75" hidden="1" x14ac:dyDescent="0.25">
      <c r="A191" s="41">
        <v>428</v>
      </c>
      <c r="B191" s="41" t="s">
        <v>38</v>
      </c>
      <c r="C191" s="41" t="s">
        <v>1149</v>
      </c>
      <c r="D191" s="28" t="s">
        <v>1150</v>
      </c>
      <c r="E191" s="27" t="s">
        <v>70</v>
      </c>
      <c r="F191" s="5" t="s">
        <v>54</v>
      </c>
      <c r="G191" s="21">
        <v>0.1</v>
      </c>
      <c r="H191" s="22">
        <v>105.5</v>
      </c>
      <c r="I191" s="96">
        <f>H191/G191</f>
        <v>1055</v>
      </c>
      <c r="J191" s="5">
        <f>VLOOKUP(C191,'Master File June-26'!C:J,8,0)</f>
        <v>14</v>
      </c>
      <c r="K191" s="23">
        <f t="shared" si="8"/>
        <v>590.80000000000007</v>
      </c>
      <c r="L191" s="58">
        <f>VLOOKUP(C191,'Master File June-26'!C:L,10,0)</f>
        <v>300</v>
      </c>
      <c r="M191" s="24">
        <f t="shared" si="9"/>
        <v>8.5308056872037916</v>
      </c>
      <c r="N191" s="25" t="str">
        <f t="shared" si="10"/>
        <v>ORDER NOW</v>
      </c>
      <c r="O191" s="25" t="str">
        <f t="shared" si="11"/>
        <v>CRITICAL</v>
      </c>
      <c r="Q191" s="90" t="e">
        <f>VLOOKUP(C191,[2]Sheet1!$C$3:$P$524,14,0)</f>
        <v>#N/A</v>
      </c>
    </row>
    <row r="192" spans="1:17" ht="18.75" hidden="1" x14ac:dyDescent="0.25">
      <c r="A192" s="19">
        <v>9</v>
      </c>
      <c r="B192" s="19" t="s">
        <v>18</v>
      </c>
      <c r="C192" s="19" t="s">
        <v>1232</v>
      </c>
      <c r="D192" s="28" t="s">
        <v>1233</v>
      </c>
      <c r="E192" s="27" t="s">
        <v>186</v>
      </c>
      <c r="F192" s="5" t="s">
        <v>22</v>
      </c>
      <c r="G192" s="21">
        <v>2E-3</v>
      </c>
      <c r="H192" s="22">
        <f>VLOOKUP(C192,'Master File June-26'!$C$3:$I$670,6,0)</f>
        <v>627</v>
      </c>
      <c r="I192" s="96">
        <f>VLOOKUP(C192,'Master File June-26'!$C$3:$I$670,7,0)</f>
        <v>313500</v>
      </c>
      <c r="J192" s="5">
        <f>VLOOKUP(C192,'Master File June-26'!C:J,8,0)</f>
        <v>60</v>
      </c>
      <c r="K192" s="23">
        <f t="shared" si="8"/>
        <v>752400</v>
      </c>
      <c r="L192" s="58">
        <f>VLOOKUP(C192,'Master File June-26'!C:L,10,0)</f>
        <v>0</v>
      </c>
      <c r="M192" s="24">
        <f t="shared" si="9"/>
        <v>0</v>
      </c>
      <c r="N192" s="25" t="str">
        <f t="shared" si="10"/>
        <v>ORDER NOW</v>
      </c>
      <c r="O192" s="25" t="str">
        <f t="shared" si="11"/>
        <v>CRITICAL</v>
      </c>
      <c r="P192" t="s">
        <v>30</v>
      </c>
      <c r="Q192" s="90">
        <f>VLOOKUP(C192,'Master File June-26'!$C$3:$S$670,17,0)</f>
        <v>46138.481736111113</v>
      </c>
    </row>
    <row r="193" spans="1:17" ht="18.75" hidden="1" x14ac:dyDescent="0.25">
      <c r="A193" s="41">
        <v>527</v>
      </c>
      <c r="B193" s="41" t="s">
        <v>104</v>
      </c>
      <c r="C193" s="41" t="s">
        <v>719</v>
      </c>
      <c r="D193" s="40" t="s">
        <v>720</v>
      </c>
      <c r="E193" s="31" t="s">
        <v>22</v>
      </c>
      <c r="F193" s="5" t="s">
        <v>22</v>
      </c>
      <c r="G193" s="21">
        <v>3.3333333333333333E-2</v>
      </c>
      <c r="H193" s="22">
        <f>VLOOKUP(C193,'Master File June-26'!$C$3:$I$670,6,0)</f>
        <v>10</v>
      </c>
      <c r="I193" s="96">
        <f>VLOOKUP(C193,'Master File June-26'!$C$3:$I$670,7,0)</f>
        <v>300</v>
      </c>
      <c r="J193" s="5">
        <f>VLOOKUP(C193,'Master File June-26'!C:J,8,0)</f>
        <v>14</v>
      </c>
      <c r="K193" s="23">
        <f t="shared" si="8"/>
        <v>168.00000000000003</v>
      </c>
      <c r="L193" s="58">
        <f>VLOOKUP(C193,'Master File June-26'!C:L,10,0)</f>
        <v>120</v>
      </c>
      <c r="M193" s="24">
        <f t="shared" si="9"/>
        <v>12</v>
      </c>
      <c r="N193" s="25" t="str">
        <f t="shared" si="10"/>
        <v>ORDER NOW</v>
      </c>
      <c r="O193" s="25" t="str">
        <f t="shared" si="11"/>
        <v>CRITICAL</v>
      </c>
      <c r="Q193" s="90">
        <f>VLOOKUP(C193,'Master File June-26'!$C$3:$S$670,17,0)</f>
        <v>46127.531122685185</v>
      </c>
    </row>
    <row r="194" spans="1:17" ht="18.75" hidden="1" x14ac:dyDescent="0.25">
      <c r="A194" s="19">
        <v>80</v>
      </c>
      <c r="B194" s="19" t="s">
        <v>18</v>
      </c>
      <c r="C194" s="19" t="s">
        <v>922</v>
      </c>
      <c r="D194" s="28" t="s">
        <v>923</v>
      </c>
      <c r="E194" s="27" t="s">
        <v>924</v>
      </c>
      <c r="F194" s="5" t="s">
        <v>22</v>
      </c>
      <c r="G194" s="21">
        <v>4.1666666666666669E-4</v>
      </c>
      <c r="H194" s="22">
        <f>VLOOKUP(C194,'Master File June-26'!$C$3:$I$670,6,0)</f>
        <v>200</v>
      </c>
      <c r="I194" s="96">
        <f>VLOOKUP(C194,'Master File June-26'!$C$3:$I$670,7,0)</f>
        <v>479999.99999999994</v>
      </c>
      <c r="J194" s="5">
        <f>VLOOKUP(C194,'Master File June-26'!C:J,8,0)</f>
        <v>14</v>
      </c>
      <c r="K194" s="23">
        <f t="shared" si="8"/>
        <v>268800</v>
      </c>
      <c r="L194" s="58">
        <f>VLOOKUP(C194,'Master File June-26'!C:L,10,0)</f>
        <v>100800</v>
      </c>
      <c r="M194" s="24">
        <f t="shared" si="9"/>
        <v>6.3000000000000007</v>
      </c>
      <c r="N194" s="25" t="str">
        <f t="shared" si="10"/>
        <v>ORDER NOW</v>
      </c>
      <c r="O194" s="25" t="str">
        <f t="shared" si="11"/>
        <v>CRITICAL</v>
      </c>
      <c r="P194" t="s">
        <v>30</v>
      </c>
      <c r="Q194" s="90">
        <f>VLOOKUP(C194,'Master File June-26'!$C$3:$S$670,17,0)</f>
        <v>46138.48159722222</v>
      </c>
    </row>
    <row r="195" spans="1:17" ht="18.75" hidden="1" x14ac:dyDescent="0.25">
      <c r="A195" s="19">
        <v>16</v>
      </c>
      <c r="B195" s="19" t="s">
        <v>18</v>
      </c>
      <c r="C195" s="19" t="s">
        <v>1450</v>
      </c>
      <c r="D195" s="30" t="s">
        <v>1451</v>
      </c>
      <c r="E195" s="29" t="s">
        <v>1452</v>
      </c>
      <c r="F195" s="5" t="s">
        <v>22</v>
      </c>
      <c r="G195" s="21">
        <v>5.0000000000000001E-3</v>
      </c>
      <c r="H195" s="22">
        <v>170.5</v>
      </c>
      <c r="I195" s="96">
        <f>H195/G195</f>
        <v>34100</v>
      </c>
      <c r="J195" s="5">
        <f>VLOOKUP(C195,'Master File June-26'!C:J,8,0)</f>
        <v>14</v>
      </c>
      <c r="K195" s="23">
        <f t="shared" ref="K195:K258" si="12">I195*(J195/25)</f>
        <v>19096</v>
      </c>
      <c r="L195" s="58">
        <f>VLOOKUP(C195,'Master File June-26'!C:L,10,0)</f>
        <v>0</v>
      </c>
      <c r="M195" s="24">
        <f t="shared" ref="M195:M258" si="13">IFERROR((L195/I195*30),0)</f>
        <v>0</v>
      </c>
      <c r="N195" s="25" t="str">
        <f t="shared" ref="N195:N258" si="14">IF(M195&lt;J195,"ORDER NOW","IN STOCK")</f>
        <v>ORDER NOW</v>
      </c>
      <c r="O195" s="25" t="str">
        <f t="shared" ref="O195:O258" si="15">IF(M195&lt;J195,"CRITICAL","FOLLOW UP DELIVERY")</f>
        <v>CRITICAL</v>
      </c>
      <c r="P195" t="s">
        <v>30</v>
      </c>
      <c r="Q195" s="90" t="e">
        <f>VLOOKUP(C195,[2]Sheet1!$C$3:$P$524,14,0)</f>
        <v>#N/A</v>
      </c>
    </row>
    <row r="196" spans="1:17" ht="18.75" hidden="1" x14ac:dyDescent="0.25">
      <c r="A196" s="39">
        <v>253</v>
      </c>
      <c r="B196" s="39" t="s">
        <v>123</v>
      </c>
      <c r="C196" s="39" t="s">
        <v>1413</v>
      </c>
      <c r="D196" s="28" t="s">
        <v>1414</v>
      </c>
      <c r="E196" s="27" t="s">
        <v>1415</v>
      </c>
      <c r="F196" s="5" t="s">
        <v>49</v>
      </c>
      <c r="G196" s="21">
        <v>1</v>
      </c>
      <c r="H196" s="22">
        <v>24</v>
      </c>
      <c r="I196" s="96">
        <f>H196/G196</f>
        <v>24</v>
      </c>
      <c r="J196" s="5">
        <f>VLOOKUP(C196,'Master File June-26'!C:J,8,0)</f>
        <v>14</v>
      </c>
      <c r="K196" s="23">
        <f t="shared" si="12"/>
        <v>13.440000000000001</v>
      </c>
      <c r="L196" s="58">
        <f>VLOOKUP(C196,'Master File June-26'!C:L,10,0)</f>
        <v>0</v>
      </c>
      <c r="M196" s="24">
        <f t="shared" si="13"/>
        <v>0</v>
      </c>
      <c r="N196" s="25" t="str">
        <f t="shared" si="14"/>
        <v>ORDER NOW</v>
      </c>
      <c r="O196" s="25" t="str">
        <f t="shared" si="15"/>
        <v>CRITICAL</v>
      </c>
      <c r="Q196" s="90" t="e">
        <f>VLOOKUP(C196,[2]Sheet1!$C$3:$P$524,14,0)</f>
        <v>#N/A</v>
      </c>
    </row>
    <row r="197" spans="1:17" ht="18.75" hidden="1" x14ac:dyDescent="0.25">
      <c r="A197" s="41">
        <v>464</v>
      </c>
      <c r="B197" s="41" t="s">
        <v>38</v>
      </c>
      <c r="C197" s="41" t="s">
        <v>1138</v>
      </c>
      <c r="D197" s="28" t="s">
        <v>1139</v>
      </c>
      <c r="E197" s="27" t="s">
        <v>466</v>
      </c>
      <c r="F197" s="5" t="s">
        <v>49</v>
      </c>
      <c r="G197" s="21">
        <v>0.04</v>
      </c>
      <c r="H197" s="22">
        <v>50</v>
      </c>
      <c r="I197" s="96">
        <f>H197/G197</f>
        <v>1250</v>
      </c>
      <c r="J197" s="5">
        <f>VLOOKUP(C197,'Master File June-26'!C:J,8,0)</f>
        <v>14</v>
      </c>
      <c r="K197" s="23">
        <f t="shared" si="12"/>
        <v>700.00000000000011</v>
      </c>
      <c r="L197" s="58">
        <f>VLOOKUP(C197,'Master File June-26'!C:L,10,0)</f>
        <v>0</v>
      </c>
      <c r="M197" s="24">
        <f t="shared" si="13"/>
        <v>0</v>
      </c>
      <c r="N197" s="25" t="str">
        <f t="shared" si="14"/>
        <v>ORDER NOW</v>
      </c>
      <c r="O197" s="25" t="str">
        <f t="shared" si="15"/>
        <v>CRITICAL</v>
      </c>
      <c r="Q197" s="90" t="e">
        <f>VLOOKUP(C197,[2]Sheet1!$C$3:$P$524,14,0)</f>
        <v>#N/A</v>
      </c>
    </row>
    <row r="198" spans="1:17" ht="18.75" hidden="1" x14ac:dyDescent="0.25">
      <c r="A198" s="41">
        <v>473</v>
      </c>
      <c r="B198" s="41" t="s">
        <v>38</v>
      </c>
      <c r="C198" s="41" t="s">
        <v>851</v>
      </c>
      <c r="D198" s="28" t="s">
        <v>852</v>
      </c>
      <c r="E198" s="27" t="s">
        <v>853</v>
      </c>
      <c r="F198" s="5" t="s">
        <v>22</v>
      </c>
      <c r="G198" s="21">
        <v>0.14285714285714285</v>
      </c>
      <c r="H198" s="22">
        <v>100</v>
      </c>
      <c r="I198" s="96">
        <f>H198/G198</f>
        <v>700</v>
      </c>
      <c r="J198" s="5">
        <f>VLOOKUP(C198,'Master File June-26'!C:J,8,0)</f>
        <v>14</v>
      </c>
      <c r="K198" s="23">
        <f t="shared" si="12"/>
        <v>392.00000000000006</v>
      </c>
      <c r="L198" s="58">
        <f>VLOOKUP(C198,'Master File June-26'!C:L,10,0)</f>
        <v>0</v>
      </c>
      <c r="M198" s="24">
        <f t="shared" si="13"/>
        <v>0</v>
      </c>
      <c r="N198" s="25" t="str">
        <f t="shared" si="14"/>
        <v>ORDER NOW</v>
      </c>
      <c r="O198" s="25" t="str">
        <f t="shared" si="15"/>
        <v>CRITICAL</v>
      </c>
      <c r="Q198" s="90" t="e">
        <f>VLOOKUP(C198,[2]Sheet1!$C$3:$P$524,14,0)</f>
        <v>#N/A</v>
      </c>
    </row>
    <row r="199" spans="1:17" ht="18.75" hidden="1" x14ac:dyDescent="0.25">
      <c r="A199" s="41">
        <v>456</v>
      </c>
      <c r="B199" s="41" t="s">
        <v>85</v>
      </c>
      <c r="C199" s="41" t="s">
        <v>1360</v>
      </c>
      <c r="D199" s="28" t="s">
        <v>1361</v>
      </c>
      <c r="E199" s="27" t="s">
        <v>1362</v>
      </c>
      <c r="F199" s="5" t="s">
        <v>49</v>
      </c>
      <c r="G199" s="21">
        <v>6.6666666666666666E-2</v>
      </c>
      <c r="H199" s="22">
        <f>VLOOKUP(C199,'Master File June-26'!$C$3:$I$670,6,0)</f>
        <v>125</v>
      </c>
      <c r="I199" s="96">
        <f>VLOOKUP(C199,'Master File June-26'!$C$3:$I$670,7,0)</f>
        <v>1875</v>
      </c>
      <c r="J199" s="5">
        <f>VLOOKUP(C199,'Master File June-26'!C:J,8,0)</f>
        <v>14</v>
      </c>
      <c r="K199" s="23">
        <f t="shared" si="12"/>
        <v>1050</v>
      </c>
      <c r="L199" s="58">
        <f>VLOOKUP(C199,'Master File June-26'!C:L,10,0)</f>
        <v>0</v>
      </c>
      <c r="M199" s="24">
        <f t="shared" si="13"/>
        <v>0</v>
      </c>
      <c r="N199" s="25" t="str">
        <f t="shared" si="14"/>
        <v>ORDER NOW</v>
      </c>
      <c r="O199" s="25" t="str">
        <f t="shared" si="15"/>
        <v>CRITICAL</v>
      </c>
      <c r="Q199" s="90" t="e">
        <f>VLOOKUP(C199,[2]Sheet1!$C$3:$P$524,14,0)</f>
        <v>#N/A</v>
      </c>
    </row>
    <row r="200" spans="1:17" ht="18.75" hidden="1" x14ac:dyDescent="0.25">
      <c r="A200" s="41">
        <v>416</v>
      </c>
      <c r="B200" s="41" t="s">
        <v>61</v>
      </c>
      <c r="C200" s="41" t="s">
        <v>1490</v>
      </c>
      <c r="D200" s="28" t="s">
        <v>1491</v>
      </c>
      <c r="E200" s="27" t="s">
        <v>1492</v>
      </c>
      <c r="F200" s="5" t="s">
        <v>49</v>
      </c>
      <c r="G200" s="21">
        <v>6.6666666666666666E-2</v>
      </c>
      <c r="H200" s="22">
        <v>1</v>
      </c>
      <c r="I200" s="96">
        <f>H200/G200</f>
        <v>15</v>
      </c>
      <c r="J200" s="5">
        <f>VLOOKUP(C200,'Master File June-26'!C:J,8,0)</f>
        <v>14</v>
      </c>
      <c r="K200" s="23">
        <f t="shared" si="12"/>
        <v>8.4</v>
      </c>
      <c r="L200" s="58">
        <f>VLOOKUP(C200,'Master File June-26'!C:L,10,0)</f>
        <v>0</v>
      </c>
      <c r="M200" s="24">
        <f t="shared" si="13"/>
        <v>0</v>
      </c>
      <c r="N200" s="25" t="str">
        <f t="shared" si="14"/>
        <v>ORDER NOW</v>
      </c>
      <c r="O200" s="25" t="str">
        <f t="shared" si="15"/>
        <v>CRITICAL</v>
      </c>
      <c r="Q200" s="90" t="e">
        <f>VLOOKUP(C200,[2]Sheet1!$C$3:$P$524,14,0)</f>
        <v>#N/A</v>
      </c>
    </row>
    <row r="201" spans="1:17" ht="18.75" hidden="1" x14ac:dyDescent="0.25">
      <c r="A201" s="39">
        <v>236</v>
      </c>
      <c r="B201" s="39" t="s">
        <v>123</v>
      </c>
      <c r="C201" s="39" t="s">
        <v>841</v>
      </c>
      <c r="D201" s="28" t="s">
        <v>842</v>
      </c>
      <c r="E201" s="27" t="s">
        <v>706</v>
      </c>
      <c r="F201" s="5" t="s">
        <v>49</v>
      </c>
      <c r="G201" s="21">
        <v>1</v>
      </c>
      <c r="H201" s="22">
        <v>32.5</v>
      </c>
      <c r="I201" s="96">
        <f>H201/G201</f>
        <v>32.5</v>
      </c>
      <c r="J201" s="5">
        <f>VLOOKUP(C201,'Master File June-26'!C:J,8,0)</f>
        <v>14</v>
      </c>
      <c r="K201" s="23">
        <f t="shared" si="12"/>
        <v>18.200000000000003</v>
      </c>
      <c r="L201" s="58">
        <f>VLOOKUP(C201,'Master File June-26'!C:L,10,0)</f>
        <v>0</v>
      </c>
      <c r="M201" s="24">
        <f t="shared" si="13"/>
        <v>0</v>
      </c>
      <c r="N201" s="25" t="str">
        <f t="shared" si="14"/>
        <v>ORDER NOW</v>
      </c>
      <c r="O201" s="25" t="str">
        <f t="shared" si="15"/>
        <v>CRITICAL</v>
      </c>
      <c r="Q201" s="90">
        <f>VLOOKUP(C201,'Master File June-26'!$C$3:$S$670,17,0)</f>
        <v>46113.430960648147</v>
      </c>
    </row>
    <row r="202" spans="1:17" ht="18.75" hidden="1" x14ac:dyDescent="0.25">
      <c r="A202" s="41">
        <v>512</v>
      </c>
      <c r="B202" s="41" t="s">
        <v>38</v>
      </c>
      <c r="C202" s="41" t="s">
        <v>494</v>
      </c>
      <c r="D202" s="28" t="s">
        <v>495</v>
      </c>
      <c r="E202" s="27" t="s">
        <v>496</v>
      </c>
      <c r="F202" s="5" t="s">
        <v>22</v>
      </c>
      <c r="G202" s="21">
        <f>1/8</f>
        <v>0.125</v>
      </c>
      <c r="H202" s="22">
        <f>VLOOKUP(C202,'Master File June-26'!$C$3:$I$670,6,0)</f>
        <v>3</v>
      </c>
      <c r="I202" s="96">
        <f>VLOOKUP(C202,'Master File June-26'!$C$3:$I$670,7,0)</f>
        <v>24</v>
      </c>
      <c r="J202" s="5">
        <f>VLOOKUP(C202,'Master File June-26'!C:J,8,0)</f>
        <v>14</v>
      </c>
      <c r="K202" s="23">
        <f t="shared" si="12"/>
        <v>13.440000000000001</v>
      </c>
      <c r="L202" s="58">
        <f>VLOOKUP(C202,'Master File June-26'!C:L,10,0)</f>
        <v>0</v>
      </c>
      <c r="M202" s="24">
        <f t="shared" si="13"/>
        <v>0</v>
      </c>
      <c r="N202" s="25" t="str">
        <f t="shared" si="14"/>
        <v>ORDER NOW</v>
      </c>
      <c r="O202" s="25" t="str">
        <f t="shared" si="15"/>
        <v>CRITICAL</v>
      </c>
      <c r="Q202" s="90">
        <f>VLOOKUP(C202,'Master File June-26'!$C$3:$S$670,17,0)</f>
        <v>46141.525312500002</v>
      </c>
    </row>
    <row r="203" spans="1:17" ht="18.75" hidden="1" x14ac:dyDescent="0.25">
      <c r="A203" s="41">
        <v>493</v>
      </c>
      <c r="B203" s="41" t="s">
        <v>38</v>
      </c>
      <c r="C203" s="41" t="s">
        <v>480</v>
      </c>
      <c r="D203" s="28" t="s">
        <v>481</v>
      </c>
      <c r="E203" s="27" t="s">
        <v>482</v>
      </c>
      <c r="F203" s="5" t="s">
        <v>54</v>
      </c>
      <c r="G203" s="21">
        <v>6.6666666666666666E-2</v>
      </c>
      <c r="H203" s="22">
        <f>VLOOKUP(C203,'Master File June-26'!$C$3:$I$670,6,0)</f>
        <v>1</v>
      </c>
      <c r="I203" s="96">
        <f>VLOOKUP(C203,'Master File June-26'!$C$3:$I$670,7,0)</f>
        <v>15</v>
      </c>
      <c r="J203" s="5">
        <f>VLOOKUP(C203,'Master File June-26'!C:J,8,0)</f>
        <v>14</v>
      </c>
      <c r="K203" s="23">
        <f t="shared" si="12"/>
        <v>8.4</v>
      </c>
      <c r="L203" s="58">
        <f>VLOOKUP(C203,'Master File June-26'!C:L,10,0)</f>
        <v>0</v>
      </c>
      <c r="M203" s="24">
        <f t="shared" si="13"/>
        <v>0</v>
      </c>
      <c r="N203" s="25" t="str">
        <f t="shared" si="14"/>
        <v>ORDER NOW</v>
      </c>
      <c r="O203" s="25" t="str">
        <f t="shared" si="15"/>
        <v>CRITICAL</v>
      </c>
      <c r="Q203" s="90">
        <f>VLOOKUP(C203,'Master File June-26'!$C$3:$S$670,17,0)</f>
        <v>46134.4921875</v>
      </c>
    </row>
    <row r="204" spans="1:17" ht="18.75" hidden="1" x14ac:dyDescent="0.25">
      <c r="A204" s="41">
        <v>481</v>
      </c>
      <c r="B204" s="41" t="s">
        <v>38</v>
      </c>
      <c r="C204" s="41" t="s">
        <v>1504</v>
      </c>
      <c r="D204" s="28" t="s">
        <v>1505</v>
      </c>
      <c r="E204" s="27" t="s">
        <v>1506</v>
      </c>
      <c r="F204" s="5" t="s">
        <v>22</v>
      </c>
      <c r="G204" s="21">
        <v>0.2</v>
      </c>
      <c r="H204" s="22">
        <v>3</v>
      </c>
      <c r="I204" s="96">
        <f>H204/G204</f>
        <v>15</v>
      </c>
      <c r="J204" s="5">
        <f>VLOOKUP(C204,'Master File June-26'!C:J,8,0)</f>
        <v>14</v>
      </c>
      <c r="K204" s="23">
        <f t="shared" si="12"/>
        <v>8.4</v>
      </c>
      <c r="L204" s="58">
        <f>VLOOKUP(C204,'Master File June-26'!C:L,10,0)</f>
        <v>0</v>
      </c>
      <c r="M204" s="24">
        <f t="shared" si="13"/>
        <v>0</v>
      </c>
      <c r="N204" s="25" t="str">
        <f t="shared" si="14"/>
        <v>ORDER NOW</v>
      </c>
      <c r="O204" s="25" t="str">
        <f t="shared" si="15"/>
        <v>CRITICAL</v>
      </c>
      <c r="Q204" s="90" t="e">
        <f>VLOOKUP(C204,[2]Sheet1!$C$3:$P$524,14,0)</f>
        <v>#N/A</v>
      </c>
    </row>
    <row r="205" spans="1:17" ht="18.75" hidden="1" x14ac:dyDescent="0.25">
      <c r="A205" s="41">
        <v>502</v>
      </c>
      <c r="B205" s="41" t="s">
        <v>38</v>
      </c>
      <c r="C205" s="41" t="s">
        <v>1582</v>
      </c>
      <c r="D205" s="28" t="s">
        <v>1583</v>
      </c>
      <c r="E205" s="27" t="s">
        <v>1244</v>
      </c>
      <c r="F205" s="5" t="s">
        <v>22</v>
      </c>
      <c r="G205" s="21">
        <v>0.2</v>
      </c>
      <c r="H205" s="22">
        <f>VLOOKUP(C205,'Master File June-26'!$C$3:$I$670,6,0)</f>
        <v>1</v>
      </c>
      <c r="I205" s="96">
        <f>VLOOKUP(C205,'Master File June-26'!$C$3:$I$670,7,0)</f>
        <v>5</v>
      </c>
      <c r="J205" s="5">
        <f>VLOOKUP(C205,'Master File June-26'!C:J,8,0)</f>
        <v>14</v>
      </c>
      <c r="K205" s="23">
        <f t="shared" si="12"/>
        <v>2.8000000000000003</v>
      </c>
      <c r="L205" s="58">
        <f>VLOOKUP(C205,'Master File June-26'!C:L,10,0)</f>
        <v>6</v>
      </c>
      <c r="M205" s="24">
        <f t="shared" si="13"/>
        <v>36</v>
      </c>
      <c r="N205" s="25" t="str">
        <f t="shared" si="14"/>
        <v>IN STOCK</v>
      </c>
      <c r="O205" s="25" t="str">
        <f t="shared" si="15"/>
        <v>FOLLOW UP DELIVERY</v>
      </c>
      <c r="Q205" s="90">
        <f>VLOOKUP(C205,'Master File June-26'!$C$3:$S$670,17,0)</f>
        <v>46131.520891203705</v>
      </c>
    </row>
    <row r="206" spans="1:17" ht="18.75" hidden="1" x14ac:dyDescent="0.25">
      <c r="A206" s="41">
        <v>394</v>
      </c>
      <c r="B206" s="41" t="s">
        <v>85</v>
      </c>
      <c r="C206" s="41" t="s">
        <v>1471</v>
      </c>
      <c r="D206" s="30" t="s">
        <v>1472</v>
      </c>
      <c r="E206" s="29" t="s">
        <v>1473</v>
      </c>
      <c r="F206" s="5" t="s">
        <v>22</v>
      </c>
      <c r="G206" s="21">
        <f>1/6480</f>
        <v>1.5432098765432098E-4</v>
      </c>
      <c r="H206" s="22">
        <v>55</v>
      </c>
      <c r="I206" s="96">
        <f>H206/G206</f>
        <v>356400</v>
      </c>
      <c r="J206" s="5">
        <f>VLOOKUP(C206,'Master File June-26'!C:J,8,0)</f>
        <v>14</v>
      </c>
      <c r="K206" s="23">
        <f t="shared" si="12"/>
        <v>199584.00000000003</v>
      </c>
      <c r="L206" s="58">
        <f>VLOOKUP(C206,'Master File June-26'!C:L,10,0)</f>
        <v>0</v>
      </c>
      <c r="M206" s="24">
        <f t="shared" si="13"/>
        <v>0</v>
      </c>
      <c r="N206" s="25" t="str">
        <f t="shared" si="14"/>
        <v>ORDER NOW</v>
      </c>
      <c r="O206" s="25" t="str">
        <f t="shared" si="15"/>
        <v>CRITICAL</v>
      </c>
      <c r="Q206" s="90" t="e">
        <f>VLOOKUP(C206,[2]Sheet1!$C$3:$P$524,14,0)</f>
        <v>#N/A</v>
      </c>
    </row>
    <row r="207" spans="1:17" ht="18.75" hidden="1" x14ac:dyDescent="0.25">
      <c r="A207" s="41">
        <v>410</v>
      </c>
      <c r="B207" s="41" t="s">
        <v>85</v>
      </c>
      <c r="C207" s="41" t="s">
        <v>387</v>
      </c>
      <c r="D207" s="28" t="s">
        <v>388</v>
      </c>
      <c r="E207" s="27" t="s">
        <v>389</v>
      </c>
      <c r="F207" s="5" t="s">
        <v>22</v>
      </c>
      <c r="G207" s="21">
        <v>0.16666666666666666</v>
      </c>
      <c r="H207" s="22">
        <f>VLOOKUP(C207,'Master File June-26'!$C$3:$I$670,6,0)</f>
        <v>45</v>
      </c>
      <c r="I207" s="96">
        <f>VLOOKUP(C207,'Master File June-26'!$C$3:$I$670,7,0)</f>
        <v>270</v>
      </c>
      <c r="J207" s="5">
        <f>VLOOKUP(C207,'Master File June-26'!C:J,8,0)</f>
        <v>14</v>
      </c>
      <c r="K207" s="23">
        <f t="shared" si="12"/>
        <v>151.20000000000002</v>
      </c>
      <c r="L207" s="58">
        <f>VLOOKUP(C207,'Master File June-26'!C:L,10,0)</f>
        <v>0</v>
      </c>
      <c r="M207" s="24">
        <f t="shared" si="13"/>
        <v>0</v>
      </c>
      <c r="N207" s="25" t="str">
        <f t="shared" si="14"/>
        <v>ORDER NOW</v>
      </c>
      <c r="O207" s="25" t="str">
        <f t="shared" si="15"/>
        <v>CRITICAL</v>
      </c>
      <c r="Q207" s="90">
        <f>VLOOKUP(C207,'Master File June-26'!$C$3:$S$670,17,0)</f>
        <v>46113.430914351855</v>
      </c>
    </row>
    <row r="208" spans="1:17" ht="18.75" hidden="1" x14ac:dyDescent="0.25">
      <c r="A208" s="41">
        <v>364</v>
      </c>
      <c r="B208" s="41" t="s">
        <v>85</v>
      </c>
      <c r="C208" s="41" t="s">
        <v>1311</v>
      </c>
      <c r="D208" s="34" t="s">
        <v>1312</v>
      </c>
      <c r="E208" s="31" t="s">
        <v>890</v>
      </c>
      <c r="F208" s="5" t="s">
        <v>22</v>
      </c>
      <c r="G208" s="21">
        <v>0.23809523809523814</v>
      </c>
      <c r="H208" s="22">
        <v>23.5</v>
      </c>
      <c r="I208" s="96">
        <f>H208/G208</f>
        <v>98.699999999999989</v>
      </c>
      <c r="J208" s="5">
        <f>VLOOKUP(C208,'Master File June-26'!C:J,8,0)</f>
        <v>14</v>
      </c>
      <c r="K208" s="23">
        <f t="shared" si="12"/>
        <v>55.271999999999998</v>
      </c>
      <c r="L208" s="58">
        <f>VLOOKUP(C208,'Master File June-26'!C:L,10,0)</f>
        <v>0</v>
      </c>
      <c r="M208" s="24">
        <f t="shared" si="13"/>
        <v>0</v>
      </c>
      <c r="N208" s="25" t="str">
        <f t="shared" si="14"/>
        <v>ORDER NOW</v>
      </c>
      <c r="O208" s="25" t="str">
        <f t="shared" si="15"/>
        <v>CRITICAL</v>
      </c>
      <c r="Q208" s="90" t="e">
        <f>VLOOKUP(C208,[2]Sheet1!$C$3:$P$524,14,0)</f>
        <v>#N/A</v>
      </c>
    </row>
    <row r="209" spans="1:17" ht="18.75" hidden="1" x14ac:dyDescent="0.25">
      <c r="A209" s="41">
        <v>510</v>
      </c>
      <c r="B209" s="41" t="s">
        <v>38</v>
      </c>
      <c r="C209" s="41" t="s">
        <v>1272</v>
      </c>
      <c r="D209" s="28" t="s">
        <v>1273</v>
      </c>
      <c r="E209" s="27" t="s">
        <v>1274</v>
      </c>
      <c r="F209" s="5" t="s">
        <v>22</v>
      </c>
      <c r="G209" s="21">
        <v>0.11261261261261263</v>
      </c>
      <c r="H209" s="22">
        <v>10</v>
      </c>
      <c r="I209" s="96">
        <f>H209/G209</f>
        <v>88.799999999999983</v>
      </c>
      <c r="J209" s="5">
        <f>VLOOKUP(C209,'Master File June-26'!C:J,8,0)</f>
        <v>14</v>
      </c>
      <c r="K209" s="23">
        <f t="shared" si="12"/>
        <v>49.727999999999994</v>
      </c>
      <c r="L209" s="58">
        <f>VLOOKUP(C209,'Master File June-26'!C:L,10,0)</f>
        <v>0</v>
      </c>
      <c r="M209" s="24">
        <f t="shared" si="13"/>
        <v>0</v>
      </c>
      <c r="N209" s="25" t="str">
        <f t="shared" si="14"/>
        <v>ORDER NOW</v>
      </c>
      <c r="O209" s="25" t="str">
        <f t="shared" si="15"/>
        <v>CRITICAL</v>
      </c>
      <c r="Q209" s="90" t="e">
        <f>VLOOKUP(C209,[2]Sheet1!$C$3:$P$524,14,0)</f>
        <v>#N/A</v>
      </c>
    </row>
    <row r="210" spans="1:17" ht="18.75" hidden="1" x14ac:dyDescent="0.25">
      <c r="A210" s="41">
        <v>528</v>
      </c>
      <c r="B210" s="41" t="s">
        <v>38</v>
      </c>
      <c r="C210" s="41" t="s">
        <v>1254</v>
      </c>
      <c r="D210" s="28" t="s">
        <v>1255</v>
      </c>
      <c r="E210" s="31" t="s">
        <v>606</v>
      </c>
      <c r="F210" s="44" t="s">
        <v>22</v>
      </c>
      <c r="G210" s="21">
        <v>1.1100000000000001</v>
      </c>
      <c r="H210" s="22">
        <v>10</v>
      </c>
      <c r="I210" s="96">
        <f>H210/G210</f>
        <v>9.0090090090090076</v>
      </c>
      <c r="J210" s="5">
        <f>VLOOKUP(C210,'Master File June-26'!C:J,8,0)</f>
        <v>14</v>
      </c>
      <c r="K210" s="23">
        <f t="shared" si="12"/>
        <v>5.045045045045045</v>
      </c>
      <c r="L210" s="58">
        <f>VLOOKUP(C210,'Master File June-26'!C:L,10,0)</f>
        <v>0</v>
      </c>
      <c r="M210" s="24">
        <f t="shared" si="13"/>
        <v>0</v>
      </c>
      <c r="N210" s="25" t="str">
        <f t="shared" si="14"/>
        <v>ORDER NOW</v>
      </c>
      <c r="O210" s="25" t="str">
        <f t="shared" si="15"/>
        <v>CRITICAL</v>
      </c>
      <c r="Q210" s="90" t="e">
        <f>VLOOKUP(C210,[2]Sheet1!$C$3:$P$524,14,0)</f>
        <v>#N/A</v>
      </c>
    </row>
    <row r="211" spans="1:17" ht="18.75" hidden="1" x14ac:dyDescent="0.25">
      <c r="A211" s="19">
        <v>83</v>
      </c>
      <c r="B211" s="19" t="s">
        <v>18</v>
      </c>
      <c r="C211" s="19" t="s">
        <v>798</v>
      </c>
      <c r="D211" s="28" t="s">
        <v>799</v>
      </c>
      <c r="E211" s="27" t="s">
        <v>800</v>
      </c>
      <c r="F211" s="5" t="s">
        <v>801</v>
      </c>
      <c r="G211" s="21">
        <v>1.6666666666666668E-3</v>
      </c>
      <c r="H211" s="22">
        <f>VLOOKUP(C211,'Master File June-26'!$C$3:$I$670,6,0)</f>
        <v>123</v>
      </c>
      <c r="I211" s="96">
        <f>VLOOKUP(C211,'Master File June-26'!$C$3:$I$670,7,0)</f>
        <v>73800</v>
      </c>
      <c r="J211" s="5">
        <f>VLOOKUP(C211,'Master File June-26'!C:J,8,0)</f>
        <v>14</v>
      </c>
      <c r="K211" s="23">
        <f t="shared" si="12"/>
        <v>41328.000000000007</v>
      </c>
      <c r="L211" s="58">
        <f>VLOOKUP(C211,'Master File June-26'!C:L,10,0)</f>
        <v>15750</v>
      </c>
      <c r="M211" s="24">
        <f t="shared" si="13"/>
        <v>6.4024390243902438</v>
      </c>
      <c r="N211" s="25" t="str">
        <f t="shared" si="14"/>
        <v>ORDER NOW</v>
      </c>
      <c r="O211" s="25" t="str">
        <f t="shared" si="15"/>
        <v>CRITICAL</v>
      </c>
      <c r="P211" t="s">
        <v>30</v>
      </c>
      <c r="Q211" s="90">
        <f>VLOOKUP(C211,'Master File June-26'!$C$3:$S$670,17,0)</f>
        <v>46138.483726851853</v>
      </c>
    </row>
    <row r="212" spans="1:17" ht="18.75" hidden="1" x14ac:dyDescent="0.25">
      <c r="A212" s="19">
        <v>106</v>
      </c>
      <c r="B212" s="19" t="s">
        <v>18</v>
      </c>
      <c r="C212" s="19" t="s">
        <v>1075</v>
      </c>
      <c r="D212" s="30" t="s">
        <v>1076</v>
      </c>
      <c r="E212" s="6" t="s">
        <v>1077</v>
      </c>
      <c r="F212" s="5"/>
      <c r="G212" s="21">
        <f>1/20</f>
        <v>0.05</v>
      </c>
      <c r="H212" s="22">
        <v>24</v>
      </c>
      <c r="I212" s="96">
        <f>H212/G212</f>
        <v>480</v>
      </c>
      <c r="J212" s="5">
        <f>VLOOKUP(C212,'Master File June-26'!C:J,8,0)</f>
        <v>14</v>
      </c>
      <c r="K212" s="23">
        <f t="shared" si="12"/>
        <v>268.8</v>
      </c>
      <c r="L212" s="58">
        <f>VLOOKUP(C212,'Master File June-26'!C:L,10,0)</f>
        <v>0</v>
      </c>
      <c r="M212" s="24">
        <f t="shared" si="13"/>
        <v>0</v>
      </c>
      <c r="N212" s="25" t="str">
        <f t="shared" si="14"/>
        <v>ORDER NOW</v>
      </c>
      <c r="O212" s="25" t="str">
        <f t="shared" si="15"/>
        <v>CRITICAL</v>
      </c>
      <c r="P212" t="s">
        <v>30</v>
      </c>
      <c r="Q212" s="90" t="e">
        <f>VLOOKUP(C212,[2]Sheet1!$C$3:$P$524,14,0)</f>
        <v>#N/A</v>
      </c>
    </row>
    <row r="213" spans="1:17" ht="18.75" hidden="1" x14ac:dyDescent="0.25">
      <c r="A213" s="41">
        <v>366</v>
      </c>
      <c r="B213" s="41" t="s">
        <v>85</v>
      </c>
      <c r="C213" s="41" t="s">
        <v>1218</v>
      </c>
      <c r="D213" s="28" t="s">
        <v>1219</v>
      </c>
      <c r="E213" s="27" t="s">
        <v>101</v>
      </c>
      <c r="F213" s="5" t="s">
        <v>22</v>
      </c>
      <c r="G213" s="21">
        <v>0.16666666666666666</v>
      </c>
      <c r="H213" s="22">
        <f>VLOOKUP(C213,'Master File June-26'!$C$3:$I$670,6,0)</f>
        <v>99.25</v>
      </c>
      <c r="I213" s="96">
        <f>VLOOKUP(C213,'Master File June-26'!$C$3:$I$670,7,0)</f>
        <v>595.5</v>
      </c>
      <c r="J213" s="5">
        <f>VLOOKUP(C213,'Master File June-26'!C:J,8,0)</f>
        <v>14</v>
      </c>
      <c r="K213" s="23">
        <f t="shared" si="12"/>
        <v>333.48</v>
      </c>
      <c r="L213" s="58">
        <f>VLOOKUP(C213,'Master File June-26'!C:L,10,0)</f>
        <v>462</v>
      </c>
      <c r="M213" s="24">
        <f t="shared" si="13"/>
        <v>23.274559193954659</v>
      </c>
      <c r="N213" s="25" t="str">
        <f t="shared" si="14"/>
        <v>IN STOCK</v>
      </c>
      <c r="O213" s="25" t="str">
        <f t="shared" si="15"/>
        <v>FOLLOW UP DELIVERY</v>
      </c>
      <c r="Q213" s="90" t="e">
        <f>VLOOKUP(C213,[2]Sheet1!$C$3:$P$524,14,0)</f>
        <v>#N/A</v>
      </c>
    </row>
    <row r="214" spans="1:17" ht="18.75" hidden="1" x14ac:dyDescent="0.25">
      <c r="A214" s="19">
        <v>61</v>
      </c>
      <c r="B214" s="19" t="s">
        <v>157</v>
      </c>
      <c r="C214" s="19" t="s">
        <v>1105</v>
      </c>
      <c r="D214" s="30" t="s">
        <v>1106</v>
      </c>
      <c r="E214" s="29" t="s">
        <v>1107</v>
      </c>
      <c r="F214" s="5" t="s">
        <v>22</v>
      </c>
      <c r="G214" s="21">
        <v>2.0000000000000001E-4</v>
      </c>
      <c r="H214" s="22">
        <v>22</v>
      </c>
      <c r="I214" s="96">
        <f>H214/G214</f>
        <v>110000</v>
      </c>
      <c r="J214" s="5">
        <f>VLOOKUP(C214,'Master File June-26'!C:J,8,0)</f>
        <v>14</v>
      </c>
      <c r="K214" s="23">
        <f t="shared" si="12"/>
        <v>61600.000000000007</v>
      </c>
      <c r="L214" s="58">
        <f>VLOOKUP(C214,'Master File June-26'!C:L,10,0)</f>
        <v>0</v>
      </c>
      <c r="M214" s="24">
        <f t="shared" si="13"/>
        <v>0</v>
      </c>
      <c r="N214" s="25" t="str">
        <f t="shared" si="14"/>
        <v>ORDER NOW</v>
      </c>
      <c r="O214" s="25" t="str">
        <f t="shared" si="15"/>
        <v>CRITICAL</v>
      </c>
      <c r="P214" t="s">
        <v>30</v>
      </c>
      <c r="Q214" s="90" t="e">
        <f>VLOOKUP(C214,[2]Sheet1!$C$3:$P$524,14,0)</f>
        <v>#N/A</v>
      </c>
    </row>
    <row r="215" spans="1:17" ht="18.75" hidden="1" x14ac:dyDescent="0.25">
      <c r="A215" s="19">
        <v>54</v>
      </c>
      <c r="B215" s="19" t="s">
        <v>18</v>
      </c>
      <c r="C215" s="19" t="s">
        <v>27</v>
      </c>
      <c r="D215" s="30" t="s">
        <v>28</v>
      </c>
      <c r="E215" s="29" t="s">
        <v>29</v>
      </c>
      <c r="F215" s="5" t="s">
        <v>22</v>
      </c>
      <c r="G215" s="21">
        <f>1/1200</f>
        <v>8.3333333333333339E-4</v>
      </c>
      <c r="H215" s="22">
        <f>VLOOKUP(C215,'Master File June-26'!$C$3:$I$670,6,0)</f>
        <v>10</v>
      </c>
      <c r="I215" s="96">
        <f>VLOOKUP(C215,'Master File June-26'!$C$3:$I$670,7,0)</f>
        <v>12000</v>
      </c>
      <c r="J215" s="5">
        <f>VLOOKUP(C215,'Master File June-26'!C:J,8,0)</f>
        <v>14</v>
      </c>
      <c r="K215" s="23">
        <f t="shared" si="12"/>
        <v>6720.0000000000009</v>
      </c>
      <c r="L215" s="58">
        <f>VLOOKUP(C215,'Master File June-26'!C:L,10,0)</f>
        <v>0</v>
      </c>
      <c r="M215" s="24">
        <f t="shared" si="13"/>
        <v>0</v>
      </c>
      <c r="N215" s="25" t="str">
        <f t="shared" si="14"/>
        <v>ORDER NOW</v>
      </c>
      <c r="O215" s="25" t="str">
        <f t="shared" si="15"/>
        <v>CRITICAL</v>
      </c>
      <c r="P215" t="s">
        <v>30</v>
      </c>
      <c r="Q215" s="90">
        <f>VLOOKUP(C215,'Master File June-26'!$C$3:$S$670,17,0)</f>
        <v>46113.430949074071</v>
      </c>
    </row>
    <row r="216" spans="1:17" ht="18.75" hidden="1" x14ac:dyDescent="0.25">
      <c r="A216" s="39">
        <v>294</v>
      </c>
      <c r="B216" s="39" t="s">
        <v>18</v>
      </c>
      <c r="C216" s="39" t="s">
        <v>822</v>
      </c>
      <c r="D216" s="28" t="s">
        <v>823</v>
      </c>
      <c r="E216" s="27" t="s">
        <v>160</v>
      </c>
      <c r="F216" s="5" t="s">
        <v>49</v>
      </c>
      <c r="G216" s="21">
        <v>1</v>
      </c>
      <c r="H216" s="22">
        <f>VLOOKUP(C216,'Master File June-26'!$C$3:$I$670,6,0)</f>
        <v>93.5</v>
      </c>
      <c r="I216" s="96">
        <f>VLOOKUP(C216,'Master File June-26'!$C$3:$I$670,7,0)</f>
        <v>93.5</v>
      </c>
      <c r="J216" s="5">
        <f>VLOOKUP(C216,'Master File June-26'!C:J,8,0)</f>
        <v>14</v>
      </c>
      <c r="K216" s="23">
        <f t="shared" si="12"/>
        <v>52.360000000000007</v>
      </c>
      <c r="L216" s="58">
        <f>VLOOKUP(C216,'Master File June-26'!C:L,10,0)</f>
        <v>0</v>
      </c>
      <c r="M216" s="24">
        <f t="shared" si="13"/>
        <v>0</v>
      </c>
      <c r="N216" s="25" t="str">
        <f t="shared" si="14"/>
        <v>ORDER NOW</v>
      </c>
      <c r="O216" s="25" t="str">
        <f t="shared" si="15"/>
        <v>CRITICAL</v>
      </c>
      <c r="Q216" s="90">
        <f>VLOOKUP(C216,'Master File June-26'!$C$3:$S$670,17,0)</f>
        <v>46128.6952662037</v>
      </c>
    </row>
    <row r="217" spans="1:17" ht="18.75" hidden="1" x14ac:dyDescent="0.25">
      <c r="A217" s="41">
        <v>494</v>
      </c>
      <c r="B217" s="41" t="s">
        <v>38</v>
      </c>
      <c r="C217" s="41" t="s">
        <v>131</v>
      </c>
      <c r="D217" s="28" t="s">
        <v>132</v>
      </c>
      <c r="E217" s="27" t="s">
        <v>116</v>
      </c>
      <c r="F217" s="5" t="s">
        <v>22</v>
      </c>
      <c r="G217" s="21">
        <v>0.1</v>
      </c>
      <c r="H217" s="22">
        <f>VLOOKUP(C217,'Master File June-26'!$C$3:$I$670,6,0)</f>
        <v>200</v>
      </c>
      <c r="I217" s="96">
        <f>VLOOKUP(C217,'Master File June-26'!$C$3:$I$670,7,0)</f>
        <v>2000</v>
      </c>
      <c r="J217" s="5">
        <f>VLOOKUP(C217,'Master File June-26'!C:J,8,0)</f>
        <v>14</v>
      </c>
      <c r="K217" s="23">
        <f t="shared" si="12"/>
        <v>1120</v>
      </c>
      <c r="L217" s="58">
        <f>VLOOKUP(C217,'Master File June-26'!C:L,10,0)</f>
        <v>0</v>
      </c>
      <c r="M217" s="24">
        <f t="shared" si="13"/>
        <v>0</v>
      </c>
      <c r="N217" s="25" t="str">
        <f t="shared" si="14"/>
        <v>ORDER NOW</v>
      </c>
      <c r="O217" s="25" t="str">
        <f t="shared" si="15"/>
        <v>CRITICAL</v>
      </c>
      <c r="Q217" s="90">
        <f>VLOOKUP(C217,'Master File June-26'!$C$3:$S$670,17,0)</f>
        <v>46113.430949074071</v>
      </c>
    </row>
    <row r="218" spans="1:17" ht="18.75" hidden="1" x14ac:dyDescent="0.25">
      <c r="A218" s="39">
        <v>217</v>
      </c>
      <c r="B218" s="39" t="s">
        <v>239</v>
      </c>
      <c r="C218" s="39" t="s">
        <v>886</v>
      </c>
      <c r="D218" s="28" t="s">
        <v>887</v>
      </c>
      <c r="E218" s="27" t="s">
        <v>78</v>
      </c>
      <c r="F218" s="5" t="s">
        <v>49</v>
      </c>
      <c r="G218" s="21">
        <v>1</v>
      </c>
      <c r="H218" s="22">
        <f>VLOOKUP(C218,'Master File June-26'!$C$3:$I$670,6,0)</f>
        <v>66</v>
      </c>
      <c r="I218" s="96">
        <f>VLOOKUP(C218,'Master File June-26'!$C$3:$I$670,7,0)</f>
        <v>66</v>
      </c>
      <c r="J218" s="5">
        <f>VLOOKUP(C218,'Master File June-26'!C:J,8,0)</f>
        <v>14</v>
      </c>
      <c r="K218" s="23">
        <f t="shared" si="12"/>
        <v>36.96</v>
      </c>
      <c r="L218" s="58">
        <f>VLOOKUP(C218,'Master File June-26'!C:L,10,0)</f>
        <v>0</v>
      </c>
      <c r="M218" s="24">
        <f t="shared" si="13"/>
        <v>0</v>
      </c>
      <c r="N218" s="25" t="str">
        <f t="shared" si="14"/>
        <v>ORDER NOW</v>
      </c>
      <c r="O218" s="25" t="str">
        <f t="shared" si="15"/>
        <v>CRITICAL</v>
      </c>
      <c r="Q218" s="90">
        <f>VLOOKUP(C218,'Master File June-26'!$C$3:$S$670,17,0)</f>
        <v>46113.430960648147</v>
      </c>
    </row>
    <row r="219" spans="1:17" ht="18.75" hidden="1" x14ac:dyDescent="0.25">
      <c r="A219" s="41">
        <v>347</v>
      </c>
      <c r="B219" s="41" t="s">
        <v>85</v>
      </c>
      <c r="C219" s="41" t="s">
        <v>865</v>
      </c>
      <c r="D219" s="28" t="s">
        <v>866</v>
      </c>
      <c r="E219" s="27" t="s">
        <v>867</v>
      </c>
      <c r="F219" s="5" t="s">
        <v>22</v>
      </c>
      <c r="G219" s="21">
        <v>8.3333333333333329E-2</v>
      </c>
      <c r="H219" s="22">
        <v>103.5</v>
      </c>
      <c r="I219" s="96">
        <f>H219/G219</f>
        <v>1242</v>
      </c>
      <c r="J219" s="5">
        <f>VLOOKUP(C219,'Master File June-26'!C:J,8,0)</f>
        <v>14</v>
      </c>
      <c r="K219" s="23">
        <f t="shared" si="12"/>
        <v>695.5200000000001</v>
      </c>
      <c r="L219" s="58">
        <f>VLOOKUP(C219,'Master File June-26'!C:L,10,0)</f>
        <v>200</v>
      </c>
      <c r="M219" s="24">
        <f t="shared" si="13"/>
        <v>4.8309178743961354</v>
      </c>
      <c r="N219" s="25" t="str">
        <f t="shared" si="14"/>
        <v>ORDER NOW</v>
      </c>
      <c r="O219" s="25" t="str">
        <f t="shared" si="15"/>
        <v>CRITICAL</v>
      </c>
      <c r="Q219" s="90" t="e">
        <f>VLOOKUP(C219,[2]Sheet1!$C$3:$P$524,14,0)</f>
        <v>#N/A</v>
      </c>
    </row>
    <row r="220" spans="1:17" ht="18.75" hidden="1" x14ac:dyDescent="0.25">
      <c r="A220" s="39">
        <v>280</v>
      </c>
      <c r="B220" s="39" t="s">
        <v>830</v>
      </c>
      <c r="C220" s="39" t="s">
        <v>831</v>
      </c>
      <c r="D220" s="28" t="s">
        <v>832</v>
      </c>
      <c r="E220" s="27" t="s">
        <v>78</v>
      </c>
      <c r="F220" s="5" t="s">
        <v>49</v>
      </c>
      <c r="G220" s="21">
        <v>1</v>
      </c>
      <c r="H220" s="22">
        <f>VLOOKUP(C220,'Master File June-26'!$C$3:$I$670,6,0)</f>
        <v>279</v>
      </c>
      <c r="I220" s="96">
        <f>VLOOKUP(C220,'Master File June-26'!$C$3:$I$670,7,0)</f>
        <v>279</v>
      </c>
      <c r="J220" s="5">
        <f>VLOOKUP(C220,'Master File June-26'!C:J,8,0)</f>
        <v>14</v>
      </c>
      <c r="K220" s="23">
        <f t="shared" si="12"/>
        <v>156.24</v>
      </c>
      <c r="L220" s="58">
        <f>VLOOKUP(C220,'Master File June-26'!C:L,10,0)</f>
        <v>6</v>
      </c>
      <c r="M220" s="24">
        <f t="shared" si="13"/>
        <v>0.64516129032258074</v>
      </c>
      <c r="N220" s="25" t="str">
        <f t="shared" si="14"/>
        <v>ORDER NOW</v>
      </c>
      <c r="O220" s="25" t="str">
        <f t="shared" si="15"/>
        <v>CRITICAL</v>
      </c>
      <c r="Q220" s="90">
        <f>VLOOKUP(C220,'Master File June-26'!$C$3:$S$670,17,0)</f>
        <v>46134.446377314816</v>
      </c>
    </row>
    <row r="221" spans="1:17" ht="18.75" hidden="1" x14ac:dyDescent="0.25">
      <c r="A221" s="41">
        <v>477</v>
      </c>
      <c r="B221" s="41" t="s">
        <v>38</v>
      </c>
      <c r="C221" s="41" t="s">
        <v>835</v>
      </c>
      <c r="D221" s="28" t="s">
        <v>836</v>
      </c>
      <c r="E221" s="27" t="s">
        <v>837</v>
      </c>
      <c r="F221" s="5" t="s">
        <v>22</v>
      </c>
      <c r="G221" s="21">
        <v>0.12254901960784313</v>
      </c>
      <c r="H221" s="22">
        <f>VLOOKUP(C221,'Master File June-26'!$C$3:$I$670,6,0)</f>
        <v>290</v>
      </c>
      <c r="I221" s="96">
        <f>VLOOKUP(C221,'Master File June-26'!$C$3:$I$670,7,0)</f>
        <v>2366.4</v>
      </c>
      <c r="J221" s="5">
        <f>VLOOKUP(C221,'Master File June-26'!C:J,8,0)</f>
        <v>14</v>
      </c>
      <c r="K221" s="23">
        <f t="shared" si="12"/>
        <v>1325.1840000000002</v>
      </c>
      <c r="L221" s="58">
        <f>VLOOKUP(C221,'Master File June-26'!C:L,10,0)</f>
        <v>0</v>
      </c>
      <c r="M221" s="24">
        <f t="shared" si="13"/>
        <v>0</v>
      </c>
      <c r="N221" s="25" t="str">
        <f t="shared" si="14"/>
        <v>ORDER NOW</v>
      </c>
      <c r="O221" s="25" t="str">
        <f t="shared" si="15"/>
        <v>CRITICAL</v>
      </c>
      <c r="Q221" s="90">
        <f>VLOOKUP(C221,'Master File June-26'!$C$3:$S$670,17,0)</f>
        <v>46141.525625000002</v>
      </c>
    </row>
    <row r="222" spans="1:17" ht="18.75" hidden="1" x14ac:dyDescent="0.25">
      <c r="A222" s="41">
        <v>559</v>
      </c>
      <c r="B222" s="41" t="s">
        <v>38</v>
      </c>
      <c r="C222" s="41" t="s">
        <v>1388</v>
      </c>
      <c r="D222" s="47" t="s">
        <v>1389</v>
      </c>
      <c r="E222" s="31" t="s">
        <v>22</v>
      </c>
      <c r="F222" s="5" t="s">
        <v>22</v>
      </c>
      <c r="G222" s="21">
        <v>0.25</v>
      </c>
      <c r="H222" s="22">
        <v>1</v>
      </c>
      <c r="I222" s="96">
        <f>H222/G222</f>
        <v>4</v>
      </c>
      <c r="J222" s="5">
        <f>VLOOKUP(C222,'Master File June-26'!C:J,8,0)</f>
        <v>14</v>
      </c>
      <c r="K222" s="23">
        <f t="shared" si="12"/>
        <v>2.2400000000000002</v>
      </c>
      <c r="L222" s="58">
        <f>VLOOKUP(C222,'Master File June-26'!C:L,10,0)</f>
        <v>0</v>
      </c>
      <c r="M222" s="24">
        <f t="shared" si="13"/>
        <v>0</v>
      </c>
      <c r="N222" s="25" t="str">
        <f t="shared" si="14"/>
        <v>ORDER NOW</v>
      </c>
      <c r="O222" s="25" t="str">
        <f t="shared" si="15"/>
        <v>CRITICAL</v>
      </c>
      <c r="Q222" s="90" t="e">
        <f>VLOOKUP(C222,[2]Sheet1!$C$3:$P$524,14,0)</f>
        <v>#N/A</v>
      </c>
    </row>
    <row r="223" spans="1:17" ht="18.75" hidden="1" x14ac:dyDescent="0.25">
      <c r="A223" s="41">
        <v>391</v>
      </c>
      <c r="B223" s="41" t="s">
        <v>104</v>
      </c>
      <c r="C223" s="41" t="s">
        <v>665</v>
      </c>
      <c r="D223" s="28" t="s">
        <v>666</v>
      </c>
      <c r="E223" s="27" t="s">
        <v>67</v>
      </c>
      <c r="F223" s="5" t="s">
        <v>49</v>
      </c>
      <c r="G223" s="21">
        <v>2</v>
      </c>
      <c r="H223" s="22">
        <f>VLOOKUP(C223,'Master File June-26'!$C$3:$I$670,6,0)</f>
        <v>44</v>
      </c>
      <c r="I223" s="96">
        <f>VLOOKUP(C223,'Master File June-26'!$C$3:$I$670,7,0)</f>
        <v>22</v>
      </c>
      <c r="J223" s="5">
        <f>VLOOKUP(C223,'Master File June-26'!C:J,8,0)</f>
        <v>14</v>
      </c>
      <c r="K223" s="23">
        <f t="shared" si="12"/>
        <v>12.32</v>
      </c>
      <c r="L223" s="58">
        <f>VLOOKUP(C223,'Master File June-26'!C:L,10,0)</f>
        <v>0</v>
      </c>
      <c r="M223" s="24">
        <f t="shared" si="13"/>
        <v>0</v>
      </c>
      <c r="N223" s="25" t="str">
        <f t="shared" si="14"/>
        <v>ORDER NOW</v>
      </c>
      <c r="O223" s="25" t="str">
        <f t="shared" si="15"/>
        <v>CRITICAL</v>
      </c>
      <c r="Q223" s="90">
        <f>VLOOKUP(C223,'Master File June-26'!$C$3:$S$670,17,0)</f>
        <v>46113.430914351855</v>
      </c>
    </row>
    <row r="224" spans="1:17" ht="18.75" hidden="1" x14ac:dyDescent="0.25">
      <c r="A224" s="39">
        <v>303</v>
      </c>
      <c r="B224" s="39" t="s">
        <v>18</v>
      </c>
      <c r="C224" s="39" t="s">
        <v>972</v>
      </c>
      <c r="D224" s="34" t="s">
        <v>973</v>
      </c>
      <c r="E224" s="31" t="s">
        <v>78</v>
      </c>
      <c r="F224" s="5" t="s">
        <v>49</v>
      </c>
      <c r="G224" s="21">
        <v>1</v>
      </c>
      <c r="H224" s="22">
        <f>VLOOKUP(C224,'Master File June-26'!$C$3:$I$670,6,0)</f>
        <v>220</v>
      </c>
      <c r="I224" s="96">
        <f>VLOOKUP(C224,'Master File June-26'!$C$3:$I$670,7,0)</f>
        <v>220</v>
      </c>
      <c r="J224" s="5">
        <f>VLOOKUP(C224,'Master File June-26'!C:J,8,0)</f>
        <v>14</v>
      </c>
      <c r="K224" s="23">
        <f t="shared" si="12"/>
        <v>123.20000000000002</v>
      </c>
      <c r="L224" s="58">
        <f>VLOOKUP(C224,'Master File June-26'!C:L,10,0)</f>
        <v>0</v>
      </c>
      <c r="M224" s="24">
        <f t="shared" si="13"/>
        <v>0</v>
      </c>
      <c r="N224" s="25" t="str">
        <f t="shared" si="14"/>
        <v>ORDER NOW</v>
      </c>
      <c r="O224" s="25" t="str">
        <f t="shared" si="15"/>
        <v>CRITICAL</v>
      </c>
      <c r="Q224" s="90" t="e">
        <f>VLOOKUP(C224,[2]Sheet1!$C$3:$P$524,14,0)</f>
        <v>#N/A</v>
      </c>
    </row>
    <row r="225" spans="1:17" ht="18.75" hidden="1" x14ac:dyDescent="0.25">
      <c r="A225" s="39">
        <v>277</v>
      </c>
      <c r="B225" s="39" t="s">
        <v>157</v>
      </c>
      <c r="C225" s="39" t="s">
        <v>671</v>
      </c>
      <c r="D225" s="34" t="s">
        <v>672</v>
      </c>
      <c r="E225" s="31" t="s">
        <v>78</v>
      </c>
      <c r="F225" s="5" t="s">
        <v>49</v>
      </c>
      <c r="G225" s="21">
        <v>1</v>
      </c>
      <c r="H225" s="22">
        <f>VLOOKUP(C225,'Master File June-26'!$C$3:$I$670,6,0)</f>
        <v>158.5</v>
      </c>
      <c r="I225" s="96">
        <f>VLOOKUP(C225,'Master File June-26'!$C$3:$I$670,7,0)</f>
        <v>158.5</v>
      </c>
      <c r="J225" s="5">
        <f>VLOOKUP(C225,'Master File June-26'!C:J,8,0)</f>
        <v>14</v>
      </c>
      <c r="K225" s="23">
        <f t="shared" si="12"/>
        <v>88.76</v>
      </c>
      <c r="L225" s="58">
        <f>VLOOKUP(C225,'Master File June-26'!C:L,10,0)</f>
        <v>0</v>
      </c>
      <c r="M225" s="24">
        <f t="shared" si="13"/>
        <v>0</v>
      </c>
      <c r="N225" s="25" t="str">
        <f t="shared" si="14"/>
        <v>ORDER NOW</v>
      </c>
      <c r="O225" s="25" t="str">
        <f t="shared" si="15"/>
        <v>CRITICAL</v>
      </c>
      <c r="Q225" s="90">
        <f>VLOOKUP(C225,'Master File June-26'!$C$3:$S$670,17,0)</f>
        <v>46113.430949074071</v>
      </c>
    </row>
    <row r="226" spans="1:17" ht="18.75" hidden="1" x14ac:dyDescent="0.25">
      <c r="A226" s="41">
        <v>562</v>
      </c>
      <c r="B226" s="41" t="s">
        <v>38</v>
      </c>
      <c r="C226" s="41" t="s">
        <v>1526</v>
      </c>
      <c r="D226" s="40" t="s">
        <v>1527</v>
      </c>
      <c r="E226" s="31" t="s">
        <v>22</v>
      </c>
      <c r="F226" s="5" t="s">
        <v>22</v>
      </c>
      <c r="G226" s="21">
        <v>1</v>
      </c>
      <c r="H226" s="22">
        <v>5</v>
      </c>
      <c r="I226" s="96">
        <f>H226/G226</f>
        <v>5</v>
      </c>
      <c r="J226" s="5">
        <f>VLOOKUP(C226,'Master File June-26'!C:J,8,0)</f>
        <v>14</v>
      </c>
      <c r="K226" s="23">
        <f t="shared" si="12"/>
        <v>2.8000000000000003</v>
      </c>
      <c r="L226" s="58">
        <f>VLOOKUP(C226,'Master File June-26'!C:L,10,0)</f>
        <v>0.46700000000000003</v>
      </c>
      <c r="M226" s="24">
        <f t="shared" si="13"/>
        <v>2.8020000000000005</v>
      </c>
      <c r="N226" s="25" t="str">
        <f t="shared" si="14"/>
        <v>ORDER NOW</v>
      </c>
      <c r="O226" s="25" t="str">
        <f t="shared" si="15"/>
        <v>CRITICAL</v>
      </c>
      <c r="Q226" s="90" t="e">
        <f>VLOOKUP(C226,[2]Sheet1!$C$3:$P$524,14,0)</f>
        <v>#N/A</v>
      </c>
    </row>
    <row r="227" spans="1:17" ht="18.75" hidden="1" x14ac:dyDescent="0.25">
      <c r="A227" s="19">
        <v>155</v>
      </c>
      <c r="B227" s="19" t="s">
        <v>18</v>
      </c>
      <c r="C227" s="19" t="s">
        <v>209</v>
      </c>
      <c r="D227" s="30" t="s">
        <v>210</v>
      </c>
      <c r="E227" s="27" t="s">
        <v>211</v>
      </c>
      <c r="F227" s="5" t="s">
        <v>22</v>
      </c>
      <c r="G227" s="21">
        <v>1.3333333333333333E-3</v>
      </c>
      <c r="H227" s="22">
        <f>VLOOKUP(C227,'Master File June-26'!$C$3:$I$670,6,0)</f>
        <v>28</v>
      </c>
      <c r="I227" s="96">
        <f>VLOOKUP(C227,'Master File June-26'!$C$3:$I$670,7,0)</f>
        <v>21000</v>
      </c>
      <c r="J227" s="5">
        <f>VLOOKUP(C227,'Master File June-26'!C:J,8,0)</f>
        <v>14</v>
      </c>
      <c r="K227" s="23">
        <f t="shared" si="12"/>
        <v>11760.000000000002</v>
      </c>
      <c r="L227" s="58">
        <f>VLOOKUP(C227,'Master File June-26'!C:L,10,0)</f>
        <v>0</v>
      </c>
      <c r="M227" s="24">
        <f t="shared" si="13"/>
        <v>0</v>
      </c>
      <c r="N227" s="25" t="str">
        <f t="shared" si="14"/>
        <v>ORDER NOW</v>
      </c>
      <c r="O227" s="25" t="str">
        <f t="shared" si="15"/>
        <v>CRITICAL</v>
      </c>
      <c r="Q227" s="90">
        <f>VLOOKUP(C227,'Master File June-26'!$C$3:$S$670,17,0)</f>
        <v>46134.765474537038</v>
      </c>
    </row>
    <row r="228" spans="1:17" ht="18.75" hidden="1" x14ac:dyDescent="0.25">
      <c r="A228" s="39">
        <v>240</v>
      </c>
      <c r="B228" s="39" t="s">
        <v>123</v>
      </c>
      <c r="C228" s="39" t="s">
        <v>765</v>
      </c>
      <c r="D228" s="28" t="s">
        <v>766</v>
      </c>
      <c r="E228" s="27" t="s">
        <v>706</v>
      </c>
      <c r="F228" s="5" t="s">
        <v>49</v>
      </c>
      <c r="G228" s="21">
        <v>0.2</v>
      </c>
      <c r="H228" s="22">
        <f>VLOOKUP(C228,'Master File June-26'!$C$3:$I$670,6,0)</f>
        <v>250.5</v>
      </c>
      <c r="I228" s="96">
        <f>VLOOKUP(C228,'Master File June-26'!$C$3:$I$670,7,0)</f>
        <v>1252.5</v>
      </c>
      <c r="J228" s="5">
        <f>VLOOKUP(C228,'Master File June-26'!C:J,8,0)</f>
        <v>14</v>
      </c>
      <c r="K228" s="23">
        <f t="shared" si="12"/>
        <v>701.40000000000009</v>
      </c>
      <c r="L228" s="58">
        <f>VLOOKUP(C228,'Master File June-26'!C:L,10,0)</f>
        <v>122</v>
      </c>
      <c r="M228" s="24">
        <f t="shared" si="13"/>
        <v>2.9221556886227549</v>
      </c>
      <c r="N228" s="25" t="str">
        <f t="shared" si="14"/>
        <v>ORDER NOW</v>
      </c>
      <c r="O228" s="25" t="str">
        <f t="shared" si="15"/>
        <v>CRITICAL</v>
      </c>
      <c r="Q228" s="90">
        <f>VLOOKUP(C228,'Master File June-26'!$C$3:$S$670,17,0)</f>
        <v>46134.446689814817</v>
      </c>
    </row>
    <row r="229" spans="1:17" ht="18.75" hidden="1" x14ac:dyDescent="0.25">
      <c r="A229" s="41">
        <v>342</v>
      </c>
      <c r="B229" s="41" t="s">
        <v>38</v>
      </c>
      <c r="C229" s="41" t="s">
        <v>1313</v>
      </c>
      <c r="D229" s="28" t="s">
        <v>1314</v>
      </c>
      <c r="E229" s="27" t="s">
        <v>1315</v>
      </c>
      <c r="F229" s="5" t="s">
        <v>22</v>
      </c>
      <c r="G229" s="21">
        <v>6.9444444444444441E-3</v>
      </c>
      <c r="H229" s="22">
        <f>VLOOKUP(C229,'Master File June-26'!$C$3:$I$670,6,0)</f>
        <v>60.5</v>
      </c>
      <c r="I229" s="96">
        <f>VLOOKUP(C229,'Master File June-26'!$C$3:$I$670,7,0)</f>
        <v>8712.0000000000055</v>
      </c>
      <c r="J229" s="5">
        <f>VLOOKUP(C229,'Master File June-26'!C:J,8,0)</f>
        <v>14</v>
      </c>
      <c r="K229" s="23">
        <f t="shared" si="12"/>
        <v>4878.7200000000039</v>
      </c>
      <c r="L229" s="58">
        <f>VLOOKUP(C229,'Master File June-26'!C:L,10,0)</f>
        <v>28.704000000000001</v>
      </c>
      <c r="M229" s="24">
        <f t="shared" si="13"/>
        <v>9.8842975206611505E-2</v>
      </c>
      <c r="N229" s="25" t="str">
        <f t="shared" si="14"/>
        <v>ORDER NOW</v>
      </c>
      <c r="O229" s="25" t="str">
        <f t="shared" si="15"/>
        <v>CRITICAL</v>
      </c>
      <c r="Q229" s="90">
        <f>VLOOKUP(C229,'Master File June-26'!$C$3:$S$670,17,0)</f>
        <v>46131.519062500003</v>
      </c>
    </row>
    <row r="230" spans="1:17" ht="18.75" hidden="1" x14ac:dyDescent="0.25">
      <c r="A230" s="39">
        <v>238</v>
      </c>
      <c r="B230" s="39" t="s">
        <v>123</v>
      </c>
      <c r="C230" s="39" t="s">
        <v>780</v>
      </c>
      <c r="D230" s="28" t="s">
        <v>781</v>
      </c>
      <c r="E230" s="27" t="s">
        <v>706</v>
      </c>
      <c r="F230" s="5" t="s">
        <v>49</v>
      </c>
      <c r="G230" s="21">
        <v>0.2</v>
      </c>
      <c r="H230" s="22">
        <v>68</v>
      </c>
      <c r="I230" s="96">
        <f>H230/G230</f>
        <v>340</v>
      </c>
      <c r="J230" s="5">
        <f>VLOOKUP(C230,'Master File June-26'!C:J,8,0)</f>
        <v>14</v>
      </c>
      <c r="K230" s="23">
        <f t="shared" si="12"/>
        <v>190.4</v>
      </c>
      <c r="L230" s="58">
        <f>VLOOKUP(C230,'Master File June-26'!C:L,10,0)</f>
        <v>45</v>
      </c>
      <c r="M230" s="24">
        <f t="shared" si="13"/>
        <v>3.9705882352941178</v>
      </c>
      <c r="N230" s="25" t="str">
        <f t="shared" si="14"/>
        <v>ORDER NOW</v>
      </c>
      <c r="O230" s="25" t="str">
        <f t="shared" si="15"/>
        <v>CRITICAL</v>
      </c>
      <c r="Q230" s="90">
        <f>VLOOKUP(C230,'Master File June-26'!$C$3:$S$670,17,0)</f>
        <v>46134.446666666663</v>
      </c>
    </row>
    <row r="231" spans="1:17" ht="18.75" hidden="1" x14ac:dyDescent="0.25">
      <c r="A231" s="41">
        <v>441</v>
      </c>
      <c r="B231" s="41" t="s">
        <v>61</v>
      </c>
      <c r="C231" s="41" t="s">
        <v>897</v>
      </c>
      <c r="D231" s="28" t="s">
        <v>898</v>
      </c>
      <c r="E231" s="27" t="s">
        <v>899</v>
      </c>
      <c r="F231" s="5" t="s">
        <v>22</v>
      </c>
      <c r="G231" s="21">
        <f>1/(4*1.65)</f>
        <v>0.15151515151515152</v>
      </c>
      <c r="H231" s="22">
        <v>1700</v>
      </c>
      <c r="I231" s="96">
        <f>H231/G231</f>
        <v>11220</v>
      </c>
      <c r="J231" s="5">
        <f>VLOOKUP(C231,'Master File June-26'!C:J,8,0)</f>
        <v>14</v>
      </c>
      <c r="K231" s="23">
        <f t="shared" si="12"/>
        <v>6283.2000000000007</v>
      </c>
      <c r="L231" s="58">
        <f>VLOOKUP(C231,'Master File June-26'!C:L,10,0)</f>
        <v>3320</v>
      </c>
      <c r="M231" s="24">
        <f t="shared" si="13"/>
        <v>8.8770053475935828</v>
      </c>
      <c r="N231" s="25" t="str">
        <f t="shared" si="14"/>
        <v>ORDER NOW</v>
      </c>
      <c r="O231" s="25" t="str">
        <f t="shared" si="15"/>
        <v>CRITICAL</v>
      </c>
      <c r="Q231" s="90" t="e">
        <f>VLOOKUP(C231,[2]Sheet1!$C$3:$P$524,14,0)</f>
        <v>#N/A</v>
      </c>
    </row>
    <row r="232" spans="1:17" ht="18.75" hidden="1" x14ac:dyDescent="0.25">
      <c r="A232" s="39">
        <v>259</v>
      </c>
      <c r="B232" s="39" t="s">
        <v>123</v>
      </c>
      <c r="C232" s="39" t="s">
        <v>969</v>
      </c>
      <c r="D232" s="28" t="s">
        <v>970</v>
      </c>
      <c r="E232" s="27" t="s">
        <v>971</v>
      </c>
      <c r="F232" s="5" t="s">
        <v>264</v>
      </c>
      <c r="G232" s="21">
        <f>1/140</f>
        <v>7.1428571428571426E-3</v>
      </c>
      <c r="H232" s="22">
        <f>VLOOKUP(C232,'Master File June-26'!$C$3:$I$670,6,0)</f>
        <v>46.5</v>
      </c>
      <c r="I232" s="96">
        <f>VLOOKUP(C232,'Master File June-26'!$C$3:$I$670,7,0)</f>
        <v>6510</v>
      </c>
      <c r="J232" s="5">
        <f>VLOOKUP(C232,'Master File June-26'!C:J,8,0)</f>
        <v>14</v>
      </c>
      <c r="K232" s="23">
        <f t="shared" si="12"/>
        <v>3645.6000000000004</v>
      </c>
      <c r="L232" s="58">
        <f>VLOOKUP(C232,'Master File June-26'!C:L,10,0)</f>
        <v>1120</v>
      </c>
      <c r="M232" s="24">
        <f t="shared" si="13"/>
        <v>5.1612903225806459</v>
      </c>
      <c r="N232" s="25" t="str">
        <f t="shared" si="14"/>
        <v>ORDER NOW</v>
      </c>
      <c r="O232" s="25" t="str">
        <f t="shared" si="15"/>
        <v>CRITICAL</v>
      </c>
      <c r="Q232" s="90">
        <f>VLOOKUP(C232,'Master File June-26'!$C$3:$S$670,17,0)</f>
        <v>46140.606377314813</v>
      </c>
    </row>
    <row r="233" spans="1:17" ht="18.75" hidden="1" x14ac:dyDescent="0.25">
      <c r="A233" s="39">
        <v>243</v>
      </c>
      <c r="B233" s="39" t="s">
        <v>123</v>
      </c>
      <c r="C233" s="39" t="s">
        <v>704</v>
      </c>
      <c r="D233" s="28" t="s">
        <v>705</v>
      </c>
      <c r="E233" s="27" t="s">
        <v>706</v>
      </c>
      <c r="F233" s="5" t="s">
        <v>49</v>
      </c>
      <c r="G233" s="21">
        <v>1</v>
      </c>
      <c r="H233" s="22">
        <v>35</v>
      </c>
      <c r="I233" s="96">
        <f>H233/G233</f>
        <v>35</v>
      </c>
      <c r="J233" s="5">
        <f>VLOOKUP(C233,'Master File June-26'!C:J,8,0)</f>
        <v>14</v>
      </c>
      <c r="K233" s="23">
        <f t="shared" si="12"/>
        <v>19.600000000000001</v>
      </c>
      <c r="L233" s="58">
        <f>VLOOKUP(C233,'Master File June-26'!C:L,10,0)</f>
        <v>24.96</v>
      </c>
      <c r="M233" s="24">
        <f t="shared" si="13"/>
        <v>21.394285714285715</v>
      </c>
      <c r="N233" s="25" t="str">
        <f t="shared" si="14"/>
        <v>IN STOCK</v>
      </c>
      <c r="O233" s="25" t="str">
        <f t="shared" si="15"/>
        <v>FOLLOW UP DELIVERY</v>
      </c>
      <c r="Q233" s="90" t="e">
        <f>VLOOKUP(C233,[2]Sheet1!$C$3:$P$524,14,0)</f>
        <v>#N/A</v>
      </c>
    </row>
    <row r="234" spans="1:17" ht="18.75" hidden="1" x14ac:dyDescent="0.25">
      <c r="A234" s="4">
        <v>607</v>
      </c>
      <c r="B234" s="4" t="s">
        <v>133</v>
      </c>
      <c r="C234" s="4" t="s">
        <v>134</v>
      </c>
      <c r="D234" s="28" t="s">
        <v>135</v>
      </c>
      <c r="E234" s="27" t="s">
        <v>64</v>
      </c>
      <c r="F234" s="5" t="s">
        <v>49</v>
      </c>
      <c r="G234" s="21">
        <v>1</v>
      </c>
      <c r="H234" s="22">
        <f>VLOOKUP(C234,'Master File June-26'!$C$3:$I$670,6,0)</f>
        <v>3410</v>
      </c>
      <c r="I234" s="96">
        <f>VLOOKUP(C234,'Master File June-26'!$C$3:$I$670,7,0)</f>
        <v>3410</v>
      </c>
      <c r="J234" s="5">
        <f>VLOOKUP(C234,'Master File June-26'!C:J,8,0)</f>
        <v>14</v>
      </c>
      <c r="K234" s="23">
        <f t="shared" si="12"/>
        <v>1909.6000000000001</v>
      </c>
      <c r="L234" s="58">
        <f>VLOOKUP(C234,'Master File June-26'!C:L,10,0)</f>
        <v>0</v>
      </c>
      <c r="M234" s="24">
        <f t="shared" si="13"/>
        <v>0</v>
      </c>
      <c r="N234" s="25" t="str">
        <f t="shared" si="14"/>
        <v>ORDER NOW</v>
      </c>
      <c r="O234" s="25" t="str">
        <f t="shared" si="15"/>
        <v>CRITICAL</v>
      </c>
      <c r="Q234" s="90">
        <f>VLOOKUP(C234,'Master File June-26'!$C$3:$S$670,17,0)</f>
        <v>46128.695023148146</v>
      </c>
    </row>
    <row r="235" spans="1:17" ht="18.75" hidden="1" x14ac:dyDescent="0.25">
      <c r="A235" s="41">
        <v>488</v>
      </c>
      <c r="B235" s="41" t="s">
        <v>38</v>
      </c>
      <c r="C235" s="41" t="s">
        <v>1487</v>
      </c>
      <c r="D235" s="28" t="s">
        <v>1488</v>
      </c>
      <c r="E235" s="27" t="s">
        <v>1489</v>
      </c>
      <c r="F235" s="5" t="s">
        <v>22</v>
      </c>
      <c r="G235" s="21">
        <v>8.7527352297592995E-3</v>
      </c>
      <c r="H235" s="22">
        <v>5</v>
      </c>
      <c r="I235" s="96">
        <f>H235/G235</f>
        <v>571.25</v>
      </c>
      <c r="J235" s="5">
        <f>VLOOKUP(C235,'Master File June-26'!C:J,8,0)</f>
        <v>14</v>
      </c>
      <c r="K235" s="23">
        <f t="shared" si="12"/>
        <v>319.90000000000003</v>
      </c>
      <c r="L235" s="58">
        <f>VLOOKUP(C235,'Master File June-26'!C:L,10,0)</f>
        <v>0</v>
      </c>
      <c r="M235" s="24">
        <f t="shared" si="13"/>
        <v>0</v>
      </c>
      <c r="N235" s="25" t="str">
        <f t="shared" si="14"/>
        <v>ORDER NOW</v>
      </c>
      <c r="O235" s="25" t="str">
        <f t="shared" si="15"/>
        <v>CRITICAL</v>
      </c>
      <c r="Q235" s="90" t="e">
        <f>VLOOKUP(C235,[2]Sheet1!$C$3:$P$524,14,0)</f>
        <v>#N/A</v>
      </c>
    </row>
    <row r="236" spans="1:17" ht="18.75" hidden="1" x14ac:dyDescent="0.25">
      <c r="A236" s="19">
        <v>117</v>
      </c>
      <c r="B236" s="19" t="s">
        <v>18</v>
      </c>
      <c r="C236" s="19" t="s">
        <v>1223</v>
      </c>
      <c r="D236" s="28" t="s">
        <v>1224</v>
      </c>
      <c r="E236" s="27" t="s">
        <v>1225</v>
      </c>
      <c r="F236" s="5" t="s">
        <v>22</v>
      </c>
      <c r="G236" s="21">
        <v>2E-3</v>
      </c>
      <c r="H236" s="22">
        <v>10.5</v>
      </c>
      <c r="I236" s="96">
        <f>H236/G236</f>
        <v>5250</v>
      </c>
      <c r="J236" s="5">
        <f>VLOOKUP(C236,'Master File June-26'!C:J,8,0)</f>
        <v>14</v>
      </c>
      <c r="K236" s="23">
        <f t="shared" si="12"/>
        <v>2940.0000000000005</v>
      </c>
      <c r="L236" s="58">
        <f>VLOOKUP(C236,'Master File June-26'!C:L,10,0)</f>
        <v>0</v>
      </c>
      <c r="M236" s="24">
        <f t="shared" si="13"/>
        <v>0</v>
      </c>
      <c r="N236" s="25" t="str">
        <f t="shared" si="14"/>
        <v>ORDER NOW</v>
      </c>
      <c r="O236" s="25" t="str">
        <f t="shared" si="15"/>
        <v>CRITICAL</v>
      </c>
      <c r="P236" t="s">
        <v>30</v>
      </c>
      <c r="Q236" s="90" t="e">
        <f>VLOOKUP(C236,[2]Sheet1!$C$3:$P$524,14,0)</f>
        <v>#N/A</v>
      </c>
    </row>
    <row r="237" spans="1:17" ht="18.75" hidden="1" x14ac:dyDescent="0.25">
      <c r="A237" s="19">
        <v>151</v>
      </c>
      <c r="B237" s="19" t="s">
        <v>18</v>
      </c>
      <c r="C237" s="19" t="s">
        <v>1587</v>
      </c>
      <c r="D237" s="30" t="s">
        <v>1588</v>
      </c>
      <c r="E237" s="27" t="s">
        <v>1589</v>
      </c>
      <c r="F237" s="5" t="s">
        <v>22</v>
      </c>
      <c r="G237" s="21">
        <f>1/500</f>
        <v>2E-3</v>
      </c>
      <c r="H237" s="22">
        <f>VLOOKUP(C237,'Master File June-26'!$C$3:$I$670,6,0)</f>
        <v>60</v>
      </c>
      <c r="I237" s="96">
        <f>VLOOKUP(C237,'Master File June-26'!$C$3:$I$670,7,0)</f>
        <v>30000</v>
      </c>
      <c r="J237" s="5">
        <f>VLOOKUP(C237,'Master File June-26'!C:J,8,0)</f>
        <v>14</v>
      </c>
      <c r="K237" s="23">
        <f t="shared" si="12"/>
        <v>16800</v>
      </c>
      <c r="L237" s="58">
        <f>VLOOKUP(C237,'Master File June-26'!C:L,10,0)</f>
        <v>5</v>
      </c>
      <c r="M237" s="24">
        <f t="shared" si="13"/>
        <v>5.0000000000000001E-3</v>
      </c>
      <c r="N237" s="25" t="str">
        <f t="shared" si="14"/>
        <v>ORDER NOW</v>
      </c>
      <c r="O237" s="25" t="str">
        <f t="shared" si="15"/>
        <v>CRITICAL</v>
      </c>
      <c r="P237" t="s">
        <v>30</v>
      </c>
      <c r="Q237" s="90" t="e">
        <f>VLOOKUP(C237,[2]Sheet1!$C$3:$P$524,14,0)</f>
        <v>#N/A</v>
      </c>
    </row>
    <row r="238" spans="1:17" ht="18.75" hidden="1" x14ac:dyDescent="0.25">
      <c r="A238" s="19">
        <v>156</v>
      </c>
      <c r="B238" s="19" t="s">
        <v>18</v>
      </c>
      <c r="C238" s="19" t="s">
        <v>212</v>
      </c>
      <c r="D238" s="30" t="s">
        <v>213</v>
      </c>
      <c r="E238" s="27"/>
      <c r="F238" s="5"/>
      <c r="G238" s="21">
        <v>1</v>
      </c>
      <c r="H238" s="22">
        <f>VLOOKUP(C238,'Master File June-26'!$C$3:$I$670,6,0)</f>
        <v>15000</v>
      </c>
      <c r="I238" s="96">
        <f>VLOOKUP(C238,'Master File June-26'!$C$3:$I$670,7,0)</f>
        <v>15000</v>
      </c>
      <c r="J238" s="5">
        <f>VLOOKUP(C238,'Master File June-26'!C:J,8,0)</f>
        <v>14</v>
      </c>
      <c r="K238" s="23">
        <f t="shared" si="12"/>
        <v>8400</v>
      </c>
      <c r="L238" s="58">
        <f>VLOOKUP(C238,'Master File June-26'!C:L,10,0)</f>
        <v>0</v>
      </c>
      <c r="M238" s="24">
        <f t="shared" si="13"/>
        <v>0</v>
      </c>
      <c r="N238" s="25" t="str">
        <f t="shared" si="14"/>
        <v>ORDER NOW</v>
      </c>
      <c r="O238" s="25" t="str">
        <f t="shared" si="15"/>
        <v>CRITICAL</v>
      </c>
      <c r="Q238" s="90">
        <f>VLOOKUP(C238,'Master File June-26'!$C$3:$S$670,17,0)</f>
        <v>46134.446319444447</v>
      </c>
    </row>
    <row r="239" spans="1:17" ht="18.75" hidden="1" x14ac:dyDescent="0.25">
      <c r="A239" s="41">
        <v>453</v>
      </c>
      <c r="B239" s="41" t="s">
        <v>38</v>
      </c>
      <c r="C239" s="41" t="s">
        <v>136</v>
      </c>
      <c r="D239" s="28" t="s">
        <v>137</v>
      </c>
      <c r="E239" s="27" t="s">
        <v>138</v>
      </c>
      <c r="F239" s="5" t="s">
        <v>22</v>
      </c>
      <c r="G239" s="21">
        <v>8.3333333333333329E-2</v>
      </c>
      <c r="H239" s="22">
        <v>220</v>
      </c>
      <c r="I239" s="96">
        <f>H239/G239</f>
        <v>2640</v>
      </c>
      <c r="J239" s="5">
        <f>VLOOKUP(C239,'Master File June-26'!C:J,8,0)</f>
        <v>14</v>
      </c>
      <c r="K239" s="23">
        <f t="shared" si="12"/>
        <v>1478.4</v>
      </c>
      <c r="L239" s="58">
        <f>VLOOKUP(C239,'Master File June-26'!C:L,10,0)</f>
        <v>0</v>
      </c>
      <c r="M239" s="24">
        <f t="shared" si="13"/>
        <v>0</v>
      </c>
      <c r="N239" s="25" t="str">
        <f t="shared" si="14"/>
        <v>ORDER NOW</v>
      </c>
      <c r="O239" s="25" t="str">
        <f t="shared" si="15"/>
        <v>CRITICAL</v>
      </c>
      <c r="Q239" s="90" t="e">
        <f>VLOOKUP(C239,[2]Sheet1!$C$3:$P$524,14,0)</f>
        <v>#N/A</v>
      </c>
    </row>
    <row r="240" spans="1:17" ht="18.75" hidden="1" x14ac:dyDescent="0.25">
      <c r="A240" s="49">
        <v>581</v>
      </c>
      <c r="B240" s="49" t="s">
        <v>157</v>
      </c>
      <c r="C240" s="49" t="s">
        <v>1161</v>
      </c>
      <c r="D240" s="28" t="s">
        <v>1162</v>
      </c>
      <c r="E240" s="27" t="s">
        <v>160</v>
      </c>
      <c r="F240" s="5" t="s">
        <v>49</v>
      </c>
      <c r="G240" s="21">
        <v>1</v>
      </c>
      <c r="H240" s="22">
        <v>235.5</v>
      </c>
      <c r="I240" s="96">
        <f>H240/G240</f>
        <v>235.5</v>
      </c>
      <c r="J240" s="5">
        <f>VLOOKUP(C240,'Master File June-26'!C:J,8,0)</f>
        <v>14</v>
      </c>
      <c r="K240" s="23">
        <f t="shared" si="12"/>
        <v>131.88000000000002</v>
      </c>
      <c r="L240" s="58">
        <f>VLOOKUP(C240,'Master File June-26'!C:L,10,0)</f>
        <v>0</v>
      </c>
      <c r="M240" s="24">
        <f t="shared" si="13"/>
        <v>0</v>
      </c>
      <c r="N240" s="25" t="str">
        <f t="shared" si="14"/>
        <v>ORDER NOW</v>
      </c>
      <c r="O240" s="25" t="str">
        <f t="shared" si="15"/>
        <v>CRITICAL</v>
      </c>
      <c r="Q240" s="90" t="e">
        <f>VLOOKUP(C240,[2]Sheet1!$C$3:$P$524,14,0)</f>
        <v>#N/A</v>
      </c>
    </row>
    <row r="241" spans="1:17" ht="18.75" hidden="1" x14ac:dyDescent="0.25">
      <c r="A241" s="19">
        <v>62</v>
      </c>
      <c r="B241" s="19" t="s">
        <v>157</v>
      </c>
      <c r="C241" s="19" t="s">
        <v>695</v>
      </c>
      <c r="D241" s="28" t="s">
        <v>696</v>
      </c>
      <c r="E241" s="27" t="s">
        <v>697</v>
      </c>
      <c r="F241" s="5" t="s">
        <v>22</v>
      </c>
      <c r="G241" s="21">
        <v>1E-3</v>
      </c>
      <c r="H241" s="22">
        <f>VLOOKUP(C241,'Master File June-26'!$C$3:$I$670,6,0)</f>
        <v>92</v>
      </c>
      <c r="I241" s="96">
        <f>VLOOKUP(C241,'Master File June-26'!$C$3:$I$670,7,0)</f>
        <v>92000</v>
      </c>
      <c r="J241" s="5">
        <f>VLOOKUP(C241,'Master File June-26'!C:J,8,0)</f>
        <v>14</v>
      </c>
      <c r="K241" s="23">
        <f t="shared" si="12"/>
        <v>51520.000000000007</v>
      </c>
      <c r="L241" s="58">
        <f>VLOOKUP(C241,'Master File June-26'!C:L,10,0)</f>
        <v>655</v>
      </c>
      <c r="M241" s="24">
        <f t="shared" si="13"/>
        <v>0.21358695652173912</v>
      </c>
      <c r="N241" s="25" t="str">
        <f t="shared" si="14"/>
        <v>ORDER NOW</v>
      </c>
      <c r="O241" s="25" t="str">
        <f t="shared" si="15"/>
        <v>CRITICAL</v>
      </c>
      <c r="P241" t="s">
        <v>30</v>
      </c>
      <c r="Q241" s="90">
        <f>VLOOKUP(C241,'Master File June-26'!$C$3:$S$670,17,0)</f>
        <v>46113.430949074071</v>
      </c>
    </row>
    <row r="242" spans="1:17" ht="18.75" hidden="1" x14ac:dyDescent="0.25">
      <c r="A242" s="19">
        <v>37</v>
      </c>
      <c r="B242" s="19" t="s">
        <v>18</v>
      </c>
      <c r="C242" s="19" t="s">
        <v>838</v>
      </c>
      <c r="D242" s="30" t="s">
        <v>839</v>
      </c>
      <c r="E242" s="29" t="s">
        <v>840</v>
      </c>
      <c r="F242" s="5" t="s">
        <v>22</v>
      </c>
      <c r="G242" s="21">
        <f>1/2750</f>
        <v>3.6363636363636361E-4</v>
      </c>
      <c r="H242" s="22">
        <f>VLOOKUP(C242,'Master File June-26'!$C$3:$I$670,6,0)</f>
        <v>121</v>
      </c>
      <c r="I242" s="96">
        <f>VLOOKUP(C242,'Master File June-26'!$C$3:$I$670,7,0)</f>
        <v>332750</v>
      </c>
      <c r="J242" s="5">
        <f>VLOOKUP(C242,'Master File June-26'!C:J,8,0)</f>
        <v>14</v>
      </c>
      <c r="K242" s="23">
        <f t="shared" si="12"/>
        <v>186340.00000000003</v>
      </c>
      <c r="L242" s="58">
        <f>VLOOKUP(C242,'Master File June-26'!C:L,10,0)</f>
        <v>76000</v>
      </c>
      <c r="M242" s="24">
        <f t="shared" si="13"/>
        <v>6.8519909842223896</v>
      </c>
      <c r="N242" s="25" t="str">
        <f t="shared" si="14"/>
        <v>ORDER NOW</v>
      </c>
      <c r="O242" s="25" t="str">
        <f t="shared" si="15"/>
        <v>CRITICAL</v>
      </c>
      <c r="P242" t="s">
        <v>30</v>
      </c>
      <c r="Q242" s="90">
        <f>VLOOKUP(C242,'Master File June-26'!$C$3:$S$670,17,0)</f>
        <v>46141.525497685187</v>
      </c>
    </row>
    <row r="243" spans="1:17" ht="18.75" hidden="1" x14ac:dyDescent="0.25">
      <c r="A243" s="41">
        <v>385</v>
      </c>
      <c r="B243" s="41" t="s">
        <v>85</v>
      </c>
      <c r="C243" s="41" t="s">
        <v>111</v>
      </c>
      <c r="D243" s="28" t="s">
        <v>112</v>
      </c>
      <c r="E243" s="27" t="s">
        <v>113</v>
      </c>
      <c r="F243" s="5" t="s">
        <v>22</v>
      </c>
      <c r="G243" s="21">
        <v>0.33333333333333331</v>
      </c>
      <c r="H243" s="22">
        <f>VLOOKUP(C243,'Master File June-26'!$C$3:$I$670,6,0)</f>
        <v>135</v>
      </c>
      <c r="I243" s="96">
        <f>VLOOKUP(C243,'Master File June-26'!$C$3:$I$670,7,0)</f>
        <v>405</v>
      </c>
      <c r="J243" s="5">
        <f>VLOOKUP(C243,'Master File June-26'!C:J,8,0)</f>
        <v>14</v>
      </c>
      <c r="K243" s="23">
        <f t="shared" si="12"/>
        <v>226.8</v>
      </c>
      <c r="L243" s="58">
        <f>VLOOKUP(C243,'Master File June-26'!C:L,10,0)</f>
        <v>1050</v>
      </c>
      <c r="M243" s="24">
        <f t="shared" si="13"/>
        <v>77.777777777777771</v>
      </c>
      <c r="N243" s="25" t="str">
        <f t="shared" si="14"/>
        <v>IN STOCK</v>
      </c>
      <c r="O243" s="25" t="str">
        <f t="shared" si="15"/>
        <v>FOLLOW UP DELIVERY</v>
      </c>
      <c r="Q243" s="90">
        <f>VLOOKUP(C243,'Master File June-26'!$C$3:$S$670,17,0)</f>
        <v>46138.437754629631</v>
      </c>
    </row>
    <row r="244" spans="1:17" ht="18.75" hidden="1" x14ac:dyDescent="0.25">
      <c r="A244" s="39">
        <v>228</v>
      </c>
      <c r="B244" s="39" t="s">
        <v>123</v>
      </c>
      <c r="C244" s="39" t="s">
        <v>946</v>
      </c>
      <c r="D244" s="28" t="s">
        <v>947</v>
      </c>
      <c r="E244" s="27" t="s">
        <v>160</v>
      </c>
      <c r="F244" s="5" t="s">
        <v>49</v>
      </c>
      <c r="G244" s="21">
        <v>1</v>
      </c>
      <c r="H244" s="22">
        <v>21.5</v>
      </c>
      <c r="I244" s="96">
        <f>H244/G244</f>
        <v>21.5</v>
      </c>
      <c r="J244" s="5">
        <f>VLOOKUP(C244,'Master File June-26'!C:J,8,0)</f>
        <v>14</v>
      </c>
      <c r="K244" s="23">
        <f t="shared" si="12"/>
        <v>12.040000000000001</v>
      </c>
      <c r="L244" s="58">
        <f>VLOOKUP(C244,'Master File June-26'!C:L,10,0)</f>
        <v>0</v>
      </c>
      <c r="M244" s="24">
        <f t="shared" si="13"/>
        <v>0</v>
      </c>
      <c r="N244" s="25" t="str">
        <f t="shared" si="14"/>
        <v>ORDER NOW</v>
      </c>
      <c r="O244" s="25" t="str">
        <f t="shared" si="15"/>
        <v>CRITICAL</v>
      </c>
      <c r="Q244" s="90">
        <f>VLOOKUP(C244,'Master File June-26'!$C$3:$S$670,17,0)</f>
        <v>46119.481805555559</v>
      </c>
    </row>
    <row r="245" spans="1:17" ht="18.75" hidden="1" x14ac:dyDescent="0.25">
      <c r="A245" s="41">
        <v>491</v>
      </c>
      <c r="B245" s="41" t="s">
        <v>38</v>
      </c>
      <c r="C245" s="41" t="s">
        <v>58</v>
      </c>
      <c r="D245" s="28" t="s">
        <v>59</v>
      </c>
      <c r="E245" s="27" t="s">
        <v>60</v>
      </c>
      <c r="F245" s="5" t="s">
        <v>22</v>
      </c>
      <c r="G245" s="21">
        <v>0.17543859649122809</v>
      </c>
      <c r="H245" s="22">
        <f>VLOOKUP(C245,'Master File June-26'!$C$3:$I$670,6,0)</f>
        <v>4</v>
      </c>
      <c r="I245" s="96">
        <f>VLOOKUP(C245,'Master File June-26'!$C$3:$I$670,7,0)</f>
        <v>22.799999999999997</v>
      </c>
      <c r="J245" s="5">
        <f>VLOOKUP(C245,'Master File June-26'!C:J,8,0)</f>
        <v>14</v>
      </c>
      <c r="K245" s="23">
        <f t="shared" si="12"/>
        <v>12.767999999999999</v>
      </c>
      <c r="L245" s="58">
        <f>VLOOKUP(C245,'Master File June-26'!C:L,10,0)</f>
        <v>23.94</v>
      </c>
      <c r="M245" s="24">
        <f t="shared" si="13"/>
        <v>31.500000000000007</v>
      </c>
      <c r="N245" s="25" t="str">
        <f t="shared" si="14"/>
        <v>IN STOCK</v>
      </c>
      <c r="O245" s="25" t="str">
        <f t="shared" si="15"/>
        <v>FOLLOW UP DELIVERY</v>
      </c>
      <c r="Q245" s="90">
        <f>VLOOKUP(C245,'Master File June-26'!$C$3:$S$670,17,0)</f>
        <v>46141.525219907409</v>
      </c>
    </row>
    <row r="246" spans="1:17" ht="18.75" hidden="1" x14ac:dyDescent="0.25">
      <c r="A246" s="39">
        <v>314</v>
      </c>
      <c r="B246" s="39" t="s">
        <v>123</v>
      </c>
      <c r="C246" s="39" t="s">
        <v>929</v>
      </c>
      <c r="D246" s="30" t="s">
        <v>930</v>
      </c>
      <c r="E246" s="27" t="s">
        <v>931</v>
      </c>
      <c r="F246" s="5" t="s">
        <v>794</v>
      </c>
      <c r="G246" s="21">
        <f>1/5</f>
        <v>0.2</v>
      </c>
      <c r="H246" s="22">
        <v>8</v>
      </c>
      <c r="I246" s="96">
        <f>H246/G246</f>
        <v>40</v>
      </c>
      <c r="J246" s="5">
        <f>VLOOKUP(C246,'Master File June-26'!C:J,8,0)</f>
        <v>14</v>
      </c>
      <c r="K246" s="23">
        <f t="shared" si="12"/>
        <v>22.400000000000002</v>
      </c>
      <c r="L246" s="58">
        <f>VLOOKUP(C246,'Master File June-26'!C:L,10,0)</f>
        <v>0</v>
      </c>
      <c r="M246" s="24">
        <f t="shared" si="13"/>
        <v>0</v>
      </c>
      <c r="N246" s="25" t="str">
        <f t="shared" si="14"/>
        <v>ORDER NOW</v>
      </c>
      <c r="O246" s="25" t="str">
        <f t="shared" si="15"/>
        <v>CRITICAL</v>
      </c>
      <c r="Q246" s="90" t="e">
        <f>VLOOKUP(C246,[2]Sheet1!$C$3:$P$524,14,0)</f>
        <v>#N/A</v>
      </c>
    </row>
    <row r="247" spans="1:17" ht="18.75" hidden="1" x14ac:dyDescent="0.25">
      <c r="A247" s="39">
        <v>232</v>
      </c>
      <c r="B247" s="39" t="s">
        <v>123</v>
      </c>
      <c r="C247" s="39" t="s">
        <v>877</v>
      </c>
      <c r="D247" s="28" t="s">
        <v>878</v>
      </c>
      <c r="E247" s="27" t="s">
        <v>160</v>
      </c>
      <c r="F247" s="5" t="s">
        <v>49</v>
      </c>
      <c r="G247" s="21">
        <v>1</v>
      </c>
      <c r="H247" s="22">
        <f>VLOOKUP(C247,'Master File June-26'!$C$3:$I$670,6,0)</f>
        <v>164</v>
      </c>
      <c r="I247" s="96">
        <f>VLOOKUP(C247,'Master File June-26'!$C$3:$I$670,7,0)</f>
        <v>164</v>
      </c>
      <c r="J247" s="5">
        <f>VLOOKUP(C247,'Master File June-26'!C:J,8,0)</f>
        <v>14</v>
      </c>
      <c r="K247" s="23">
        <f t="shared" si="12"/>
        <v>91.84</v>
      </c>
      <c r="L247" s="58">
        <f>VLOOKUP(C247,'Master File June-26'!C:L,10,0)</f>
        <v>12</v>
      </c>
      <c r="M247" s="24">
        <f t="shared" si="13"/>
        <v>2.1951219512195119</v>
      </c>
      <c r="N247" s="25" t="str">
        <f t="shared" si="14"/>
        <v>ORDER NOW</v>
      </c>
      <c r="O247" s="25" t="str">
        <f t="shared" si="15"/>
        <v>CRITICAL</v>
      </c>
      <c r="Q247" s="90">
        <f>VLOOKUP(C247,'Master File June-26'!$C$3:$S$670,17,0)</f>
        <v>46118.497893518521</v>
      </c>
    </row>
    <row r="248" spans="1:17" ht="18.75" hidden="1" x14ac:dyDescent="0.25">
      <c r="A248" s="19">
        <v>181</v>
      </c>
      <c r="B248" s="19" t="s">
        <v>18</v>
      </c>
      <c r="C248" s="19" t="s">
        <v>729</v>
      </c>
      <c r="D248" s="38" t="s">
        <v>730</v>
      </c>
      <c r="E248" s="31" t="s">
        <v>49</v>
      </c>
      <c r="F248" s="5" t="s">
        <v>49</v>
      </c>
      <c r="G248" s="21">
        <v>1</v>
      </c>
      <c r="H248" s="22">
        <f>VLOOKUP(C248,'Master File June-26'!$C$3:$I$670,6,0)</f>
        <v>5000</v>
      </c>
      <c r="I248" s="96">
        <f>VLOOKUP(C248,'Master File June-26'!$C$3:$I$670,7,0)</f>
        <v>5000</v>
      </c>
      <c r="J248" s="5">
        <f>VLOOKUP(C248,'Master File June-26'!C:J,8,0)</f>
        <v>14</v>
      </c>
      <c r="K248" s="23">
        <f t="shared" si="12"/>
        <v>2800.0000000000005</v>
      </c>
      <c r="L248" s="58">
        <f>VLOOKUP(C248,'Master File June-26'!C:L,10,0)</f>
        <v>0</v>
      </c>
      <c r="M248" s="24">
        <f t="shared" si="13"/>
        <v>0</v>
      </c>
      <c r="N248" s="25" t="str">
        <f t="shared" si="14"/>
        <v>ORDER NOW</v>
      </c>
      <c r="O248" s="25" t="str">
        <f t="shared" si="15"/>
        <v>CRITICAL</v>
      </c>
      <c r="Q248" s="90">
        <f>VLOOKUP(C248,'Master File June-26'!$C$3:$S$670,17,0)</f>
        <v>46113.430949074071</v>
      </c>
    </row>
    <row r="249" spans="1:17" ht="18.75" hidden="1" x14ac:dyDescent="0.25">
      <c r="A249" s="19">
        <v>182</v>
      </c>
      <c r="B249" s="19" t="s">
        <v>18</v>
      </c>
      <c r="C249" s="19" t="s">
        <v>731</v>
      </c>
      <c r="D249" s="38" t="s">
        <v>732</v>
      </c>
      <c r="E249" s="31" t="s">
        <v>49</v>
      </c>
      <c r="F249" s="5" t="s">
        <v>49</v>
      </c>
      <c r="G249" s="21">
        <v>1</v>
      </c>
      <c r="H249" s="22">
        <f>VLOOKUP(C249,'Master File June-26'!$C$3:$I$670,6,0)</f>
        <v>5000</v>
      </c>
      <c r="I249" s="96">
        <f>VLOOKUP(C249,'Master File June-26'!$C$3:$I$670,7,0)</f>
        <v>5000</v>
      </c>
      <c r="J249" s="5">
        <f>VLOOKUP(C249,'Master File June-26'!C:J,8,0)</f>
        <v>14</v>
      </c>
      <c r="K249" s="23">
        <f t="shared" si="12"/>
        <v>2800.0000000000005</v>
      </c>
      <c r="L249" s="58">
        <f>VLOOKUP(C249,'Master File June-26'!C:L,10,0)</f>
        <v>0</v>
      </c>
      <c r="M249" s="24">
        <f t="shared" si="13"/>
        <v>0</v>
      </c>
      <c r="N249" s="25" t="str">
        <f t="shared" si="14"/>
        <v>ORDER NOW</v>
      </c>
      <c r="O249" s="25" t="str">
        <f t="shared" si="15"/>
        <v>CRITICAL</v>
      </c>
      <c r="Q249" s="90">
        <f>VLOOKUP(C249,'Master File June-26'!$C$3:$S$670,17,0)</f>
        <v>46134.44630787037</v>
      </c>
    </row>
    <row r="250" spans="1:17" ht="18.75" hidden="1" x14ac:dyDescent="0.25">
      <c r="A250" s="41">
        <v>434</v>
      </c>
      <c r="B250" s="41" t="s">
        <v>38</v>
      </c>
      <c r="C250" s="41" t="s">
        <v>1165</v>
      </c>
      <c r="D250" s="28" t="s">
        <v>1166</v>
      </c>
      <c r="E250" s="27" t="s">
        <v>70</v>
      </c>
      <c r="F250" s="5" t="s">
        <v>54</v>
      </c>
      <c r="G250" s="21">
        <v>0.1388888888888889</v>
      </c>
      <c r="H250" s="22">
        <v>28</v>
      </c>
      <c r="I250" s="96">
        <f>H250/G250</f>
        <v>201.6</v>
      </c>
      <c r="J250" s="5">
        <f>VLOOKUP(C250,'Master File June-26'!C:J,8,0)</f>
        <v>14</v>
      </c>
      <c r="K250" s="23">
        <f t="shared" si="12"/>
        <v>112.896</v>
      </c>
      <c r="L250" s="58">
        <f>VLOOKUP(C250,'Master File June-26'!C:L,10,0)</f>
        <v>0</v>
      </c>
      <c r="M250" s="24">
        <f t="shared" si="13"/>
        <v>0</v>
      </c>
      <c r="N250" s="25" t="str">
        <f t="shared" si="14"/>
        <v>ORDER NOW</v>
      </c>
      <c r="O250" s="25" t="str">
        <f t="shared" si="15"/>
        <v>CRITICAL</v>
      </c>
      <c r="Q250" s="90" t="e">
        <f>VLOOKUP(C250,[2]Sheet1!$C$3:$P$524,14,0)</f>
        <v>#N/A</v>
      </c>
    </row>
    <row r="251" spans="1:17" ht="18.75" hidden="1" x14ac:dyDescent="0.25">
      <c r="A251" s="39">
        <v>199</v>
      </c>
      <c r="B251" s="39" t="s">
        <v>239</v>
      </c>
      <c r="C251" s="39" t="s">
        <v>1108</v>
      </c>
      <c r="D251" s="28" t="s">
        <v>1109</v>
      </c>
      <c r="E251" s="27" t="s">
        <v>160</v>
      </c>
      <c r="F251" s="5" t="s">
        <v>49</v>
      </c>
      <c r="G251" s="21">
        <v>1</v>
      </c>
      <c r="H251" s="22">
        <v>167</v>
      </c>
      <c r="I251" s="96">
        <f>H251/G251</f>
        <v>167</v>
      </c>
      <c r="J251" s="5">
        <f>VLOOKUP(C251,'Master File June-26'!C:J,8,0)</f>
        <v>14</v>
      </c>
      <c r="K251" s="23">
        <f t="shared" si="12"/>
        <v>93.52000000000001</v>
      </c>
      <c r="L251" s="58">
        <f>VLOOKUP(C251,'Master File June-26'!C:L,10,0)</f>
        <v>0</v>
      </c>
      <c r="M251" s="24">
        <f t="shared" si="13"/>
        <v>0</v>
      </c>
      <c r="N251" s="25" t="str">
        <f t="shared" si="14"/>
        <v>ORDER NOW</v>
      </c>
      <c r="O251" s="25" t="str">
        <f t="shared" si="15"/>
        <v>CRITICAL</v>
      </c>
      <c r="Q251" s="90" t="e">
        <f>VLOOKUP(C251,[2]Sheet1!$C$3:$P$524,14,0)</f>
        <v>#N/A</v>
      </c>
    </row>
    <row r="252" spans="1:17" ht="18.75" hidden="1" x14ac:dyDescent="0.25">
      <c r="A252" s="19">
        <v>14</v>
      </c>
      <c r="B252" s="19" t="s">
        <v>18</v>
      </c>
      <c r="C252" s="19" t="s">
        <v>953</v>
      </c>
      <c r="D252" s="20" t="s">
        <v>954</v>
      </c>
      <c r="E252" s="4" t="s">
        <v>955</v>
      </c>
      <c r="F252" s="5" t="s">
        <v>22</v>
      </c>
      <c r="G252" s="21">
        <v>1.6260162601626016E-3</v>
      </c>
      <c r="H252" s="22">
        <f>VLOOKUP(C252,'Master File June-26'!$C$3:$I$670,6,0)</f>
        <v>544.5</v>
      </c>
      <c r="I252" s="96">
        <f>VLOOKUP(C252,'Master File June-26'!$C$3:$I$670,7,0)</f>
        <v>334867.5</v>
      </c>
      <c r="J252" s="5">
        <f>VLOOKUP(C252,'Master File June-26'!C:J,8,0)</f>
        <v>14</v>
      </c>
      <c r="K252" s="23">
        <f t="shared" si="12"/>
        <v>187525.80000000002</v>
      </c>
      <c r="L252" s="58">
        <f>VLOOKUP(C252,'Master File June-26'!C:L,10,0)</f>
        <v>73285</v>
      </c>
      <c r="M252" s="24">
        <f t="shared" si="13"/>
        <v>6.5654325964747251</v>
      </c>
      <c r="N252" s="25" t="str">
        <f t="shared" si="14"/>
        <v>ORDER NOW</v>
      </c>
      <c r="O252" s="25" t="str">
        <f t="shared" si="15"/>
        <v>CRITICAL</v>
      </c>
      <c r="P252" t="s">
        <v>30</v>
      </c>
      <c r="Q252" s="90">
        <f>VLOOKUP(C252,'Master File June-26'!$C$3:$S$670,17,0)</f>
        <v>46140.606435185182</v>
      </c>
    </row>
    <row r="253" spans="1:17" ht="18.75" hidden="1" x14ac:dyDescent="0.25">
      <c r="A253" s="19">
        <v>45</v>
      </c>
      <c r="B253" s="19" t="s">
        <v>18</v>
      </c>
      <c r="C253" s="19" t="s">
        <v>1024</v>
      </c>
      <c r="D253" s="34" t="s">
        <v>1025</v>
      </c>
      <c r="E253" s="29" t="s">
        <v>1026</v>
      </c>
      <c r="F253" s="5" t="s">
        <v>22</v>
      </c>
      <c r="G253" s="21">
        <f>1/1200</f>
        <v>8.3333333333333339E-4</v>
      </c>
      <c r="H253" s="22">
        <v>38.5</v>
      </c>
      <c r="I253" s="96">
        <f>H253/G253</f>
        <v>46200</v>
      </c>
      <c r="J253" s="5">
        <f>VLOOKUP(C253,'Master File June-26'!C:J,8,0)</f>
        <v>14</v>
      </c>
      <c r="K253" s="23">
        <f t="shared" si="12"/>
        <v>25872.000000000004</v>
      </c>
      <c r="L253" s="58">
        <f>VLOOKUP(C253,'Master File June-26'!C:L,10,0)</f>
        <v>0</v>
      </c>
      <c r="M253" s="24">
        <f t="shared" si="13"/>
        <v>0</v>
      </c>
      <c r="N253" s="25" t="str">
        <f t="shared" si="14"/>
        <v>ORDER NOW</v>
      </c>
      <c r="O253" s="25" t="str">
        <f t="shared" si="15"/>
        <v>CRITICAL</v>
      </c>
      <c r="P253" t="s">
        <v>30</v>
      </c>
      <c r="Q253" s="90" t="e">
        <f>VLOOKUP(C253,[2]Sheet1!$C$3:$P$524,14,0)</f>
        <v>#N/A</v>
      </c>
    </row>
    <row r="254" spans="1:17" ht="18.75" hidden="1" x14ac:dyDescent="0.25">
      <c r="A254" s="39">
        <v>230</v>
      </c>
      <c r="B254" s="39" t="s">
        <v>123</v>
      </c>
      <c r="C254" s="39" t="s">
        <v>857</v>
      </c>
      <c r="D254" s="28" t="s">
        <v>858</v>
      </c>
      <c r="E254" s="27" t="s">
        <v>859</v>
      </c>
      <c r="F254" s="5" t="s">
        <v>22</v>
      </c>
      <c r="G254" s="21">
        <v>0.16666666666666666</v>
      </c>
      <c r="H254" s="22">
        <f>VLOOKUP(C254,'Master File June-26'!$C$3:$I$670,6,0)</f>
        <v>2036.5</v>
      </c>
      <c r="I254" s="96">
        <f>VLOOKUP(C254,'Master File June-26'!$C$3:$I$670,7,0)</f>
        <v>12219</v>
      </c>
      <c r="J254" s="5">
        <f>VLOOKUP(C254,'Master File June-26'!C:J,8,0)</f>
        <v>14</v>
      </c>
      <c r="K254" s="23">
        <f t="shared" si="12"/>
        <v>6842.64</v>
      </c>
      <c r="L254" s="58">
        <f>VLOOKUP(C254,'Master File June-26'!C:L,10,0)</f>
        <v>3618</v>
      </c>
      <c r="M254" s="24">
        <f t="shared" si="13"/>
        <v>8.8828873066535721</v>
      </c>
      <c r="N254" s="25" t="str">
        <f t="shared" si="14"/>
        <v>ORDER NOW</v>
      </c>
      <c r="O254" s="25" t="str">
        <f t="shared" si="15"/>
        <v>CRITICAL</v>
      </c>
      <c r="Q254" s="90">
        <f>VLOOKUP(C254,'Master File June-26'!$C$3:$S$670,17,0)</f>
        <v>46140.604803240742</v>
      </c>
    </row>
    <row r="255" spans="1:17" ht="18.75" hidden="1" x14ac:dyDescent="0.25">
      <c r="A255" s="39">
        <v>215</v>
      </c>
      <c r="B255" s="39" t="s">
        <v>123</v>
      </c>
      <c r="C255" s="39" t="s">
        <v>124</v>
      </c>
      <c r="D255" s="28" t="s">
        <v>125</v>
      </c>
      <c r="E255" s="27" t="s">
        <v>126</v>
      </c>
      <c r="F255" s="5" t="s">
        <v>49</v>
      </c>
      <c r="G255" s="21">
        <v>1</v>
      </c>
      <c r="H255" s="22">
        <f>VLOOKUP(C255,'Master File June-26'!$C$3:$I$670,6,0)</f>
        <v>233</v>
      </c>
      <c r="I255" s="96">
        <f>VLOOKUP(C255,'Master File June-26'!$C$3:$I$670,7,0)</f>
        <v>233</v>
      </c>
      <c r="J255" s="5">
        <f>VLOOKUP(C255,'Master File June-26'!C:J,8,0)</f>
        <v>14</v>
      </c>
      <c r="K255" s="23">
        <f t="shared" si="12"/>
        <v>130.48000000000002</v>
      </c>
      <c r="L255" s="58">
        <f>VLOOKUP(C255,'Master File June-26'!C:L,10,0)</f>
        <v>38</v>
      </c>
      <c r="M255" s="24">
        <f t="shared" si="13"/>
        <v>4.8927038626609436</v>
      </c>
      <c r="N255" s="25" t="str">
        <f t="shared" si="14"/>
        <v>ORDER NOW</v>
      </c>
      <c r="O255" s="25" t="str">
        <f t="shared" si="15"/>
        <v>CRITICAL</v>
      </c>
      <c r="Q255" s="90">
        <f>VLOOKUP(C255,'Master File June-26'!$C$3:$S$670,17,0)</f>
        <v>46128.695543981485</v>
      </c>
    </row>
    <row r="256" spans="1:17" ht="18.75" hidden="1" x14ac:dyDescent="0.25">
      <c r="A256" s="19">
        <v>120</v>
      </c>
      <c r="B256" s="19" t="s">
        <v>18</v>
      </c>
      <c r="C256" s="19" t="s">
        <v>815</v>
      </c>
      <c r="D256" s="28" t="s">
        <v>816</v>
      </c>
      <c r="E256" s="27" t="s">
        <v>186</v>
      </c>
      <c r="F256" s="5" t="s">
        <v>606</v>
      </c>
      <c r="G256" s="21">
        <f>1/500</f>
        <v>2E-3</v>
      </c>
      <c r="H256" s="22">
        <f>VLOOKUP(C256,'Master File June-26'!$C$3:$I$670,6,0)</f>
        <v>30</v>
      </c>
      <c r="I256" s="96">
        <f>VLOOKUP(C256,'Master File June-26'!$C$3:$I$670,7,0)</f>
        <v>15000</v>
      </c>
      <c r="J256" s="5">
        <f>VLOOKUP(C256,'Master File June-26'!C:J,8,0)</f>
        <v>14</v>
      </c>
      <c r="K256" s="23">
        <f t="shared" si="12"/>
        <v>8400</v>
      </c>
      <c r="L256" s="58">
        <f>VLOOKUP(C256,'Master File June-26'!C:L,10,0)</f>
        <v>0</v>
      </c>
      <c r="M256" s="24">
        <f t="shared" si="13"/>
        <v>0</v>
      </c>
      <c r="N256" s="25" t="str">
        <f t="shared" si="14"/>
        <v>ORDER NOW</v>
      </c>
      <c r="O256" s="25" t="str">
        <f t="shared" si="15"/>
        <v>CRITICAL</v>
      </c>
      <c r="P256" t="s">
        <v>30</v>
      </c>
      <c r="Q256" s="90">
        <f>VLOOKUP(C256,'Master File June-26'!$C$3:$S$670,17,0)</f>
        <v>46128.687951388885</v>
      </c>
    </row>
    <row r="257" spans="1:17" ht="18.75" hidden="1" x14ac:dyDescent="0.25">
      <c r="A257" s="19">
        <v>92</v>
      </c>
      <c r="B257" s="19" t="s">
        <v>18</v>
      </c>
      <c r="C257" s="19" t="s">
        <v>1018</v>
      </c>
      <c r="D257" s="28" t="s">
        <v>1019</v>
      </c>
      <c r="E257" s="27" t="s">
        <v>1020</v>
      </c>
      <c r="F257" s="5" t="s">
        <v>22</v>
      </c>
      <c r="G257" s="21">
        <v>2E-3</v>
      </c>
      <c r="H257" s="22">
        <f>VLOOKUP(C257,'Master File June-26'!$C$3:$I$670,6,0)</f>
        <v>600</v>
      </c>
      <c r="I257" s="96">
        <f>VLOOKUP(C257,'Master File June-26'!$C$3:$I$670,7,0)</f>
        <v>300000</v>
      </c>
      <c r="J257" s="5">
        <f>VLOOKUP(C257,'Master File June-26'!C:J,8,0)</f>
        <v>14</v>
      </c>
      <c r="K257" s="23">
        <f t="shared" si="12"/>
        <v>168000.00000000003</v>
      </c>
      <c r="L257" s="58">
        <f>VLOOKUP(C257,'Master File June-26'!C:L,10,0)</f>
        <v>62500</v>
      </c>
      <c r="M257" s="24">
        <f t="shared" si="13"/>
        <v>6.25</v>
      </c>
      <c r="N257" s="25" t="str">
        <f t="shared" si="14"/>
        <v>ORDER NOW</v>
      </c>
      <c r="O257" s="25" t="str">
        <f t="shared" si="15"/>
        <v>CRITICAL</v>
      </c>
      <c r="P257" t="s">
        <v>30</v>
      </c>
      <c r="Q257" s="90">
        <f>VLOOKUP(C257,'Master File June-26'!$C$3:$S$670,17,0)</f>
        <v>46141.525856481479</v>
      </c>
    </row>
    <row r="258" spans="1:17" ht="18.75" hidden="1" x14ac:dyDescent="0.25">
      <c r="A258" s="41">
        <v>406</v>
      </c>
      <c r="B258" s="41" t="s">
        <v>38</v>
      </c>
      <c r="C258" s="41" t="s">
        <v>1027</v>
      </c>
      <c r="D258" s="28" t="s">
        <v>1028</v>
      </c>
      <c r="E258" s="27" t="s">
        <v>1029</v>
      </c>
      <c r="F258" s="5" t="s">
        <v>22</v>
      </c>
      <c r="G258" s="21">
        <v>1E-3</v>
      </c>
      <c r="H258" s="22">
        <v>24</v>
      </c>
      <c r="I258" s="96">
        <f>H258/G258</f>
        <v>24000</v>
      </c>
      <c r="J258" s="5">
        <f>VLOOKUP(C258,'Master File June-26'!C:J,8,0)</f>
        <v>14</v>
      </c>
      <c r="K258" s="23">
        <f t="shared" si="12"/>
        <v>13440.000000000002</v>
      </c>
      <c r="L258" s="58">
        <f>VLOOKUP(C258,'Master File June-26'!C:L,10,0)</f>
        <v>0</v>
      </c>
      <c r="M258" s="24">
        <f t="shared" si="13"/>
        <v>0</v>
      </c>
      <c r="N258" s="25" t="str">
        <f t="shared" si="14"/>
        <v>ORDER NOW</v>
      </c>
      <c r="O258" s="25" t="str">
        <f t="shared" si="15"/>
        <v>CRITICAL</v>
      </c>
      <c r="Q258" s="90" t="e">
        <f>VLOOKUP(C258,[2]Sheet1!$C$3:$P$524,14,0)</f>
        <v>#N/A</v>
      </c>
    </row>
    <row r="259" spans="1:17" ht="18.75" hidden="1" x14ac:dyDescent="0.25">
      <c r="A259" s="39">
        <v>212</v>
      </c>
      <c r="B259" s="39" t="s">
        <v>123</v>
      </c>
      <c r="C259" s="39" t="s">
        <v>782</v>
      </c>
      <c r="D259" s="28" t="s">
        <v>783</v>
      </c>
      <c r="E259" s="27" t="s">
        <v>126</v>
      </c>
      <c r="F259" s="5" t="s">
        <v>49</v>
      </c>
      <c r="G259" s="21">
        <v>1</v>
      </c>
      <c r="H259" s="22">
        <f>VLOOKUP(C259,'Master File June-26'!$C$3:$I$670,6,0)</f>
        <v>85</v>
      </c>
      <c r="I259" s="96">
        <f>VLOOKUP(C259,'Master File June-26'!$C$3:$I$670,7,0)</f>
        <v>85</v>
      </c>
      <c r="J259" s="5">
        <f>VLOOKUP(C259,'Master File June-26'!C:J,8,0)</f>
        <v>14</v>
      </c>
      <c r="K259" s="23">
        <f t="shared" ref="K259:K322" si="16">I259*(J259/25)</f>
        <v>47.6</v>
      </c>
      <c r="L259" s="58">
        <f>VLOOKUP(C259,'Master File June-26'!C:L,10,0)</f>
        <v>20</v>
      </c>
      <c r="M259" s="24">
        <f t="shared" ref="M259:M322" si="17">IFERROR((L259/I259*30),0)</f>
        <v>7.0588235294117645</v>
      </c>
      <c r="N259" s="25" t="str">
        <f t="shared" ref="N259:N322" si="18">IF(M259&lt;J259,"ORDER NOW","IN STOCK")</f>
        <v>ORDER NOW</v>
      </c>
      <c r="O259" s="25" t="str">
        <f t="shared" ref="O259:O322" si="19">IF(M259&lt;J259,"CRITICAL","FOLLOW UP DELIVERY")</f>
        <v>CRITICAL</v>
      </c>
      <c r="Q259" s="90">
        <f>VLOOKUP(C259,'Master File June-26'!$C$3:$S$670,17,0)</f>
        <v>46134.446377314816</v>
      </c>
    </row>
    <row r="260" spans="1:17" ht="18.75" hidden="1" x14ac:dyDescent="0.25">
      <c r="A260" s="19">
        <v>12</v>
      </c>
      <c r="B260" s="19" t="s">
        <v>18</v>
      </c>
      <c r="C260" s="19" t="s">
        <v>802</v>
      </c>
      <c r="D260" s="30" t="s">
        <v>803</v>
      </c>
      <c r="E260" s="29" t="s">
        <v>804</v>
      </c>
      <c r="F260" s="5" t="s">
        <v>22</v>
      </c>
      <c r="G260" s="21">
        <v>3.1250000000000002E-3</v>
      </c>
      <c r="H260" s="22">
        <f>VLOOKUP(C260,'Master File June-26'!$C$3:$I$670,6,0)</f>
        <v>825</v>
      </c>
      <c r="I260" s="96">
        <f>VLOOKUP(C260,'Master File June-26'!$C$3:$I$670,7,0)</f>
        <v>264000</v>
      </c>
      <c r="J260" s="5">
        <f>VLOOKUP(C260,'Master File June-26'!C:J,8,0)</f>
        <v>14</v>
      </c>
      <c r="K260" s="23">
        <f t="shared" si="16"/>
        <v>147840</v>
      </c>
      <c r="L260" s="58">
        <f>VLOOKUP(C260,'Master File June-26'!C:L,10,0)</f>
        <v>64780</v>
      </c>
      <c r="M260" s="24">
        <f t="shared" si="17"/>
        <v>7.3613636363636363</v>
      </c>
      <c r="N260" s="25" t="str">
        <f t="shared" si="18"/>
        <v>ORDER NOW</v>
      </c>
      <c r="O260" s="25" t="str">
        <f t="shared" si="19"/>
        <v>CRITICAL</v>
      </c>
      <c r="P260" t="s">
        <v>30</v>
      </c>
      <c r="Q260" s="90">
        <f>VLOOKUP(C260,'Master File June-26'!$C$3:$S$670,17,0)</f>
        <v>46128.688379629632</v>
      </c>
    </row>
    <row r="261" spans="1:17" ht="18.75" hidden="1" x14ac:dyDescent="0.25">
      <c r="A261" s="41">
        <v>460</v>
      </c>
      <c r="B261" s="41" t="s">
        <v>38</v>
      </c>
      <c r="C261" s="41" t="s">
        <v>1096</v>
      </c>
      <c r="D261" s="28" t="s">
        <v>1097</v>
      </c>
      <c r="E261" s="27" t="s">
        <v>1098</v>
      </c>
      <c r="F261" s="5" t="s">
        <v>22</v>
      </c>
      <c r="G261" s="21">
        <v>0.1</v>
      </c>
      <c r="H261" s="22">
        <f>VLOOKUP(C261,'Master File June-26'!$C$3:$I$670,6,0)</f>
        <v>210</v>
      </c>
      <c r="I261" s="96">
        <f>VLOOKUP(C261,'Master File June-26'!$C$3:$I$670,7,0)</f>
        <v>2100</v>
      </c>
      <c r="J261" s="5">
        <f>VLOOKUP(C261,'Master File June-26'!C:J,8,0)</f>
        <v>14</v>
      </c>
      <c r="K261" s="23">
        <f t="shared" si="16"/>
        <v>1176</v>
      </c>
      <c r="L261" s="58">
        <f>VLOOKUP(C261,'Master File June-26'!C:L,10,0)</f>
        <v>0</v>
      </c>
      <c r="M261" s="24">
        <f t="shared" si="17"/>
        <v>0</v>
      </c>
      <c r="N261" s="25" t="str">
        <f t="shared" si="18"/>
        <v>ORDER NOW</v>
      </c>
      <c r="O261" s="25" t="str">
        <f t="shared" si="19"/>
        <v>CRITICAL</v>
      </c>
      <c r="Q261" s="90">
        <f>VLOOKUP(C261,'Master File June-26'!$C$3:$S$670,17,0)</f>
        <v>46131.518020833333</v>
      </c>
    </row>
    <row r="262" spans="1:17" ht="18.75" hidden="1" x14ac:dyDescent="0.25">
      <c r="A262" s="19">
        <v>142</v>
      </c>
      <c r="B262" s="19" t="s">
        <v>18</v>
      </c>
      <c r="C262" s="19" t="s">
        <v>1158</v>
      </c>
      <c r="D262" s="30" t="s">
        <v>1159</v>
      </c>
      <c r="E262" s="27" t="s">
        <v>1160</v>
      </c>
      <c r="F262" s="5" t="s">
        <v>22</v>
      </c>
      <c r="G262" s="21">
        <v>5.5555555555555556E-4</v>
      </c>
      <c r="H262" s="22">
        <f>VLOOKUP(C262,'Master File June-26'!$C$3:$I$670,6,0)</f>
        <v>14</v>
      </c>
      <c r="I262" s="96">
        <f>VLOOKUP(C262,'Master File June-26'!$C$3:$I$670,7,0)</f>
        <v>25200</v>
      </c>
      <c r="J262" s="5">
        <f>VLOOKUP(C262,'Master File June-26'!C:J,8,0)</f>
        <v>14</v>
      </c>
      <c r="K262" s="23">
        <f t="shared" si="16"/>
        <v>14112.000000000002</v>
      </c>
      <c r="L262" s="58">
        <f>VLOOKUP(C262,'Master File June-26'!C:L,10,0)</f>
        <v>5</v>
      </c>
      <c r="M262" s="24">
        <f t="shared" si="17"/>
        <v>5.9523809523809521E-3</v>
      </c>
      <c r="N262" s="25" t="str">
        <f t="shared" si="18"/>
        <v>ORDER NOW</v>
      </c>
      <c r="O262" s="25" t="str">
        <f t="shared" si="19"/>
        <v>CRITICAL</v>
      </c>
      <c r="P262" t="s">
        <v>30</v>
      </c>
      <c r="Q262" s="90" t="e">
        <f>VLOOKUP(C262,[2]Sheet1!$C$3:$P$524,14,0)</f>
        <v>#N/A</v>
      </c>
    </row>
    <row r="263" spans="1:17" ht="18.75" hidden="1" x14ac:dyDescent="0.25">
      <c r="A263" s="39">
        <v>249</v>
      </c>
      <c r="B263" s="39" t="s">
        <v>239</v>
      </c>
      <c r="C263" s="39" t="s">
        <v>1000</v>
      </c>
      <c r="D263" s="28" t="s">
        <v>1001</v>
      </c>
      <c r="E263" s="27" t="s">
        <v>78</v>
      </c>
      <c r="F263" s="5" t="s">
        <v>49</v>
      </c>
      <c r="G263" s="21">
        <v>1</v>
      </c>
      <c r="H263" s="22">
        <f>VLOOKUP(C263,'Master File June-26'!$C$3:$I$670,6,0)</f>
        <v>71</v>
      </c>
      <c r="I263" s="96">
        <f>VLOOKUP(C263,'Master File June-26'!$C$3:$I$670,7,0)</f>
        <v>71</v>
      </c>
      <c r="J263" s="5">
        <f>VLOOKUP(C263,'Master File June-26'!C:J,8,0)</f>
        <v>14</v>
      </c>
      <c r="K263" s="23">
        <f t="shared" si="16"/>
        <v>39.760000000000005</v>
      </c>
      <c r="L263" s="58">
        <f>VLOOKUP(C263,'Master File June-26'!C:L,10,0)</f>
        <v>5</v>
      </c>
      <c r="M263" s="24">
        <f t="shared" si="17"/>
        <v>2.1126760563380285</v>
      </c>
      <c r="N263" s="25" t="str">
        <f t="shared" si="18"/>
        <v>ORDER NOW</v>
      </c>
      <c r="O263" s="25" t="str">
        <f t="shared" si="19"/>
        <v>CRITICAL</v>
      </c>
      <c r="Q263" s="90" t="e">
        <f>VLOOKUP(C263,[2]Sheet1!$C$3:$P$524,14,0)</f>
        <v>#N/A</v>
      </c>
    </row>
    <row r="264" spans="1:17" ht="18.75" hidden="1" x14ac:dyDescent="0.25">
      <c r="A264" s="39">
        <v>235</v>
      </c>
      <c r="B264" s="39" t="s">
        <v>123</v>
      </c>
      <c r="C264" s="39" t="s">
        <v>1070</v>
      </c>
      <c r="D264" s="34" t="s">
        <v>1071</v>
      </c>
      <c r="E264" s="31" t="s">
        <v>1072</v>
      </c>
      <c r="F264" s="5" t="s">
        <v>22</v>
      </c>
      <c r="G264" s="21">
        <v>0.05</v>
      </c>
      <c r="H264" s="22">
        <v>22</v>
      </c>
      <c r="I264" s="96">
        <f>H264/G264</f>
        <v>440</v>
      </c>
      <c r="J264" s="5">
        <f>VLOOKUP(C264,'Master File June-26'!C:J,8,0)</f>
        <v>14</v>
      </c>
      <c r="K264" s="23">
        <f t="shared" si="16"/>
        <v>246.40000000000003</v>
      </c>
      <c r="L264" s="58">
        <f>VLOOKUP(C264,'Master File June-26'!C:L,10,0)</f>
        <v>15</v>
      </c>
      <c r="M264" s="24">
        <f t="shared" si="17"/>
        <v>1.0227272727272727</v>
      </c>
      <c r="N264" s="25" t="str">
        <f t="shared" si="18"/>
        <v>ORDER NOW</v>
      </c>
      <c r="O264" s="25" t="str">
        <f t="shared" si="19"/>
        <v>CRITICAL</v>
      </c>
      <c r="Q264" s="90" t="e">
        <f>VLOOKUP(C264,[2]Sheet1!$C$3:$P$524,14,0)</f>
        <v>#N/A</v>
      </c>
    </row>
    <row r="265" spans="1:17" ht="18.75" hidden="1" x14ac:dyDescent="0.25">
      <c r="A265" s="19">
        <v>63</v>
      </c>
      <c r="B265" s="19" t="s">
        <v>18</v>
      </c>
      <c r="C265" s="19" t="s">
        <v>948</v>
      </c>
      <c r="D265" s="30" t="s">
        <v>949</v>
      </c>
      <c r="E265" s="29" t="s">
        <v>180</v>
      </c>
      <c r="F265" s="5" t="s">
        <v>22</v>
      </c>
      <c r="G265" s="21">
        <f>1/1000</f>
        <v>1E-3</v>
      </c>
      <c r="H265" s="22">
        <f>VLOOKUP(C265,'Master File June-26'!$C$3:$I$670,6,0)</f>
        <v>70</v>
      </c>
      <c r="I265" s="96">
        <f>VLOOKUP(C265,'Master File June-26'!$C$3:$I$670,7,0)</f>
        <v>70000</v>
      </c>
      <c r="J265" s="5">
        <f>VLOOKUP(C265,'Master File June-26'!C:J,8,0)</f>
        <v>14</v>
      </c>
      <c r="K265" s="23">
        <f t="shared" si="16"/>
        <v>39200.000000000007</v>
      </c>
      <c r="L265" s="58">
        <f>VLOOKUP(C265,'Master File June-26'!C:L,10,0)</f>
        <v>0</v>
      </c>
      <c r="M265" s="24">
        <f t="shared" si="17"/>
        <v>0</v>
      </c>
      <c r="N265" s="25" t="str">
        <f t="shared" si="18"/>
        <v>ORDER NOW</v>
      </c>
      <c r="O265" s="25" t="str">
        <f t="shared" si="19"/>
        <v>CRITICAL</v>
      </c>
      <c r="P265" t="s">
        <v>30</v>
      </c>
      <c r="Q265" s="90">
        <f>VLOOKUP(C265,'Master File June-26'!$C$3:$S$670,17,0)</f>
        <v>46128.688391203701</v>
      </c>
    </row>
    <row r="266" spans="1:17" ht="18.75" hidden="1" x14ac:dyDescent="0.25">
      <c r="A266" s="19">
        <v>8</v>
      </c>
      <c r="B266" s="19" t="s">
        <v>18</v>
      </c>
      <c r="C266" s="19" t="s">
        <v>1240</v>
      </c>
      <c r="D266" s="28" t="s">
        <v>1241</v>
      </c>
      <c r="E266" s="27" t="s">
        <v>186</v>
      </c>
      <c r="F266" s="5" t="s">
        <v>22</v>
      </c>
      <c r="G266" s="21">
        <v>2E-3</v>
      </c>
      <c r="H266" s="22">
        <v>627</v>
      </c>
      <c r="I266" s="96">
        <f>H266/G266</f>
        <v>313500</v>
      </c>
      <c r="J266" s="5">
        <f>VLOOKUP(C266,'Master File June-26'!C:J,8,0)</f>
        <v>60</v>
      </c>
      <c r="K266" s="23">
        <f t="shared" si="16"/>
        <v>752400</v>
      </c>
      <c r="L266" s="58">
        <f>VLOOKUP(C266,'Master File June-26'!C:L,10,0)</f>
        <v>135500</v>
      </c>
      <c r="M266" s="24">
        <f t="shared" si="17"/>
        <v>12.966507177033494</v>
      </c>
      <c r="N266" s="25" t="str">
        <f t="shared" si="18"/>
        <v>ORDER NOW</v>
      </c>
      <c r="O266" s="25" t="str">
        <f t="shared" si="19"/>
        <v>CRITICAL</v>
      </c>
      <c r="P266" t="s">
        <v>30</v>
      </c>
      <c r="Q266" s="90" t="e">
        <f>VLOOKUP(C266,[2]Sheet1!$C$3:$P$524,14,0)</f>
        <v>#N/A</v>
      </c>
    </row>
    <row r="267" spans="1:17" ht="18.75" hidden="1" x14ac:dyDescent="0.25">
      <c r="A267" s="19">
        <v>17</v>
      </c>
      <c r="B267" s="19" t="s">
        <v>18</v>
      </c>
      <c r="C267" s="19" t="s">
        <v>1368</v>
      </c>
      <c r="D267" s="30" t="s">
        <v>1369</v>
      </c>
      <c r="E267" s="29" t="s">
        <v>1370</v>
      </c>
      <c r="F267" s="5" t="s">
        <v>22</v>
      </c>
      <c r="G267" s="21">
        <f>1/100</f>
        <v>0.01</v>
      </c>
      <c r="H267" s="22">
        <v>495</v>
      </c>
      <c r="I267" s="96">
        <f>H267/G267</f>
        <v>49500</v>
      </c>
      <c r="J267" s="5">
        <f>VLOOKUP(C267,'Master File June-26'!C:J,8,0)</f>
        <v>14</v>
      </c>
      <c r="K267" s="23">
        <f t="shared" si="16"/>
        <v>27720.000000000004</v>
      </c>
      <c r="L267" s="58">
        <f>VLOOKUP(C267,'Master File June-26'!C:L,10,0)</f>
        <v>12000</v>
      </c>
      <c r="M267" s="24">
        <f t="shared" si="17"/>
        <v>7.2727272727272734</v>
      </c>
      <c r="N267" s="25" t="str">
        <f t="shared" si="18"/>
        <v>ORDER NOW</v>
      </c>
      <c r="O267" s="25" t="str">
        <f t="shared" si="19"/>
        <v>CRITICAL</v>
      </c>
      <c r="P267" t="s">
        <v>30</v>
      </c>
      <c r="Q267" s="90" t="e">
        <f>VLOOKUP(C267,[2]Sheet1!$C$3:$P$524,14,0)</f>
        <v>#N/A</v>
      </c>
    </row>
    <row r="268" spans="1:17" ht="18.75" hidden="1" x14ac:dyDescent="0.25">
      <c r="A268" s="19">
        <v>149</v>
      </c>
      <c r="B268" s="19" t="s">
        <v>18</v>
      </c>
      <c r="C268" s="19" t="s">
        <v>1178</v>
      </c>
      <c r="D268" s="30" t="s">
        <v>1179</v>
      </c>
      <c r="E268" s="27" t="s">
        <v>1180</v>
      </c>
      <c r="F268" s="5" t="s">
        <v>22</v>
      </c>
      <c r="G268" s="21">
        <v>6.2500000000000001E-4</v>
      </c>
      <c r="H268" s="22">
        <f>VLOOKUP(C268,'Master File June-26'!$C$3:$I$670,6,0)</f>
        <v>16</v>
      </c>
      <c r="I268" s="96">
        <f>VLOOKUP(C268,'Master File June-26'!$C$3:$I$670,7,0)</f>
        <v>25600</v>
      </c>
      <c r="J268" s="5">
        <f>VLOOKUP(C268,'Master File June-26'!C:J,8,0)</f>
        <v>14</v>
      </c>
      <c r="K268" s="23">
        <f t="shared" si="16"/>
        <v>14336.000000000002</v>
      </c>
      <c r="L268" s="58">
        <f>VLOOKUP(C268,'Master File June-26'!C:L,10,0)</f>
        <v>9000</v>
      </c>
      <c r="M268" s="24">
        <f t="shared" si="17"/>
        <v>10.546875</v>
      </c>
      <c r="N268" s="25" t="str">
        <f t="shared" si="18"/>
        <v>ORDER NOW</v>
      </c>
      <c r="O268" s="25" t="str">
        <f t="shared" si="19"/>
        <v>CRITICAL</v>
      </c>
      <c r="P268" t="s">
        <v>30</v>
      </c>
      <c r="Q268" s="90">
        <f>VLOOKUP(C268,'Master File June-26'!$C$3:$S$670,17,0)</f>
        <v>46141.525995370372</v>
      </c>
    </row>
    <row r="269" spans="1:17" ht="18.75" hidden="1" x14ac:dyDescent="0.25">
      <c r="A269" s="41">
        <v>369</v>
      </c>
      <c r="B269" s="41" t="s">
        <v>85</v>
      </c>
      <c r="C269" s="41" t="s">
        <v>1042</v>
      </c>
      <c r="D269" s="28" t="s">
        <v>1043</v>
      </c>
      <c r="E269" s="27" t="s">
        <v>101</v>
      </c>
      <c r="F269" s="5" t="s">
        <v>22</v>
      </c>
      <c r="G269" s="21">
        <v>0.16666666666666666</v>
      </c>
      <c r="H269" s="22">
        <f>VLOOKUP(C269,'Master File June-26'!$C$3:$I$670,6,0)</f>
        <v>17</v>
      </c>
      <c r="I269" s="96">
        <f>VLOOKUP(C269,'Master File June-26'!$C$3:$I$670,7,0)</f>
        <v>102</v>
      </c>
      <c r="J269" s="5">
        <f>VLOOKUP(C269,'Master File June-26'!C:J,8,0)</f>
        <v>14</v>
      </c>
      <c r="K269" s="23">
        <f t="shared" si="16"/>
        <v>57.120000000000005</v>
      </c>
      <c r="L269" s="58">
        <f>VLOOKUP(C269,'Master File June-26'!C:L,10,0)</f>
        <v>0</v>
      </c>
      <c r="M269" s="24">
        <f t="shared" si="17"/>
        <v>0</v>
      </c>
      <c r="N269" s="25" t="str">
        <f t="shared" si="18"/>
        <v>ORDER NOW</v>
      </c>
      <c r="O269" s="25" t="str">
        <f t="shared" si="19"/>
        <v>CRITICAL</v>
      </c>
      <c r="Q269" s="90">
        <v>46113.430914351855</v>
      </c>
    </row>
    <row r="270" spans="1:17" ht="18.75" hidden="1" x14ac:dyDescent="0.25">
      <c r="A270" s="41">
        <v>558</v>
      </c>
      <c r="B270" s="41" t="s">
        <v>38</v>
      </c>
      <c r="C270" s="41" t="s">
        <v>1323</v>
      </c>
      <c r="D270" s="40" t="s">
        <v>1324</v>
      </c>
      <c r="E270" s="31" t="s">
        <v>22</v>
      </c>
      <c r="F270" s="5" t="s">
        <v>22</v>
      </c>
      <c r="G270" s="21">
        <v>1</v>
      </c>
      <c r="H270" s="22">
        <v>5</v>
      </c>
      <c r="I270" s="96">
        <f>H270/G270</f>
        <v>5</v>
      </c>
      <c r="J270" s="5">
        <f>VLOOKUP(C270,'Master File June-26'!C:J,8,0)</f>
        <v>14</v>
      </c>
      <c r="K270" s="23">
        <f t="shared" si="16"/>
        <v>2.8000000000000003</v>
      </c>
      <c r="L270" s="58">
        <f>VLOOKUP(C270,'Master File June-26'!C:L,10,0)</f>
        <v>0</v>
      </c>
      <c r="M270" s="24">
        <f t="shared" si="17"/>
        <v>0</v>
      </c>
      <c r="N270" s="25" t="str">
        <f t="shared" si="18"/>
        <v>ORDER NOW</v>
      </c>
      <c r="O270" s="25" t="str">
        <f t="shared" si="19"/>
        <v>CRITICAL</v>
      </c>
      <c r="Q270" s="90" t="e">
        <f>VLOOKUP(C270,[2]Sheet1!$C$3:$P$524,14,0)</f>
        <v>#N/A</v>
      </c>
    </row>
    <row r="271" spans="1:17" ht="18.75" hidden="1" x14ac:dyDescent="0.25">
      <c r="A271" s="39">
        <v>246</v>
      </c>
      <c r="B271" s="39" t="s">
        <v>123</v>
      </c>
      <c r="C271" s="39" t="s">
        <v>1030</v>
      </c>
      <c r="D271" s="28" t="s">
        <v>1031</v>
      </c>
      <c r="E271" s="27" t="s">
        <v>1032</v>
      </c>
      <c r="F271" s="5" t="s">
        <v>49</v>
      </c>
      <c r="G271" s="21">
        <v>0.5</v>
      </c>
      <c r="H271" s="22">
        <v>69.5</v>
      </c>
      <c r="I271" s="96">
        <f>H271/G271</f>
        <v>139</v>
      </c>
      <c r="J271" s="5">
        <f>VLOOKUP(C271,'Master File June-26'!C:J,8,0)</f>
        <v>14</v>
      </c>
      <c r="K271" s="23">
        <f t="shared" si="16"/>
        <v>77.84</v>
      </c>
      <c r="L271" s="58">
        <f>VLOOKUP(C271,'Master File June-26'!C:L,10,0)</f>
        <v>45</v>
      </c>
      <c r="M271" s="24">
        <f t="shared" si="17"/>
        <v>9.7122302158273381</v>
      </c>
      <c r="N271" s="25" t="str">
        <f t="shared" si="18"/>
        <v>ORDER NOW</v>
      </c>
      <c r="O271" s="25" t="str">
        <f t="shared" si="19"/>
        <v>CRITICAL</v>
      </c>
      <c r="Q271" s="90" t="e">
        <f>VLOOKUP(C271,[2]Sheet1!$C$3:$P$524,14,0)</f>
        <v>#N/A</v>
      </c>
    </row>
    <row r="272" spans="1:17" ht="18.75" hidden="1" x14ac:dyDescent="0.25">
      <c r="A272" s="19">
        <v>132</v>
      </c>
      <c r="B272" s="19" t="s">
        <v>18</v>
      </c>
      <c r="C272" s="19" t="s">
        <v>956</v>
      </c>
      <c r="D272" s="28" t="s">
        <v>957</v>
      </c>
      <c r="E272" s="27" t="s">
        <v>958</v>
      </c>
      <c r="F272" s="5" t="s">
        <v>22</v>
      </c>
      <c r="G272" s="21">
        <v>4.1666666666666669E-4</v>
      </c>
      <c r="H272" s="22">
        <v>10</v>
      </c>
      <c r="I272" s="96">
        <f>H272/G272</f>
        <v>24000</v>
      </c>
      <c r="J272" s="5">
        <f>VLOOKUP(C272,'Master File June-26'!C:J,8,0)</f>
        <v>14</v>
      </c>
      <c r="K272" s="23">
        <f t="shared" si="16"/>
        <v>13440.000000000002</v>
      </c>
      <c r="L272" s="58">
        <f>VLOOKUP(C272,'Master File June-26'!C:L,10,0)</f>
        <v>5000</v>
      </c>
      <c r="M272" s="24">
        <f t="shared" si="17"/>
        <v>6.25</v>
      </c>
      <c r="N272" s="25" t="str">
        <f t="shared" si="18"/>
        <v>ORDER NOW</v>
      </c>
      <c r="O272" s="25" t="str">
        <f t="shared" si="19"/>
        <v>CRITICAL</v>
      </c>
      <c r="P272" t="s">
        <v>30</v>
      </c>
      <c r="Q272" s="90" t="e">
        <f>VLOOKUP(C272,[2]Sheet1!$C$3:$P$524,14,0)</f>
        <v>#N/A</v>
      </c>
    </row>
    <row r="273" spans="1:17" ht="18.75" hidden="1" x14ac:dyDescent="0.25">
      <c r="A273" s="39">
        <v>248</v>
      </c>
      <c r="B273" s="39" t="s">
        <v>157</v>
      </c>
      <c r="C273" s="39" t="s">
        <v>925</v>
      </c>
      <c r="D273" s="34" t="s">
        <v>926</v>
      </c>
      <c r="E273" s="31" t="s">
        <v>160</v>
      </c>
      <c r="F273" s="5" t="s">
        <v>49</v>
      </c>
      <c r="G273" s="21">
        <v>1</v>
      </c>
      <c r="H273" s="22">
        <f>VLOOKUP(C273,'Master File June-26'!$C$3:$I$670,6,0)</f>
        <v>8</v>
      </c>
      <c r="I273" s="96">
        <f>VLOOKUP(C273,'Master File June-26'!$C$3:$I$670,7,0)</f>
        <v>8</v>
      </c>
      <c r="J273" s="5">
        <f>VLOOKUP(C273,'Master File June-26'!C:J,8,0)</f>
        <v>14</v>
      </c>
      <c r="K273" s="23">
        <f t="shared" si="16"/>
        <v>4.4800000000000004</v>
      </c>
      <c r="L273" s="58">
        <f>VLOOKUP(C273,'Master File June-26'!C:L,10,0)</f>
        <v>0</v>
      </c>
      <c r="M273" s="24">
        <f t="shared" si="17"/>
        <v>0</v>
      </c>
      <c r="N273" s="25" t="str">
        <f t="shared" si="18"/>
        <v>ORDER NOW</v>
      </c>
      <c r="O273" s="25" t="str">
        <f t="shared" si="19"/>
        <v>CRITICAL</v>
      </c>
      <c r="Q273" s="90">
        <f>VLOOKUP(C273,'Master File June-26'!$C$3:$S$670,17,0)</f>
        <v>46128.695613425924</v>
      </c>
    </row>
    <row r="274" spans="1:17" ht="18.75" x14ac:dyDescent="0.25">
      <c r="A274" s="49">
        <v>586</v>
      </c>
      <c r="B274" s="49" t="s">
        <v>298</v>
      </c>
      <c r="C274" s="49" t="s">
        <v>1063</v>
      </c>
      <c r="D274" s="28" t="s">
        <v>1064</v>
      </c>
      <c r="E274" s="27" t="s">
        <v>49</v>
      </c>
      <c r="F274" s="5" t="s">
        <v>49</v>
      </c>
      <c r="G274" s="21">
        <v>1</v>
      </c>
      <c r="H274" s="22">
        <f>VLOOKUP(C274,'Master File June-26'!$C$3:$I$670,6,0)</f>
        <v>8</v>
      </c>
      <c r="I274" s="96">
        <f>VLOOKUP(C274,'Master File June-26'!$C$3:$I$670,7,0)</f>
        <v>8</v>
      </c>
      <c r="J274" s="5">
        <f>VLOOKUP(C274,'Master File June-26'!C:J,8,0)</f>
        <v>14</v>
      </c>
      <c r="K274" s="23">
        <f t="shared" si="16"/>
        <v>4.4800000000000004</v>
      </c>
      <c r="L274" s="58">
        <f>VLOOKUP(C274,'Master File June-26'!C:L,10,0)</f>
        <v>0</v>
      </c>
      <c r="M274" s="24">
        <f t="shared" si="17"/>
        <v>0</v>
      </c>
      <c r="N274" s="25" t="str">
        <f>IF(M274&lt;J274,"ORDER NOW","IN STOCK")</f>
        <v>ORDER NOW</v>
      </c>
      <c r="O274" s="25" t="str">
        <f t="shared" si="19"/>
        <v>CRITICAL</v>
      </c>
      <c r="Q274" s="90" t="e">
        <f>VLOOKUP(C274,[2]Sheet1!$C$3:$P$524,14,0)</f>
        <v>#N/A</v>
      </c>
    </row>
    <row r="275" spans="1:17" ht="18.75" hidden="1" x14ac:dyDescent="0.25">
      <c r="A275" s="19">
        <v>36</v>
      </c>
      <c r="B275" s="19" t="s">
        <v>18</v>
      </c>
      <c r="C275" s="19" t="s">
        <v>762</v>
      </c>
      <c r="D275" s="28" t="s">
        <v>763</v>
      </c>
      <c r="E275" s="27" t="s">
        <v>764</v>
      </c>
      <c r="F275" s="5" t="s">
        <v>22</v>
      </c>
      <c r="G275" s="21">
        <v>3.6363636363636361E-4</v>
      </c>
      <c r="H275" s="22">
        <f>VLOOKUP(C275,'Master File June-26'!$C$3:$I$670,6,0)</f>
        <v>92.5</v>
      </c>
      <c r="I275" s="96">
        <f>VLOOKUP(C275,'Master File June-26'!$C$3:$I$670,7,0)</f>
        <v>254375.00000000003</v>
      </c>
      <c r="J275" s="5">
        <f>VLOOKUP(C275,'Master File June-26'!C:J,8,0)</f>
        <v>14</v>
      </c>
      <c r="K275" s="23">
        <f t="shared" si="16"/>
        <v>142450.00000000003</v>
      </c>
      <c r="L275" s="58">
        <f>VLOOKUP(C275,'Master File June-26'!C:L,10,0)</f>
        <v>75500</v>
      </c>
      <c r="M275" s="24">
        <f t="shared" si="17"/>
        <v>8.9041769041769019</v>
      </c>
      <c r="N275" s="25" t="str">
        <f t="shared" si="18"/>
        <v>ORDER NOW</v>
      </c>
      <c r="O275" s="25" t="str">
        <f t="shared" si="19"/>
        <v>CRITICAL</v>
      </c>
      <c r="P275" t="s">
        <v>30</v>
      </c>
      <c r="Q275" s="90">
        <f>VLOOKUP(C275,'Master File June-26'!$C$3:$S$670,17,0)</f>
        <v>46128.694988425923</v>
      </c>
    </row>
    <row r="276" spans="1:17" ht="18.75" hidden="1" x14ac:dyDescent="0.25">
      <c r="A276" s="39">
        <v>193</v>
      </c>
      <c r="B276" s="39" t="s">
        <v>298</v>
      </c>
      <c r="C276" s="39" t="s">
        <v>678</v>
      </c>
      <c r="D276" s="28" t="s">
        <v>679</v>
      </c>
      <c r="E276" s="27" t="s">
        <v>160</v>
      </c>
      <c r="F276" s="5" t="s">
        <v>49</v>
      </c>
      <c r="G276" s="21">
        <v>1</v>
      </c>
      <c r="H276" s="22">
        <f>VLOOKUP(C276,'Master File June-26'!$C$3:$I$670,6,0)</f>
        <v>55</v>
      </c>
      <c r="I276" s="96">
        <f>VLOOKUP(C276,'Master File June-26'!$C$3:$I$670,7,0)</f>
        <v>55</v>
      </c>
      <c r="J276" s="5">
        <f>VLOOKUP(C276,'Master File June-26'!C:J,8,0)</f>
        <v>14</v>
      </c>
      <c r="K276" s="23">
        <f t="shared" si="16"/>
        <v>30.800000000000004</v>
      </c>
      <c r="L276" s="58">
        <f>VLOOKUP(C276,'Master File June-26'!C:L,10,0)</f>
        <v>4</v>
      </c>
      <c r="M276" s="24">
        <f t="shared" si="17"/>
        <v>2.1818181818181817</v>
      </c>
      <c r="N276" s="25" t="str">
        <f t="shared" si="18"/>
        <v>ORDER NOW</v>
      </c>
      <c r="O276" s="25" t="str">
        <f t="shared" si="19"/>
        <v>CRITICAL</v>
      </c>
      <c r="Q276" s="90">
        <f>VLOOKUP(C276,'Master File June-26'!$C$3:$S$670,17,0)</f>
        <v>46113.430949074071</v>
      </c>
    </row>
    <row r="277" spans="1:17" ht="18.75" hidden="1" x14ac:dyDescent="0.25">
      <c r="A277" s="19">
        <v>10</v>
      </c>
      <c r="B277" s="19" t="s">
        <v>18</v>
      </c>
      <c r="C277" s="19" t="s">
        <v>1263</v>
      </c>
      <c r="D277" s="30" t="s">
        <v>1264</v>
      </c>
      <c r="E277" s="29" t="s">
        <v>1265</v>
      </c>
      <c r="F277" s="5" t="s">
        <v>22</v>
      </c>
      <c r="G277" s="21">
        <v>1E-3</v>
      </c>
      <c r="H277" s="22">
        <v>330</v>
      </c>
      <c r="I277" s="96">
        <f>H277/G277</f>
        <v>330000</v>
      </c>
      <c r="J277" s="5">
        <f>VLOOKUP(C277,'Master File June-26'!C:J,8,0)</f>
        <v>60</v>
      </c>
      <c r="K277" s="23">
        <f t="shared" si="16"/>
        <v>792000</v>
      </c>
      <c r="L277" s="58">
        <f>VLOOKUP(C277,'Master File June-26'!C:L,10,0)</f>
        <v>52500</v>
      </c>
      <c r="M277" s="24">
        <f t="shared" si="17"/>
        <v>4.7727272727272725</v>
      </c>
      <c r="N277" s="25" t="str">
        <f t="shared" si="18"/>
        <v>ORDER NOW</v>
      </c>
      <c r="O277" s="25" t="str">
        <f t="shared" si="19"/>
        <v>CRITICAL</v>
      </c>
      <c r="P277" t="s">
        <v>30</v>
      </c>
      <c r="Q277" s="90" t="e">
        <f>VLOOKUP(C277,[2]Sheet1!$C$3:$P$524,14,0)</f>
        <v>#N/A</v>
      </c>
    </row>
    <row r="278" spans="1:17" ht="18.75" hidden="1" x14ac:dyDescent="0.25">
      <c r="A278" s="39">
        <v>247</v>
      </c>
      <c r="B278" s="39" t="s">
        <v>123</v>
      </c>
      <c r="C278" s="39" t="s">
        <v>1073</v>
      </c>
      <c r="D278" s="28" t="s">
        <v>1074</v>
      </c>
      <c r="E278" s="27" t="s">
        <v>78</v>
      </c>
      <c r="F278" s="5" t="s">
        <v>49</v>
      </c>
      <c r="G278" s="21">
        <v>1</v>
      </c>
      <c r="H278" s="22">
        <v>63</v>
      </c>
      <c r="I278" s="96">
        <f>H278/G278</f>
        <v>63</v>
      </c>
      <c r="J278" s="5">
        <f>VLOOKUP(C278,'Master File June-26'!C:J,8,0)</f>
        <v>14</v>
      </c>
      <c r="K278" s="23">
        <f t="shared" si="16"/>
        <v>35.28</v>
      </c>
      <c r="L278" s="58">
        <f>VLOOKUP(C278,'Master File June-26'!C:L,10,0)</f>
        <v>0</v>
      </c>
      <c r="M278" s="24">
        <f t="shared" si="17"/>
        <v>0</v>
      </c>
      <c r="N278" s="25" t="str">
        <f t="shared" si="18"/>
        <v>ORDER NOW</v>
      </c>
      <c r="O278" s="25" t="str">
        <f t="shared" si="19"/>
        <v>CRITICAL</v>
      </c>
      <c r="Q278" s="90" t="e">
        <f>VLOOKUP(C278,[2]Sheet1!$C$3:$P$524,14,0)</f>
        <v>#N/A</v>
      </c>
    </row>
    <row r="279" spans="1:17" ht="18.75" hidden="1" x14ac:dyDescent="0.25">
      <c r="A279" s="41">
        <v>343</v>
      </c>
      <c r="B279" s="41" t="s">
        <v>85</v>
      </c>
      <c r="C279" s="41" t="s">
        <v>86</v>
      </c>
      <c r="D279" s="30" t="s">
        <v>87</v>
      </c>
      <c r="E279" s="29" t="s">
        <v>88</v>
      </c>
      <c r="F279" s="5" t="s">
        <v>89</v>
      </c>
      <c r="G279" s="21">
        <v>0.1</v>
      </c>
      <c r="H279" s="22">
        <f>VLOOKUP(C279,'Master File June-26'!$C$3:$I$670,6,0)</f>
        <v>143</v>
      </c>
      <c r="I279" s="96">
        <f>VLOOKUP(C279,'Master File June-26'!$C$3:$I$670,7,0)</f>
        <v>1430</v>
      </c>
      <c r="J279" s="5">
        <f>VLOOKUP(C279,'Master File June-26'!C:J,8,0)</f>
        <v>14</v>
      </c>
      <c r="K279" s="23">
        <f t="shared" si="16"/>
        <v>800.80000000000007</v>
      </c>
      <c r="L279" s="58">
        <f>VLOOKUP(C279,'Master File June-26'!C:L,10,0)</f>
        <v>650</v>
      </c>
      <c r="M279" s="24">
        <f t="shared" si="17"/>
        <v>13.636363636363637</v>
      </c>
      <c r="N279" s="25" t="str">
        <f t="shared" si="18"/>
        <v>ORDER NOW</v>
      </c>
      <c r="O279" s="25" t="str">
        <f t="shared" si="19"/>
        <v>CRITICAL</v>
      </c>
      <c r="Q279" s="90">
        <f>VLOOKUP(C279,'Master File June-26'!$C$3:$S$670,17,0)</f>
        <v>46131.519328703704</v>
      </c>
    </row>
    <row r="280" spans="1:17" ht="18.75" hidden="1" x14ac:dyDescent="0.25">
      <c r="A280" s="19">
        <v>134</v>
      </c>
      <c r="B280" s="19" t="s">
        <v>18</v>
      </c>
      <c r="C280" s="19" t="s">
        <v>1339</v>
      </c>
      <c r="D280" s="28" t="s">
        <v>1340</v>
      </c>
      <c r="E280" s="27" t="s">
        <v>98</v>
      </c>
      <c r="F280" s="5" t="s">
        <v>46</v>
      </c>
      <c r="G280" s="21">
        <v>2E-3</v>
      </c>
      <c r="H280" s="22">
        <v>5</v>
      </c>
      <c r="I280" s="96">
        <f>H280/G280</f>
        <v>2500</v>
      </c>
      <c r="J280" s="5">
        <f>VLOOKUP(C280,'Master File June-26'!C:J,8,0)</f>
        <v>14</v>
      </c>
      <c r="K280" s="23">
        <f t="shared" si="16"/>
        <v>1400.0000000000002</v>
      </c>
      <c r="L280" s="58">
        <f>VLOOKUP(C280,'Master File June-26'!C:L,10,0)</f>
        <v>5</v>
      </c>
      <c r="M280" s="24">
        <f t="shared" si="17"/>
        <v>0.06</v>
      </c>
      <c r="N280" s="25" t="str">
        <f t="shared" si="18"/>
        <v>ORDER NOW</v>
      </c>
      <c r="O280" s="25" t="str">
        <f t="shared" si="19"/>
        <v>CRITICAL</v>
      </c>
      <c r="P280" t="s">
        <v>30</v>
      </c>
      <c r="Q280" s="90" t="e">
        <f>VLOOKUP(C280,[2]Sheet1!$C$3:$P$524,14,0)</f>
        <v>#N/A</v>
      </c>
    </row>
    <row r="281" spans="1:17" ht="18.75" hidden="1" x14ac:dyDescent="0.25">
      <c r="A281" s="41">
        <v>345</v>
      </c>
      <c r="B281" s="41" t="s">
        <v>85</v>
      </c>
      <c r="C281" s="41" t="s">
        <v>1181</v>
      </c>
      <c r="D281" s="28" t="s">
        <v>1182</v>
      </c>
      <c r="E281" s="27" t="s">
        <v>867</v>
      </c>
      <c r="F281" s="5" t="s">
        <v>22</v>
      </c>
      <c r="G281" s="21">
        <v>8.3333333333333329E-2</v>
      </c>
      <c r="H281" s="22">
        <v>30</v>
      </c>
      <c r="I281" s="96">
        <f>H281/G281</f>
        <v>360</v>
      </c>
      <c r="J281" s="5">
        <f>VLOOKUP(C281,'Master File June-26'!C:J,8,0)</f>
        <v>14</v>
      </c>
      <c r="K281" s="23">
        <f t="shared" si="16"/>
        <v>201.60000000000002</v>
      </c>
      <c r="L281" s="58">
        <f>VLOOKUP(C281,'Master File June-26'!C:L,10,0)</f>
        <v>84</v>
      </c>
      <c r="M281" s="24">
        <f t="shared" si="17"/>
        <v>7</v>
      </c>
      <c r="N281" s="25" t="str">
        <f t="shared" si="18"/>
        <v>ORDER NOW</v>
      </c>
      <c r="O281" s="25" t="str">
        <f t="shared" si="19"/>
        <v>CRITICAL</v>
      </c>
      <c r="Q281" s="90" t="e">
        <f>VLOOKUP(C281,[2]Sheet1!$C$3:$P$524,14,0)</f>
        <v>#N/A</v>
      </c>
    </row>
    <row r="282" spans="1:17" ht="18.75" hidden="1" x14ac:dyDescent="0.25">
      <c r="A282" s="39">
        <v>187</v>
      </c>
      <c r="B282" s="39" t="s">
        <v>361</v>
      </c>
      <c r="C282" s="39" t="s">
        <v>1037</v>
      </c>
      <c r="D282" s="28" t="s">
        <v>1038</v>
      </c>
      <c r="E282" s="27" t="s">
        <v>78</v>
      </c>
      <c r="F282" s="5" t="s">
        <v>49</v>
      </c>
      <c r="G282" s="21">
        <v>1</v>
      </c>
      <c r="H282" s="22">
        <f>VLOOKUP(C282,'Master File June-26'!$C$3:$I$670,6,0)</f>
        <v>62.5</v>
      </c>
      <c r="I282" s="96">
        <f>VLOOKUP(C282,'Master File June-26'!$C$3:$I$670,7,0)</f>
        <v>62.5</v>
      </c>
      <c r="J282" s="5">
        <f>VLOOKUP(C282,'Master File June-26'!C:J,8,0)</f>
        <v>14</v>
      </c>
      <c r="K282" s="23">
        <f t="shared" si="16"/>
        <v>35</v>
      </c>
      <c r="L282" s="58">
        <f>VLOOKUP(C282,'Master File June-26'!C:L,10,0)</f>
        <v>0</v>
      </c>
      <c r="M282" s="24">
        <f t="shared" si="17"/>
        <v>0</v>
      </c>
      <c r="N282" s="25" t="str">
        <f t="shared" si="18"/>
        <v>ORDER NOW</v>
      </c>
      <c r="O282" s="25" t="str">
        <f t="shared" si="19"/>
        <v>CRITICAL</v>
      </c>
      <c r="Q282" s="90">
        <v>46113.478831018518</v>
      </c>
    </row>
    <row r="283" spans="1:17" ht="18.75" hidden="1" x14ac:dyDescent="0.25">
      <c r="A283" s="39">
        <v>241</v>
      </c>
      <c r="B283" s="39" t="s">
        <v>123</v>
      </c>
      <c r="C283" s="39" t="s">
        <v>879</v>
      </c>
      <c r="D283" s="28" t="s">
        <v>880</v>
      </c>
      <c r="E283" s="27" t="s">
        <v>706</v>
      </c>
      <c r="F283" s="5" t="s">
        <v>49</v>
      </c>
      <c r="G283" s="21">
        <v>0.2</v>
      </c>
      <c r="H283" s="22">
        <v>24</v>
      </c>
      <c r="I283" s="96">
        <f>H283/G283</f>
        <v>120</v>
      </c>
      <c r="J283" s="5">
        <f>VLOOKUP(C283,'Master File June-26'!C:J,8,0)</f>
        <v>14</v>
      </c>
      <c r="K283" s="23">
        <f t="shared" si="16"/>
        <v>67.2</v>
      </c>
      <c r="L283" s="58">
        <f>VLOOKUP(C283,'Master File June-26'!C:L,10,0)</f>
        <v>18</v>
      </c>
      <c r="M283" s="24">
        <f t="shared" si="17"/>
        <v>4.5</v>
      </c>
      <c r="N283" s="25" t="str">
        <f t="shared" si="18"/>
        <v>ORDER NOW</v>
      </c>
      <c r="O283" s="25" t="str">
        <f t="shared" si="19"/>
        <v>CRITICAL</v>
      </c>
      <c r="Q283" s="90" t="e">
        <f>VLOOKUP(C283,[2]Sheet1!$C$3:$P$524,14,0)</f>
        <v>#N/A</v>
      </c>
    </row>
    <row r="284" spans="1:17" ht="18.75" hidden="1" x14ac:dyDescent="0.25">
      <c r="A284" s="41">
        <v>349</v>
      </c>
      <c r="B284" s="41" t="s">
        <v>38</v>
      </c>
      <c r="C284" s="41" t="s">
        <v>1242</v>
      </c>
      <c r="D284" s="28" t="s">
        <v>1243</v>
      </c>
      <c r="E284" s="27" t="s">
        <v>1244</v>
      </c>
      <c r="F284" s="5" t="s">
        <v>22</v>
      </c>
      <c r="G284" s="21">
        <v>0.2</v>
      </c>
      <c r="H284" s="22">
        <v>33</v>
      </c>
      <c r="I284" s="96">
        <f>H284/G284</f>
        <v>165</v>
      </c>
      <c r="J284" s="5">
        <f>VLOOKUP(C284,'Master File June-26'!C:J,8,0)</f>
        <v>14</v>
      </c>
      <c r="K284" s="23">
        <f t="shared" si="16"/>
        <v>92.4</v>
      </c>
      <c r="L284" s="58">
        <f>VLOOKUP(C284,'Master File June-26'!C:L,10,0)</f>
        <v>50</v>
      </c>
      <c r="M284" s="24">
        <f t="shared" si="17"/>
        <v>9.0909090909090917</v>
      </c>
      <c r="N284" s="25" t="str">
        <f t="shared" si="18"/>
        <v>ORDER NOW</v>
      </c>
      <c r="O284" s="25" t="str">
        <f t="shared" si="19"/>
        <v>CRITICAL</v>
      </c>
      <c r="Q284" s="90">
        <f>VLOOKUP(C284,'Master File June-26'!$C$3:$S$670,17,0)</f>
        <v>46131.51871527778</v>
      </c>
    </row>
    <row r="285" spans="1:17" ht="18.75" hidden="1" x14ac:dyDescent="0.25">
      <c r="A285" s="41">
        <v>358</v>
      </c>
      <c r="B285" s="41" t="s">
        <v>85</v>
      </c>
      <c r="C285" s="41" t="s">
        <v>102</v>
      </c>
      <c r="D285" s="28" t="s">
        <v>103</v>
      </c>
      <c r="E285" s="27" t="s">
        <v>101</v>
      </c>
      <c r="F285" s="5" t="s">
        <v>22</v>
      </c>
      <c r="G285" s="21">
        <v>0.16666666666666666</v>
      </c>
      <c r="H285" s="22">
        <f>VLOOKUP(C285,'Master File June-26'!$C$3:$I$670,6,0)</f>
        <v>5.5</v>
      </c>
      <c r="I285" s="96">
        <f>VLOOKUP(C285,'Master File June-26'!$C$3:$I$670,7,0)</f>
        <v>33</v>
      </c>
      <c r="J285" s="5">
        <f>VLOOKUP(C285,'Master File June-26'!C:J,8,0)</f>
        <v>14</v>
      </c>
      <c r="K285" s="23">
        <f t="shared" si="16"/>
        <v>18.48</v>
      </c>
      <c r="L285" s="58">
        <f>VLOOKUP(C285,'Master File June-26'!C:L,10,0)</f>
        <v>0</v>
      </c>
      <c r="M285" s="24">
        <f t="shared" si="17"/>
        <v>0</v>
      </c>
      <c r="N285" s="25" t="str">
        <f t="shared" si="18"/>
        <v>ORDER NOW</v>
      </c>
      <c r="O285" s="25" t="str">
        <f t="shared" si="19"/>
        <v>CRITICAL</v>
      </c>
      <c r="Q285" s="90">
        <f>VLOOKUP(C285,'Master File June-26'!$C$3:$S$670,17,0)</f>
        <v>46141.525254629632</v>
      </c>
    </row>
    <row r="286" spans="1:17" ht="18.75" hidden="1" x14ac:dyDescent="0.25">
      <c r="A286" s="41">
        <v>346</v>
      </c>
      <c r="B286" s="41" t="s">
        <v>85</v>
      </c>
      <c r="C286" s="41" t="s">
        <v>987</v>
      </c>
      <c r="D286" s="28" t="s">
        <v>988</v>
      </c>
      <c r="E286" s="27" t="s">
        <v>989</v>
      </c>
      <c r="F286" s="5" t="s">
        <v>22</v>
      </c>
      <c r="G286" s="21">
        <v>0.125</v>
      </c>
      <c r="H286" s="22">
        <v>70.5</v>
      </c>
      <c r="I286" s="96">
        <f>H286/G286</f>
        <v>564</v>
      </c>
      <c r="J286" s="5">
        <f>VLOOKUP(C286,'Master File June-26'!C:J,8,0)</f>
        <v>14</v>
      </c>
      <c r="K286" s="23">
        <f t="shared" si="16"/>
        <v>315.84000000000003</v>
      </c>
      <c r="L286" s="58">
        <f>VLOOKUP(C286,'Master File June-26'!C:L,10,0)</f>
        <v>120</v>
      </c>
      <c r="M286" s="24">
        <f t="shared" si="17"/>
        <v>6.3829787234042552</v>
      </c>
      <c r="N286" s="25" t="str">
        <f t="shared" si="18"/>
        <v>ORDER NOW</v>
      </c>
      <c r="O286" s="25" t="str">
        <f t="shared" si="19"/>
        <v>CRITICAL</v>
      </c>
      <c r="Q286" s="90" t="e">
        <f>VLOOKUP(C286,[2]Sheet1!$C$3:$P$524,14,0)</f>
        <v>#N/A</v>
      </c>
    </row>
    <row r="287" spans="1:17" ht="18.75" hidden="1" x14ac:dyDescent="0.25">
      <c r="A287" s="41">
        <v>404</v>
      </c>
      <c r="B287" s="41" t="s">
        <v>85</v>
      </c>
      <c r="C287" s="41" t="s">
        <v>1357</v>
      </c>
      <c r="D287" s="28" t="s">
        <v>1358</v>
      </c>
      <c r="E287" s="27" t="s">
        <v>1359</v>
      </c>
      <c r="F287" s="5" t="s">
        <v>22</v>
      </c>
      <c r="G287" s="21">
        <v>8.3333333333333329E-2</v>
      </c>
      <c r="H287" s="22">
        <v>70</v>
      </c>
      <c r="I287" s="96">
        <f>H287/G287</f>
        <v>840</v>
      </c>
      <c r="J287" s="5">
        <f>VLOOKUP(C287,'Master File June-26'!C:J,8,0)</f>
        <v>14</v>
      </c>
      <c r="K287" s="23">
        <f t="shared" si="16"/>
        <v>470.40000000000003</v>
      </c>
      <c r="L287" s="58">
        <f>VLOOKUP(C287,'Master File June-26'!C:L,10,0)</f>
        <v>0</v>
      </c>
      <c r="M287" s="24">
        <f t="shared" si="17"/>
        <v>0</v>
      </c>
      <c r="N287" s="25" t="str">
        <f t="shared" si="18"/>
        <v>ORDER NOW</v>
      </c>
      <c r="O287" s="25" t="str">
        <f t="shared" si="19"/>
        <v>CRITICAL</v>
      </c>
      <c r="Q287" s="90" t="e">
        <f>VLOOKUP(C287,[2]Sheet1!$C$3:$P$524,14,0)</f>
        <v>#N/A</v>
      </c>
    </row>
    <row r="288" spans="1:17" ht="18.75" hidden="1" x14ac:dyDescent="0.25">
      <c r="A288" s="41">
        <v>403</v>
      </c>
      <c r="B288" s="41" t="s">
        <v>85</v>
      </c>
      <c r="C288" s="41" t="s">
        <v>743</v>
      </c>
      <c r="D288" s="28" t="s">
        <v>744</v>
      </c>
      <c r="E288" s="27" t="s">
        <v>381</v>
      </c>
      <c r="F288" s="5" t="s">
        <v>22</v>
      </c>
      <c r="G288" s="21">
        <v>8.3333333333333329E-2</v>
      </c>
      <c r="H288" s="22">
        <f>VLOOKUP(C288,'Master File June-26'!$C$3:$I$670,6,0)</f>
        <v>608</v>
      </c>
      <c r="I288" s="96">
        <f>VLOOKUP(C288,'Master File June-26'!$C$3:$I$670,7,0)</f>
        <v>7296</v>
      </c>
      <c r="J288" s="5">
        <f>VLOOKUP(C288,'Master File June-26'!C:J,8,0)</f>
        <v>14</v>
      </c>
      <c r="K288" s="23">
        <f t="shared" si="16"/>
        <v>4085.76</v>
      </c>
      <c r="L288" s="58">
        <f>VLOOKUP(C288,'Master File June-26'!C:L,10,0)</f>
        <v>2400</v>
      </c>
      <c r="M288" s="24">
        <f t="shared" si="17"/>
        <v>9.8684210526315788</v>
      </c>
      <c r="N288" s="25" t="str">
        <f t="shared" si="18"/>
        <v>ORDER NOW</v>
      </c>
      <c r="O288" s="25" t="str">
        <f t="shared" si="19"/>
        <v>CRITICAL</v>
      </c>
      <c r="Q288" s="90">
        <f>VLOOKUP(C288,'Master File June-26'!$C$3:$S$670,17,0)</f>
        <v>46128.69494212963</v>
      </c>
    </row>
    <row r="289" spans="1:17" ht="18.75" hidden="1" x14ac:dyDescent="0.25">
      <c r="A289" s="19">
        <v>71</v>
      </c>
      <c r="B289" s="19" t="s">
        <v>157</v>
      </c>
      <c r="C289" s="19" t="s">
        <v>959</v>
      </c>
      <c r="D289" s="28" t="s">
        <v>960</v>
      </c>
      <c r="E289" s="27" t="s">
        <v>78</v>
      </c>
      <c r="F289" s="5" t="s">
        <v>49</v>
      </c>
      <c r="G289" s="21">
        <v>1</v>
      </c>
      <c r="H289" s="22">
        <f>VLOOKUP(C289,'Master File June-26'!$C$3:$I$670,6,0)</f>
        <v>400</v>
      </c>
      <c r="I289" s="96">
        <f>VLOOKUP(C289,'Master File June-26'!$C$3:$I$670,7,0)</f>
        <v>400</v>
      </c>
      <c r="J289" s="5">
        <f>VLOOKUP(C289,'Master File June-26'!C:J,8,0)</f>
        <v>14</v>
      </c>
      <c r="K289" s="23">
        <f t="shared" si="16"/>
        <v>224.00000000000003</v>
      </c>
      <c r="L289" s="58">
        <f>VLOOKUP(C289,'Master File June-26'!C:L,10,0)</f>
        <v>58</v>
      </c>
      <c r="M289" s="24">
        <f t="shared" si="17"/>
        <v>4.3499999999999996</v>
      </c>
      <c r="N289" s="25" t="str">
        <f t="shared" si="18"/>
        <v>ORDER NOW</v>
      </c>
      <c r="O289" s="25" t="str">
        <f t="shared" si="19"/>
        <v>CRITICAL</v>
      </c>
      <c r="P289" t="s">
        <v>30</v>
      </c>
      <c r="Q289" s="90">
        <v>46113.430891203701</v>
      </c>
    </row>
    <row r="290" spans="1:17" ht="18.75" hidden="1" x14ac:dyDescent="0.25">
      <c r="A290" s="41">
        <v>381</v>
      </c>
      <c r="B290" s="41" t="s">
        <v>38</v>
      </c>
      <c r="C290" s="41" t="s">
        <v>1110</v>
      </c>
      <c r="D290" s="28" t="s">
        <v>1111</v>
      </c>
      <c r="E290" s="27" t="s">
        <v>1112</v>
      </c>
      <c r="F290" s="5" t="s">
        <v>49</v>
      </c>
      <c r="G290" s="21">
        <v>0.1</v>
      </c>
      <c r="H290" s="22">
        <v>13.5</v>
      </c>
      <c r="I290" s="22">
        <f>H290/G290</f>
        <v>135</v>
      </c>
      <c r="J290" s="5">
        <f>VLOOKUP(C290,'Master File June-26'!C:J,8,0)</f>
        <v>14</v>
      </c>
      <c r="K290" s="100">
        <f t="shared" si="16"/>
        <v>75.600000000000009</v>
      </c>
      <c r="L290" s="58">
        <f>VLOOKUP(C290,'Master File June-26'!C:L,10,0)</f>
        <v>0</v>
      </c>
      <c r="M290" s="101">
        <f t="shared" si="17"/>
        <v>0</v>
      </c>
      <c r="N290" s="102" t="str">
        <f t="shared" si="18"/>
        <v>ORDER NOW</v>
      </c>
      <c r="O290" s="102" t="str">
        <f t="shared" si="19"/>
        <v>CRITICAL</v>
      </c>
      <c r="Q290" s="87" t="e">
        <f>VLOOKUP(C290,[2]Sheet1!$C$3:$P$524,14,0)</f>
        <v>#N/A</v>
      </c>
    </row>
    <row r="291" spans="1:17" ht="18.75" hidden="1" x14ac:dyDescent="0.25">
      <c r="A291" s="19">
        <v>162</v>
      </c>
      <c r="B291" s="19" t="s">
        <v>18</v>
      </c>
      <c r="C291" s="19" t="s">
        <v>1423</v>
      </c>
      <c r="D291" s="28" t="s">
        <v>1424</v>
      </c>
      <c r="E291" s="27" t="s">
        <v>1425</v>
      </c>
      <c r="F291" s="5" t="s">
        <v>46</v>
      </c>
      <c r="G291" s="21">
        <v>1.4285714285714285E-2</v>
      </c>
      <c r="H291" s="22">
        <f>VLOOKUP(C291,'Master File June-26'!$C$3:$I$670,6,0)</f>
        <v>80</v>
      </c>
      <c r="I291" s="22">
        <f>VLOOKUP(C291,'Master File June-26'!$C$3:$I$670,7,0)</f>
        <v>5600</v>
      </c>
      <c r="J291" s="5">
        <f>VLOOKUP(C291,'Master File June-26'!C:J,8,0)</f>
        <v>14</v>
      </c>
      <c r="K291" s="23">
        <f t="shared" si="16"/>
        <v>3136.0000000000005</v>
      </c>
      <c r="L291" s="58">
        <f>VLOOKUP(C291,'Master File June-26'!C:L,10,0)</f>
        <v>1190</v>
      </c>
      <c r="M291" s="24">
        <f t="shared" si="17"/>
        <v>6.375</v>
      </c>
      <c r="N291" s="25" t="str">
        <f t="shared" si="18"/>
        <v>ORDER NOW</v>
      </c>
      <c r="O291" s="25" t="str">
        <f t="shared" si="19"/>
        <v>CRITICAL</v>
      </c>
      <c r="Q291" s="87">
        <f>VLOOKUP(C291,'Master File June-26'!$C$3:$S$670,17,0)</f>
        <v>46131.519629629627</v>
      </c>
    </row>
    <row r="292" spans="1:17" ht="18.75" hidden="1" x14ac:dyDescent="0.25">
      <c r="A292" s="41">
        <v>356</v>
      </c>
      <c r="B292" s="41" t="s">
        <v>38</v>
      </c>
      <c r="C292" s="41" t="s">
        <v>114</v>
      </c>
      <c r="D292" s="28" t="s">
        <v>115</v>
      </c>
      <c r="E292" s="27" t="s">
        <v>116</v>
      </c>
      <c r="F292" s="5" t="s">
        <v>22</v>
      </c>
      <c r="G292" s="21">
        <v>0.1</v>
      </c>
      <c r="H292" s="22">
        <v>19</v>
      </c>
      <c r="I292" s="22">
        <f>H292/G292</f>
        <v>190</v>
      </c>
      <c r="J292" s="5">
        <f>VLOOKUP(C292,'Master File June-26'!C:J,8,0)</f>
        <v>14</v>
      </c>
      <c r="K292" s="23">
        <f t="shared" si="16"/>
        <v>106.4</v>
      </c>
      <c r="L292" s="58">
        <f>VLOOKUP(C292,'Master File June-26'!C:L,10,0)</f>
        <v>0</v>
      </c>
      <c r="M292" s="24">
        <f t="shared" si="17"/>
        <v>0</v>
      </c>
      <c r="N292" s="25" t="str">
        <f t="shared" si="18"/>
        <v>ORDER NOW</v>
      </c>
      <c r="O292" s="25" t="str">
        <f t="shared" si="19"/>
        <v>CRITICAL</v>
      </c>
      <c r="Q292" s="87" t="e">
        <f>VLOOKUP(C292,[2]Sheet1!$C$3:$P$524,14,0)</f>
        <v>#N/A</v>
      </c>
    </row>
    <row r="293" spans="1:17" ht="18.75" hidden="1" x14ac:dyDescent="0.25">
      <c r="A293" s="19">
        <v>23</v>
      </c>
      <c r="B293" s="19" t="s">
        <v>18</v>
      </c>
      <c r="C293" s="19" t="s">
        <v>1101</v>
      </c>
      <c r="D293" s="28" t="s">
        <v>1102</v>
      </c>
      <c r="E293" s="27" t="s">
        <v>92</v>
      </c>
      <c r="F293" s="5" t="s">
        <v>22</v>
      </c>
      <c r="G293" s="21">
        <v>5.0000000000000001E-4</v>
      </c>
      <c r="H293" s="22">
        <v>145.5</v>
      </c>
      <c r="I293" s="22">
        <f>H293/G293</f>
        <v>291000</v>
      </c>
      <c r="J293" s="5">
        <f>VLOOKUP(C293,'Master File June-26'!C:J,8,0)</f>
        <v>14</v>
      </c>
      <c r="K293" s="23">
        <f t="shared" si="16"/>
        <v>162960.00000000003</v>
      </c>
      <c r="L293" s="58">
        <f>VLOOKUP(C293,'Master File June-26'!C:L,10,0)</f>
        <v>53500</v>
      </c>
      <c r="M293" s="24">
        <f t="shared" si="17"/>
        <v>5.5154639175257731</v>
      </c>
      <c r="N293" s="25" t="str">
        <f t="shared" si="18"/>
        <v>ORDER NOW</v>
      </c>
      <c r="O293" s="25" t="str">
        <f t="shared" si="19"/>
        <v>CRITICAL</v>
      </c>
      <c r="P293" t="s">
        <v>30</v>
      </c>
      <c r="Q293" s="87" t="e">
        <f>VLOOKUP(C293,[2]Sheet1!$C$3:$P$524,14,0)</f>
        <v>#N/A</v>
      </c>
    </row>
    <row r="294" spans="1:17" ht="18.75" hidden="1" x14ac:dyDescent="0.25">
      <c r="A294" s="41">
        <v>503</v>
      </c>
      <c r="B294" s="41" t="s">
        <v>38</v>
      </c>
      <c r="C294" s="41" t="s">
        <v>1120</v>
      </c>
      <c r="D294" s="28" t="s">
        <v>1121</v>
      </c>
      <c r="E294" s="27" t="s">
        <v>826</v>
      </c>
      <c r="F294" s="5" t="s">
        <v>49</v>
      </c>
      <c r="G294" s="21">
        <v>1</v>
      </c>
      <c r="H294" s="22">
        <v>4</v>
      </c>
      <c r="I294" s="22">
        <f>H294/G294</f>
        <v>4</v>
      </c>
      <c r="J294" s="5">
        <f>VLOOKUP(C294,'Master File June-26'!C:J,8,0)</f>
        <v>14</v>
      </c>
      <c r="K294" s="23">
        <f t="shared" si="16"/>
        <v>2.2400000000000002</v>
      </c>
      <c r="L294" s="58">
        <f>VLOOKUP(C294,'Master File June-26'!C:L,10,0)</f>
        <v>0</v>
      </c>
      <c r="M294" s="24">
        <f t="shared" si="17"/>
        <v>0</v>
      </c>
      <c r="N294" s="25" t="str">
        <f t="shared" si="18"/>
        <v>ORDER NOW</v>
      </c>
      <c r="O294" s="25" t="str">
        <f t="shared" si="19"/>
        <v>CRITICAL</v>
      </c>
      <c r="Q294" s="87" t="e">
        <f>VLOOKUP(C294,[2]Sheet1!$C$3:$P$524,14,0)</f>
        <v>#N/A</v>
      </c>
    </row>
    <row r="295" spans="1:17" ht="18.75" hidden="1" x14ac:dyDescent="0.25">
      <c r="A295" s="19">
        <v>91</v>
      </c>
      <c r="B295" s="19" t="s">
        <v>18</v>
      </c>
      <c r="C295" s="19" t="s">
        <v>1347</v>
      </c>
      <c r="D295" s="28" t="s">
        <v>1348</v>
      </c>
      <c r="E295" s="27" t="s">
        <v>1349</v>
      </c>
      <c r="F295" s="5" t="s">
        <v>22</v>
      </c>
      <c r="G295" s="21">
        <v>1E-3</v>
      </c>
      <c r="H295" s="22">
        <v>150</v>
      </c>
      <c r="I295" s="22">
        <f>H295/G295</f>
        <v>150000</v>
      </c>
      <c r="J295" s="5">
        <f>VLOOKUP(C295,'Master File June-26'!C:J,8,0)</f>
        <v>14</v>
      </c>
      <c r="K295" s="23">
        <f t="shared" si="16"/>
        <v>84000.000000000015</v>
      </c>
      <c r="L295" s="58">
        <f>VLOOKUP(C295,'Master File June-26'!C:L,10,0)</f>
        <v>15500</v>
      </c>
      <c r="M295" s="24">
        <f t="shared" si="17"/>
        <v>3.1</v>
      </c>
      <c r="N295" s="25" t="str">
        <f t="shared" si="18"/>
        <v>ORDER NOW</v>
      </c>
      <c r="O295" s="25" t="str">
        <f t="shared" si="19"/>
        <v>CRITICAL</v>
      </c>
      <c r="P295" t="s">
        <v>30</v>
      </c>
      <c r="Q295" s="87" t="e">
        <f>VLOOKUP(C295,[2]Sheet1!$C$3:$P$524,14,0)</f>
        <v>#N/A</v>
      </c>
    </row>
    <row r="296" spans="1:17" ht="18.75" hidden="1" x14ac:dyDescent="0.25">
      <c r="A296" s="39">
        <v>202</v>
      </c>
      <c r="B296" s="39" t="s">
        <v>239</v>
      </c>
      <c r="C296" s="39" t="s">
        <v>676</v>
      </c>
      <c r="D296" s="28" t="s">
        <v>677</v>
      </c>
      <c r="E296" s="27" t="s">
        <v>160</v>
      </c>
      <c r="F296" s="5" t="s">
        <v>49</v>
      </c>
      <c r="G296" s="21">
        <v>1</v>
      </c>
      <c r="H296" s="22">
        <f>VLOOKUP(C296,'Master File June-26'!$C$3:$I$670,6,0)</f>
        <v>104.5</v>
      </c>
      <c r="I296" s="22">
        <f>VLOOKUP(C296,'Master File June-26'!$C$3:$I$670,7,0)</f>
        <v>104.5</v>
      </c>
      <c r="J296" s="5">
        <f>VLOOKUP(C296,'Master File June-26'!C:J,8,0)</f>
        <v>14</v>
      </c>
      <c r="K296" s="23">
        <f t="shared" si="16"/>
        <v>58.52</v>
      </c>
      <c r="L296" s="58">
        <f>VLOOKUP(C296,'Master File June-26'!C:L,10,0)</f>
        <v>0</v>
      </c>
      <c r="M296" s="24">
        <f t="shared" si="17"/>
        <v>0</v>
      </c>
      <c r="N296" s="25" t="str">
        <f t="shared" si="18"/>
        <v>ORDER NOW</v>
      </c>
      <c r="O296" s="25" t="str">
        <f t="shared" si="19"/>
        <v>CRITICAL</v>
      </c>
      <c r="Q296" s="87">
        <f>VLOOKUP(C296,'Master File June-26'!$C$3:$S$670,17,0)</f>
        <v>46113.430949074071</v>
      </c>
    </row>
    <row r="297" spans="1:17" ht="18.75" hidden="1" x14ac:dyDescent="0.25">
      <c r="A297" s="19">
        <v>21</v>
      </c>
      <c r="B297" s="19" t="s">
        <v>18</v>
      </c>
      <c r="C297" s="19" t="s">
        <v>1226</v>
      </c>
      <c r="D297" s="28" t="s">
        <v>1227</v>
      </c>
      <c r="E297" s="27" t="s">
        <v>92</v>
      </c>
      <c r="F297" s="5" t="s">
        <v>22</v>
      </c>
      <c r="G297" s="21">
        <v>5.0000000000000001E-4</v>
      </c>
      <c r="H297" s="22">
        <v>84.5</v>
      </c>
      <c r="I297" s="22">
        <f>H297/G297</f>
        <v>169000</v>
      </c>
      <c r="J297" s="5">
        <f>VLOOKUP(C297,'Master File June-26'!C:J,8,0)</f>
        <v>14</v>
      </c>
      <c r="K297" s="23">
        <f t="shared" si="16"/>
        <v>94640.000000000015</v>
      </c>
      <c r="L297" s="58">
        <f>VLOOKUP(C297,'Master File June-26'!C:L,10,0)</f>
        <v>21000</v>
      </c>
      <c r="M297" s="24">
        <f t="shared" si="17"/>
        <v>3.7278106508875739</v>
      </c>
      <c r="N297" s="25" t="str">
        <f t="shared" si="18"/>
        <v>ORDER NOW</v>
      </c>
      <c r="O297" s="25" t="str">
        <f t="shared" si="19"/>
        <v>CRITICAL</v>
      </c>
      <c r="P297" t="s">
        <v>30</v>
      </c>
      <c r="Q297" s="87" t="e">
        <f>VLOOKUP(C297,[2]Sheet1!$C$3:$P$524,14,0)</f>
        <v>#N/A</v>
      </c>
    </row>
    <row r="298" spans="1:17" ht="18.75" hidden="1" x14ac:dyDescent="0.25">
      <c r="A298" s="19">
        <v>2</v>
      </c>
      <c r="B298" s="19" t="s">
        <v>18</v>
      </c>
      <c r="C298" s="19" t="s">
        <v>833</v>
      </c>
      <c r="D298" s="20" t="s">
        <v>834</v>
      </c>
      <c r="E298" s="4" t="s">
        <v>186</v>
      </c>
      <c r="F298" s="5" t="s">
        <v>22</v>
      </c>
      <c r="G298" s="21">
        <v>2E-3</v>
      </c>
      <c r="H298" s="22">
        <f>VLOOKUP(C298,'Master File June-26'!$C$3:$I$670,6,0)</f>
        <v>2338.5</v>
      </c>
      <c r="I298" s="22">
        <f>VLOOKUP(C298,'Master File June-26'!$C$3:$I$670,7,0)</f>
        <v>1169250</v>
      </c>
      <c r="J298" s="5">
        <f>VLOOKUP(C298,'Master File June-26'!C:J,8,0)</f>
        <v>14</v>
      </c>
      <c r="K298" s="23">
        <f t="shared" si="16"/>
        <v>654780.00000000012</v>
      </c>
      <c r="L298" s="58">
        <f>VLOOKUP(C298,'Master File June-26'!C:L,10,0)</f>
        <v>500000</v>
      </c>
      <c r="M298" s="24">
        <f t="shared" si="17"/>
        <v>12.828736369467608</v>
      </c>
      <c r="N298" s="25" t="str">
        <f t="shared" si="18"/>
        <v>ORDER NOW</v>
      </c>
      <c r="O298" s="25" t="str">
        <f t="shared" si="19"/>
        <v>CRITICAL</v>
      </c>
      <c r="P298" s="26" t="s">
        <v>30</v>
      </c>
      <c r="Q298" s="87">
        <f>VLOOKUP(C298,'Master File June-26'!$C$3:$S$670,17,0)</f>
        <v>46140.606099537035</v>
      </c>
    </row>
    <row r="299" spans="1:17" ht="18.75" hidden="1" x14ac:dyDescent="0.25">
      <c r="A299" s="41">
        <v>495</v>
      </c>
      <c r="B299" s="41" t="s">
        <v>38</v>
      </c>
      <c r="C299" s="41" t="s">
        <v>68</v>
      </c>
      <c r="D299" s="28" t="s">
        <v>69</v>
      </c>
      <c r="E299" s="27" t="s">
        <v>70</v>
      </c>
      <c r="F299" s="5" t="s">
        <v>22</v>
      </c>
      <c r="G299" s="21">
        <v>0.1</v>
      </c>
      <c r="H299" s="22">
        <f>VLOOKUP(C299,'Master File June-26'!$C$3:$I$670,6,0)</f>
        <v>120</v>
      </c>
      <c r="I299" s="22">
        <f>VLOOKUP(C299,'Master File June-26'!$C$3:$I$670,7,0)</f>
        <v>1200</v>
      </c>
      <c r="J299" s="5">
        <f>VLOOKUP(C299,'Master File June-26'!C:J,8,0)</f>
        <v>14</v>
      </c>
      <c r="K299" s="23">
        <f t="shared" si="16"/>
        <v>672.00000000000011</v>
      </c>
      <c r="L299" s="58">
        <f>VLOOKUP(C299,'Master File June-26'!C:L,10,0)</f>
        <v>0</v>
      </c>
      <c r="M299" s="24">
        <f t="shared" si="17"/>
        <v>0</v>
      </c>
      <c r="N299" s="25" t="str">
        <f t="shared" si="18"/>
        <v>ORDER NOW</v>
      </c>
      <c r="O299" s="25" t="str">
        <f t="shared" si="19"/>
        <v>CRITICAL</v>
      </c>
      <c r="Q299" s="87">
        <f>VLOOKUP(C299,'Master File June-26'!$C$3:$S$670,17,0)</f>
        <v>46134.446226851855</v>
      </c>
    </row>
    <row r="300" spans="1:17" ht="18.75" hidden="1" x14ac:dyDescent="0.25">
      <c r="A300" s="41">
        <v>480</v>
      </c>
      <c r="B300" s="41" t="s">
        <v>38</v>
      </c>
      <c r="C300" s="41" t="s">
        <v>1513</v>
      </c>
      <c r="D300" s="28" t="s">
        <v>1514</v>
      </c>
      <c r="E300" s="27" t="s">
        <v>1515</v>
      </c>
      <c r="F300" s="5" t="s">
        <v>22</v>
      </c>
      <c r="G300" s="21">
        <f>1/144</f>
        <v>6.9444444444444441E-3</v>
      </c>
      <c r="H300" s="22">
        <v>1</v>
      </c>
      <c r="I300" s="22">
        <f>H300/G300</f>
        <v>144</v>
      </c>
      <c r="J300" s="5">
        <f>VLOOKUP(C300,'Master File June-26'!C:J,8,0)</f>
        <v>14</v>
      </c>
      <c r="K300" s="23">
        <f t="shared" si="16"/>
        <v>80.640000000000015</v>
      </c>
      <c r="L300" s="58">
        <f>VLOOKUP(C300,'Master File June-26'!C:L,10,0)</f>
        <v>0</v>
      </c>
      <c r="M300" s="24">
        <f t="shared" si="17"/>
        <v>0</v>
      </c>
      <c r="N300" s="25" t="str">
        <f t="shared" si="18"/>
        <v>ORDER NOW</v>
      </c>
      <c r="O300" s="25" t="str">
        <f t="shared" si="19"/>
        <v>CRITICAL</v>
      </c>
      <c r="Q300" s="87" t="e">
        <f>VLOOKUP(C300,[2]Sheet1!$C$3:$P$524,14,0)</f>
        <v>#N/A</v>
      </c>
    </row>
    <row r="301" spans="1:17" ht="18.75" hidden="1" x14ac:dyDescent="0.25">
      <c r="A301" s="41">
        <v>354</v>
      </c>
      <c r="B301" s="41" t="s">
        <v>38</v>
      </c>
      <c r="C301" s="41" t="s">
        <v>51</v>
      </c>
      <c r="D301" s="30" t="s">
        <v>52</v>
      </c>
      <c r="E301" s="29" t="s">
        <v>53</v>
      </c>
      <c r="F301" s="5" t="s">
        <v>54</v>
      </c>
      <c r="G301" s="21">
        <v>7.6923076923076927E-2</v>
      </c>
      <c r="H301" s="22">
        <f>VLOOKUP(C301,'Master File June-26'!$C$3:$I$670,6,0)</f>
        <v>89.5</v>
      </c>
      <c r="I301" s="22">
        <f>VLOOKUP(C301,'Master File June-26'!$C$3:$I$670,7,0)</f>
        <v>1163.5</v>
      </c>
      <c r="J301" s="5">
        <f>VLOOKUP(C301,'Master File June-26'!C:J,8,0)</f>
        <v>14</v>
      </c>
      <c r="K301" s="97">
        <f t="shared" si="16"/>
        <v>651.56000000000006</v>
      </c>
      <c r="L301" s="58">
        <f>VLOOKUP(C301,'Master File June-26'!C:L,10,0)</f>
        <v>0</v>
      </c>
      <c r="M301" s="98">
        <f t="shared" si="17"/>
        <v>0</v>
      </c>
      <c r="N301" s="99" t="str">
        <f t="shared" si="18"/>
        <v>ORDER NOW</v>
      </c>
      <c r="O301" s="99" t="str">
        <f t="shared" si="19"/>
        <v>CRITICAL</v>
      </c>
      <c r="Q301" s="87">
        <f>VLOOKUP(C301,'Master File June-26'!$C$3:$S$670,17,0)</f>
        <v>46141.525208333333</v>
      </c>
    </row>
    <row r="302" spans="1:17" ht="18.75" hidden="1" x14ac:dyDescent="0.25">
      <c r="A302" s="19">
        <v>5</v>
      </c>
      <c r="B302" s="19" t="s">
        <v>18</v>
      </c>
      <c r="C302" s="19" t="s">
        <v>891</v>
      </c>
      <c r="D302" s="28" t="s">
        <v>892</v>
      </c>
      <c r="E302" s="27" t="s">
        <v>893</v>
      </c>
      <c r="F302" s="5" t="s">
        <v>22</v>
      </c>
      <c r="G302" s="21">
        <v>1.6666666666666668E-3</v>
      </c>
      <c r="H302" s="22">
        <f>VLOOKUP(C302,'Master File June-26'!$C$3:$I$670,6,0)</f>
        <v>565.5</v>
      </c>
      <c r="I302" s="96">
        <f>VLOOKUP(C302,'Master File June-26'!$C$3:$I$670,7,0)</f>
        <v>339300</v>
      </c>
      <c r="J302" s="5">
        <f>VLOOKUP(C302,'Master File June-26'!C:J,8,0)</f>
        <v>14</v>
      </c>
      <c r="K302" s="23">
        <f t="shared" si="16"/>
        <v>190008.00000000003</v>
      </c>
      <c r="L302" s="58">
        <f>VLOOKUP(C302,'Master File June-26'!C:L,10,0)</f>
        <v>66300</v>
      </c>
      <c r="M302" s="24">
        <f t="shared" si="17"/>
        <v>5.862068965517242</v>
      </c>
      <c r="N302" s="25" t="str">
        <f t="shared" si="18"/>
        <v>ORDER NOW</v>
      </c>
      <c r="O302" s="25" t="str">
        <f t="shared" si="19"/>
        <v>CRITICAL</v>
      </c>
      <c r="P302" t="s">
        <v>30</v>
      </c>
      <c r="Q302" s="90">
        <f>VLOOKUP(C302,'Master File June-26'!$C$3:$S$670,17,0)</f>
        <v>46140.606192129628</v>
      </c>
    </row>
    <row r="303" spans="1:17" ht="18.75" hidden="1" x14ac:dyDescent="0.25">
      <c r="A303" s="4">
        <v>611</v>
      </c>
      <c r="B303" s="4" t="s">
        <v>133</v>
      </c>
      <c r="C303" s="4" t="s">
        <v>737</v>
      </c>
      <c r="D303" s="28" t="s">
        <v>738</v>
      </c>
      <c r="E303" s="27" t="s">
        <v>64</v>
      </c>
      <c r="F303" s="5" t="s">
        <v>49</v>
      </c>
      <c r="G303" s="21">
        <v>1</v>
      </c>
      <c r="H303" s="22">
        <f>VLOOKUP(C303,'Master File June-26'!$C$3:$I$670,6,0)</f>
        <v>1815</v>
      </c>
      <c r="I303" s="22">
        <f>VLOOKUP(C303,'Master File June-26'!$C$3:$I$670,7,0)</f>
        <v>1815</v>
      </c>
      <c r="J303" s="5">
        <f>VLOOKUP(C303,'Master File June-26'!C:J,8,0)</f>
        <v>14</v>
      </c>
      <c r="K303" s="100">
        <f t="shared" si="16"/>
        <v>1016.4000000000001</v>
      </c>
      <c r="L303" s="58">
        <f>VLOOKUP(C303,'Master File June-26'!C:L,10,0)</f>
        <v>0</v>
      </c>
      <c r="M303" s="101">
        <f t="shared" si="17"/>
        <v>0</v>
      </c>
      <c r="N303" s="102" t="str">
        <f t="shared" si="18"/>
        <v>ORDER NOW</v>
      </c>
      <c r="O303" s="102" t="str">
        <f t="shared" si="19"/>
        <v>CRITICAL</v>
      </c>
      <c r="Q303" s="87">
        <f>VLOOKUP(C303,'Master File June-26'!$C$3:$S$670,17,0)</f>
        <v>46134.446296296293</v>
      </c>
    </row>
    <row r="304" spans="1:17" ht="18.75" hidden="1" x14ac:dyDescent="0.25">
      <c r="A304" s="39">
        <v>216</v>
      </c>
      <c r="B304" s="39" t="s">
        <v>123</v>
      </c>
      <c r="C304" s="39" t="s">
        <v>247</v>
      </c>
      <c r="D304" s="28" t="s">
        <v>248</v>
      </c>
      <c r="E304" s="27" t="s">
        <v>249</v>
      </c>
      <c r="F304" s="5" t="s">
        <v>49</v>
      </c>
      <c r="G304" s="21">
        <v>1</v>
      </c>
      <c r="H304" s="22">
        <f>VLOOKUP(C304,'Master File June-26'!$C$3:$I$670,6,0)</f>
        <v>367.5</v>
      </c>
      <c r="I304" s="22">
        <f>VLOOKUP(C304,'Master File June-26'!$C$3:$I$670,7,0)</f>
        <v>367.5</v>
      </c>
      <c r="J304" s="5">
        <f>VLOOKUP(C304,'Master File June-26'!C:J,8,0)</f>
        <v>14</v>
      </c>
      <c r="K304" s="23">
        <f t="shared" si="16"/>
        <v>205.8</v>
      </c>
      <c r="L304" s="58">
        <f>VLOOKUP(C304,'Master File June-26'!C:L,10,0)</f>
        <v>0</v>
      </c>
      <c r="M304" s="24">
        <f t="shared" si="17"/>
        <v>0</v>
      </c>
      <c r="N304" s="25" t="str">
        <f t="shared" si="18"/>
        <v>ORDER NOW</v>
      </c>
      <c r="O304" s="25" t="str">
        <f t="shared" si="19"/>
        <v>CRITICAL</v>
      </c>
      <c r="Q304" s="87">
        <f>VLOOKUP(C304,'Master File June-26'!$C$3:$S$670,17,0)</f>
        <v>46128.687604166669</v>
      </c>
    </row>
    <row r="305" spans="1:17" ht="18.75" hidden="1" x14ac:dyDescent="0.25">
      <c r="A305" s="39">
        <v>198</v>
      </c>
      <c r="B305" s="39" t="s">
        <v>265</v>
      </c>
      <c r="C305" s="39" t="s">
        <v>1163</v>
      </c>
      <c r="D305" s="28" t="s">
        <v>1164</v>
      </c>
      <c r="E305" s="27" t="s">
        <v>78</v>
      </c>
      <c r="F305" s="5" t="s">
        <v>49</v>
      </c>
      <c r="G305" s="21">
        <v>1</v>
      </c>
      <c r="H305" s="22">
        <f>VLOOKUP(C305,'Master File June-26'!$C$3:$I$670,6,0)</f>
        <v>264</v>
      </c>
      <c r="I305" s="22">
        <f>VLOOKUP(C305,'Master File June-26'!$C$3:$I$670,7,0)</f>
        <v>264</v>
      </c>
      <c r="J305" s="5">
        <f>VLOOKUP(C305,'Master File June-26'!C:J,8,0)</f>
        <v>14</v>
      </c>
      <c r="K305" s="23">
        <f t="shared" si="16"/>
        <v>147.84</v>
      </c>
      <c r="L305" s="58">
        <f>VLOOKUP(C305,'Master File June-26'!C:L,10,0)</f>
        <v>14</v>
      </c>
      <c r="M305" s="24">
        <f t="shared" si="17"/>
        <v>1.5909090909090911</v>
      </c>
      <c r="N305" s="25" t="str">
        <f t="shared" si="18"/>
        <v>ORDER NOW</v>
      </c>
      <c r="O305" s="25" t="str">
        <f t="shared" si="19"/>
        <v>CRITICAL</v>
      </c>
      <c r="Q305" s="87" t="e">
        <f>VLOOKUP(C305,[2]Sheet1!$C$3:$P$524,14,0)</f>
        <v>#N/A</v>
      </c>
    </row>
    <row r="306" spans="1:17" ht="18.75" hidden="1" x14ac:dyDescent="0.25">
      <c r="A306" s="41">
        <v>414</v>
      </c>
      <c r="B306" s="41" t="s">
        <v>38</v>
      </c>
      <c r="C306" s="41" t="s">
        <v>1052</v>
      </c>
      <c r="D306" s="28" t="s">
        <v>1053</v>
      </c>
      <c r="E306" s="27" t="s">
        <v>1054</v>
      </c>
      <c r="F306" s="5" t="s">
        <v>22</v>
      </c>
      <c r="G306" s="21">
        <v>0.19379844961240308</v>
      </c>
      <c r="H306" s="22">
        <v>550</v>
      </c>
      <c r="I306" s="22">
        <f>H306/G306</f>
        <v>2838.0000000000005</v>
      </c>
      <c r="J306" s="5">
        <f>VLOOKUP(C306,'Master File June-26'!C:J,8,0)</f>
        <v>14</v>
      </c>
      <c r="K306" s="23">
        <f t="shared" si="16"/>
        <v>1589.2800000000004</v>
      </c>
      <c r="L306" s="58">
        <f>VLOOKUP(C306,'Master File June-26'!C:L,10,0)</f>
        <v>913</v>
      </c>
      <c r="M306" s="24">
        <f t="shared" si="17"/>
        <v>9.6511627906976738</v>
      </c>
      <c r="N306" s="25" t="str">
        <f t="shared" si="18"/>
        <v>ORDER NOW</v>
      </c>
      <c r="O306" s="25" t="str">
        <f t="shared" si="19"/>
        <v>CRITICAL</v>
      </c>
      <c r="Q306" s="87" t="e">
        <f>VLOOKUP(C306,[2]Sheet1!$C$3:$P$524,14,0)</f>
        <v>#N/A</v>
      </c>
    </row>
    <row r="307" spans="1:17" ht="18.75" hidden="1" x14ac:dyDescent="0.25">
      <c r="A307" s="41">
        <v>359</v>
      </c>
      <c r="B307" s="41" t="s">
        <v>85</v>
      </c>
      <c r="C307" s="41" t="s">
        <v>1378</v>
      </c>
      <c r="D307" s="28" t="s">
        <v>1379</v>
      </c>
      <c r="E307" s="27" t="s">
        <v>1380</v>
      </c>
      <c r="F307" s="5" t="s">
        <v>22</v>
      </c>
      <c r="G307" s="21">
        <v>0.22222222222222221</v>
      </c>
      <c r="H307" s="22">
        <v>27.5</v>
      </c>
      <c r="I307" s="22">
        <f>H307/G307</f>
        <v>123.75</v>
      </c>
      <c r="J307" s="5">
        <f>VLOOKUP(C307,'Master File June-26'!C:J,8,0)</f>
        <v>14</v>
      </c>
      <c r="K307" s="23">
        <f t="shared" si="16"/>
        <v>69.300000000000011</v>
      </c>
      <c r="L307" s="58">
        <f>VLOOKUP(C307,'Master File June-26'!C:L,10,0)</f>
        <v>6</v>
      </c>
      <c r="M307" s="24">
        <f t="shared" si="17"/>
        <v>1.4545454545454546</v>
      </c>
      <c r="N307" s="25" t="str">
        <f t="shared" si="18"/>
        <v>ORDER NOW</v>
      </c>
      <c r="O307" s="25" t="str">
        <f t="shared" si="19"/>
        <v>CRITICAL</v>
      </c>
      <c r="Q307" s="87" t="e">
        <f>VLOOKUP(C307,[2]Sheet1!$C$3:$P$524,14,0)</f>
        <v>#N/A</v>
      </c>
    </row>
    <row r="308" spans="1:17" ht="18.75" hidden="1" x14ac:dyDescent="0.25">
      <c r="A308" s="41">
        <v>449</v>
      </c>
      <c r="B308" s="41" t="s">
        <v>85</v>
      </c>
      <c r="C308" s="41" t="s">
        <v>788</v>
      </c>
      <c r="D308" s="28" t="s">
        <v>789</v>
      </c>
      <c r="E308" s="27" t="s">
        <v>790</v>
      </c>
      <c r="F308" s="5" t="s">
        <v>22</v>
      </c>
      <c r="G308" s="21">
        <v>0.20990764063811923</v>
      </c>
      <c r="H308" s="22">
        <f>VLOOKUP(C308,'Master File June-26'!$C$3:$I$670,6,0)</f>
        <v>1500</v>
      </c>
      <c r="I308" s="22">
        <f>VLOOKUP(C308,'Master File June-26'!$C$3:$I$670,7,0)</f>
        <v>7146</v>
      </c>
      <c r="J308" s="5">
        <f>VLOOKUP(C308,'Master File June-26'!C:J,8,0)</f>
        <v>14</v>
      </c>
      <c r="K308" s="97">
        <f t="shared" si="16"/>
        <v>4001.76</v>
      </c>
      <c r="L308" s="58">
        <f>VLOOKUP(C308,'Master File June-26'!C:L,10,0)</f>
        <v>476.4</v>
      </c>
      <c r="M308" s="98">
        <f t="shared" si="17"/>
        <v>2</v>
      </c>
      <c r="N308" s="99" t="str">
        <f t="shared" si="18"/>
        <v>ORDER NOW</v>
      </c>
      <c r="O308" s="99" t="str">
        <f t="shared" si="19"/>
        <v>CRITICAL</v>
      </c>
      <c r="Q308" s="87">
        <v>46113.430925925924</v>
      </c>
    </row>
    <row r="309" spans="1:17" ht="18.75" hidden="1" x14ac:dyDescent="0.25">
      <c r="A309" s="41">
        <v>497</v>
      </c>
      <c r="B309" s="41" t="s">
        <v>38</v>
      </c>
      <c r="C309" s="41" t="s">
        <v>749</v>
      </c>
      <c r="D309" s="28" t="s">
        <v>750</v>
      </c>
      <c r="E309" s="27" t="s">
        <v>751</v>
      </c>
      <c r="F309" s="5" t="s">
        <v>49</v>
      </c>
      <c r="G309" s="21">
        <v>0.05</v>
      </c>
      <c r="H309" s="22">
        <v>11</v>
      </c>
      <c r="I309" s="96">
        <f>H309/G309</f>
        <v>220</v>
      </c>
      <c r="J309" s="5">
        <f>VLOOKUP(C309,'Master File June-26'!C:J,8,0)</f>
        <v>14</v>
      </c>
      <c r="K309" s="23">
        <f t="shared" si="16"/>
        <v>123.20000000000002</v>
      </c>
      <c r="L309" s="58">
        <f>VLOOKUP(C309,'Master File June-26'!C:L,10,0)</f>
        <v>0</v>
      </c>
      <c r="M309" s="24">
        <f t="shared" si="17"/>
        <v>0</v>
      </c>
      <c r="N309" s="25" t="str">
        <f t="shared" si="18"/>
        <v>ORDER NOW</v>
      </c>
      <c r="O309" s="25" t="str">
        <f t="shared" si="19"/>
        <v>CRITICAL</v>
      </c>
      <c r="Q309" s="90" t="e">
        <f>VLOOKUP(C309,[2]Sheet1!$C$3:$P$524,14,0)</f>
        <v>#N/A</v>
      </c>
    </row>
    <row r="310" spans="1:17" ht="18.75" hidden="1" x14ac:dyDescent="0.25">
      <c r="A310" s="41">
        <v>389</v>
      </c>
      <c r="B310" s="41" t="s">
        <v>38</v>
      </c>
      <c r="C310" s="41" t="s">
        <v>1321</v>
      </c>
      <c r="D310" s="28" t="s">
        <v>1322</v>
      </c>
      <c r="E310" s="27" t="s">
        <v>67</v>
      </c>
      <c r="F310" s="5" t="s">
        <v>49</v>
      </c>
      <c r="G310" s="21">
        <v>2</v>
      </c>
      <c r="H310" s="22">
        <v>44</v>
      </c>
      <c r="I310" s="22">
        <f>H310/G310</f>
        <v>22</v>
      </c>
      <c r="J310" s="5">
        <f>VLOOKUP(C310,'Master File June-26'!C:J,8,0)</f>
        <v>14</v>
      </c>
      <c r="K310" s="100">
        <f t="shared" si="16"/>
        <v>12.32</v>
      </c>
      <c r="L310" s="58">
        <f>VLOOKUP(C310,'Master File June-26'!C:L,10,0)</f>
        <v>0</v>
      </c>
      <c r="M310" s="101">
        <f t="shared" si="17"/>
        <v>0</v>
      </c>
      <c r="N310" s="102" t="str">
        <f t="shared" si="18"/>
        <v>ORDER NOW</v>
      </c>
      <c r="O310" s="102" t="str">
        <f t="shared" si="19"/>
        <v>CRITICAL</v>
      </c>
      <c r="Q310" s="87" t="e">
        <f>VLOOKUP(C310,[2]Sheet1!$C$3:$P$524,14,0)</f>
        <v>#N/A</v>
      </c>
    </row>
    <row r="311" spans="1:17" ht="18.75" hidden="1" x14ac:dyDescent="0.25">
      <c r="A311" s="41">
        <v>405</v>
      </c>
      <c r="B311" s="41" t="s">
        <v>38</v>
      </c>
      <c r="C311" s="41" t="s">
        <v>824</v>
      </c>
      <c r="D311" s="28" t="s">
        <v>825</v>
      </c>
      <c r="E311" s="27" t="s">
        <v>826</v>
      </c>
      <c r="F311" s="5" t="s">
        <v>49</v>
      </c>
      <c r="G311" s="21">
        <v>1</v>
      </c>
      <c r="H311" s="22">
        <f>VLOOKUP(C311,'Master File June-26'!$C$3:$I$670,6,0)</f>
        <v>160</v>
      </c>
      <c r="I311" s="22">
        <f>VLOOKUP(C311,'Master File June-26'!$C$3:$I$670,7,0)</f>
        <v>160</v>
      </c>
      <c r="J311" s="5">
        <f>VLOOKUP(C311,'Master File June-26'!C:J,8,0)</f>
        <v>14</v>
      </c>
      <c r="K311" s="23">
        <f t="shared" si="16"/>
        <v>89.600000000000009</v>
      </c>
      <c r="L311" s="58">
        <f>VLOOKUP(C311,'Master File June-26'!C:L,10,0)</f>
        <v>80</v>
      </c>
      <c r="M311" s="24">
        <f t="shared" si="17"/>
        <v>15</v>
      </c>
      <c r="N311" s="25" t="str">
        <f t="shared" si="18"/>
        <v>IN STOCK</v>
      </c>
      <c r="O311" s="25" t="str">
        <f t="shared" si="19"/>
        <v>FOLLOW UP DELIVERY</v>
      </c>
      <c r="Q311" s="87">
        <f>VLOOKUP(C311,'Master File June-26'!$C$3:$S$670,17,0)</f>
        <v>46127.531180555554</v>
      </c>
    </row>
    <row r="312" spans="1:17" ht="18.75" hidden="1" x14ac:dyDescent="0.25">
      <c r="A312" s="19">
        <v>41</v>
      </c>
      <c r="B312" s="19" t="s">
        <v>18</v>
      </c>
      <c r="C312" s="19" t="s">
        <v>1173</v>
      </c>
      <c r="D312" s="30" t="s">
        <v>1174</v>
      </c>
      <c r="E312" s="29" t="s">
        <v>916</v>
      </c>
      <c r="F312" s="5" t="s">
        <v>22</v>
      </c>
      <c r="G312" s="21">
        <v>0.01</v>
      </c>
      <c r="H312" s="22">
        <v>30</v>
      </c>
      <c r="I312" s="22">
        <f>H312/G312</f>
        <v>3000</v>
      </c>
      <c r="J312" s="5">
        <f>VLOOKUP(C312,'Master File June-26'!C:J,8,0)</f>
        <v>14</v>
      </c>
      <c r="K312" s="23">
        <f t="shared" si="16"/>
        <v>1680.0000000000002</v>
      </c>
      <c r="L312" s="58">
        <f>VLOOKUP(C312,'Master File June-26'!C:L,10,0)</f>
        <v>2100</v>
      </c>
      <c r="M312" s="24">
        <f t="shared" si="17"/>
        <v>21</v>
      </c>
      <c r="N312" s="25" t="str">
        <f t="shared" si="18"/>
        <v>IN STOCK</v>
      </c>
      <c r="O312" s="25" t="str">
        <f t="shared" si="19"/>
        <v>FOLLOW UP DELIVERY</v>
      </c>
      <c r="P312" t="s">
        <v>30</v>
      </c>
      <c r="Q312" s="87" t="e">
        <f>VLOOKUP(C312,[2]Sheet1!$C$3:$P$524,14,0)</f>
        <v>#N/A</v>
      </c>
    </row>
    <row r="313" spans="1:17" ht="18.75" hidden="1" x14ac:dyDescent="0.25">
      <c r="A313" s="41">
        <v>413</v>
      </c>
      <c r="B313" s="41" t="s">
        <v>38</v>
      </c>
      <c r="C313" s="41" t="s">
        <v>1175</v>
      </c>
      <c r="D313" s="28" t="s">
        <v>1176</v>
      </c>
      <c r="E313" s="27" t="s">
        <v>1177</v>
      </c>
      <c r="F313" s="5" t="s">
        <v>49</v>
      </c>
      <c r="G313" s="21">
        <v>6.6666666666666666E-2</v>
      </c>
      <c r="H313" s="22">
        <v>50</v>
      </c>
      <c r="I313" s="22">
        <f>H313/G313</f>
        <v>750</v>
      </c>
      <c r="J313" s="5">
        <f>VLOOKUP(C313,'Master File June-26'!C:J,8,0)</f>
        <v>14</v>
      </c>
      <c r="K313" s="23">
        <f t="shared" si="16"/>
        <v>420.00000000000006</v>
      </c>
      <c r="L313" s="58">
        <f>VLOOKUP(C313,'Master File June-26'!C:L,10,0)</f>
        <v>570</v>
      </c>
      <c r="M313" s="24">
        <f t="shared" si="17"/>
        <v>22.8</v>
      </c>
      <c r="N313" s="25" t="str">
        <f t="shared" si="18"/>
        <v>IN STOCK</v>
      </c>
      <c r="O313" s="25" t="str">
        <f t="shared" si="19"/>
        <v>FOLLOW UP DELIVERY</v>
      </c>
      <c r="Q313" s="87" t="e">
        <f>VLOOKUP(C313,[2]Sheet1!$C$3:$P$524,14,0)</f>
        <v>#N/A</v>
      </c>
    </row>
    <row r="314" spans="1:17" ht="18.75" hidden="1" x14ac:dyDescent="0.25">
      <c r="A314" s="19">
        <v>1</v>
      </c>
      <c r="B314" s="19"/>
      <c r="C314" s="19" t="s">
        <v>1306</v>
      </c>
      <c r="D314" s="20" t="s">
        <v>1307</v>
      </c>
      <c r="E314" s="4" t="s">
        <v>22</v>
      </c>
      <c r="F314" s="5" t="s">
        <v>49</v>
      </c>
      <c r="G314" s="21">
        <f>1/5000</f>
        <v>2.0000000000000001E-4</v>
      </c>
      <c r="H314" s="22">
        <v>402</v>
      </c>
      <c r="I314" s="22">
        <f>H314/G314</f>
        <v>2010000</v>
      </c>
      <c r="J314" s="5">
        <f>VLOOKUP(C314,'Master File June-26'!C:J,8,0)</f>
        <v>60</v>
      </c>
      <c r="K314" s="23">
        <f t="shared" si="16"/>
        <v>4824000</v>
      </c>
      <c r="L314" s="58">
        <f>VLOOKUP(C314,'Master File June-26'!C:L,10,0)</f>
        <v>720000</v>
      </c>
      <c r="M314" s="24">
        <f t="shared" si="17"/>
        <v>10.746268656716417</v>
      </c>
      <c r="N314" s="25" t="str">
        <f t="shared" si="18"/>
        <v>ORDER NOW</v>
      </c>
      <c r="O314" s="25" t="str">
        <f t="shared" si="19"/>
        <v>CRITICAL</v>
      </c>
      <c r="P314" s="26" t="s">
        <v>30</v>
      </c>
      <c r="Q314" s="87" t="e">
        <f>VLOOKUP(C314,[2]Sheet1!$C$3:$P$524,14,0)</f>
        <v>#N/A</v>
      </c>
    </row>
    <row r="315" spans="1:17" ht="18.75" hidden="1" x14ac:dyDescent="0.25">
      <c r="A315" s="19">
        <v>103</v>
      </c>
      <c r="B315" s="19" t="s">
        <v>18</v>
      </c>
      <c r="C315" s="19" t="s">
        <v>1392</v>
      </c>
      <c r="D315" s="28" t="s">
        <v>1393</v>
      </c>
      <c r="E315" s="27" t="s">
        <v>1394</v>
      </c>
      <c r="F315" s="5" t="s">
        <v>1395</v>
      </c>
      <c r="G315" s="21">
        <v>5.0000000000000001E-4</v>
      </c>
      <c r="H315" s="22">
        <v>24</v>
      </c>
      <c r="I315" s="22">
        <f>H315/G315</f>
        <v>48000</v>
      </c>
      <c r="J315" s="5">
        <f>VLOOKUP(C315,'Master File June-26'!C:J,8,0)</f>
        <v>14</v>
      </c>
      <c r="K315" s="23">
        <f t="shared" si="16"/>
        <v>26880.000000000004</v>
      </c>
      <c r="L315" s="58">
        <f>VLOOKUP(C315,'Master File June-26'!C:L,10,0)</f>
        <v>20000</v>
      </c>
      <c r="M315" s="24">
        <f t="shared" si="17"/>
        <v>12.5</v>
      </c>
      <c r="N315" s="25" t="str">
        <f t="shared" si="18"/>
        <v>ORDER NOW</v>
      </c>
      <c r="O315" s="25" t="str">
        <f t="shared" si="19"/>
        <v>CRITICAL</v>
      </c>
      <c r="P315" t="s">
        <v>30</v>
      </c>
      <c r="Q315" s="87" t="e">
        <f>VLOOKUP(C315,[2]Sheet1!$C$3:$P$524,14,0)</f>
        <v>#N/A</v>
      </c>
    </row>
    <row r="316" spans="1:17" ht="18.75" hidden="1" x14ac:dyDescent="0.25">
      <c r="A316" s="19">
        <v>18</v>
      </c>
      <c r="B316" s="19" t="s">
        <v>18</v>
      </c>
      <c r="C316" s="19" t="s">
        <v>1266</v>
      </c>
      <c r="D316" s="28" t="s">
        <v>1267</v>
      </c>
      <c r="E316" s="27" t="s">
        <v>1268</v>
      </c>
      <c r="F316" s="5" t="s">
        <v>22</v>
      </c>
      <c r="G316" s="21">
        <v>5.0000000000000001E-3</v>
      </c>
      <c r="H316" s="22">
        <f>VLOOKUP(C316,'Master File June-26'!$C$3:$I$670,6,0)</f>
        <v>248</v>
      </c>
      <c r="I316" s="22">
        <f>VLOOKUP(C316,'Master File June-26'!$C$3:$I$670,7,0)</f>
        <v>49600</v>
      </c>
      <c r="J316" s="5">
        <f>VLOOKUP(C316,'Master File June-26'!C:J,8,0)</f>
        <v>14</v>
      </c>
      <c r="K316" s="23">
        <f t="shared" si="16"/>
        <v>27776.000000000004</v>
      </c>
      <c r="L316" s="58">
        <f>VLOOKUP(C316,'Master File June-26'!C:L,10,0)</f>
        <v>7900</v>
      </c>
      <c r="M316" s="24">
        <f t="shared" si="17"/>
        <v>4.778225806451613</v>
      </c>
      <c r="N316" s="25" t="str">
        <f t="shared" si="18"/>
        <v>ORDER NOW</v>
      </c>
      <c r="O316" s="25" t="str">
        <f t="shared" si="19"/>
        <v>CRITICAL</v>
      </c>
      <c r="P316" t="s">
        <v>30</v>
      </c>
      <c r="Q316" s="87">
        <v>46113.430960648147</v>
      </c>
    </row>
    <row r="317" spans="1:17" ht="18.75" hidden="1" x14ac:dyDescent="0.25">
      <c r="A317" s="39">
        <v>315</v>
      </c>
      <c r="B317" s="39" t="s">
        <v>239</v>
      </c>
      <c r="C317" s="39" t="s">
        <v>344</v>
      </c>
      <c r="D317" s="28" t="s">
        <v>345</v>
      </c>
      <c r="E317" s="27" t="s">
        <v>346</v>
      </c>
      <c r="F317" s="5" t="s">
        <v>22</v>
      </c>
      <c r="G317" s="21">
        <f>1/10</f>
        <v>0.1</v>
      </c>
      <c r="H317" s="22">
        <f>VLOOKUP(C317,'Master File June-26'!$C$3:$I$670,6,0)</f>
        <v>8</v>
      </c>
      <c r="I317" s="22">
        <f>VLOOKUP(C317,'Master File June-26'!$C$3:$I$670,7,0)</f>
        <v>80</v>
      </c>
      <c r="J317" s="5">
        <f>VLOOKUP(C317,'Master File June-26'!C:J,8,0)</f>
        <v>14</v>
      </c>
      <c r="K317" s="23">
        <f t="shared" si="16"/>
        <v>44.800000000000004</v>
      </c>
      <c r="L317" s="58">
        <f>VLOOKUP(C317,'Master File June-26'!C:L,10,0)</f>
        <v>0</v>
      </c>
      <c r="M317" s="24">
        <f t="shared" si="17"/>
        <v>0</v>
      </c>
      <c r="N317" s="25" t="str">
        <f t="shared" si="18"/>
        <v>ORDER NOW</v>
      </c>
      <c r="O317" s="25" t="str">
        <f t="shared" si="19"/>
        <v>CRITICAL</v>
      </c>
      <c r="Q317" s="87">
        <f>VLOOKUP(C317,'Master File June-26'!$C$3:$S$670,17,0)</f>
        <v>46113.430914351855</v>
      </c>
    </row>
    <row r="318" spans="1:17" ht="18.75" hidden="1" x14ac:dyDescent="0.25">
      <c r="A318" s="39">
        <v>274</v>
      </c>
      <c r="B318" s="39" t="s">
        <v>239</v>
      </c>
      <c r="C318" s="39" t="s">
        <v>1124</v>
      </c>
      <c r="D318" s="34" t="s">
        <v>1125</v>
      </c>
      <c r="E318" s="31" t="s">
        <v>78</v>
      </c>
      <c r="F318" s="5" t="s">
        <v>49</v>
      </c>
      <c r="G318" s="21">
        <v>1</v>
      </c>
      <c r="H318" s="22">
        <f>VLOOKUP(C318,'Master File June-26'!$C$3:$I$670,6,0)</f>
        <v>19</v>
      </c>
      <c r="I318" s="22">
        <f>VLOOKUP(C318,'Master File June-26'!$C$3:$I$670,7,0)</f>
        <v>19</v>
      </c>
      <c r="J318" s="5">
        <f>VLOOKUP(C318,'Master File June-26'!C:J,8,0)</f>
        <v>14</v>
      </c>
      <c r="K318" s="23">
        <f t="shared" si="16"/>
        <v>10.64</v>
      </c>
      <c r="L318" s="58">
        <f>VLOOKUP(C318,'Master File June-26'!C:L,10,0)</f>
        <v>4</v>
      </c>
      <c r="M318" s="24">
        <f t="shared" si="17"/>
        <v>6.3157894736842106</v>
      </c>
      <c r="N318" s="25" t="str">
        <f t="shared" si="18"/>
        <v>ORDER NOW</v>
      </c>
      <c r="O318" s="25" t="str">
        <f t="shared" si="19"/>
        <v>CRITICAL</v>
      </c>
      <c r="Q318" s="87" t="e">
        <f>VLOOKUP(C318,[2]Sheet1!$C$3:$P$524,14,0)</f>
        <v>#N/A</v>
      </c>
    </row>
    <row r="319" spans="1:17" ht="18.75" hidden="1" x14ac:dyDescent="0.25">
      <c r="A319" s="39">
        <v>209</v>
      </c>
      <c r="B319" s="39" t="s">
        <v>157</v>
      </c>
      <c r="C319" s="39" t="s">
        <v>1230</v>
      </c>
      <c r="D319" s="28" t="s">
        <v>1231</v>
      </c>
      <c r="E319" s="27" t="s">
        <v>160</v>
      </c>
      <c r="F319" s="5" t="s">
        <v>49</v>
      </c>
      <c r="G319" s="21">
        <v>1</v>
      </c>
      <c r="H319" s="22">
        <v>44</v>
      </c>
      <c r="I319" s="22">
        <f>H319/G319</f>
        <v>44</v>
      </c>
      <c r="J319" s="5">
        <f>VLOOKUP(C319,'Master File June-26'!C:J,8,0)</f>
        <v>14</v>
      </c>
      <c r="K319" s="23">
        <f t="shared" si="16"/>
        <v>24.64</v>
      </c>
      <c r="L319" s="58">
        <f>VLOOKUP(C319,'Master File June-26'!C:L,10,0)</f>
        <v>0</v>
      </c>
      <c r="M319" s="24">
        <f t="shared" si="17"/>
        <v>0</v>
      </c>
      <c r="N319" s="25" t="str">
        <f t="shared" si="18"/>
        <v>ORDER NOW</v>
      </c>
      <c r="O319" s="25" t="str">
        <f t="shared" si="19"/>
        <v>CRITICAL</v>
      </c>
      <c r="Q319" s="87" t="e">
        <f>VLOOKUP(C319,[2]Sheet1!$C$3:$P$524,14,0)</f>
        <v>#N/A</v>
      </c>
    </row>
    <row r="320" spans="1:17" ht="18.75" hidden="1" x14ac:dyDescent="0.25">
      <c r="A320" s="41">
        <v>424</v>
      </c>
      <c r="B320" s="41" t="s">
        <v>38</v>
      </c>
      <c r="C320" s="41" t="s">
        <v>1252</v>
      </c>
      <c r="D320" s="28" t="s">
        <v>1253</v>
      </c>
      <c r="E320" s="27" t="s">
        <v>1059</v>
      </c>
      <c r="F320" s="5" t="s">
        <v>54</v>
      </c>
      <c r="G320" s="21">
        <v>0.04</v>
      </c>
      <c r="H320" s="22">
        <f>VLOOKUP(C320,'Master File June-26'!$C$3:$I$670,6,0)</f>
        <v>25</v>
      </c>
      <c r="I320" s="22">
        <f>VLOOKUP(C320,'Master File June-26'!$C$3:$I$670,7,0)</f>
        <v>625</v>
      </c>
      <c r="J320" s="5">
        <f>VLOOKUP(C320,'Master File June-26'!C:J,8,0)</f>
        <v>14</v>
      </c>
      <c r="K320" s="23">
        <f t="shared" si="16"/>
        <v>350.00000000000006</v>
      </c>
      <c r="L320" s="58">
        <f>VLOOKUP(C320,'Master File June-26'!C:L,10,0)</f>
        <v>0</v>
      </c>
      <c r="M320" s="24">
        <f t="shared" si="17"/>
        <v>0</v>
      </c>
      <c r="N320" s="25" t="str">
        <f t="shared" si="18"/>
        <v>ORDER NOW</v>
      </c>
      <c r="O320" s="25" t="str">
        <f t="shared" si="19"/>
        <v>CRITICAL</v>
      </c>
      <c r="Q320" s="87">
        <f>VLOOKUP(C320,'Master File June-26'!$C$3:$S$670,17,0)</f>
        <v>46131.518854166665</v>
      </c>
    </row>
    <row r="321" spans="1:17" ht="18.75" hidden="1" x14ac:dyDescent="0.25">
      <c r="A321" s="41">
        <v>400</v>
      </c>
      <c r="B321" s="41" t="s">
        <v>85</v>
      </c>
      <c r="C321" s="41" t="s">
        <v>868</v>
      </c>
      <c r="D321" s="28" t="s">
        <v>869</v>
      </c>
      <c r="E321" s="27" t="s">
        <v>870</v>
      </c>
      <c r="F321" s="5" t="s">
        <v>22</v>
      </c>
      <c r="G321" s="21">
        <v>5.2476910159529801E-2</v>
      </c>
      <c r="H321" s="22">
        <f>VLOOKUP(C321,'Master File June-26'!$C$3:$I$670,6,0)</f>
        <v>300</v>
      </c>
      <c r="I321" s="22">
        <f>VLOOKUP(C321,'Master File June-26'!$C$3:$I$670,7,0)</f>
        <v>5716.8000000000011</v>
      </c>
      <c r="J321" s="5">
        <f>VLOOKUP(C321,'Master File June-26'!C:J,8,0)</f>
        <v>14</v>
      </c>
      <c r="K321" s="23">
        <f t="shared" si="16"/>
        <v>3201.4080000000008</v>
      </c>
      <c r="L321" s="58">
        <f>VLOOKUP(C321,'Master File June-26'!C:L,10,0)</f>
        <v>0</v>
      </c>
      <c r="M321" s="24">
        <f t="shared" si="17"/>
        <v>0</v>
      </c>
      <c r="N321" s="25" t="str">
        <f t="shared" si="18"/>
        <v>ORDER NOW</v>
      </c>
      <c r="O321" s="25" t="str">
        <f t="shared" si="19"/>
        <v>CRITICAL</v>
      </c>
      <c r="Q321" s="87">
        <f>VLOOKUP(C321,'Master File June-26'!$C$3:$S$670,17,0)</f>
        <v>46141.525983796295</v>
      </c>
    </row>
    <row r="322" spans="1:17" ht="18.75" hidden="1" x14ac:dyDescent="0.25">
      <c r="A322" s="19">
        <v>85</v>
      </c>
      <c r="B322" s="19" t="s">
        <v>18</v>
      </c>
      <c r="C322" s="19" t="s">
        <v>848</v>
      </c>
      <c r="D322" s="28" t="s">
        <v>849</v>
      </c>
      <c r="E322" s="27" t="s">
        <v>850</v>
      </c>
      <c r="F322" s="5" t="s">
        <v>22</v>
      </c>
      <c r="G322" s="21">
        <f>1/100</f>
        <v>0.01</v>
      </c>
      <c r="H322" s="22">
        <f>VLOOKUP(C322,'Master File June-26'!$C$3:$I$670,6,0)</f>
        <v>160</v>
      </c>
      <c r="I322" s="22">
        <f>VLOOKUP(C322,'Master File June-26'!$C$3:$I$670,7,0)</f>
        <v>16000</v>
      </c>
      <c r="J322" s="5">
        <f>VLOOKUP(C322,'Master File June-26'!C:J,8,0)</f>
        <v>14</v>
      </c>
      <c r="K322" s="23">
        <f t="shared" si="16"/>
        <v>8960</v>
      </c>
      <c r="L322" s="58">
        <f>VLOOKUP(C322,'Master File June-26'!C:L,10,0)</f>
        <v>2310</v>
      </c>
      <c r="M322" s="24">
        <f t="shared" si="17"/>
        <v>4.3312499999999998</v>
      </c>
      <c r="N322" s="25" t="str">
        <f t="shared" si="18"/>
        <v>ORDER NOW</v>
      </c>
      <c r="O322" s="25" t="str">
        <f t="shared" si="19"/>
        <v>CRITICAL</v>
      </c>
      <c r="P322" t="s">
        <v>30</v>
      </c>
      <c r="Q322" s="87">
        <f>VLOOKUP(C322,'Master File June-26'!$C$3:$S$670,17,0)</f>
        <v>46141.525671296295</v>
      </c>
    </row>
    <row r="323" spans="1:17" ht="18.75" hidden="1" x14ac:dyDescent="0.25">
      <c r="A323" s="19">
        <v>119</v>
      </c>
      <c r="B323" s="19" t="s">
        <v>18</v>
      </c>
      <c r="C323" s="19" t="s">
        <v>685</v>
      </c>
      <c r="D323" s="28" t="s">
        <v>686</v>
      </c>
      <c r="E323" s="27" t="s">
        <v>191</v>
      </c>
      <c r="F323" s="5" t="s">
        <v>687</v>
      </c>
      <c r="G323" s="21">
        <v>1E-3</v>
      </c>
      <c r="H323" s="22">
        <v>3</v>
      </c>
      <c r="I323" s="22">
        <f>H323/G323</f>
        <v>3000</v>
      </c>
      <c r="J323" s="5">
        <f>VLOOKUP(C323,'Master File June-26'!C:J,8,0)</f>
        <v>14</v>
      </c>
      <c r="K323" s="23">
        <f t="shared" ref="K323:K386" si="20">I323*(J323/25)</f>
        <v>1680.0000000000002</v>
      </c>
      <c r="L323" s="58">
        <f>VLOOKUP(C323,'Master File June-26'!C:L,10,0)</f>
        <v>0</v>
      </c>
      <c r="M323" s="24">
        <f t="shared" ref="M323:M386" si="21">IFERROR((L323/I323*30),0)</f>
        <v>0</v>
      </c>
      <c r="N323" s="25" t="str">
        <f t="shared" ref="N323:N386" si="22">IF(M323&lt;J323,"ORDER NOW","IN STOCK")</f>
        <v>ORDER NOW</v>
      </c>
      <c r="O323" s="25" t="str">
        <f t="shared" ref="O323:O386" si="23">IF(M323&lt;J323,"CRITICAL","FOLLOW UP DELIVERY")</f>
        <v>CRITICAL</v>
      </c>
      <c r="P323" t="s">
        <v>30</v>
      </c>
      <c r="Q323" s="87">
        <f>VLOOKUP(C323,'Master File June-26'!$C$3:$S$670,17,0)</f>
        <v>46138.481435185182</v>
      </c>
    </row>
    <row r="324" spans="1:17" ht="18.75" hidden="1" x14ac:dyDescent="0.25">
      <c r="A324" s="39">
        <v>201</v>
      </c>
      <c r="B324" s="39" t="s">
        <v>239</v>
      </c>
      <c r="C324" s="39" t="s">
        <v>1337</v>
      </c>
      <c r="D324" s="28" t="s">
        <v>1338</v>
      </c>
      <c r="E324" s="27" t="s">
        <v>160</v>
      </c>
      <c r="F324" s="5" t="s">
        <v>49</v>
      </c>
      <c r="G324" s="21">
        <v>1</v>
      </c>
      <c r="H324" s="22">
        <v>35.5</v>
      </c>
      <c r="I324" s="22">
        <f>H324/G324</f>
        <v>35.5</v>
      </c>
      <c r="J324" s="5">
        <f>VLOOKUP(C324,'Master File June-26'!C:J,8,0)</f>
        <v>14</v>
      </c>
      <c r="K324" s="23">
        <f t="shared" si="20"/>
        <v>19.880000000000003</v>
      </c>
      <c r="L324" s="58">
        <f>VLOOKUP(C324,'Master File June-26'!C:L,10,0)</f>
        <v>0</v>
      </c>
      <c r="M324" s="24">
        <f t="shared" si="21"/>
        <v>0</v>
      </c>
      <c r="N324" s="25" t="str">
        <f t="shared" si="22"/>
        <v>ORDER NOW</v>
      </c>
      <c r="O324" s="25" t="str">
        <f t="shared" si="23"/>
        <v>CRITICAL</v>
      </c>
      <c r="Q324" s="87" t="e">
        <f>VLOOKUP(C324,[2]Sheet1!$C$3:$P$524,14,0)</f>
        <v>#N/A</v>
      </c>
    </row>
    <row r="325" spans="1:17" ht="18.75" hidden="1" x14ac:dyDescent="0.25">
      <c r="A325" s="41">
        <v>388</v>
      </c>
      <c r="B325" s="41" t="s">
        <v>85</v>
      </c>
      <c r="C325" s="41" t="s">
        <v>1269</v>
      </c>
      <c r="D325" s="28" t="s">
        <v>1270</v>
      </c>
      <c r="E325" s="27" t="s">
        <v>1271</v>
      </c>
      <c r="F325" s="5" t="s">
        <v>22</v>
      </c>
      <c r="G325" s="21">
        <v>0.42735042735042739</v>
      </c>
      <c r="H325" s="22">
        <v>36</v>
      </c>
      <c r="I325" s="22">
        <f>H325/G325</f>
        <v>84.24</v>
      </c>
      <c r="J325" s="5">
        <f>VLOOKUP(C325,'Master File June-26'!C:J,8,0)</f>
        <v>14</v>
      </c>
      <c r="K325" s="23">
        <f t="shared" si="20"/>
        <v>47.174399999999999</v>
      </c>
      <c r="L325" s="58">
        <f>VLOOKUP(C325,'Master File June-26'!C:L,10,0)</f>
        <v>7.02</v>
      </c>
      <c r="M325" s="24">
        <f t="shared" si="21"/>
        <v>2.5</v>
      </c>
      <c r="N325" s="25" t="str">
        <f t="shared" si="22"/>
        <v>ORDER NOW</v>
      </c>
      <c r="O325" s="25" t="str">
        <f t="shared" si="23"/>
        <v>CRITICAL</v>
      </c>
      <c r="Q325" s="87" t="e">
        <f>VLOOKUP(C325,[2]Sheet1!$C$3:$P$524,14,0)</f>
        <v>#N/A</v>
      </c>
    </row>
    <row r="326" spans="1:17" ht="18.75" hidden="1" x14ac:dyDescent="0.25">
      <c r="A326" s="41">
        <v>407</v>
      </c>
      <c r="B326" s="41" t="s">
        <v>38</v>
      </c>
      <c r="C326" s="41" t="s">
        <v>1365</v>
      </c>
      <c r="D326" s="30" t="s">
        <v>1366</v>
      </c>
      <c r="E326" s="27" t="s">
        <v>1367</v>
      </c>
      <c r="F326" s="5" t="s">
        <v>22</v>
      </c>
      <c r="G326" s="21">
        <v>2E-3</v>
      </c>
      <c r="H326" s="22">
        <v>40</v>
      </c>
      <c r="I326" s="22">
        <f>H326/G326</f>
        <v>20000</v>
      </c>
      <c r="J326" s="5">
        <f>VLOOKUP(C326,'Master File June-26'!C:J,8,0)</f>
        <v>14</v>
      </c>
      <c r="K326" s="23">
        <f t="shared" si="20"/>
        <v>11200.000000000002</v>
      </c>
      <c r="L326" s="58">
        <f>VLOOKUP(C326,'Master File June-26'!C:L,10,0)</f>
        <v>57200</v>
      </c>
      <c r="M326" s="24">
        <f t="shared" si="21"/>
        <v>85.8</v>
      </c>
      <c r="N326" s="25" t="str">
        <f t="shared" si="22"/>
        <v>IN STOCK</v>
      </c>
      <c r="O326" s="25" t="str">
        <f t="shared" si="23"/>
        <v>FOLLOW UP DELIVERY</v>
      </c>
      <c r="Q326" s="87" t="e">
        <f>VLOOKUP(C326,[2]Sheet1!$C$3:$P$524,14,0)</f>
        <v>#N/A</v>
      </c>
    </row>
    <row r="327" spans="1:17" ht="18.75" hidden="1" x14ac:dyDescent="0.25">
      <c r="A327" s="19">
        <v>135</v>
      </c>
      <c r="B327" s="19" t="s">
        <v>18</v>
      </c>
      <c r="C327" s="19" t="s">
        <v>1371</v>
      </c>
      <c r="D327" s="28" t="s">
        <v>1372</v>
      </c>
      <c r="E327" s="27" t="s">
        <v>25</v>
      </c>
      <c r="F327" s="5" t="s">
        <v>22</v>
      </c>
      <c r="G327" s="21">
        <v>2E-3</v>
      </c>
      <c r="H327" s="22">
        <v>7</v>
      </c>
      <c r="I327" s="22">
        <f>H327/G327</f>
        <v>3500</v>
      </c>
      <c r="J327" s="5">
        <f>VLOOKUP(C327,'Master File June-26'!C:J,8,0)</f>
        <v>14</v>
      </c>
      <c r="K327" s="23">
        <f t="shared" si="20"/>
        <v>1960.0000000000002</v>
      </c>
      <c r="L327" s="58">
        <f>VLOOKUP(C327,'Master File June-26'!C:L,10,0)</f>
        <v>5</v>
      </c>
      <c r="M327" s="24">
        <f t="shared" si="21"/>
        <v>4.2857142857142858E-2</v>
      </c>
      <c r="N327" s="25" t="str">
        <f t="shared" si="22"/>
        <v>ORDER NOW</v>
      </c>
      <c r="O327" s="25" t="str">
        <f t="shared" si="23"/>
        <v>CRITICAL</v>
      </c>
      <c r="P327" t="s">
        <v>30</v>
      </c>
      <c r="Q327" s="87" t="e">
        <f>VLOOKUP(C327,[2]Sheet1!$C$3:$P$524,14,0)</f>
        <v>#N/A</v>
      </c>
    </row>
    <row r="328" spans="1:17" ht="18.75" hidden="1" x14ac:dyDescent="0.25">
      <c r="A328" s="41">
        <v>374</v>
      </c>
      <c r="B328" s="41" t="s">
        <v>85</v>
      </c>
      <c r="C328" s="41" t="s">
        <v>1401</v>
      </c>
      <c r="D328" s="28" t="s">
        <v>1402</v>
      </c>
      <c r="E328" s="27" t="s">
        <v>101</v>
      </c>
      <c r="F328" s="5" t="s">
        <v>22</v>
      </c>
      <c r="G328" s="21">
        <v>0.16666666666666666</v>
      </c>
      <c r="H328" s="22">
        <f>VLOOKUP(C328,'Master File June-26'!$C$3:$I$670,6,0)</f>
        <v>8</v>
      </c>
      <c r="I328" s="22">
        <f>VLOOKUP(C328,'Master File June-26'!$C$3:$I$670,7,0)</f>
        <v>48</v>
      </c>
      <c r="J328" s="5">
        <f>VLOOKUP(C328,'Master File June-26'!C:J,8,0)</f>
        <v>14</v>
      </c>
      <c r="K328" s="23">
        <f t="shared" si="20"/>
        <v>26.880000000000003</v>
      </c>
      <c r="L328" s="58">
        <f>VLOOKUP(C328,'Master File June-26'!C:L,10,0)</f>
        <v>17</v>
      </c>
      <c r="M328" s="24">
        <f t="shared" si="21"/>
        <v>10.625</v>
      </c>
      <c r="N328" s="25" t="str">
        <f t="shared" si="22"/>
        <v>ORDER NOW</v>
      </c>
      <c r="O328" s="25" t="str">
        <f t="shared" si="23"/>
        <v>CRITICAL</v>
      </c>
      <c r="Q328" s="87">
        <f>VLOOKUP(C328,'Master File June-26'!$C$3:$S$670,17,0)</f>
        <v>46131.519571759258</v>
      </c>
    </row>
    <row r="329" spans="1:17" ht="18.75" hidden="1" x14ac:dyDescent="0.25">
      <c r="A329" s="39">
        <v>255</v>
      </c>
      <c r="B329" s="39" t="s">
        <v>157</v>
      </c>
      <c r="C329" s="39" t="s">
        <v>1039</v>
      </c>
      <c r="D329" s="28" t="s">
        <v>1040</v>
      </c>
      <c r="E329" s="27" t="s">
        <v>1041</v>
      </c>
      <c r="F329" s="5" t="s">
        <v>22</v>
      </c>
      <c r="G329" s="21">
        <v>5.0000000000000001E-4</v>
      </c>
      <c r="H329" s="22">
        <v>125</v>
      </c>
      <c r="I329" s="22">
        <f>H329/G329</f>
        <v>250000</v>
      </c>
      <c r="J329" s="5">
        <f>VLOOKUP(C329,'Master File June-26'!C:J,8,0)</f>
        <v>14</v>
      </c>
      <c r="K329" s="23">
        <f t="shared" si="20"/>
        <v>140000</v>
      </c>
      <c r="L329" s="58">
        <f>VLOOKUP(C329,'Master File June-26'!C:L,10,0)</f>
        <v>180</v>
      </c>
      <c r="M329" s="24">
        <f t="shared" si="21"/>
        <v>2.1600000000000001E-2</v>
      </c>
      <c r="N329" s="25" t="str">
        <f t="shared" si="22"/>
        <v>ORDER NOW</v>
      </c>
      <c r="O329" s="25" t="str">
        <f t="shared" si="23"/>
        <v>CRITICAL</v>
      </c>
      <c r="Q329" s="87" t="e">
        <f>VLOOKUP(C329,[2]Sheet1!$C$3:$P$524,14,0)</f>
        <v>#N/A</v>
      </c>
    </row>
    <row r="330" spans="1:17" ht="18.75" hidden="1" x14ac:dyDescent="0.25">
      <c r="A330" s="39">
        <v>200</v>
      </c>
      <c r="B330" s="39" t="s">
        <v>239</v>
      </c>
      <c r="C330" s="39" t="s">
        <v>739</v>
      </c>
      <c r="D330" s="28" t="s">
        <v>740</v>
      </c>
      <c r="E330" s="27" t="s">
        <v>78</v>
      </c>
      <c r="F330" s="5" t="s">
        <v>49</v>
      </c>
      <c r="G330" s="21">
        <v>1</v>
      </c>
      <c r="H330" s="22">
        <f>VLOOKUP(C330,'Master File June-26'!$C$3:$I$670,6,0)</f>
        <v>170</v>
      </c>
      <c r="I330" s="22">
        <f>VLOOKUP(C330,'Master File June-26'!$C$3:$I$670,7,0)</f>
        <v>170</v>
      </c>
      <c r="J330" s="5">
        <f>VLOOKUP(C330,'Master File June-26'!C:J,8,0)</f>
        <v>14</v>
      </c>
      <c r="K330" s="23">
        <f t="shared" si="20"/>
        <v>95.2</v>
      </c>
      <c r="L330" s="58">
        <f>VLOOKUP(C330,'Master File June-26'!C:L,10,0)</f>
        <v>18</v>
      </c>
      <c r="M330" s="24">
        <f t="shared" si="21"/>
        <v>3.1764705882352939</v>
      </c>
      <c r="N330" s="25" t="str">
        <f t="shared" si="22"/>
        <v>ORDER NOW</v>
      </c>
      <c r="O330" s="25" t="str">
        <f t="shared" si="23"/>
        <v>CRITICAL</v>
      </c>
      <c r="Q330" s="87">
        <f>VLOOKUP(C330,'Master File June-26'!$C$3:$S$670,17,0)</f>
        <v>46128.694930555554</v>
      </c>
    </row>
    <row r="331" spans="1:17" ht="18.75" hidden="1" x14ac:dyDescent="0.25">
      <c r="A331" s="19">
        <v>64</v>
      </c>
      <c r="B331" s="19" t="s">
        <v>18</v>
      </c>
      <c r="C331" s="19" t="s">
        <v>43</v>
      </c>
      <c r="D331" s="30" t="s">
        <v>44</v>
      </c>
      <c r="E331" s="29" t="s">
        <v>45</v>
      </c>
      <c r="F331" s="5" t="s">
        <v>46</v>
      </c>
      <c r="G331" s="21">
        <v>2E-3</v>
      </c>
      <c r="H331" s="22">
        <f>VLOOKUP(C331,'Master File June-26'!$C$3:$I$670,6,0)</f>
        <v>5.5</v>
      </c>
      <c r="I331" s="22">
        <f>VLOOKUP(C331,'Master File June-26'!$C$3:$I$670,7,0)</f>
        <v>2750</v>
      </c>
      <c r="J331" s="5">
        <f>VLOOKUP(C331,'Master File June-26'!C:J,8,0)</f>
        <v>14</v>
      </c>
      <c r="K331" s="23">
        <f t="shared" si="20"/>
        <v>1540.0000000000002</v>
      </c>
      <c r="L331" s="58">
        <f>VLOOKUP(C331,'Master File June-26'!C:L,10,0)</f>
        <v>0</v>
      </c>
      <c r="M331" s="24">
        <f t="shared" si="21"/>
        <v>0</v>
      </c>
      <c r="N331" s="25" t="str">
        <f t="shared" si="22"/>
        <v>ORDER NOW</v>
      </c>
      <c r="O331" s="25" t="str">
        <f t="shared" si="23"/>
        <v>CRITICAL</v>
      </c>
      <c r="P331" t="s">
        <v>30</v>
      </c>
      <c r="Q331" s="87">
        <f>VLOOKUP(C331,'Master File June-26'!$C$3:$S$670,17,0)</f>
        <v>46141.52511574074</v>
      </c>
    </row>
    <row r="332" spans="1:17" ht="18.75" hidden="1" x14ac:dyDescent="0.25">
      <c r="A332" s="19">
        <v>82</v>
      </c>
      <c r="B332" s="19" t="s">
        <v>18</v>
      </c>
      <c r="C332" s="19" t="s">
        <v>967</v>
      </c>
      <c r="D332" s="28" t="s">
        <v>968</v>
      </c>
      <c r="E332" s="27" t="s">
        <v>186</v>
      </c>
      <c r="F332" s="5" t="s">
        <v>22</v>
      </c>
      <c r="G332" s="21">
        <v>2E-3</v>
      </c>
      <c r="H332" s="22">
        <f>VLOOKUP(C332,'Master File June-26'!$C$3:$I$670,6,0)</f>
        <v>400</v>
      </c>
      <c r="I332" s="22">
        <f>VLOOKUP(C332,'Master File June-26'!$C$3:$I$670,7,0)</f>
        <v>200000</v>
      </c>
      <c r="J332" s="5">
        <f>VLOOKUP(C332,'Master File June-26'!C:J,8,0)</f>
        <v>14</v>
      </c>
      <c r="K332" s="23">
        <f t="shared" si="20"/>
        <v>112000.00000000001</v>
      </c>
      <c r="L332" s="58">
        <f>VLOOKUP(C332,'Master File June-26'!C:L,10,0)</f>
        <v>53000</v>
      </c>
      <c r="M332" s="24">
        <f t="shared" si="21"/>
        <v>7.95</v>
      </c>
      <c r="N332" s="25" t="str">
        <f t="shared" si="22"/>
        <v>ORDER NOW</v>
      </c>
      <c r="O332" s="25" t="str">
        <f t="shared" si="23"/>
        <v>CRITICAL</v>
      </c>
      <c r="P332" t="s">
        <v>30</v>
      </c>
      <c r="Q332" s="87" t="e">
        <f>VLOOKUP(C332,[2]Sheet1!$C$3:$P$524,14,0)</f>
        <v>#N/A</v>
      </c>
    </row>
    <row r="333" spans="1:17" ht="18.75" hidden="1" x14ac:dyDescent="0.25">
      <c r="A333" s="39">
        <v>237</v>
      </c>
      <c r="B333" s="39" t="s">
        <v>123</v>
      </c>
      <c r="C333" s="39" t="s">
        <v>1055</v>
      </c>
      <c r="D333" s="28" t="s">
        <v>1056</v>
      </c>
      <c r="E333" s="27" t="s">
        <v>706</v>
      </c>
      <c r="F333" s="5" t="s">
        <v>49</v>
      </c>
      <c r="G333" s="21">
        <v>0.2</v>
      </c>
      <c r="H333" s="22">
        <v>63</v>
      </c>
      <c r="I333" s="22">
        <f>H333/G333</f>
        <v>315</v>
      </c>
      <c r="J333" s="5">
        <f>VLOOKUP(C333,'Master File June-26'!C:J,8,0)</f>
        <v>14</v>
      </c>
      <c r="K333" s="23">
        <f t="shared" si="20"/>
        <v>176.4</v>
      </c>
      <c r="L333" s="58">
        <f>VLOOKUP(C333,'Master File June-26'!C:L,10,0)</f>
        <v>19</v>
      </c>
      <c r="M333" s="24">
        <f t="shared" si="21"/>
        <v>1.8095238095238095</v>
      </c>
      <c r="N333" s="25" t="str">
        <f t="shared" si="22"/>
        <v>ORDER NOW</v>
      </c>
      <c r="O333" s="25" t="str">
        <f t="shared" si="23"/>
        <v>CRITICAL</v>
      </c>
      <c r="Q333" s="87" t="e">
        <f>VLOOKUP(C333,[2]Sheet1!$C$3:$P$524,14,0)</f>
        <v>#N/A</v>
      </c>
    </row>
    <row r="334" spans="1:17" ht="18.75" hidden="1" x14ac:dyDescent="0.25">
      <c r="A334" s="41">
        <v>446</v>
      </c>
      <c r="B334" s="41" t="s">
        <v>61</v>
      </c>
      <c r="C334" s="41" t="s">
        <v>430</v>
      </c>
      <c r="D334" s="28" t="s">
        <v>431</v>
      </c>
      <c r="E334" s="27" t="s">
        <v>429</v>
      </c>
      <c r="F334" s="5" t="s">
        <v>22</v>
      </c>
      <c r="G334" s="21">
        <v>0.25</v>
      </c>
      <c r="H334" s="22">
        <f>VLOOKUP(C334,'Master File June-26'!$C$3:$I$670,6,0)</f>
        <v>2400</v>
      </c>
      <c r="I334" s="22">
        <f>VLOOKUP(C334,'Master File June-26'!$C$3:$I$670,7,0)</f>
        <v>9600</v>
      </c>
      <c r="J334" s="5">
        <f>VLOOKUP(C334,'Master File June-26'!C:J,8,0)</f>
        <v>14</v>
      </c>
      <c r="K334" s="23">
        <f t="shared" si="20"/>
        <v>5376.0000000000009</v>
      </c>
      <c r="L334" s="58">
        <f>VLOOKUP(C334,'Master File June-26'!C:L,10,0)</f>
        <v>600</v>
      </c>
      <c r="M334" s="24">
        <f t="shared" si="21"/>
        <v>1.875</v>
      </c>
      <c r="N334" s="25" t="str">
        <f t="shared" si="22"/>
        <v>ORDER NOW</v>
      </c>
      <c r="O334" s="25" t="str">
        <f t="shared" si="23"/>
        <v>CRITICAL</v>
      </c>
      <c r="Q334" s="87">
        <f>VLOOKUP(C334,'Master File June-26'!$C$3:$S$670,17,0)</f>
        <v>46113.430925925924</v>
      </c>
    </row>
    <row r="335" spans="1:17" ht="18.75" hidden="1" x14ac:dyDescent="0.25">
      <c r="A335" s="19">
        <v>87</v>
      </c>
      <c r="B335" s="19" t="s">
        <v>18</v>
      </c>
      <c r="C335" s="19" t="s">
        <v>1147</v>
      </c>
      <c r="D335" s="28" t="s">
        <v>1148</v>
      </c>
      <c r="E335" s="27" t="s">
        <v>955</v>
      </c>
      <c r="F335" s="5" t="s">
        <v>22</v>
      </c>
      <c r="G335" s="21">
        <v>1.6260162601626016E-3</v>
      </c>
      <c r="H335" s="22">
        <v>96</v>
      </c>
      <c r="I335" s="22">
        <f>H335/G335</f>
        <v>59040</v>
      </c>
      <c r="J335" s="5">
        <f>VLOOKUP(C335,'Master File June-26'!C:J,8,0)</f>
        <v>14</v>
      </c>
      <c r="K335" s="23">
        <f t="shared" si="20"/>
        <v>33062.400000000001</v>
      </c>
      <c r="L335" s="58">
        <f>VLOOKUP(C335,'Master File June-26'!C:L,10,0)</f>
        <v>6895</v>
      </c>
      <c r="M335" s="24">
        <f t="shared" si="21"/>
        <v>3.5035569105691056</v>
      </c>
      <c r="N335" s="25" t="str">
        <f t="shared" si="22"/>
        <v>ORDER NOW</v>
      </c>
      <c r="O335" s="25" t="str">
        <f t="shared" si="23"/>
        <v>CRITICAL</v>
      </c>
      <c r="P335" t="s">
        <v>30</v>
      </c>
      <c r="Q335" s="87" t="e">
        <f>VLOOKUP(C335,[2]Sheet1!$C$3:$P$524,14,0)</f>
        <v>#N/A</v>
      </c>
    </row>
    <row r="336" spans="1:17" ht="18.75" hidden="1" x14ac:dyDescent="0.25">
      <c r="A336" s="41">
        <v>417</v>
      </c>
      <c r="B336" s="41" t="s">
        <v>38</v>
      </c>
      <c r="C336" s="41" t="s">
        <v>1211</v>
      </c>
      <c r="D336" s="28" t="s">
        <v>1212</v>
      </c>
      <c r="E336" s="27" t="s">
        <v>482</v>
      </c>
      <c r="F336" s="5" t="s">
        <v>54</v>
      </c>
      <c r="G336" s="21">
        <v>6.6666666666666666E-2</v>
      </c>
      <c r="H336" s="22">
        <v>2</v>
      </c>
      <c r="I336" s="22">
        <f>H336/G336</f>
        <v>30</v>
      </c>
      <c r="J336" s="5">
        <f>VLOOKUP(C336,'Master File June-26'!C:J,8,0)</f>
        <v>14</v>
      </c>
      <c r="K336" s="23">
        <f t="shared" si="20"/>
        <v>16.8</v>
      </c>
      <c r="L336" s="58">
        <f>VLOOKUP(C336,'Master File June-26'!C:L,10,0)</f>
        <v>0</v>
      </c>
      <c r="M336" s="24">
        <f t="shared" si="21"/>
        <v>0</v>
      </c>
      <c r="N336" s="25" t="str">
        <f t="shared" si="22"/>
        <v>ORDER NOW</v>
      </c>
      <c r="O336" s="25" t="str">
        <f t="shared" si="23"/>
        <v>CRITICAL</v>
      </c>
      <c r="Q336" s="87" t="e">
        <f>VLOOKUP(C336,[2]Sheet1!$C$3:$P$524,14,0)</f>
        <v>#N/A</v>
      </c>
    </row>
    <row r="337" spans="1:17" ht="18.75" hidden="1" x14ac:dyDescent="0.25">
      <c r="A337" s="41">
        <v>425</v>
      </c>
      <c r="B337" s="41" t="s">
        <v>38</v>
      </c>
      <c r="C337" s="41" t="s">
        <v>1078</v>
      </c>
      <c r="D337" s="28" t="s">
        <v>1079</v>
      </c>
      <c r="E337" s="27" t="s">
        <v>1080</v>
      </c>
      <c r="F337" s="5" t="s">
        <v>22</v>
      </c>
      <c r="G337" s="21">
        <f>1/1000</f>
        <v>1E-3</v>
      </c>
      <c r="H337" s="22">
        <f>VLOOKUP(C337,'Master File June-26'!$C$3:$I$670,6,0)</f>
        <v>5</v>
      </c>
      <c r="I337" s="22">
        <f>VLOOKUP(C337,'Master File June-26'!$C$3:$I$670,7,0)</f>
        <v>50</v>
      </c>
      <c r="J337" s="5">
        <f>VLOOKUP(C337,'Master File June-26'!C:J,8,0)</f>
        <v>14</v>
      </c>
      <c r="K337" s="23">
        <f t="shared" si="20"/>
        <v>28.000000000000004</v>
      </c>
      <c r="L337" s="58">
        <f>VLOOKUP(C337,'Master File June-26'!C:L,10,0)</f>
        <v>0</v>
      </c>
      <c r="M337" s="24">
        <f t="shared" si="21"/>
        <v>0</v>
      </c>
      <c r="N337" s="25" t="str">
        <f t="shared" si="22"/>
        <v>ORDER NOW</v>
      </c>
      <c r="O337" s="25" t="str">
        <f t="shared" si="23"/>
        <v>CRITICAL</v>
      </c>
      <c r="Q337" s="87">
        <f>VLOOKUP(C337,'Master File June-26'!$C$3:$S$670,17,0)</f>
        <v>46134.446527777778</v>
      </c>
    </row>
    <row r="338" spans="1:17" ht="18.75" hidden="1" x14ac:dyDescent="0.25">
      <c r="A338" s="41">
        <v>500</v>
      </c>
      <c r="B338" s="41" t="s">
        <v>38</v>
      </c>
      <c r="C338" s="41" t="s">
        <v>1131</v>
      </c>
      <c r="D338" s="28" t="s">
        <v>1132</v>
      </c>
      <c r="E338" s="27" t="s">
        <v>1133</v>
      </c>
      <c r="F338" s="5" t="s">
        <v>49</v>
      </c>
      <c r="G338" s="21">
        <v>1</v>
      </c>
      <c r="H338" s="22">
        <v>10</v>
      </c>
      <c r="I338" s="22">
        <f>H338/G338</f>
        <v>10</v>
      </c>
      <c r="J338" s="5">
        <f>VLOOKUP(C338,'Master File June-26'!C:J,8,0)</f>
        <v>14</v>
      </c>
      <c r="K338" s="23">
        <f t="shared" si="20"/>
        <v>5.6000000000000005</v>
      </c>
      <c r="L338" s="58">
        <f>VLOOKUP(C338,'Master File June-26'!C:L,10,0)</f>
        <v>0</v>
      </c>
      <c r="M338" s="24">
        <f t="shared" si="21"/>
        <v>0</v>
      </c>
      <c r="N338" s="25" t="str">
        <f t="shared" si="22"/>
        <v>ORDER NOW</v>
      </c>
      <c r="O338" s="25" t="str">
        <f t="shared" si="23"/>
        <v>CRITICAL</v>
      </c>
      <c r="Q338" s="87" t="e">
        <f>VLOOKUP(C338,[2]Sheet1!$C$3:$P$524,14,0)</f>
        <v>#N/A</v>
      </c>
    </row>
    <row r="339" spans="1:17" ht="18.75" hidden="1" x14ac:dyDescent="0.25">
      <c r="A339" s="39">
        <v>254</v>
      </c>
      <c r="B339" s="39" t="s">
        <v>157</v>
      </c>
      <c r="C339" s="39" t="s">
        <v>1044</v>
      </c>
      <c r="D339" s="28" t="s">
        <v>1045</v>
      </c>
      <c r="E339" s="27" t="s">
        <v>1046</v>
      </c>
      <c r="F339" s="5" t="s">
        <v>22</v>
      </c>
      <c r="G339" s="21">
        <v>1E-3</v>
      </c>
      <c r="H339" s="22">
        <v>86</v>
      </c>
      <c r="I339" s="22">
        <f>H339/G339</f>
        <v>86000</v>
      </c>
      <c r="J339" s="5">
        <f>VLOOKUP(C339,'Master File June-26'!C:J,8,0)</f>
        <v>14</v>
      </c>
      <c r="K339" s="23">
        <f t="shared" si="20"/>
        <v>48160.000000000007</v>
      </c>
      <c r="L339" s="58">
        <f>VLOOKUP(C339,'Master File June-26'!C:L,10,0)</f>
        <v>100</v>
      </c>
      <c r="M339" s="24">
        <f t="shared" si="21"/>
        <v>3.4883720930232558E-2</v>
      </c>
      <c r="N339" s="25" t="str">
        <f t="shared" si="22"/>
        <v>ORDER NOW</v>
      </c>
      <c r="O339" s="25" t="str">
        <f t="shared" si="23"/>
        <v>CRITICAL</v>
      </c>
      <c r="Q339" s="87" t="e">
        <f>VLOOKUP(C339,[2]Sheet1!$C$3:$P$524,14,0)</f>
        <v>#N/A</v>
      </c>
    </row>
    <row r="340" spans="1:17" ht="18.75" hidden="1" x14ac:dyDescent="0.25">
      <c r="A340" s="19">
        <v>98</v>
      </c>
      <c r="B340" s="19" t="s">
        <v>18</v>
      </c>
      <c r="C340" s="19" t="s">
        <v>894</v>
      </c>
      <c r="D340" s="28" t="s">
        <v>895</v>
      </c>
      <c r="E340" s="27" t="s">
        <v>896</v>
      </c>
      <c r="F340" s="5" t="s">
        <v>22</v>
      </c>
      <c r="G340" s="21">
        <v>0.01</v>
      </c>
      <c r="H340" s="22">
        <f>VLOOKUP(C340,'Master File June-26'!$C$3:$I$670,6,0)</f>
        <v>250</v>
      </c>
      <c r="I340" s="22">
        <f>VLOOKUP(C340,'Master File June-26'!$C$3:$I$670,7,0)</f>
        <v>25000</v>
      </c>
      <c r="J340" s="5">
        <f>VLOOKUP(C340,'Master File June-26'!C:J,8,0)</f>
        <v>14</v>
      </c>
      <c r="K340" s="23">
        <f t="shared" si="20"/>
        <v>14000.000000000002</v>
      </c>
      <c r="L340" s="58">
        <f>VLOOKUP(C340,'Master File June-26'!C:L,10,0)</f>
        <v>550</v>
      </c>
      <c r="M340" s="24">
        <f t="shared" si="21"/>
        <v>0.65999999999999992</v>
      </c>
      <c r="N340" s="25" t="str">
        <f t="shared" si="22"/>
        <v>ORDER NOW</v>
      </c>
      <c r="O340" s="25" t="str">
        <f t="shared" si="23"/>
        <v>CRITICAL</v>
      </c>
      <c r="P340" t="s">
        <v>30</v>
      </c>
      <c r="Q340" s="87">
        <f>VLOOKUP(C340,'Master File June-26'!$C$3:$S$670,17,0)</f>
        <v>46128.695451388892</v>
      </c>
    </row>
    <row r="341" spans="1:17" ht="18.75" hidden="1" x14ac:dyDescent="0.25">
      <c r="A341" s="39">
        <v>191</v>
      </c>
      <c r="B341" s="39" t="s">
        <v>239</v>
      </c>
      <c r="C341" s="39" t="s">
        <v>1154</v>
      </c>
      <c r="D341" s="28" t="s">
        <v>1155</v>
      </c>
      <c r="E341" s="27" t="s">
        <v>78</v>
      </c>
      <c r="F341" s="5" t="s">
        <v>49</v>
      </c>
      <c r="G341" s="21">
        <v>1</v>
      </c>
      <c r="H341" s="22">
        <v>143</v>
      </c>
      <c r="I341" s="22">
        <f>H341/G341</f>
        <v>143</v>
      </c>
      <c r="J341" s="5">
        <f>VLOOKUP(C341,'Master File June-26'!C:J,8,0)</f>
        <v>14</v>
      </c>
      <c r="K341" s="23">
        <f t="shared" si="20"/>
        <v>80.080000000000013</v>
      </c>
      <c r="L341" s="58">
        <f>VLOOKUP(C341,'Master File June-26'!C:L,10,0)</f>
        <v>23</v>
      </c>
      <c r="M341" s="24">
        <f t="shared" si="21"/>
        <v>4.825174825174825</v>
      </c>
      <c r="N341" s="25" t="str">
        <f t="shared" si="22"/>
        <v>ORDER NOW</v>
      </c>
      <c r="O341" s="25" t="str">
        <f t="shared" si="23"/>
        <v>CRITICAL</v>
      </c>
      <c r="Q341" s="87" t="e">
        <f>VLOOKUP(C341,[2]Sheet1!$C$3:$P$524,14,0)</f>
        <v>#N/A</v>
      </c>
    </row>
    <row r="342" spans="1:17" ht="18.75" hidden="1" x14ac:dyDescent="0.25">
      <c r="A342" s="19">
        <v>179</v>
      </c>
      <c r="B342" s="19" t="s">
        <v>18</v>
      </c>
      <c r="C342" s="19" t="s">
        <v>727</v>
      </c>
      <c r="D342" s="30" t="s">
        <v>728</v>
      </c>
      <c r="E342" s="31" t="s">
        <v>49</v>
      </c>
      <c r="F342" s="5" t="s">
        <v>49</v>
      </c>
      <c r="G342" s="21">
        <v>1</v>
      </c>
      <c r="H342" s="22">
        <f>VLOOKUP(C342,'Master File June-26'!$C$3:$I$670,6,0)</f>
        <v>25000</v>
      </c>
      <c r="I342" s="22">
        <f>VLOOKUP(C342,'Master File June-26'!$C$3:$I$670,7,0)</f>
        <v>25000</v>
      </c>
      <c r="J342" s="5">
        <f>VLOOKUP(C342,'Master File June-26'!C:J,8,0)</f>
        <v>14</v>
      </c>
      <c r="K342" s="23">
        <f t="shared" si="20"/>
        <v>14000.000000000002</v>
      </c>
      <c r="L342" s="58">
        <f>VLOOKUP(C342,'Master File June-26'!C:L,10,0)</f>
        <v>2400</v>
      </c>
      <c r="M342" s="24">
        <f t="shared" si="21"/>
        <v>2.88</v>
      </c>
      <c r="N342" s="25" t="str">
        <f t="shared" si="22"/>
        <v>ORDER NOW</v>
      </c>
      <c r="O342" s="25" t="str">
        <f t="shared" si="23"/>
        <v>CRITICAL</v>
      </c>
      <c r="Q342" s="87">
        <f>VLOOKUP(C342,'Master File June-26'!$C$3:$S$670,17,0)</f>
        <v>46134.44636574074</v>
      </c>
    </row>
    <row r="343" spans="1:17" ht="18.75" hidden="1" x14ac:dyDescent="0.25">
      <c r="A343" s="19">
        <v>123</v>
      </c>
      <c r="B343" s="19" t="s">
        <v>18</v>
      </c>
      <c r="C343" s="19" t="s">
        <v>192</v>
      </c>
      <c r="D343" s="28" t="s">
        <v>193</v>
      </c>
      <c r="E343" s="27" t="s">
        <v>98</v>
      </c>
      <c r="F343" s="5" t="s">
        <v>46</v>
      </c>
      <c r="G343" s="21">
        <v>2E-3</v>
      </c>
      <c r="H343" s="22">
        <f>VLOOKUP(C343,'Master File June-26'!$C$3:$I$670,6,0)</f>
        <v>15</v>
      </c>
      <c r="I343" s="22">
        <f>VLOOKUP(C343,'Master File June-26'!$C$3:$I$670,7,0)</f>
        <v>7500</v>
      </c>
      <c r="J343" s="5">
        <f>VLOOKUP(C343,'Master File June-26'!C:J,8,0)</f>
        <v>14</v>
      </c>
      <c r="K343" s="23">
        <f t="shared" si="20"/>
        <v>4200</v>
      </c>
      <c r="L343" s="58">
        <f>VLOOKUP(C343,'Master File June-26'!C:L,10,0)</f>
        <v>0</v>
      </c>
      <c r="M343" s="24">
        <f t="shared" si="21"/>
        <v>0</v>
      </c>
      <c r="N343" s="25" t="str">
        <f t="shared" si="22"/>
        <v>ORDER NOW</v>
      </c>
      <c r="O343" s="25" t="str">
        <f t="shared" si="23"/>
        <v>CRITICAL</v>
      </c>
      <c r="P343" t="s">
        <v>30</v>
      </c>
      <c r="Q343" s="87">
        <f>VLOOKUP(C343,'Master File June-26'!$C$3:$S$670,17,0)</f>
        <v>46113.430891203701</v>
      </c>
    </row>
    <row r="344" spans="1:17" ht="18.75" hidden="1" x14ac:dyDescent="0.25">
      <c r="A344" s="19">
        <v>79</v>
      </c>
      <c r="B344" s="19" t="s">
        <v>18</v>
      </c>
      <c r="C344" s="19" t="s">
        <v>1099</v>
      </c>
      <c r="D344" s="57" t="s">
        <v>1100</v>
      </c>
      <c r="E344" s="27" t="s">
        <v>902</v>
      </c>
      <c r="F344" s="5" t="s">
        <v>22</v>
      </c>
      <c r="G344" s="21">
        <v>3.3333333333333332E-4</v>
      </c>
      <c r="H344" s="22">
        <v>32</v>
      </c>
      <c r="I344" s="22">
        <f>H344/G344</f>
        <v>96000</v>
      </c>
      <c r="J344" s="5">
        <f>VLOOKUP(C344,'Master File June-26'!C:J,8,0)</f>
        <v>14</v>
      </c>
      <c r="K344" s="23">
        <f t="shared" si="20"/>
        <v>53760.000000000007</v>
      </c>
      <c r="L344" s="58">
        <f>VLOOKUP(C344,'Master File June-26'!C:L,10,0)</f>
        <v>42000</v>
      </c>
      <c r="M344" s="24">
        <f t="shared" si="21"/>
        <v>13.125</v>
      </c>
      <c r="N344" s="25" t="str">
        <f t="shared" si="22"/>
        <v>ORDER NOW</v>
      </c>
      <c r="O344" s="25" t="str">
        <f t="shared" si="23"/>
        <v>CRITICAL</v>
      </c>
      <c r="P344" t="s">
        <v>30</v>
      </c>
      <c r="Q344" s="87" t="e">
        <f>VLOOKUP(C344,[2]Sheet1!$C$3:$P$524,14,0)</f>
        <v>#N/A</v>
      </c>
    </row>
    <row r="345" spans="1:17" ht="18.75" hidden="1" x14ac:dyDescent="0.25">
      <c r="A345" s="39">
        <v>210</v>
      </c>
      <c r="B345" s="39" t="s">
        <v>123</v>
      </c>
      <c r="C345" s="39" t="s">
        <v>721</v>
      </c>
      <c r="D345" s="28" t="s">
        <v>722</v>
      </c>
      <c r="E345" s="27" t="s">
        <v>254</v>
      </c>
      <c r="F345" s="5" t="s">
        <v>49</v>
      </c>
      <c r="G345" s="21">
        <v>1</v>
      </c>
      <c r="H345" s="22">
        <f>VLOOKUP(C345,'Master File June-26'!$C$3:$I$670,6,0)</f>
        <v>437.5</v>
      </c>
      <c r="I345" s="22">
        <f>VLOOKUP(C345,'Master File June-26'!$C$3:$I$670,7,0)</f>
        <v>437.5</v>
      </c>
      <c r="J345" s="5">
        <f>VLOOKUP(C345,'Master File June-26'!C:J,8,0)</f>
        <v>14</v>
      </c>
      <c r="K345" s="23">
        <f t="shared" si="20"/>
        <v>245.00000000000003</v>
      </c>
      <c r="L345" s="58">
        <f>VLOOKUP(C345,'Master File June-26'!C:L,10,0)</f>
        <v>104</v>
      </c>
      <c r="M345" s="24">
        <f t="shared" si="21"/>
        <v>7.1314285714285717</v>
      </c>
      <c r="N345" s="25" t="str">
        <f t="shared" si="22"/>
        <v>ORDER NOW</v>
      </c>
      <c r="O345" s="25" t="str">
        <f t="shared" si="23"/>
        <v>CRITICAL</v>
      </c>
      <c r="Q345" s="87">
        <f>VLOOKUP(C345,'Master File June-26'!$C$3:$S$670,17,0)</f>
        <v>46128.687615740739</v>
      </c>
    </row>
    <row r="346" spans="1:17" ht="18.75" hidden="1" x14ac:dyDescent="0.25">
      <c r="A346" s="41">
        <v>398</v>
      </c>
      <c r="B346" s="41" t="s">
        <v>38</v>
      </c>
      <c r="C346" s="41" t="s">
        <v>47</v>
      </c>
      <c r="D346" s="34" t="s">
        <v>48</v>
      </c>
      <c r="E346" s="31" t="s">
        <v>50</v>
      </c>
      <c r="F346" s="5" t="s">
        <v>22</v>
      </c>
      <c r="G346" s="21">
        <f>1/15</f>
        <v>6.6666666666666666E-2</v>
      </c>
      <c r="H346" s="22">
        <v>13</v>
      </c>
      <c r="I346" s="22">
        <f>H346/G346</f>
        <v>195</v>
      </c>
      <c r="J346" s="5">
        <f>VLOOKUP(C346,'Master File June-26'!C:J,8,0)</f>
        <v>14</v>
      </c>
      <c r="K346" s="23">
        <f t="shared" si="20"/>
        <v>109.20000000000002</v>
      </c>
      <c r="L346" s="58">
        <f>VLOOKUP(C346,'Master File June-26'!C:L,10,0)</f>
        <v>211.44</v>
      </c>
      <c r="M346" s="24">
        <f t="shared" si="21"/>
        <v>32.529230769230765</v>
      </c>
      <c r="N346" s="25" t="str">
        <f t="shared" si="22"/>
        <v>IN STOCK</v>
      </c>
      <c r="O346" s="25" t="str">
        <f t="shared" si="23"/>
        <v>FOLLOW UP DELIVERY</v>
      </c>
      <c r="Q346" s="87" t="e">
        <f>VLOOKUP(C346,[2]Sheet1!$C$3:$P$524,14,0)</f>
        <v>#N/A</v>
      </c>
    </row>
    <row r="347" spans="1:17" ht="18.75" hidden="1" x14ac:dyDescent="0.25">
      <c r="A347" s="19">
        <v>22</v>
      </c>
      <c r="B347" s="19" t="s">
        <v>18</v>
      </c>
      <c r="C347" s="19" t="s">
        <v>90</v>
      </c>
      <c r="D347" s="28" t="s">
        <v>91</v>
      </c>
      <c r="E347" s="27" t="s">
        <v>92</v>
      </c>
      <c r="F347" s="5" t="s">
        <v>22</v>
      </c>
      <c r="G347" s="21">
        <v>5.0000000000000001E-4</v>
      </c>
      <c r="H347" s="22">
        <f>VLOOKUP(C347,'Master File June-26'!$C$3:$I$670,6,0)</f>
        <v>145.5</v>
      </c>
      <c r="I347" s="22">
        <f>VLOOKUP(C347,'Master File June-26'!$C$3:$I$670,7,0)</f>
        <v>291000</v>
      </c>
      <c r="J347" s="5">
        <f>VLOOKUP(C347,'Master File June-26'!C:J,8,0)</f>
        <v>14</v>
      </c>
      <c r="K347" s="23">
        <f t="shared" si="20"/>
        <v>162960.00000000003</v>
      </c>
      <c r="L347" s="58">
        <f>VLOOKUP(C347,'Master File June-26'!C:L,10,0)</f>
        <v>65500</v>
      </c>
      <c r="M347" s="24">
        <f t="shared" si="21"/>
        <v>6.7525773195876289</v>
      </c>
      <c r="N347" s="25" t="str">
        <f t="shared" si="22"/>
        <v>ORDER NOW</v>
      </c>
      <c r="O347" s="25" t="str">
        <f t="shared" si="23"/>
        <v>CRITICAL</v>
      </c>
      <c r="P347" t="s">
        <v>30</v>
      </c>
      <c r="Q347" s="87">
        <f>VLOOKUP(C347,'Master File June-26'!$C$3:$S$670,17,0)</f>
        <v>46141.525659722225</v>
      </c>
    </row>
    <row r="348" spans="1:17" ht="18.75" hidden="1" x14ac:dyDescent="0.25">
      <c r="A348" s="41">
        <v>551</v>
      </c>
      <c r="B348" s="41" t="s">
        <v>38</v>
      </c>
      <c r="C348" s="41" t="s">
        <v>1386</v>
      </c>
      <c r="D348" s="40" t="s">
        <v>1387</v>
      </c>
      <c r="E348" s="31" t="s">
        <v>22</v>
      </c>
      <c r="F348" s="5" t="s">
        <v>22</v>
      </c>
      <c r="G348" s="21">
        <v>1</v>
      </c>
      <c r="H348" s="22">
        <v>2</v>
      </c>
      <c r="I348" s="22">
        <f>H348/G348</f>
        <v>2</v>
      </c>
      <c r="J348" s="5">
        <f>VLOOKUP(C348,'Master File June-26'!C:J,8,0)</f>
        <v>14</v>
      </c>
      <c r="K348" s="23">
        <f t="shared" si="20"/>
        <v>1.1200000000000001</v>
      </c>
      <c r="L348" s="58">
        <f>VLOOKUP(C348,'Master File June-26'!C:L,10,0)</f>
        <v>4.8</v>
      </c>
      <c r="M348" s="24">
        <f t="shared" si="21"/>
        <v>72</v>
      </c>
      <c r="N348" s="25" t="str">
        <f t="shared" si="22"/>
        <v>IN STOCK</v>
      </c>
      <c r="O348" s="25" t="str">
        <f t="shared" si="23"/>
        <v>FOLLOW UP DELIVERY</v>
      </c>
      <c r="Q348" s="87" t="e">
        <f>VLOOKUP(C348,[2]Sheet1!$C$3:$P$524,14,0)</f>
        <v>#N/A</v>
      </c>
    </row>
    <row r="349" spans="1:17" ht="18.75" hidden="1" x14ac:dyDescent="0.25">
      <c r="A349" s="41">
        <v>335</v>
      </c>
      <c r="B349" s="41" t="s">
        <v>38</v>
      </c>
      <c r="C349" s="41" t="s">
        <v>1381</v>
      </c>
      <c r="D349" s="28" t="s">
        <v>1382</v>
      </c>
      <c r="E349" s="27" t="s">
        <v>1383</v>
      </c>
      <c r="F349" s="5" t="s">
        <v>22</v>
      </c>
      <c r="G349" s="21">
        <v>0.1</v>
      </c>
      <c r="H349" s="22">
        <f>VLOOKUP(C349,'Master File June-26'!$C$3:$I$670,6,0)</f>
        <v>313.5</v>
      </c>
      <c r="I349" s="22">
        <f>VLOOKUP(C349,'Master File June-26'!$C$3:$I$670,7,0)</f>
        <v>3135</v>
      </c>
      <c r="J349" s="5">
        <f>VLOOKUP(C349,'Master File June-26'!C:J,8,0)</f>
        <v>14</v>
      </c>
      <c r="K349" s="23">
        <f t="shared" si="20"/>
        <v>1755.6000000000001</v>
      </c>
      <c r="L349" s="58">
        <f>VLOOKUP(C349,'Master File June-26'!C:L,10,0)</f>
        <v>950</v>
      </c>
      <c r="M349" s="24">
        <f t="shared" si="21"/>
        <v>9.0909090909090917</v>
      </c>
      <c r="N349" s="25" t="str">
        <f t="shared" si="22"/>
        <v>ORDER NOW</v>
      </c>
      <c r="O349" s="25" t="str">
        <f t="shared" si="23"/>
        <v>CRITICAL</v>
      </c>
      <c r="Q349" s="87">
        <f>VLOOKUP(C349,'Master File June-26'!$C$3:$S$670,17,0)</f>
        <v>46140.605891203704</v>
      </c>
    </row>
    <row r="350" spans="1:17" ht="18.75" hidden="1" x14ac:dyDescent="0.25">
      <c r="A350" s="41">
        <v>513</v>
      </c>
      <c r="B350" s="41" t="s">
        <v>85</v>
      </c>
      <c r="C350" s="41" t="s">
        <v>1440</v>
      </c>
      <c r="D350" s="28" t="s">
        <v>1441</v>
      </c>
      <c r="E350" s="27" t="s">
        <v>1442</v>
      </c>
      <c r="F350" s="5" t="s">
        <v>22</v>
      </c>
      <c r="G350" s="21">
        <v>0.11737089201877934</v>
      </c>
      <c r="H350" s="22">
        <v>15</v>
      </c>
      <c r="I350" s="22">
        <f>H350/G350</f>
        <v>127.8</v>
      </c>
      <c r="J350" s="5">
        <f>VLOOKUP(C350,'Master File June-26'!C:J,8,0)</f>
        <v>14</v>
      </c>
      <c r="K350" s="23">
        <f t="shared" si="20"/>
        <v>71.568000000000012</v>
      </c>
      <c r="L350" s="58">
        <f>VLOOKUP(C350,'Master File June-26'!C:L,10,0)</f>
        <v>153.36000000000001</v>
      </c>
      <c r="M350" s="24">
        <f t="shared" si="21"/>
        <v>36.000000000000007</v>
      </c>
      <c r="N350" s="25" t="str">
        <f t="shared" si="22"/>
        <v>IN STOCK</v>
      </c>
      <c r="O350" s="25" t="str">
        <f t="shared" si="23"/>
        <v>FOLLOW UP DELIVERY</v>
      </c>
      <c r="Q350" s="87" t="e">
        <f>VLOOKUP(C350,[2]Sheet1!$C$3:$P$524,14,0)</f>
        <v>#N/A</v>
      </c>
    </row>
    <row r="351" spans="1:17" ht="18.75" hidden="1" x14ac:dyDescent="0.25">
      <c r="A351" s="39">
        <v>250</v>
      </c>
      <c r="B351" s="39" t="s">
        <v>123</v>
      </c>
      <c r="C351" s="39" t="s">
        <v>964</v>
      </c>
      <c r="D351" s="28" t="s">
        <v>965</v>
      </c>
      <c r="E351" s="27" t="s">
        <v>966</v>
      </c>
      <c r="F351" s="5" t="s">
        <v>264</v>
      </c>
      <c r="G351" s="21">
        <v>0.1</v>
      </c>
      <c r="H351" s="22">
        <f>VLOOKUP(C351,'Master File June-26'!$C$3:$I$670,6,0)</f>
        <v>663</v>
      </c>
      <c r="I351" s="22">
        <f>VLOOKUP(C351,'Master File June-26'!$C$3:$I$670,7,0)</f>
        <v>6630</v>
      </c>
      <c r="J351" s="5">
        <f>VLOOKUP(C351,'Master File June-26'!C:J,8,0)</f>
        <v>14</v>
      </c>
      <c r="K351" s="23">
        <f t="shared" si="20"/>
        <v>3712.8</v>
      </c>
      <c r="L351" s="58">
        <f>VLOOKUP(C351,'Master File June-26'!C:L,10,0)</f>
        <v>1428</v>
      </c>
      <c r="M351" s="24">
        <f t="shared" si="21"/>
        <v>6.4615384615384617</v>
      </c>
      <c r="N351" s="25" t="str">
        <f t="shared" si="22"/>
        <v>ORDER NOW</v>
      </c>
      <c r="O351" s="25" t="str">
        <f t="shared" si="23"/>
        <v>CRITICAL</v>
      </c>
      <c r="Q351" s="87">
        <f>VLOOKUP(C351,'Master File June-26'!$C$3:$S$670,17,0)</f>
        <v>46140.605787037035</v>
      </c>
    </row>
    <row r="352" spans="1:17" ht="18.75" hidden="1" x14ac:dyDescent="0.25">
      <c r="A352" s="39">
        <v>256</v>
      </c>
      <c r="B352" s="39" t="s">
        <v>157</v>
      </c>
      <c r="C352" s="39" t="s">
        <v>767</v>
      </c>
      <c r="D352" s="28" t="s">
        <v>768</v>
      </c>
      <c r="E352" s="27" t="s">
        <v>697</v>
      </c>
      <c r="F352" s="5" t="s">
        <v>22</v>
      </c>
      <c r="G352" s="21">
        <v>1E-3</v>
      </c>
      <c r="H352" s="22">
        <f>VLOOKUP(C352,'Master File June-26'!$C$3:$I$670,6,0)</f>
        <v>673</v>
      </c>
      <c r="I352" s="22">
        <f>VLOOKUP(C352,'Master File June-26'!$C$3:$I$670,7,0)</f>
        <v>673000</v>
      </c>
      <c r="J352" s="5">
        <f>VLOOKUP(C352,'Master File June-26'!C:J,8,0)</f>
        <v>14</v>
      </c>
      <c r="K352" s="23">
        <f t="shared" si="20"/>
        <v>376880.00000000006</v>
      </c>
      <c r="L352" s="58">
        <f>VLOOKUP(C352,'Master File June-26'!C:L,10,0)</f>
        <v>2931</v>
      </c>
      <c r="M352" s="24">
        <f t="shared" si="21"/>
        <v>0.13065378900445765</v>
      </c>
      <c r="N352" s="25" t="str">
        <f t="shared" si="22"/>
        <v>ORDER NOW</v>
      </c>
      <c r="O352" s="25" t="str">
        <f t="shared" si="23"/>
        <v>CRITICAL</v>
      </c>
      <c r="Q352" s="87">
        <f>VLOOKUP(C352,'Master File June-26'!$C$3:$S$670,17,0)</f>
        <v>46140.605763888889</v>
      </c>
    </row>
    <row r="353" spans="1:17" ht="18.75" hidden="1" x14ac:dyDescent="0.25">
      <c r="A353" s="19">
        <v>168</v>
      </c>
      <c r="B353" s="19" t="s">
        <v>18</v>
      </c>
      <c r="C353" s="19" t="s">
        <v>19</v>
      </c>
      <c r="D353" s="28" t="s">
        <v>20</v>
      </c>
      <c r="E353" s="27" t="s">
        <v>21</v>
      </c>
      <c r="F353" s="5" t="s">
        <v>22</v>
      </c>
      <c r="G353" s="21">
        <v>1.6666666666666668E-3</v>
      </c>
      <c r="H353" s="22">
        <f>VLOOKUP(C353,'Master File June-26'!$C$3:$I$670,6,0)</f>
        <v>13</v>
      </c>
      <c r="I353" s="22">
        <f>VLOOKUP(C353,'Master File June-26'!$C$3:$I$670,7,0)</f>
        <v>7799.9999999999991</v>
      </c>
      <c r="J353" s="5">
        <f>VLOOKUP(C353,'Master File June-26'!C:J,8,0)</f>
        <v>14</v>
      </c>
      <c r="K353" s="23">
        <f t="shared" si="20"/>
        <v>4368</v>
      </c>
      <c r="L353" s="58">
        <f>VLOOKUP(C353,'Master File June-26'!C:L,10,0)</f>
        <v>0</v>
      </c>
      <c r="M353" s="24">
        <f t="shared" si="21"/>
        <v>0</v>
      </c>
      <c r="N353" s="25" t="str">
        <f t="shared" si="22"/>
        <v>ORDER NOW</v>
      </c>
      <c r="O353" s="25" t="str">
        <f t="shared" si="23"/>
        <v>CRITICAL</v>
      </c>
      <c r="Q353" s="87">
        <f>VLOOKUP(C353,'Master File June-26'!$C$3:$S$670,17,0)</f>
        <v>46141.525138888886</v>
      </c>
    </row>
    <row r="354" spans="1:17" ht="18.75" hidden="1" x14ac:dyDescent="0.25">
      <c r="A354" s="19">
        <v>180</v>
      </c>
      <c r="B354" s="19" t="s">
        <v>18</v>
      </c>
      <c r="C354" s="19" t="s">
        <v>976</v>
      </c>
      <c r="D354" s="30" t="s">
        <v>977</v>
      </c>
      <c r="E354" s="31" t="s">
        <v>22</v>
      </c>
      <c r="F354" s="5" t="s">
        <v>22</v>
      </c>
      <c r="G354" s="21">
        <v>1E-3</v>
      </c>
      <c r="H354" s="22">
        <v>6</v>
      </c>
      <c r="I354" s="22">
        <f>H354/G354</f>
        <v>6000</v>
      </c>
      <c r="J354" s="5">
        <f>VLOOKUP(C354,'Master File June-26'!C:J,8,0)</f>
        <v>14</v>
      </c>
      <c r="K354" s="23">
        <f t="shared" si="20"/>
        <v>3360.0000000000005</v>
      </c>
      <c r="L354" s="58">
        <f>VLOOKUP(C354,'Master File June-26'!C:L,10,0)</f>
        <v>0</v>
      </c>
      <c r="M354" s="24">
        <f t="shared" si="21"/>
        <v>0</v>
      </c>
      <c r="N354" s="25" t="str">
        <f t="shared" si="22"/>
        <v>ORDER NOW</v>
      </c>
      <c r="O354" s="25" t="str">
        <f t="shared" si="23"/>
        <v>CRITICAL</v>
      </c>
      <c r="Q354" s="87" t="e">
        <f>VLOOKUP(C354,[2]Sheet1!$C$3:$P$524,14,0)</f>
        <v>#N/A</v>
      </c>
    </row>
    <row r="355" spans="1:17" ht="18.75" hidden="1" x14ac:dyDescent="0.25">
      <c r="A355" s="41">
        <v>532</v>
      </c>
      <c r="B355" s="41" t="s">
        <v>104</v>
      </c>
      <c r="C355" s="41" t="s">
        <v>688</v>
      </c>
      <c r="D355" s="40" t="s">
        <v>689</v>
      </c>
      <c r="E355" s="31" t="s">
        <v>690</v>
      </c>
      <c r="F355" s="5" t="s">
        <v>22</v>
      </c>
      <c r="G355" s="21">
        <v>5.7803468208092484E-2</v>
      </c>
      <c r="H355" s="22">
        <v>25</v>
      </c>
      <c r="I355" s="22">
        <f>H355/G355</f>
        <v>432.5</v>
      </c>
      <c r="J355" s="5">
        <f>VLOOKUP(C355,'Master File June-26'!C:J,8,0)</f>
        <v>14</v>
      </c>
      <c r="K355" s="23">
        <f t="shared" si="20"/>
        <v>242.20000000000002</v>
      </c>
      <c r="L355" s="58">
        <f>VLOOKUP(C355,'Master File June-26'!C:L,10,0)</f>
        <v>208.8</v>
      </c>
      <c r="M355" s="24">
        <f t="shared" si="21"/>
        <v>14.483236994219654</v>
      </c>
      <c r="N355" s="25" t="str">
        <f t="shared" si="22"/>
        <v>IN STOCK</v>
      </c>
      <c r="O355" s="25" t="str">
        <f t="shared" si="23"/>
        <v>FOLLOW UP DELIVERY</v>
      </c>
      <c r="Q355" s="87">
        <f>VLOOKUP(C355,'Master File June-26'!$C$3:$S$670,17,0)</f>
        <v>46118.497881944444</v>
      </c>
    </row>
    <row r="356" spans="1:17" ht="18.75" hidden="1" x14ac:dyDescent="0.25">
      <c r="A356" s="39">
        <v>263</v>
      </c>
      <c r="B356" s="39" t="s">
        <v>239</v>
      </c>
      <c r="C356" s="39" t="s">
        <v>1171</v>
      </c>
      <c r="D356" s="28" t="s">
        <v>1172</v>
      </c>
      <c r="E356" s="27" t="s">
        <v>78</v>
      </c>
      <c r="F356" s="5" t="s">
        <v>49</v>
      </c>
      <c r="G356" s="21">
        <v>1</v>
      </c>
      <c r="H356" s="22">
        <v>33</v>
      </c>
      <c r="I356" s="22">
        <f>H356/G356</f>
        <v>33</v>
      </c>
      <c r="J356" s="5">
        <f>VLOOKUP(C356,'Master File June-26'!C:J,8,0)</f>
        <v>14</v>
      </c>
      <c r="K356" s="23">
        <f t="shared" si="20"/>
        <v>18.48</v>
      </c>
      <c r="L356" s="58">
        <f>VLOOKUP(C356,'Master File June-26'!C:L,10,0)</f>
        <v>0</v>
      </c>
      <c r="M356" s="24">
        <f t="shared" si="21"/>
        <v>0</v>
      </c>
      <c r="N356" s="25" t="str">
        <f t="shared" si="22"/>
        <v>ORDER NOW</v>
      </c>
      <c r="O356" s="25" t="str">
        <f t="shared" si="23"/>
        <v>CRITICAL</v>
      </c>
      <c r="Q356" s="87" t="e">
        <f>VLOOKUP(C356,[2]Sheet1!$C$3:$P$524,14,0)</f>
        <v>#N/A</v>
      </c>
    </row>
    <row r="357" spans="1:17" ht="18.75" hidden="1" x14ac:dyDescent="0.25">
      <c r="A357" s="41">
        <v>402</v>
      </c>
      <c r="B357" s="41" t="s">
        <v>61</v>
      </c>
      <c r="C357" s="41" t="s">
        <v>1308</v>
      </c>
      <c r="D357" s="28" t="s">
        <v>1309</v>
      </c>
      <c r="E357" s="27" t="s">
        <v>1310</v>
      </c>
      <c r="F357" s="5" t="s">
        <v>22</v>
      </c>
      <c r="G357" s="21">
        <v>8.3333333333333329E-2</v>
      </c>
      <c r="H357" s="22">
        <f>VLOOKUP(C357,'Master File June-26'!$C$3:$I$670,6,0)</f>
        <v>16</v>
      </c>
      <c r="I357" s="22">
        <f>VLOOKUP(C357,'Master File June-26'!$C$3:$I$670,7,0)</f>
        <v>192</v>
      </c>
      <c r="J357" s="5">
        <f>VLOOKUP(C357,'Master File June-26'!C:J,8,0)</f>
        <v>14</v>
      </c>
      <c r="K357" s="23">
        <f t="shared" si="20"/>
        <v>107.52000000000001</v>
      </c>
      <c r="L357" s="58">
        <f>VLOOKUP(C357,'Master File June-26'!C:L,10,0)</f>
        <v>36</v>
      </c>
      <c r="M357" s="24">
        <f t="shared" si="21"/>
        <v>5.625</v>
      </c>
      <c r="N357" s="25" t="str">
        <f t="shared" si="22"/>
        <v>ORDER NOW</v>
      </c>
      <c r="O357" s="25" t="str">
        <f t="shared" si="23"/>
        <v>CRITICAL</v>
      </c>
      <c r="Q357" s="87">
        <f>VLOOKUP(C357,'Master File June-26'!$C$3:$S$670,17,0)</f>
        <v>46134.446747685186</v>
      </c>
    </row>
    <row r="358" spans="1:17" ht="18.75" hidden="1" x14ac:dyDescent="0.25">
      <c r="A358" s="19">
        <v>110</v>
      </c>
      <c r="B358" s="19" t="s">
        <v>18</v>
      </c>
      <c r="C358" s="19" t="s">
        <v>981</v>
      </c>
      <c r="D358" s="28" t="s">
        <v>982</v>
      </c>
      <c r="E358" s="27" t="s">
        <v>186</v>
      </c>
      <c r="F358" s="5" t="s">
        <v>22</v>
      </c>
      <c r="G358" s="21">
        <v>1</v>
      </c>
      <c r="H358" s="22">
        <f>VLOOKUP(C358,'Master File June-26'!$C$3:$I$670,6,0)</f>
        <v>10</v>
      </c>
      <c r="I358" s="22">
        <f>VLOOKUP(C358,'Master File June-26'!$C$3:$I$670,7,0)</f>
        <v>5000</v>
      </c>
      <c r="J358" s="5">
        <f>VLOOKUP(C358,'Master File June-26'!C:J,8,0)</f>
        <v>14</v>
      </c>
      <c r="K358" s="23">
        <f t="shared" si="20"/>
        <v>2800.0000000000005</v>
      </c>
      <c r="L358" s="58">
        <f>VLOOKUP(C358,'Master File June-26'!C:L,10,0)</f>
        <v>0</v>
      </c>
      <c r="M358" s="24">
        <f t="shared" si="21"/>
        <v>0</v>
      </c>
      <c r="N358" s="25" t="str">
        <f t="shared" si="22"/>
        <v>ORDER NOW</v>
      </c>
      <c r="O358" s="25" t="str">
        <f t="shared" si="23"/>
        <v>CRITICAL</v>
      </c>
      <c r="P358" t="s">
        <v>30</v>
      </c>
      <c r="Q358" s="87">
        <v>46113.430891203701</v>
      </c>
    </row>
    <row r="359" spans="1:17" ht="18.75" hidden="1" x14ac:dyDescent="0.25">
      <c r="A359" s="41">
        <v>526</v>
      </c>
      <c r="B359" s="41" t="s">
        <v>104</v>
      </c>
      <c r="C359" s="41" t="s">
        <v>1350</v>
      </c>
      <c r="D359" s="40" t="s">
        <v>1351</v>
      </c>
      <c r="E359" s="31" t="s">
        <v>22</v>
      </c>
      <c r="F359" s="5" t="s">
        <v>22</v>
      </c>
      <c r="G359" s="21">
        <v>3.3333333333333333E-2</v>
      </c>
      <c r="H359" s="22">
        <f>VLOOKUP(C359,'Master File June-26'!$C$3:$I$670,6,0)</f>
        <v>20</v>
      </c>
      <c r="I359" s="22">
        <f>VLOOKUP(C359,'Master File June-26'!$C$3:$I$670,7,0)</f>
        <v>600</v>
      </c>
      <c r="J359" s="5">
        <f>VLOOKUP(C359,'Master File June-26'!C:J,8,0)</f>
        <v>14</v>
      </c>
      <c r="K359" s="23">
        <f t="shared" si="20"/>
        <v>336.00000000000006</v>
      </c>
      <c r="L359" s="58">
        <f>VLOOKUP(C359,'Master File June-26'!C:L,10,0)</f>
        <v>240</v>
      </c>
      <c r="M359" s="24">
        <f t="shared" si="21"/>
        <v>12</v>
      </c>
      <c r="N359" s="25" t="str">
        <f t="shared" si="22"/>
        <v>ORDER NOW</v>
      </c>
      <c r="O359" s="25" t="str">
        <f t="shared" si="23"/>
        <v>CRITICAL</v>
      </c>
      <c r="Q359" s="87">
        <f>VLOOKUP(C359,'Master File June-26'!$C$3:$S$670,17,0)</f>
        <v>46131.51935185185</v>
      </c>
    </row>
    <row r="360" spans="1:17" ht="18.75" hidden="1" x14ac:dyDescent="0.25">
      <c r="A360" s="19">
        <v>39</v>
      </c>
      <c r="B360" s="19" t="s">
        <v>18</v>
      </c>
      <c r="C360" s="19" t="s">
        <v>1009</v>
      </c>
      <c r="D360" s="28" t="s">
        <v>1010</v>
      </c>
      <c r="E360" s="27" t="s">
        <v>845</v>
      </c>
      <c r="F360" s="5" t="s">
        <v>22</v>
      </c>
      <c r="G360" s="21">
        <f>1/600</f>
        <v>1.6666666666666668E-3</v>
      </c>
      <c r="H360" s="22">
        <f>VLOOKUP(C360,'Master File June-26'!$C$3:$I$670,6,0)</f>
        <v>100</v>
      </c>
      <c r="I360" s="22">
        <f>VLOOKUP(C360,'Master File June-26'!$C$3:$I$670,7,0)</f>
        <v>59999.999999999993</v>
      </c>
      <c r="J360" s="5">
        <f>VLOOKUP(C360,'Master File June-26'!C:J,8,0)</f>
        <v>60</v>
      </c>
      <c r="K360" s="23">
        <f t="shared" si="20"/>
        <v>143999.99999999997</v>
      </c>
      <c r="L360" s="58">
        <f>VLOOKUP(C360,'Master File June-26'!C:L,10,0)</f>
        <v>0</v>
      </c>
      <c r="M360" s="24">
        <f t="shared" si="21"/>
        <v>0</v>
      </c>
      <c r="N360" s="25" t="str">
        <f t="shared" si="22"/>
        <v>ORDER NOW</v>
      </c>
      <c r="O360" s="25" t="str">
        <f t="shared" si="23"/>
        <v>CRITICAL</v>
      </c>
      <c r="P360" t="s">
        <v>30</v>
      </c>
      <c r="Q360" s="87">
        <f>VLOOKUP(C360,'Master File June-26'!$C$3:$S$670,17,0)</f>
        <v>46138.481631944444</v>
      </c>
    </row>
    <row r="361" spans="1:17" ht="18.75" hidden="1" x14ac:dyDescent="0.25">
      <c r="A361" s="39">
        <v>186</v>
      </c>
      <c r="B361" s="39" t="s">
        <v>18</v>
      </c>
      <c r="C361" s="39" t="s">
        <v>1011</v>
      </c>
      <c r="D361" s="28" t="s">
        <v>1012</v>
      </c>
      <c r="E361" s="27" t="s">
        <v>160</v>
      </c>
      <c r="F361" s="5" t="s">
        <v>49</v>
      </c>
      <c r="G361" s="21">
        <v>1</v>
      </c>
      <c r="H361" s="22">
        <v>16.5</v>
      </c>
      <c r="I361" s="22">
        <f>H361/G361</f>
        <v>16.5</v>
      </c>
      <c r="J361" s="5">
        <f>VLOOKUP(C361,'Master File June-26'!C:J,8,0)</f>
        <v>14</v>
      </c>
      <c r="K361" s="23">
        <f t="shared" si="20"/>
        <v>9.24</v>
      </c>
      <c r="L361" s="58">
        <f>VLOOKUP(C361,'Master File June-26'!C:L,10,0)</f>
        <v>6</v>
      </c>
      <c r="M361" s="24">
        <f t="shared" si="21"/>
        <v>10.90909090909091</v>
      </c>
      <c r="N361" s="25" t="str">
        <f t="shared" si="22"/>
        <v>ORDER NOW</v>
      </c>
      <c r="O361" s="25" t="str">
        <f t="shared" si="23"/>
        <v>CRITICAL</v>
      </c>
      <c r="Q361" s="87" t="e">
        <f>VLOOKUP(C361,[2]Sheet1!$C$3:$P$524,14,0)</f>
        <v>#N/A</v>
      </c>
    </row>
    <row r="362" spans="1:17" ht="18.75" x14ac:dyDescent="0.25">
      <c r="A362" s="39">
        <v>190</v>
      </c>
      <c r="B362" s="39" t="s">
        <v>239</v>
      </c>
      <c r="C362" s="39" t="s">
        <v>1384</v>
      </c>
      <c r="D362" s="28" t="s">
        <v>1385</v>
      </c>
      <c r="E362" s="27" t="s">
        <v>78</v>
      </c>
      <c r="F362" s="5" t="s">
        <v>49</v>
      </c>
      <c r="G362" s="21">
        <v>1</v>
      </c>
      <c r="H362" s="22">
        <f>VLOOKUP(C362,'Master File June-26'!$C$3:$I$670,6,0)</f>
        <v>66</v>
      </c>
      <c r="I362" s="22">
        <f>VLOOKUP(C362,'Master File June-26'!$C$3:$I$670,7,0)</f>
        <v>66</v>
      </c>
      <c r="J362" s="5">
        <f>VLOOKUP(C362,'Master File June-26'!C:J,8,0)</f>
        <v>14</v>
      </c>
      <c r="K362" s="23">
        <f t="shared" si="20"/>
        <v>36.96</v>
      </c>
      <c r="L362" s="58">
        <f>VLOOKUP(C362,'Master File June-26'!C:L,10,0)</f>
        <v>23</v>
      </c>
      <c r="M362" s="24">
        <f t="shared" si="21"/>
        <v>10.454545454545455</v>
      </c>
      <c r="N362" s="25" t="str">
        <f t="shared" si="22"/>
        <v>ORDER NOW</v>
      </c>
      <c r="O362" s="25" t="str">
        <f t="shared" si="23"/>
        <v>CRITICAL</v>
      </c>
      <c r="Q362" s="87">
        <f>VLOOKUP(C362,'Master File June-26'!$C$3:$S$670,17,0)</f>
        <v>46131.519513888888</v>
      </c>
    </row>
    <row r="363" spans="1:17" ht="18.75" hidden="1" x14ac:dyDescent="0.25">
      <c r="A363" s="19">
        <v>25</v>
      </c>
      <c r="B363" s="19" t="s">
        <v>18</v>
      </c>
      <c r="C363" s="19" t="s">
        <v>1259</v>
      </c>
      <c r="D363" s="28" t="s">
        <v>1260</v>
      </c>
      <c r="E363" s="27" t="s">
        <v>180</v>
      </c>
      <c r="F363" s="5" t="s">
        <v>22</v>
      </c>
      <c r="G363" s="21">
        <v>1E-3</v>
      </c>
      <c r="H363" s="22">
        <f>VLOOKUP(C363,'Master File June-26'!$C$3:$I$670,6,0)</f>
        <v>23</v>
      </c>
      <c r="I363" s="22">
        <f>VLOOKUP(C363,'Master File June-26'!$C$3:$I$670,7,0)</f>
        <v>23000</v>
      </c>
      <c r="J363" s="5">
        <f>VLOOKUP(C363,'Master File June-26'!C:J,8,0)</f>
        <v>60</v>
      </c>
      <c r="K363" s="23">
        <f t="shared" si="20"/>
        <v>55200</v>
      </c>
      <c r="L363" s="58">
        <f>VLOOKUP(C363,'Master File June-26'!C:L,10,0)</f>
        <v>0</v>
      </c>
      <c r="M363" s="24">
        <f t="shared" si="21"/>
        <v>0</v>
      </c>
      <c r="N363" s="25" t="str">
        <f t="shared" si="22"/>
        <v>ORDER NOW</v>
      </c>
      <c r="O363" s="25" t="str">
        <f t="shared" si="23"/>
        <v>CRITICAL</v>
      </c>
      <c r="P363" t="s">
        <v>30</v>
      </c>
      <c r="Q363" s="87">
        <f>VLOOKUP(C363,'Master File June-26'!$C$3:$S$670,17,0)</f>
        <v>46138.481817129628</v>
      </c>
    </row>
    <row r="364" spans="1:17" ht="18.75" hidden="1" x14ac:dyDescent="0.25">
      <c r="A364" s="41">
        <v>341</v>
      </c>
      <c r="B364" s="41" t="s">
        <v>38</v>
      </c>
      <c r="C364" s="41" t="s">
        <v>936</v>
      </c>
      <c r="D364" s="28" t="s">
        <v>937</v>
      </c>
      <c r="E364" s="27" t="s">
        <v>254</v>
      </c>
      <c r="F364" s="5" t="s">
        <v>49</v>
      </c>
      <c r="G364" s="21">
        <f>1/48</f>
        <v>2.0833333333333332E-2</v>
      </c>
      <c r="H364" s="22">
        <v>150</v>
      </c>
      <c r="I364" s="22">
        <f>H364/G364</f>
        <v>7200</v>
      </c>
      <c r="J364" s="5">
        <f>VLOOKUP(C364,'Master File June-26'!C:J,8,0)</f>
        <v>14</v>
      </c>
      <c r="K364" s="23">
        <f t="shared" si="20"/>
        <v>4032.0000000000005</v>
      </c>
      <c r="L364" s="58">
        <f>VLOOKUP(C364,'Master File June-26'!C:L,10,0)</f>
        <v>1014</v>
      </c>
      <c r="M364" s="24">
        <f t="shared" si="21"/>
        <v>4.2250000000000005</v>
      </c>
      <c r="N364" s="25" t="str">
        <f t="shared" si="22"/>
        <v>ORDER NOW</v>
      </c>
      <c r="O364" s="25" t="str">
        <f t="shared" si="23"/>
        <v>CRITICAL</v>
      </c>
      <c r="Q364" s="87">
        <f>VLOOKUP(C364,'Master File June-26'!$C$3:$S$670,17,0)</f>
        <v>46140.606828703705</v>
      </c>
    </row>
    <row r="365" spans="1:17" ht="18.75" hidden="1" x14ac:dyDescent="0.25">
      <c r="A365" s="19">
        <v>26</v>
      </c>
      <c r="B365" s="19" t="s">
        <v>18</v>
      </c>
      <c r="C365" s="19" t="s">
        <v>1140</v>
      </c>
      <c r="D365" s="28" t="s">
        <v>1141</v>
      </c>
      <c r="E365" s="27" t="s">
        <v>1142</v>
      </c>
      <c r="F365" s="5" t="s">
        <v>22</v>
      </c>
      <c r="G365" s="21">
        <v>1E-3</v>
      </c>
      <c r="H365" s="22">
        <f>VLOOKUP(C365,'Master File June-26'!$C$3:$I$670,6,0)</f>
        <v>137</v>
      </c>
      <c r="I365" s="22">
        <f>VLOOKUP(C365,'Master File June-26'!$C$3:$I$670,7,0)</f>
        <v>137000</v>
      </c>
      <c r="J365" s="5">
        <f>VLOOKUP(C365,'Master File June-26'!C:J,8,0)</f>
        <v>60</v>
      </c>
      <c r="K365" s="23">
        <f t="shared" si="20"/>
        <v>328800</v>
      </c>
      <c r="L365" s="58">
        <f>VLOOKUP(C365,'Master File June-26'!C:L,10,0)</f>
        <v>26000</v>
      </c>
      <c r="M365" s="24">
        <f t="shared" si="21"/>
        <v>5.6934306569343063</v>
      </c>
      <c r="N365" s="25" t="str">
        <f t="shared" si="22"/>
        <v>ORDER NOW</v>
      </c>
      <c r="O365" s="25" t="str">
        <f t="shared" si="23"/>
        <v>CRITICAL</v>
      </c>
      <c r="P365" t="s">
        <v>30</v>
      </c>
      <c r="Q365" s="87">
        <f>VLOOKUP(C365,'Master File June-26'!$C$3:$S$670,17,0)</f>
        <v>46138.48170138889</v>
      </c>
    </row>
    <row r="366" spans="1:17" ht="18.75" hidden="1" x14ac:dyDescent="0.25">
      <c r="A366" s="19">
        <v>38</v>
      </c>
      <c r="B366" s="19" t="s">
        <v>18</v>
      </c>
      <c r="C366" s="19" t="s">
        <v>1430</v>
      </c>
      <c r="D366" s="28" t="s">
        <v>1431</v>
      </c>
      <c r="E366" s="27" t="s">
        <v>29</v>
      </c>
      <c r="F366" s="5" t="s">
        <v>22</v>
      </c>
      <c r="G366" s="21">
        <f>1/1200</f>
        <v>8.3333333333333339E-4</v>
      </c>
      <c r="H366" s="22">
        <v>50</v>
      </c>
      <c r="I366" s="22">
        <f>H366/G366</f>
        <v>59999.999999999993</v>
      </c>
      <c r="J366" s="5">
        <f>VLOOKUP(C366,'Master File June-26'!C:J,8,0)</f>
        <v>60</v>
      </c>
      <c r="K366" s="97">
        <f t="shared" si="20"/>
        <v>143999.99999999997</v>
      </c>
      <c r="L366" s="58">
        <f>VLOOKUP(C366,'Master File June-26'!C:L,10,0)</f>
        <v>0</v>
      </c>
      <c r="M366" s="98">
        <f t="shared" si="21"/>
        <v>0</v>
      </c>
      <c r="N366" s="99" t="str">
        <f t="shared" si="22"/>
        <v>ORDER NOW</v>
      </c>
      <c r="O366" s="99" t="str">
        <f t="shared" si="23"/>
        <v>CRITICAL</v>
      </c>
      <c r="P366" t="s">
        <v>30</v>
      </c>
      <c r="Q366" s="87" t="e">
        <f>VLOOKUP(C366,[2]Sheet1!$C$3:$P$524,14,0)</f>
        <v>#N/A</v>
      </c>
    </row>
    <row r="367" spans="1:17" ht="18.75" hidden="1" x14ac:dyDescent="0.25">
      <c r="A367" s="39">
        <v>261</v>
      </c>
      <c r="B367" s="39" t="s">
        <v>239</v>
      </c>
      <c r="C367" s="39" t="s">
        <v>1238</v>
      </c>
      <c r="D367" s="28" t="s">
        <v>1239</v>
      </c>
      <c r="E367" s="27" t="s">
        <v>78</v>
      </c>
      <c r="F367" s="5" t="s">
        <v>49</v>
      </c>
      <c r="G367" s="21">
        <v>1</v>
      </c>
      <c r="H367" s="22">
        <v>33</v>
      </c>
      <c r="I367" s="96">
        <f>H367/G367</f>
        <v>33</v>
      </c>
      <c r="J367" s="5">
        <f>VLOOKUP(C367,'Master File June-26'!C:J,8,0)</f>
        <v>14</v>
      </c>
      <c r="K367" s="23">
        <f t="shared" si="20"/>
        <v>18.48</v>
      </c>
      <c r="L367" s="58">
        <f>VLOOKUP(C367,'Master File June-26'!C:L,10,0)</f>
        <v>0</v>
      </c>
      <c r="M367" s="24">
        <f t="shared" si="21"/>
        <v>0</v>
      </c>
      <c r="N367" s="25" t="str">
        <f t="shared" si="22"/>
        <v>ORDER NOW</v>
      </c>
      <c r="O367" s="25" t="str">
        <f t="shared" si="23"/>
        <v>CRITICAL</v>
      </c>
      <c r="Q367" s="90" t="e">
        <f>VLOOKUP(C367,[2]Sheet1!$C$3:$P$524,14,0)</f>
        <v>#N/A</v>
      </c>
    </row>
    <row r="368" spans="1:17" ht="18.75" hidden="1" x14ac:dyDescent="0.25">
      <c r="A368" s="41">
        <v>367</v>
      </c>
      <c r="B368" s="41" t="s">
        <v>85</v>
      </c>
      <c r="C368" s="41" t="s">
        <v>1511</v>
      </c>
      <c r="D368" s="28" t="s">
        <v>1512</v>
      </c>
      <c r="E368" s="27" t="s">
        <v>101</v>
      </c>
      <c r="F368" s="5" t="s">
        <v>22</v>
      </c>
      <c r="G368" s="21">
        <v>0.16666666666666666</v>
      </c>
      <c r="H368" s="22">
        <f>VLOOKUP(C368,'Master File June-26'!$C$3:$I$670,6,0)</f>
        <v>21.75</v>
      </c>
      <c r="I368" s="22">
        <f>VLOOKUP(C368,'Master File June-26'!$C$3:$I$670,7,0)</f>
        <v>130.5</v>
      </c>
      <c r="J368" s="5">
        <f>VLOOKUP(C368,'Master File June-26'!C:J,8,0)</f>
        <v>14</v>
      </c>
      <c r="K368" s="100">
        <f t="shared" si="20"/>
        <v>73.080000000000013</v>
      </c>
      <c r="L368" s="58">
        <f>VLOOKUP(C368,'Master File June-26'!C:L,10,0)</f>
        <v>67</v>
      </c>
      <c r="M368" s="101">
        <f t="shared" si="21"/>
        <v>15.402298850574713</v>
      </c>
      <c r="N368" s="102" t="str">
        <f t="shared" si="22"/>
        <v>IN STOCK</v>
      </c>
      <c r="O368" s="102" t="str">
        <f t="shared" si="23"/>
        <v>FOLLOW UP DELIVERY</v>
      </c>
      <c r="Q368" s="87">
        <f>VLOOKUP(C368,'Master File June-26'!$C$3:$S$670,17,0)</f>
        <v>46131.520266203705</v>
      </c>
    </row>
    <row r="369" spans="1:17" ht="18.75" hidden="1" x14ac:dyDescent="0.25">
      <c r="A369" s="39">
        <v>287</v>
      </c>
      <c r="B369" s="39" t="s">
        <v>239</v>
      </c>
      <c r="C369" s="39" t="s">
        <v>1418</v>
      </c>
      <c r="D369" s="34" t="s">
        <v>1419</v>
      </c>
      <c r="E369" s="31" t="s">
        <v>1420</v>
      </c>
      <c r="F369" s="5" t="s">
        <v>22</v>
      </c>
      <c r="G369" s="21">
        <v>0.76923076923076916</v>
      </c>
      <c r="H369" s="22">
        <v>22</v>
      </c>
      <c r="I369" s="22">
        <f>H369/G369</f>
        <v>28.6</v>
      </c>
      <c r="J369" s="5">
        <f>VLOOKUP(C369,'Master File June-26'!C:J,8,0)</f>
        <v>14</v>
      </c>
      <c r="K369" s="23">
        <f t="shared" si="20"/>
        <v>16.016000000000002</v>
      </c>
      <c r="L369" s="58">
        <f>VLOOKUP(C369,'Master File June-26'!C:L,10,0)</f>
        <v>8</v>
      </c>
      <c r="M369" s="24">
        <f t="shared" si="21"/>
        <v>8.3916083916083899</v>
      </c>
      <c r="N369" s="25" t="str">
        <f t="shared" si="22"/>
        <v>ORDER NOW</v>
      </c>
      <c r="O369" s="25" t="str">
        <f t="shared" si="23"/>
        <v>CRITICAL</v>
      </c>
      <c r="Q369" s="87" t="e">
        <f>VLOOKUP(C369,[2]Sheet1!$C$3:$P$524,14,0)</f>
        <v>#N/A</v>
      </c>
    </row>
    <row r="370" spans="1:17" ht="18.75" hidden="1" x14ac:dyDescent="0.25">
      <c r="A370" s="19">
        <v>143</v>
      </c>
      <c r="B370" s="19" t="s">
        <v>18</v>
      </c>
      <c r="C370" s="19" t="s">
        <v>1234</v>
      </c>
      <c r="D370" s="62" t="s">
        <v>1235</v>
      </c>
      <c r="E370" s="32" t="s">
        <v>49</v>
      </c>
      <c r="F370" s="5" t="s">
        <v>49</v>
      </c>
      <c r="G370" s="21">
        <v>1</v>
      </c>
      <c r="H370" s="22">
        <f>VLOOKUP(C370,'Master File June-26'!$C$3:$I$670,6,0)</f>
        <v>10</v>
      </c>
      <c r="I370" s="22">
        <f>VLOOKUP(C370,'Master File June-26'!$C$3:$I$670,7,0)</f>
        <v>5000</v>
      </c>
      <c r="J370" s="5">
        <f>VLOOKUP(C370,'Master File June-26'!C:J,8,0)</f>
        <v>14</v>
      </c>
      <c r="K370" s="23">
        <f t="shared" si="20"/>
        <v>2800.0000000000005</v>
      </c>
      <c r="L370" s="58">
        <f>VLOOKUP(C370,'Master File June-26'!C:L,10,0)</f>
        <v>0</v>
      </c>
      <c r="M370" s="24">
        <f t="shared" si="21"/>
        <v>0</v>
      </c>
      <c r="N370" s="25" t="str">
        <f t="shared" si="22"/>
        <v>ORDER NOW</v>
      </c>
      <c r="O370" s="25" t="str">
        <f t="shared" si="23"/>
        <v>CRITICAL</v>
      </c>
      <c r="P370" t="s">
        <v>30</v>
      </c>
      <c r="Q370" s="87">
        <f>VLOOKUP(C370,'Master File June-26'!$C$3:$S$670,17,0)</f>
        <v>46113.430891203701</v>
      </c>
    </row>
    <row r="371" spans="1:17" ht="18.75" hidden="1" x14ac:dyDescent="0.25">
      <c r="A371" s="39">
        <v>244</v>
      </c>
      <c r="B371" s="39" t="s">
        <v>123</v>
      </c>
      <c r="C371" s="39" t="s">
        <v>757</v>
      </c>
      <c r="D371" s="28" t="s">
        <v>758</v>
      </c>
      <c r="E371" s="27" t="s">
        <v>759</v>
      </c>
      <c r="F371" s="5" t="s">
        <v>49</v>
      </c>
      <c r="G371" s="21">
        <v>1</v>
      </c>
      <c r="H371" s="22">
        <v>55.5</v>
      </c>
      <c r="I371" s="22">
        <f>H371/G371</f>
        <v>55.5</v>
      </c>
      <c r="J371" s="5">
        <f>VLOOKUP(C371,'Master File June-26'!C:J,8,0)</f>
        <v>14</v>
      </c>
      <c r="K371" s="23">
        <f t="shared" si="20"/>
        <v>31.080000000000002</v>
      </c>
      <c r="L371" s="58">
        <f>VLOOKUP(C371,'Master File June-26'!C:L,10,0)</f>
        <v>48</v>
      </c>
      <c r="M371" s="24">
        <f t="shared" si="21"/>
        <v>25.945945945945947</v>
      </c>
      <c r="N371" s="25" t="str">
        <f t="shared" si="22"/>
        <v>IN STOCK</v>
      </c>
      <c r="O371" s="25" t="str">
        <f t="shared" si="23"/>
        <v>FOLLOW UP DELIVERY</v>
      </c>
      <c r="Q371" s="87">
        <f>VLOOKUP(C371,'Master File June-26'!$C$3:$S$670,17,0)</f>
        <v>46131.518923611111</v>
      </c>
    </row>
    <row r="372" spans="1:17" ht="18.75" hidden="1" x14ac:dyDescent="0.25">
      <c r="A372" s="19">
        <v>124</v>
      </c>
      <c r="B372" s="19" t="s">
        <v>18</v>
      </c>
      <c r="C372" s="19" t="s">
        <v>1303</v>
      </c>
      <c r="D372" s="28" t="s">
        <v>1304</v>
      </c>
      <c r="E372" s="27" t="s">
        <v>1305</v>
      </c>
      <c r="F372" s="5" t="s">
        <v>606</v>
      </c>
      <c r="G372" s="21">
        <f>1/50</f>
        <v>0.02</v>
      </c>
      <c r="H372" s="22">
        <v>1000</v>
      </c>
      <c r="I372" s="22">
        <f>H372/G372</f>
        <v>50000</v>
      </c>
      <c r="J372" s="5">
        <f>VLOOKUP(C372,'Master File June-26'!C:J,8,0)</f>
        <v>60</v>
      </c>
      <c r="K372" s="23">
        <f t="shared" si="20"/>
        <v>120000</v>
      </c>
      <c r="L372" s="58">
        <f>VLOOKUP(C372,'Master File June-26'!C:L,10,0)</f>
        <v>6000</v>
      </c>
      <c r="M372" s="24">
        <f t="shared" si="21"/>
        <v>3.5999999999999996</v>
      </c>
      <c r="N372" s="25" t="str">
        <f t="shared" si="22"/>
        <v>ORDER NOW</v>
      </c>
      <c r="O372" s="25" t="str">
        <f t="shared" si="23"/>
        <v>CRITICAL</v>
      </c>
      <c r="P372" t="s">
        <v>30</v>
      </c>
      <c r="Q372" s="87" t="e">
        <f>VLOOKUP(C372,[2]Sheet1!$C$3:$P$524,14,0)</f>
        <v>#N/A</v>
      </c>
    </row>
    <row r="373" spans="1:17" ht="18.75" hidden="1" x14ac:dyDescent="0.25">
      <c r="A373" s="19">
        <v>81</v>
      </c>
      <c r="B373" s="19" t="s">
        <v>18</v>
      </c>
      <c r="C373" s="19" t="s">
        <v>1421</v>
      </c>
      <c r="D373" s="28" t="s">
        <v>1422</v>
      </c>
      <c r="E373" s="27" t="s">
        <v>873</v>
      </c>
      <c r="F373" s="5" t="s">
        <v>22</v>
      </c>
      <c r="G373" s="21">
        <v>2E-3</v>
      </c>
      <c r="H373" s="22">
        <v>16</v>
      </c>
      <c r="I373" s="22">
        <f>H373/G373</f>
        <v>8000</v>
      </c>
      <c r="J373" s="5">
        <f>VLOOKUP(C373,'Master File June-26'!C:J,8,0)</f>
        <v>14</v>
      </c>
      <c r="K373" s="23">
        <f t="shared" si="20"/>
        <v>4480</v>
      </c>
      <c r="L373" s="58">
        <f>VLOOKUP(C373,'Master File June-26'!C:L,10,0)</f>
        <v>1000</v>
      </c>
      <c r="M373" s="24">
        <f t="shared" si="21"/>
        <v>3.75</v>
      </c>
      <c r="N373" s="25" t="str">
        <f t="shared" si="22"/>
        <v>ORDER NOW</v>
      </c>
      <c r="O373" s="25" t="str">
        <f t="shared" si="23"/>
        <v>CRITICAL</v>
      </c>
      <c r="P373" t="s">
        <v>30</v>
      </c>
      <c r="Q373" s="87" t="e">
        <f>VLOOKUP(C373,[2]Sheet1!$C$3:$P$524,14,0)</f>
        <v>#N/A</v>
      </c>
    </row>
    <row r="374" spans="1:17" ht="18.75" hidden="1" x14ac:dyDescent="0.25">
      <c r="A374" s="39">
        <v>239</v>
      </c>
      <c r="B374" s="39" t="s">
        <v>123</v>
      </c>
      <c r="C374" s="39" t="s">
        <v>791</v>
      </c>
      <c r="D374" s="28" t="s">
        <v>792</v>
      </c>
      <c r="E374" s="27" t="s">
        <v>793</v>
      </c>
      <c r="F374" s="5" t="s">
        <v>794</v>
      </c>
      <c r="G374" s="21">
        <v>0.04</v>
      </c>
      <c r="H374" s="22">
        <f>VLOOKUP(C374,'Master File June-26'!$C$3:$I$670,6,0)</f>
        <v>69</v>
      </c>
      <c r="I374" s="22">
        <f>VLOOKUP(C374,'Master File June-26'!$C$3:$I$670,7,0)</f>
        <v>1725</v>
      </c>
      <c r="J374" s="5">
        <f>VLOOKUP(C374,'Master File June-26'!C:J,8,0)</f>
        <v>14</v>
      </c>
      <c r="K374" s="23">
        <f t="shared" si="20"/>
        <v>966.00000000000011</v>
      </c>
      <c r="L374" s="58">
        <f>VLOOKUP(C374,'Master File June-26'!C:L,10,0)</f>
        <v>386</v>
      </c>
      <c r="M374" s="24">
        <f t="shared" si="21"/>
        <v>6.713043478260869</v>
      </c>
      <c r="N374" s="25" t="str">
        <f t="shared" si="22"/>
        <v>ORDER NOW</v>
      </c>
      <c r="O374" s="25" t="str">
        <f t="shared" si="23"/>
        <v>CRITICAL</v>
      </c>
      <c r="Q374" s="87">
        <f>VLOOKUP(C374,'Master File June-26'!$C$3:$S$670,17,0)</f>
        <v>46131.519131944442</v>
      </c>
    </row>
    <row r="375" spans="1:17" ht="18.75" hidden="1" x14ac:dyDescent="0.25">
      <c r="A375" s="19">
        <v>70</v>
      </c>
      <c r="B375" s="19" t="s">
        <v>18</v>
      </c>
      <c r="C375" s="19" t="s">
        <v>93</v>
      </c>
      <c r="D375" s="28" t="s">
        <v>1625</v>
      </c>
      <c r="E375" s="27" t="s">
        <v>95</v>
      </c>
      <c r="F375" s="5" t="s">
        <v>22</v>
      </c>
      <c r="G375" s="21">
        <v>2E-3</v>
      </c>
      <c r="H375" s="22">
        <f>VLOOKUP(C375,'Master File June-26'!$C$3:$I$670,6,0)</f>
        <v>100</v>
      </c>
      <c r="I375" s="22">
        <f>VLOOKUP(C375,'Master File June-26'!$C$3:$I$670,7,0)</f>
        <v>50000</v>
      </c>
      <c r="J375" s="5">
        <f>VLOOKUP(C375,'Master File June-26'!C:J,8,0)</f>
        <v>14</v>
      </c>
      <c r="K375" s="23">
        <f t="shared" si="20"/>
        <v>28000.000000000004</v>
      </c>
      <c r="L375" s="58">
        <f>VLOOKUP(C375,'Master File June-26'!C:L,10,0)</f>
        <v>44000</v>
      </c>
      <c r="M375" s="24">
        <f t="shared" si="21"/>
        <v>26.4</v>
      </c>
      <c r="N375" s="25" t="str">
        <f t="shared" si="22"/>
        <v>IN STOCK</v>
      </c>
      <c r="O375" s="25" t="str">
        <f t="shared" si="23"/>
        <v>FOLLOW UP DELIVERY</v>
      </c>
      <c r="P375" t="s">
        <v>30</v>
      </c>
      <c r="Q375" s="87">
        <f>VLOOKUP(C375,'Master File June-26'!$C$3:$S$670,17,0)</f>
        <v>46131.518379629626</v>
      </c>
    </row>
    <row r="376" spans="1:17" ht="18.75" hidden="1" x14ac:dyDescent="0.25">
      <c r="A376" s="39">
        <v>313</v>
      </c>
      <c r="B376" s="39" t="s">
        <v>123</v>
      </c>
      <c r="C376" s="39" t="s">
        <v>1434</v>
      </c>
      <c r="D376" s="28" t="s">
        <v>1435</v>
      </c>
      <c r="E376" s="27" t="s">
        <v>78</v>
      </c>
      <c r="F376" s="5" t="s">
        <v>49</v>
      </c>
      <c r="G376" s="21">
        <v>1</v>
      </c>
      <c r="H376" s="22">
        <v>24</v>
      </c>
      <c r="I376" s="22">
        <f>H376/G376</f>
        <v>24</v>
      </c>
      <c r="J376" s="5">
        <f>VLOOKUP(C376,'Master File June-26'!C:J,8,0)</f>
        <v>14</v>
      </c>
      <c r="K376" s="23">
        <f t="shared" si="20"/>
        <v>13.440000000000001</v>
      </c>
      <c r="L376" s="58">
        <f>VLOOKUP(C376,'Master File June-26'!C:L,10,0)</f>
        <v>0</v>
      </c>
      <c r="M376" s="24">
        <f t="shared" si="21"/>
        <v>0</v>
      </c>
      <c r="N376" s="25" t="str">
        <f t="shared" si="22"/>
        <v>ORDER NOW</v>
      </c>
      <c r="O376" s="25" t="str">
        <f t="shared" si="23"/>
        <v>CRITICAL</v>
      </c>
      <c r="Q376" s="87" t="e">
        <f>VLOOKUP(C376,[2]Sheet1!$C$3:$P$524,14,0)</f>
        <v>#N/A</v>
      </c>
    </row>
    <row r="377" spans="1:17" ht="18.75" hidden="1" x14ac:dyDescent="0.25">
      <c r="A377" s="39">
        <v>320</v>
      </c>
      <c r="B377" s="39" t="s">
        <v>123</v>
      </c>
      <c r="C377" s="39" t="s">
        <v>1280</v>
      </c>
      <c r="D377" s="28" t="s">
        <v>1281</v>
      </c>
      <c r="E377" s="27" t="s">
        <v>706</v>
      </c>
      <c r="F377" s="5" t="s">
        <v>49</v>
      </c>
      <c r="G377" s="21">
        <f>1/5</f>
        <v>0.2</v>
      </c>
      <c r="H377" s="22">
        <v>20</v>
      </c>
      <c r="I377" s="22">
        <f>H377/G377</f>
        <v>100</v>
      </c>
      <c r="J377" s="5">
        <f>VLOOKUP(C377,'Master File June-26'!C:J,8,0)</f>
        <v>14</v>
      </c>
      <c r="K377" s="23">
        <f t="shared" si="20"/>
        <v>56.000000000000007</v>
      </c>
      <c r="L377" s="58">
        <f>VLOOKUP(C377,'Master File June-26'!C:L,10,0)</f>
        <v>73</v>
      </c>
      <c r="M377" s="24">
        <f t="shared" si="21"/>
        <v>21.9</v>
      </c>
      <c r="N377" s="25" t="str">
        <f t="shared" si="22"/>
        <v>IN STOCK</v>
      </c>
      <c r="O377" s="25" t="str">
        <f t="shared" si="23"/>
        <v>FOLLOW UP DELIVERY</v>
      </c>
      <c r="Q377" s="87" t="e">
        <f>VLOOKUP(C377,[2]Sheet1!$C$3:$P$524,14,0)</f>
        <v>#N/A</v>
      </c>
    </row>
    <row r="378" spans="1:17" ht="18.75" hidden="1" x14ac:dyDescent="0.25">
      <c r="A378" s="19">
        <v>28</v>
      </c>
      <c r="B378" s="19" t="s">
        <v>18</v>
      </c>
      <c r="C378" s="19" t="s">
        <v>1145</v>
      </c>
      <c r="D378" s="28" t="s">
        <v>1146</v>
      </c>
      <c r="E378" s="27" t="s">
        <v>873</v>
      </c>
      <c r="F378" s="5" t="s">
        <v>22</v>
      </c>
      <c r="G378" s="21">
        <v>2E-3</v>
      </c>
      <c r="H378" s="22">
        <f>VLOOKUP(C378,'Master File June-26'!$C$3:$I$670,6,0)</f>
        <v>995.5</v>
      </c>
      <c r="I378" s="22">
        <f>VLOOKUP(C378,'Master File June-26'!$C$3:$I$670,7,0)</f>
        <v>497750</v>
      </c>
      <c r="J378" s="5">
        <f>VLOOKUP(C378,'Master File June-26'!C:J,8,0)</f>
        <v>60</v>
      </c>
      <c r="K378" s="23">
        <f t="shared" si="20"/>
        <v>1194600</v>
      </c>
      <c r="L378" s="58">
        <f>VLOOKUP(C378,'Master File June-26'!C:L,10,0)</f>
        <v>247000</v>
      </c>
      <c r="M378" s="24">
        <f t="shared" si="21"/>
        <v>14.886991461577097</v>
      </c>
      <c r="N378" s="25" t="str">
        <f t="shared" si="22"/>
        <v>ORDER NOW</v>
      </c>
      <c r="O378" s="25" t="str">
        <f t="shared" si="23"/>
        <v>CRITICAL</v>
      </c>
      <c r="P378" t="s">
        <v>30</v>
      </c>
      <c r="Q378" s="87">
        <f>VLOOKUP(C378,'Master File June-26'!$C$3:$S$670,17,0)</f>
        <v>46138.481678240743</v>
      </c>
    </row>
    <row r="379" spans="1:17" ht="18.75" hidden="1" x14ac:dyDescent="0.25">
      <c r="A379" s="19">
        <v>84</v>
      </c>
      <c r="B379" s="19" t="s">
        <v>18</v>
      </c>
      <c r="C379" s="19" t="s">
        <v>1183</v>
      </c>
      <c r="D379" s="28" t="s">
        <v>1184</v>
      </c>
      <c r="E379" s="27" t="s">
        <v>186</v>
      </c>
      <c r="F379" s="5" t="s">
        <v>22</v>
      </c>
      <c r="G379" s="21">
        <v>2E-3</v>
      </c>
      <c r="H379" s="22">
        <v>80</v>
      </c>
      <c r="I379" s="22">
        <f>H379/G379</f>
        <v>40000</v>
      </c>
      <c r="J379" s="5">
        <f>VLOOKUP(C379,'Master File June-26'!C:J,8,0)</f>
        <v>14</v>
      </c>
      <c r="K379" s="23">
        <f t="shared" si="20"/>
        <v>22400.000000000004</v>
      </c>
      <c r="L379" s="58">
        <f>VLOOKUP(C379,'Master File June-26'!C:L,10,0)</f>
        <v>4200</v>
      </c>
      <c r="M379" s="24">
        <f t="shared" si="21"/>
        <v>3.15</v>
      </c>
      <c r="N379" s="25" t="str">
        <f t="shared" si="22"/>
        <v>ORDER NOW</v>
      </c>
      <c r="O379" s="25" t="str">
        <f t="shared" si="23"/>
        <v>CRITICAL</v>
      </c>
      <c r="P379" t="s">
        <v>30</v>
      </c>
      <c r="Q379" s="87" t="e">
        <f>VLOOKUP(C379,[2]Sheet1!$C$3:$P$524,14,0)</f>
        <v>#N/A</v>
      </c>
    </row>
    <row r="380" spans="1:17" ht="18.75" hidden="1" x14ac:dyDescent="0.25">
      <c r="A380" s="41">
        <v>380</v>
      </c>
      <c r="B380" s="41" t="s">
        <v>38</v>
      </c>
      <c r="C380" s="41" t="s">
        <v>79</v>
      </c>
      <c r="D380" s="28" t="s">
        <v>80</v>
      </c>
      <c r="E380" s="27" t="s">
        <v>81</v>
      </c>
      <c r="F380" s="5" t="s">
        <v>49</v>
      </c>
      <c r="G380" s="21">
        <v>8.3333333333333329E-2</v>
      </c>
      <c r="H380" s="22">
        <f>VLOOKUP(C380,'Master File June-26'!$C$3:$I$670,6,0)</f>
        <v>55</v>
      </c>
      <c r="I380" s="22">
        <f>VLOOKUP(C380,'Master File June-26'!$C$3:$I$670,7,0)</f>
        <v>660</v>
      </c>
      <c r="J380" s="5">
        <f>VLOOKUP(C380,'Master File June-26'!C:J,8,0)</f>
        <v>14</v>
      </c>
      <c r="K380" s="23">
        <f t="shared" si="20"/>
        <v>369.6</v>
      </c>
      <c r="L380" s="58">
        <f>VLOOKUP(C380,'Master File June-26'!C:L,10,0)</f>
        <v>6.1999999999999993</v>
      </c>
      <c r="M380" s="24">
        <f t="shared" si="21"/>
        <v>0.2818181818181818</v>
      </c>
      <c r="N380" s="25" t="str">
        <f t="shared" si="22"/>
        <v>ORDER NOW</v>
      </c>
      <c r="O380" s="25" t="str">
        <f t="shared" si="23"/>
        <v>CRITICAL</v>
      </c>
      <c r="Q380" s="87">
        <f>VLOOKUP(C380,'Master File June-26'!$C$3:$S$670,17,0)</f>
        <v>46134.446331018517</v>
      </c>
    </row>
    <row r="381" spans="1:17" ht="18.75" hidden="1" x14ac:dyDescent="0.25">
      <c r="A381" s="41">
        <v>390</v>
      </c>
      <c r="B381" s="41" t="s">
        <v>38</v>
      </c>
      <c r="C381" s="41" t="s">
        <v>65</v>
      </c>
      <c r="D381" s="28" t="s">
        <v>66</v>
      </c>
      <c r="E381" s="27" t="s">
        <v>67</v>
      </c>
      <c r="F381" s="5" t="s">
        <v>49</v>
      </c>
      <c r="G381" s="21">
        <v>2</v>
      </c>
      <c r="H381" s="22">
        <f>VLOOKUP(C381,'Master File June-26'!$C$3:$I$670,6,0)</f>
        <v>44</v>
      </c>
      <c r="I381" s="22">
        <f>VLOOKUP(C381,'Master File June-26'!$C$3:$I$670,7,0)</f>
        <v>22</v>
      </c>
      <c r="J381" s="5">
        <f>VLOOKUP(C381,'Master File June-26'!C:J,8,0)</f>
        <v>14</v>
      </c>
      <c r="K381" s="23">
        <f t="shared" si="20"/>
        <v>12.32</v>
      </c>
      <c r="L381" s="58">
        <f>VLOOKUP(C381,'Master File June-26'!C:L,10,0)</f>
        <v>0</v>
      </c>
      <c r="M381" s="24">
        <f t="shared" si="21"/>
        <v>0</v>
      </c>
      <c r="N381" s="25" t="str">
        <f t="shared" si="22"/>
        <v>ORDER NOW</v>
      </c>
      <c r="O381" s="25" t="str">
        <f t="shared" si="23"/>
        <v>CRITICAL</v>
      </c>
      <c r="Q381" s="87">
        <f>VLOOKUP(C381,'Master File June-26'!$C$3:$S$670,17,0)</f>
        <v>46140.605092592596</v>
      </c>
    </row>
    <row r="382" spans="1:17" ht="18.75" hidden="1" x14ac:dyDescent="0.25">
      <c r="A382" s="39">
        <v>329</v>
      </c>
      <c r="B382" s="39" t="s">
        <v>123</v>
      </c>
      <c r="C382" s="39" t="s">
        <v>1065</v>
      </c>
      <c r="D382" s="40" t="s">
        <v>1066</v>
      </c>
      <c r="E382" s="31" t="s">
        <v>22</v>
      </c>
      <c r="F382" s="5" t="s">
        <v>22</v>
      </c>
      <c r="G382" s="21">
        <v>0.16666666666666666</v>
      </c>
      <c r="H382" s="22">
        <v>250</v>
      </c>
      <c r="I382" s="22">
        <f>H382/G382</f>
        <v>1500</v>
      </c>
      <c r="J382" s="5">
        <f>VLOOKUP(C382,'Master File June-26'!C:J,8,0)</f>
        <v>14</v>
      </c>
      <c r="K382" s="23">
        <f t="shared" si="20"/>
        <v>840.00000000000011</v>
      </c>
      <c r="L382" s="58">
        <f>VLOOKUP(C382,'Master File June-26'!C:L,10,0)</f>
        <v>24</v>
      </c>
      <c r="M382" s="24">
        <f t="shared" si="21"/>
        <v>0.48</v>
      </c>
      <c r="N382" s="25" t="str">
        <f t="shared" si="22"/>
        <v>ORDER NOW</v>
      </c>
      <c r="O382" s="25" t="str">
        <f t="shared" si="23"/>
        <v>CRITICAL</v>
      </c>
      <c r="Q382" s="87" t="e">
        <f>VLOOKUP(C382,[2]Sheet1!$C$3:$P$524,14,0)</f>
        <v>#N/A</v>
      </c>
    </row>
    <row r="383" spans="1:17" ht="18.75" hidden="1" x14ac:dyDescent="0.25">
      <c r="A383" s="19">
        <v>133</v>
      </c>
      <c r="B383" s="19" t="s">
        <v>18</v>
      </c>
      <c r="C383" s="19" t="s">
        <v>1363</v>
      </c>
      <c r="D383" s="28" t="s">
        <v>1364</v>
      </c>
      <c r="E383" s="27" t="s">
        <v>25</v>
      </c>
      <c r="F383" s="5" t="s">
        <v>22</v>
      </c>
      <c r="G383" s="21">
        <v>2E-3</v>
      </c>
      <c r="H383" s="22">
        <v>6</v>
      </c>
      <c r="I383" s="22">
        <f>H383/G383</f>
        <v>3000</v>
      </c>
      <c r="J383" s="5">
        <f>VLOOKUP(C383,'Master File June-26'!C:J,8,0)</f>
        <v>14</v>
      </c>
      <c r="K383" s="23">
        <f t="shared" si="20"/>
        <v>1680.0000000000002</v>
      </c>
      <c r="L383" s="58">
        <f>VLOOKUP(C383,'Master File June-26'!C:L,10,0)</f>
        <v>5</v>
      </c>
      <c r="M383" s="24">
        <f t="shared" si="21"/>
        <v>0.05</v>
      </c>
      <c r="N383" s="25" t="str">
        <f t="shared" si="22"/>
        <v>ORDER NOW</v>
      </c>
      <c r="O383" s="25" t="str">
        <f t="shared" si="23"/>
        <v>CRITICAL</v>
      </c>
      <c r="P383" t="s">
        <v>30</v>
      </c>
      <c r="Q383" s="87" t="e">
        <f>VLOOKUP(C383,[2]Sheet1!$C$3:$P$524,14,0)</f>
        <v>#N/A</v>
      </c>
    </row>
    <row r="384" spans="1:17" ht="18.75" hidden="1" x14ac:dyDescent="0.25">
      <c r="A384" s="19">
        <v>35</v>
      </c>
      <c r="B384" s="19" t="s">
        <v>18</v>
      </c>
      <c r="C384" s="19" t="s">
        <v>1275</v>
      </c>
      <c r="D384" s="28" t="s">
        <v>1276</v>
      </c>
      <c r="E384" s="27" t="s">
        <v>1277</v>
      </c>
      <c r="F384" s="5" t="s">
        <v>22</v>
      </c>
      <c r="G384" s="21">
        <v>1E-3</v>
      </c>
      <c r="H384" s="22">
        <v>96</v>
      </c>
      <c r="I384" s="22">
        <f>H384/G384</f>
        <v>96000</v>
      </c>
      <c r="J384" s="5">
        <f>VLOOKUP(C384,'Master File June-26'!C:J,8,0)</f>
        <v>60</v>
      </c>
      <c r="K384" s="23">
        <f t="shared" si="20"/>
        <v>230400</v>
      </c>
      <c r="L384" s="58">
        <f>VLOOKUP(C384,'Master File June-26'!C:L,10,0)</f>
        <v>0</v>
      </c>
      <c r="M384" s="24">
        <f t="shared" si="21"/>
        <v>0</v>
      </c>
      <c r="N384" s="25" t="str">
        <f t="shared" si="22"/>
        <v>ORDER NOW</v>
      </c>
      <c r="O384" s="25" t="str">
        <f t="shared" si="23"/>
        <v>CRITICAL</v>
      </c>
      <c r="P384" t="s">
        <v>30</v>
      </c>
      <c r="Q384" s="87" t="e">
        <f>VLOOKUP(C384,[2]Sheet1!$C$3:$P$524,14,0)</f>
        <v>#N/A</v>
      </c>
    </row>
    <row r="385" spans="1:17" ht="18.75" hidden="1" x14ac:dyDescent="0.25">
      <c r="A385" s="41">
        <v>334</v>
      </c>
      <c r="B385" s="41" t="s">
        <v>38</v>
      </c>
      <c r="C385" s="41" t="s">
        <v>369</v>
      </c>
      <c r="D385" s="28" t="s">
        <v>370</v>
      </c>
      <c r="E385" s="27" t="s">
        <v>371</v>
      </c>
      <c r="F385" s="5" t="s">
        <v>22</v>
      </c>
      <c r="G385" s="21">
        <v>8.3333333333333329E-2</v>
      </c>
      <c r="H385" s="22">
        <f>VLOOKUP(C385,'Master File June-26'!$C$3:$I$670,6,0)</f>
        <v>77</v>
      </c>
      <c r="I385" s="22">
        <f>VLOOKUP(C385,'Master File June-26'!$C$3:$I$670,7,0)</f>
        <v>924</v>
      </c>
      <c r="J385" s="5">
        <f>VLOOKUP(C385,'Master File June-26'!C:J,8,0)</f>
        <v>14</v>
      </c>
      <c r="K385" s="23">
        <f t="shared" si="20"/>
        <v>517.44000000000005</v>
      </c>
      <c r="L385" s="58">
        <f>VLOOKUP(C385,'Master File June-26'!C:L,10,0)</f>
        <v>0</v>
      </c>
      <c r="M385" s="24">
        <f t="shared" si="21"/>
        <v>0</v>
      </c>
      <c r="N385" s="25" t="str">
        <f t="shared" si="22"/>
        <v>ORDER NOW</v>
      </c>
      <c r="O385" s="25" t="str">
        <f t="shared" si="23"/>
        <v>CRITICAL</v>
      </c>
      <c r="Q385" s="87">
        <f>VLOOKUP(C385,'Master File June-26'!$C$3:$S$670,17,0)</f>
        <v>46113.430914351855</v>
      </c>
    </row>
    <row r="386" spans="1:17" ht="18.75" hidden="1" x14ac:dyDescent="0.25">
      <c r="A386" s="19">
        <v>140</v>
      </c>
      <c r="B386" s="19" t="s">
        <v>18</v>
      </c>
      <c r="C386" s="19" t="s">
        <v>1403</v>
      </c>
      <c r="D386" s="28" t="s">
        <v>1404</v>
      </c>
      <c r="E386" s="27" t="s">
        <v>942</v>
      </c>
      <c r="F386" s="5" t="s">
        <v>49</v>
      </c>
      <c r="G386" s="21">
        <f>1/1000</f>
        <v>1E-3</v>
      </c>
      <c r="H386" s="22">
        <v>12</v>
      </c>
      <c r="I386" s="22">
        <f>H386/G386</f>
        <v>12000</v>
      </c>
      <c r="J386" s="5">
        <f>VLOOKUP(C386,'Master File June-26'!C:J,8,0)</f>
        <v>14</v>
      </c>
      <c r="K386" s="23">
        <f t="shared" si="20"/>
        <v>6720.0000000000009</v>
      </c>
      <c r="L386" s="58">
        <f>VLOOKUP(C386,'Master File June-26'!C:L,10,0)</f>
        <v>0</v>
      </c>
      <c r="M386" s="24">
        <f t="shared" si="21"/>
        <v>0</v>
      </c>
      <c r="N386" s="25" t="str">
        <f t="shared" si="22"/>
        <v>ORDER NOW</v>
      </c>
      <c r="O386" s="25" t="str">
        <f t="shared" si="23"/>
        <v>CRITICAL</v>
      </c>
      <c r="P386" t="s">
        <v>30</v>
      </c>
      <c r="Q386" s="87" t="e">
        <f>VLOOKUP(C386,[2]Sheet1!$C$3:$P$524,14,0)</f>
        <v>#N/A</v>
      </c>
    </row>
    <row r="387" spans="1:17" ht="18.75" hidden="1" x14ac:dyDescent="0.25">
      <c r="A387" s="41">
        <v>517</v>
      </c>
      <c r="B387" s="41" t="s">
        <v>85</v>
      </c>
      <c r="C387" s="41" t="s">
        <v>713</v>
      </c>
      <c r="D387" s="28" t="s">
        <v>714</v>
      </c>
      <c r="E387" s="27" t="s">
        <v>715</v>
      </c>
      <c r="F387" s="5" t="s">
        <v>54</v>
      </c>
      <c r="G387" s="21">
        <v>2.5000000000000001E-2</v>
      </c>
      <c r="H387" s="22">
        <v>149</v>
      </c>
      <c r="I387" s="22">
        <f>H387/G387</f>
        <v>5960</v>
      </c>
      <c r="J387" s="5">
        <f>VLOOKUP(C387,'Master File June-26'!C:J,8,0)</f>
        <v>14</v>
      </c>
      <c r="K387" s="23">
        <f t="shared" ref="K387:K450" si="24">I387*(J387/25)</f>
        <v>3337.6000000000004</v>
      </c>
      <c r="L387" s="58">
        <f>VLOOKUP(C387,'Master File June-26'!C:L,10,0)</f>
        <v>0</v>
      </c>
      <c r="M387" s="24">
        <f t="shared" ref="M387:M450" si="25">IFERROR((L387/I387*30),0)</f>
        <v>0</v>
      </c>
      <c r="N387" s="25" t="str">
        <f t="shared" ref="N387:N450" si="26">IF(M387&lt;J387,"ORDER NOW","IN STOCK")</f>
        <v>ORDER NOW</v>
      </c>
      <c r="O387" s="25" t="str">
        <f t="shared" ref="O387:O450" si="27">IF(M387&lt;J387,"CRITICAL","FOLLOW UP DELIVERY")</f>
        <v>CRITICAL</v>
      </c>
      <c r="Q387" s="87">
        <f>VLOOKUP(C387,'Master File June-26'!$C$3:$S$670,17,0)</f>
        <v>46134.44672453704</v>
      </c>
    </row>
    <row r="388" spans="1:17" ht="18.75" hidden="1" x14ac:dyDescent="0.25">
      <c r="A388" s="19">
        <v>166</v>
      </c>
      <c r="B388" s="19" t="s">
        <v>18</v>
      </c>
      <c r="C388" s="19" t="s">
        <v>1249</v>
      </c>
      <c r="D388" s="28" t="s">
        <v>1250</v>
      </c>
      <c r="E388" s="27" t="s">
        <v>1251</v>
      </c>
      <c r="F388" s="5" t="s">
        <v>22</v>
      </c>
      <c r="G388" s="21">
        <f>1/150</f>
        <v>6.6666666666666671E-3</v>
      </c>
      <c r="H388" s="22">
        <v>8</v>
      </c>
      <c r="I388" s="22">
        <f>H388/G388</f>
        <v>1200</v>
      </c>
      <c r="J388" s="5">
        <f>VLOOKUP(C388,'Master File June-26'!C:J,8,0)</f>
        <v>14</v>
      </c>
      <c r="K388" s="23">
        <f t="shared" si="24"/>
        <v>672.00000000000011</v>
      </c>
      <c r="L388" s="58">
        <f>VLOOKUP(C388,'Master File June-26'!C:L,10,0)</f>
        <v>0</v>
      </c>
      <c r="M388" s="24">
        <f t="shared" si="25"/>
        <v>0</v>
      </c>
      <c r="N388" s="25" t="str">
        <f t="shared" si="26"/>
        <v>ORDER NOW</v>
      </c>
      <c r="O388" s="25" t="str">
        <f t="shared" si="27"/>
        <v>CRITICAL</v>
      </c>
      <c r="Q388" s="87" t="e">
        <f>VLOOKUP(C388,[2]Sheet1!$C$3:$P$524,14,0)</f>
        <v>#N/A</v>
      </c>
    </row>
    <row r="389" spans="1:17" ht="18.75" hidden="1" x14ac:dyDescent="0.25">
      <c r="A389" s="39">
        <v>203</v>
      </c>
      <c r="B389" s="39" t="s">
        <v>18</v>
      </c>
      <c r="C389" s="39" t="s">
        <v>1316</v>
      </c>
      <c r="D389" s="34" t="s">
        <v>1317</v>
      </c>
      <c r="E389" s="31" t="s">
        <v>160</v>
      </c>
      <c r="F389" s="5" t="s">
        <v>49</v>
      </c>
      <c r="G389" s="21">
        <v>1</v>
      </c>
      <c r="H389" s="22">
        <v>22</v>
      </c>
      <c r="I389" s="22">
        <f>H389/G389</f>
        <v>22</v>
      </c>
      <c r="J389" s="5">
        <f>VLOOKUP(C389,'Master File June-26'!C:J,8,0)</f>
        <v>14</v>
      </c>
      <c r="K389" s="23">
        <f t="shared" si="24"/>
        <v>12.32</v>
      </c>
      <c r="L389" s="58">
        <f>VLOOKUP(C389,'Master File June-26'!C:L,10,0)</f>
        <v>0</v>
      </c>
      <c r="M389" s="24">
        <f t="shared" si="25"/>
        <v>0</v>
      </c>
      <c r="N389" s="25" t="str">
        <f t="shared" si="26"/>
        <v>ORDER NOW</v>
      </c>
      <c r="O389" s="25" t="str">
        <f t="shared" si="27"/>
        <v>CRITICAL</v>
      </c>
      <c r="Q389" s="87" t="e">
        <f>VLOOKUP(C389,[2]Sheet1!$C$3:$P$524,14,0)</f>
        <v>#N/A</v>
      </c>
    </row>
    <row r="390" spans="1:17" ht="18.75" hidden="1" x14ac:dyDescent="0.25">
      <c r="A390" s="41">
        <v>375</v>
      </c>
      <c r="B390" s="41" t="s">
        <v>85</v>
      </c>
      <c r="C390" s="41" t="s">
        <v>127</v>
      </c>
      <c r="D390" s="28" t="s">
        <v>128</v>
      </c>
      <c r="E390" s="27" t="s">
        <v>101</v>
      </c>
      <c r="F390" s="5" t="s">
        <v>22</v>
      </c>
      <c r="G390" s="21">
        <v>0.16666666666666666</v>
      </c>
      <c r="H390" s="22">
        <f>VLOOKUP(C390,'Master File June-26'!$C$3:$I$670,6,0)</f>
        <v>16.5</v>
      </c>
      <c r="I390" s="22">
        <f>VLOOKUP(C390,'Master File June-26'!$C$3:$I$670,7,0)</f>
        <v>99</v>
      </c>
      <c r="J390" s="5">
        <f>VLOOKUP(C390,'Master File June-26'!C:J,8,0)</f>
        <v>14</v>
      </c>
      <c r="K390" s="23">
        <f t="shared" si="24"/>
        <v>55.440000000000005</v>
      </c>
      <c r="L390" s="58">
        <f>VLOOKUP(C390,'Master File June-26'!C:L,10,0)</f>
        <v>99</v>
      </c>
      <c r="M390" s="24">
        <f t="shared" si="25"/>
        <v>30</v>
      </c>
      <c r="N390" s="25" t="str">
        <f t="shared" si="26"/>
        <v>IN STOCK</v>
      </c>
      <c r="O390" s="25" t="str">
        <f t="shared" si="27"/>
        <v>FOLLOW UP DELIVERY</v>
      </c>
      <c r="Q390" s="87">
        <f>VLOOKUP(C390,'Master File June-26'!$C$3:$S$670,17,0)</f>
        <v>46113.430949074071</v>
      </c>
    </row>
    <row r="391" spans="1:17" ht="18.75" hidden="1" x14ac:dyDescent="0.25">
      <c r="A391" s="41">
        <v>382</v>
      </c>
      <c r="B391" s="41" t="s">
        <v>38</v>
      </c>
      <c r="C391" s="41" t="s">
        <v>1091</v>
      </c>
      <c r="D391" s="28" t="s">
        <v>1092</v>
      </c>
      <c r="E391" s="27" t="s">
        <v>1093</v>
      </c>
      <c r="F391" s="5" t="s">
        <v>89</v>
      </c>
      <c r="G391" s="21">
        <f>1/9</f>
        <v>0.1111111111111111</v>
      </c>
      <c r="H391" s="22">
        <v>5.5</v>
      </c>
      <c r="I391" s="22">
        <f>H391/G391</f>
        <v>49.5</v>
      </c>
      <c r="J391" s="5">
        <f>VLOOKUP(C391,'Master File June-26'!C:J,8,0)</f>
        <v>14</v>
      </c>
      <c r="K391" s="23">
        <f t="shared" si="24"/>
        <v>27.720000000000002</v>
      </c>
      <c r="L391" s="58">
        <f>VLOOKUP(C391,'Master File June-26'!C:L,10,0)</f>
        <v>0</v>
      </c>
      <c r="M391" s="24">
        <f t="shared" si="25"/>
        <v>0</v>
      </c>
      <c r="N391" s="25" t="str">
        <f t="shared" si="26"/>
        <v>ORDER NOW</v>
      </c>
      <c r="O391" s="25" t="str">
        <f t="shared" si="27"/>
        <v>CRITICAL</v>
      </c>
      <c r="Q391" s="87" t="e">
        <f>VLOOKUP(C391,[2]Sheet1!$C$3:$P$524,14,0)</f>
        <v>#N/A</v>
      </c>
    </row>
    <row r="392" spans="1:17" ht="18.75" hidden="1" x14ac:dyDescent="0.25">
      <c r="A392" s="41">
        <v>430</v>
      </c>
      <c r="B392" s="41" t="s">
        <v>38</v>
      </c>
      <c r="C392" s="41" t="s">
        <v>1185</v>
      </c>
      <c r="D392" s="28" t="s">
        <v>1186</v>
      </c>
      <c r="E392" s="27" t="s">
        <v>1187</v>
      </c>
      <c r="F392" s="5" t="s">
        <v>22</v>
      </c>
      <c r="G392" s="21">
        <v>4.1666666666666664E-2</v>
      </c>
      <c r="H392" s="22">
        <v>100</v>
      </c>
      <c r="I392" s="22">
        <f>H392/G392</f>
        <v>2400</v>
      </c>
      <c r="J392" s="5">
        <f>VLOOKUP(C392,'Master File June-26'!C:J,8,0)</f>
        <v>14</v>
      </c>
      <c r="K392" s="23">
        <f t="shared" si="24"/>
        <v>1344.0000000000002</v>
      </c>
      <c r="L392" s="58">
        <f>VLOOKUP(C392,'Master File June-26'!C:L,10,0)</f>
        <v>480</v>
      </c>
      <c r="M392" s="24">
        <f t="shared" si="25"/>
        <v>6</v>
      </c>
      <c r="N392" s="25" t="str">
        <f t="shared" si="26"/>
        <v>ORDER NOW</v>
      </c>
      <c r="O392" s="25" t="str">
        <f t="shared" si="27"/>
        <v>CRITICAL</v>
      </c>
      <c r="Q392" s="87" t="e">
        <f>VLOOKUP(C392,[2]Sheet1!$C$3:$P$524,14,0)</f>
        <v>#N/A</v>
      </c>
    </row>
    <row r="393" spans="1:17" ht="18.75" hidden="1" x14ac:dyDescent="0.25">
      <c r="A393" s="41">
        <v>376</v>
      </c>
      <c r="B393" s="41" t="s">
        <v>85</v>
      </c>
      <c r="C393" s="41" t="s">
        <v>912</v>
      </c>
      <c r="D393" s="28" t="s">
        <v>913</v>
      </c>
      <c r="E393" s="27" t="s">
        <v>101</v>
      </c>
      <c r="F393" s="5" t="s">
        <v>22</v>
      </c>
      <c r="G393" s="21">
        <v>0.16666666666666666</v>
      </c>
      <c r="H393" s="22">
        <f>VLOOKUP(C393,'Master File June-26'!$C$3:$I$670,6,0)</f>
        <v>64.5</v>
      </c>
      <c r="I393" s="22">
        <f>VLOOKUP(C393,'Master File June-26'!$C$3:$I$670,7,0)</f>
        <v>387</v>
      </c>
      <c r="J393" s="5">
        <f>VLOOKUP(C393,'Master File June-26'!C:J,8,0)</f>
        <v>14</v>
      </c>
      <c r="K393" s="23">
        <f t="shared" si="24"/>
        <v>216.72000000000003</v>
      </c>
      <c r="L393" s="58">
        <f>VLOOKUP(C393,'Master File June-26'!C:L,10,0)</f>
        <v>864</v>
      </c>
      <c r="M393" s="24">
        <f t="shared" si="25"/>
        <v>66.976744186046517</v>
      </c>
      <c r="N393" s="25" t="str">
        <f t="shared" si="26"/>
        <v>IN STOCK</v>
      </c>
      <c r="O393" s="25" t="str">
        <f t="shared" si="27"/>
        <v>FOLLOW UP DELIVERY</v>
      </c>
      <c r="Q393" s="87" t="e">
        <f>VLOOKUP(C393,[2]Sheet1!$C$3:$P$524,14,0)</f>
        <v>#N/A</v>
      </c>
    </row>
    <row r="394" spans="1:17" ht="18.75" hidden="1" x14ac:dyDescent="0.25">
      <c r="A394" s="41">
        <v>509</v>
      </c>
      <c r="B394" s="41" t="s">
        <v>38</v>
      </c>
      <c r="C394" s="41" t="s">
        <v>1292</v>
      </c>
      <c r="D394" s="28" t="s">
        <v>1293</v>
      </c>
      <c r="E394" s="27" t="s">
        <v>1294</v>
      </c>
      <c r="F394" s="5" t="s">
        <v>22</v>
      </c>
      <c r="G394" s="21">
        <v>0.16666666666666666</v>
      </c>
      <c r="H394" s="22">
        <v>8</v>
      </c>
      <c r="I394" s="22">
        <f>H394/G394</f>
        <v>48</v>
      </c>
      <c r="J394" s="5">
        <f>VLOOKUP(C394,'Master File June-26'!C:J,8,0)</f>
        <v>14</v>
      </c>
      <c r="K394" s="97">
        <f t="shared" si="24"/>
        <v>26.880000000000003</v>
      </c>
      <c r="L394" s="58">
        <f>VLOOKUP(C394,'Master File June-26'!C:L,10,0)</f>
        <v>0</v>
      </c>
      <c r="M394" s="98">
        <f t="shared" si="25"/>
        <v>0</v>
      </c>
      <c r="N394" s="99" t="str">
        <f t="shared" si="26"/>
        <v>ORDER NOW</v>
      </c>
      <c r="O394" s="99" t="str">
        <f t="shared" si="27"/>
        <v>CRITICAL</v>
      </c>
      <c r="Q394" s="87" t="e">
        <f>VLOOKUP(C394,[2]Sheet1!$C$3:$P$524,14,0)</f>
        <v>#N/A</v>
      </c>
    </row>
    <row r="395" spans="1:17" ht="18.75" hidden="1" x14ac:dyDescent="0.25">
      <c r="A395" s="39">
        <v>285</v>
      </c>
      <c r="B395" s="39" t="s">
        <v>234</v>
      </c>
      <c r="C395" s="39" t="s">
        <v>881</v>
      </c>
      <c r="D395" s="28" t="s">
        <v>882</v>
      </c>
      <c r="E395" s="27" t="s">
        <v>883</v>
      </c>
      <c r="F395" s="5" t="s">
        <v>22</v>
      </c>
      <c r="G395" s="21">
        <v>4.4444444444444444E-3</v>
      </c>
      <c r="H395" s="22">
        <v>27.5</v>
      </c>
      <c r="I395" s="96">
        <f>H395/G395</f>
        <v>6187.5</v>
      </c>
      <c r="J395" s="5">
        <f>VLOOKUP(C395,'Master File June-26'!C:J,8,0)</f>
        <v>14</v>
      </c>
      <c r="K395" s="23">
        <f t="shared" si="24"/>
        <v>3465.0000000000005</v>
      </c>
      <c r="L395" s="58">
        <f>VLOOKUP(C395,'Master File June-26'!C:L,10,0)</f>
        <v>900</v>
      </c>
      <c r="M395" s="24">
        <f t="shared" si="25"/>
        <v>4.3636363636363633</v>
      </c>
      <c r="N395" s="25" t="str">
        <f t="shared" si="26"/>
        <v>ORDER NOW</v>
      </c>
      <c r="O395" s="25" t="str">
        <f t="shared" si="27"/>
        <v>CRITICAL</v>
      </c>
      <c r="Q395" s="90" t="e">
        <f>VLOOKUP(C395,[2]Sheet1!$C$3:$P$524,14,0)</f>
        <v>#N/A</v>
      </c>
    </row>
    <row r="396" spans="1:17" ht="18.75" hidden="1" x14ac:dyDescent="0.25">
      <c r="A396" s="19">
        <v>131</v>
      </c>
      <c r="B396" s="19" t="s">
        <v>18</v>
      </c>
      <c r="C396" s="19" t="s">
        <v>774</v>
      </c>
      <c r="D396" s="28" t="s">
        <v>775</v>
      </c>
      <c r="E396" s="27" t="s">
        <v>776</v>
      </c>
      <c r="F396" s="5" t="s">
        <v>46</v>
      </c>
      <c r="G396" s="21">
        <v>2E-3</v>
      </c>
      <c r="H396" s="22">
        <v>10</v>
      </c>
      <c r="I396" s="22">
        <f>H396/G396</f>
        <v>5000</v>
      </c>
      <c r="J396" s="5">
        <f>VLOOKUP(C396,'Master File June-26'!C:J,8,0)</f>
        <v>14</v>
      </c>
      <c r="K396" s="100">
        <f t="shared" si="24"/>
        <v>2800.0000000000005</v>
      </c>
      <c r="L396" s="58">
        <f>VLOOKUP(C396,'Master File June-26'!C:L,10,0)</f>
        <v>8000</v>
      </c>
      <c r="M396" s="101">
        <f t="shared" si="25"/>
        <v>48</v>
      </c>
      <c r="N396" s="102" t="str">
        <f t="shared" si="26"/>
        <v>IN STOCK</v>
      </c>
      <c r="O396" s="102" t="str">
        <f t="shared" si="27"/>
        <v>FOLLOW UP DELIVERY</v>
      </c>
      <c r="P396" t="s">
        <v>30</v>
      </c>
      <c r="Q396" s="87" t="e">
        <f>VLOOKUP(C396,[2]Sheet1!$C$3:$P$524,14,0)</f>
        <v>#N/A</v>
      </c>
    </row>
    <row r="397" spans="1:17" ht="18.75" hidden="1" x14ac:dyDescent="0.25">
      <c r="A397" s="41">
        <v>490</v>
      </c>
      <c r="B397" s="41" t="s">
        <v>38</v>
      </c>
      <c r="C397" s="41" t="s">
        <v>1126</v>
      </c>
      <c r="D397" s="35" t="s">
        <v>1127</v>
      </c>
      <c r="E397" s="27" t="s">
        <v>1128</v>
      </c>
      <c r="F397" s="5" t="s">
        <v>54</v>
      </c>
      <c r="G397" s="21">
        <v>0.2</v>
      </c>
      <c r="H397" s="22">
        <v>10</v>
      </c>
      <c r="I397" s="22">
        <f>H397/G397</f>
        <v>50</v>
      </c>
      <c r="J397" s="5">
        <f>VLOOKUP(C397,'Master File June-26'!C:J,8,0)</f>
        <v>14</v>
      </c>
      <c r="K397" s="23">
        <f t="shared" si="24"/>
        <v>28.000000000000004</v>
      </c>
      <c r="L397" s="58">
        <f>VLOOKUP(C397,'Master File June-26'!C:L,10,0)</f>
        <v>0</v>
      </c>
      <c r="M397" s="24">
        <f t="shared" si="25"/>
        <v>0</v>
      </c>
      <c r="N397" s="25" t="str">
        <f t="shared" si="26"/>
        <v>ORDER NOW</v>
      </c>
      <c r="O397" s="25" t="str">
        <f t="shared" si="27"/>
        <v>CRITICAL</v>
      </c>
      <c r="Q397" s="87" t="e">
        <f>VLOOKUP(C397,[2]Sheet1!$C$3:$P$524,14,0)</f>
        <v>#N/A</v>
      </c>
    </row>
    <row r="398" spans="1:17" ht="18.75" hidden="1" x14ac:dyDescent="0.25">
      <c r="A398" s="19">
        <v>172</v>
      </c>
      <c r="B398" s="19" t="s">
        <v>18</v>
      </c>
      <c r="C398" s="19" t="s">
        <v>1497</v>
      </c>
      <c r="D398" s="38" t="s">
        <v>1498</v>
      </c>
      <c r="E398" s="27" t="s">
        <v>1499</v>
      </c>
      <c r="F398" s="5" t="s">
        <v>49</v>
      </c>
      <c r="G398" s="21">
        <f>1/310</f>
        <v>3.2258064516129032E-3</v>
      </c>
      <c r="H398" s="22">
        <v>50</v>
      </c>
      <c r="I398" s="22">
        <f>H398/G398</f>
        <v>15500</v>
      </c>
      <c r="J398" s="5">
        <f>VLOOKUP(C398,'Master File June-26'!C:J,8,0)</f>
        <v>60</v>
      </c>
      <c r="K398" s="23">
        <f t="shared" si="24"/>
        <v>37200</v>
      </c>
      <c r="L398" s="58">
        <f>VLOOKUP(C398,'Master File June-26'!C:L,10,0)</f>
        <v>0</v>
      </c>
      <c r="M398" s="24">
        <f t="shared" si="25"/>
        <v>0</v>
      </c>
      <c r="N398" s="25" t="str">
        <f t="shared" si="26"/>
        <v>ORDER NOW</v>
      </c>
      <c r="O398" s="25" t="str">
        <f t="shared" si="27"/>
        <v>CRITICAL</v>
      </c>
      <c r="Q398" s="87" t="e">
        <f>VLOOKUP(C398,[2]Sheet1!$C$3:$P$524,14,0)</f>
        <v>#N/A</v>
      </c>
    </row>
    <row r="399" spans="1:17" ht="18.75" hidden="1" x14ac:dyDescent="0.25">
      <c r="A399" s="41">
        <v>524</v>
      </c>
      <c r="B399" s="41" t="s">
        <v>38</v>
      </c>
      <c r="C399" s="41" t="s">
        <v>1460</v>
      </c>
      <c r="D399" s="28" t="s">
        <v>1461</v>
      </c>
      <c r="E399" s="27" t="s">
        <v>1462</v>
      </c>
      <c r="F399" s="5" t="s">
        <v>22</v>
      </c>
      <c r="G399" s="21">
        <f>1/3.4</f>
        <v>0.29411764705882354</v>
      </c>
      <c r="H399" s="22">
        <f>VLOOKUP(C399,'Master File June-26'!$C$3:$I$670,6,0)</f>
        <v>5</v>
      </c>
      <c r="I399" s="22">
        <f>VLOOKUP(C399,'Master File June-26'!$C$3:$I$670,7,0)</f>
        <v>17</v>
      </c>
      <c r="J399" s="5">
        <f>VLOOKUP(C399,'Master File June-26'!C:J,8,0)</f>
        <v>14</v>
      </c>
      <c r="K399" s="23">
        <f t="shared" si="24"/>
        <v>9.5200000000000014</v>
      </c>
      <c r="L399" s="58">
        <f>VLOOKUP(C399,'Master File June-26'!C:L,10,0)</f>
        <v>8.7119999999999997</v>
      </c>
      <c r="M399" s="24">
        <f t="shared" si="25"/>
        <v>15.374117647058824</v>
      </c>
      <c r="N399" s="25" t="str">
        <f t="shared" si="26"/>
        <v>IN STOCK</v>
      </c>
      <c r="O399" s="25" t="str">
        <f t="shared" si="27"/>
        <v>FOLLOW UP DELIVERY</v>
      </c>
      <c r="Q399" s="87">
        <f>VLOOKUP(C399,'Master File June-26'!$C$3:$S$670,17,0)</f>
        <v>46131.519907407404</v>
      </c>
    </row>
    <row r="400" spans="1:17" ht="18.75" hidden="1" x14ac:dyDescent="0.25">
      <c r="A400" s="39">
        <v>231</v>
      </c>
      <c r="B400" s="39" t="s">
        <v>123</v>
      </c>
      <c r="C400" s="39" t="s">
        <v>846</v>
      </c>
      <c r="D400" s="28" t="s">
        <v>847</v>
      </c>
      <c r="E400" s="27" t="s">
        <v>254</v>
      </c>
      <c r="F400" s="5" t="s">
        <v>49</v>
      </c>
      <c r="G400" s="21">
        <v>1</v>
      </c>
      <c r="H400" s="22">
        <v>189</v>
      </c>
      <c r="I400" s="22">
        <f>H400/G400</f>
        <v>189</v>
      </c>
      <c r="J400" s="5">
        <f>VLOOKUP(C400,'Master File June-26'!C:J,8,0)</f>
        <v>14</v>
      </c>
      <c r="K400" s="23">
        <f t="shared" si="24"/>
        <v>105.84</v>
      </c>
      <c r="L400" s="58">
        <f>VLOOKUP(C400,'Master File June-26'!C:L,10,0)</f>
        <v>42</v>
      </c>
      <c r="M400" s="24">
        <f t="shared" si="25"/>
        <v>6.6666666666666661</v>
      </c>
      <c r="N400" s="25" t="str">
        <f t="shared" si="26"/>
        <v>ORDER NOW</v>
      </c>
      <c r="O400" s="25" t="str">
        <f t="shared" si="27"/>
        <v>CRITICAL</v>
      </c>
      <c r="Q400" s="87">
        <f>VLOOKUP(C400,'Master File June-26'!$C$3:$S$670,17,0)</f>
        <v>46138.4378125</v>
      </c>
    </row>
    <row r="401" spans="1:17" ht="18.75" hidden="1" x14ac:dyDescent="0.25">
      <c r="A401" s="49">
        <v>584</v>
      </c>
      <c r="B401" s="49" t="s">
        <v>298</v>
      </c>
      <c r="C401" s="49" t="s">
        <v>1299</v>
      </c>
      <c r="D401" s="28" t="s">
        <v>1300</v>
      </c>
      <c r="E401" s="27" t="s">
        <v>49</v>
      </c>
      <c r="F401" s="5" t="s">
        <v>49</v>
      </c>
      <c r="G401" s="21">
        <v>1</v>
      </c>
      <c r="H401" s="22">
        <f>VLOOKUP(C401,'Master File June-26'!$C$3:$I$670,6,0)</f>
        <v>11</v>
      </c>
      <c r="I401" s="22">
        <f>VLOOKUP(C401,'Master File June-26'!$C$3:$I$670,7,0)</f>
        <v>11</v>
      </c>
      <c r="J401" s="5">
        <f>VLOOKUP(C401,'Master File June-26'!C:J,8,0)</f>
        <v>14</v>
      </c>
      <c r="K401" s="23">
        <f t="shared" si="24"/>
        <v>6.16</v>
      </c>
      <c r="L401" s="58">
        <f>VLOOKUP(C401,'Master File June-26'!C:L,10,0)</f>
        <v>0</v>
      </c>
      <c r="M401" s="24">
        <f t="shared" si="25"/>
        <v>0</v>
      </c>
      <c r="N401" s="25" t="str">
        <f t="shared" si="26"/>
        <v>ORDER NOW</v>
      </c>
      <c r="O401" s="25" t="str">
        <f t="shared" si="27"/>
        <v>CRITICAL</v>
      </c>
      <c r="Q401" s="87" t="e">
        <f>VLOOKUP(C401,[2]Sheet1!$C$3:$P$524,14,0)</f>
        <v>#N/A</v>
      </c>
    </row>
    <row r="402" spans="1:17" ht="18.75" hidden="1" x14ac:dyDescent="0.25">
      <c r="A402" s="19">
        <v>100</v>
      </c>
      <c r="B402" s="19" t="s">
        <v>18</v>
      </c>
      <c r="C402" s="19" t="s">
        <v>698</v>
      </c>
      <c r="D402" s="30" t="s">
        <v>699</v>
      </c>
      <c r="E402" s="27" t="s">
        <v>186</v>
      </c>
      <c r="F402" s="5" t="s">
        <v>22</v>
      </c>
      <c r="G402" s="21">
        <v>2E-3</v>
      </c>
      <c r="H402" s="22">
        <f>VLOOKUP(C402,'Master File June-26'!$C$3:$I$670,6,0)</f>
        <v>10</v>
      </c>
      <c r="I402" s="22">
        <f>VLOOKUP(C402,'Master File June-26'!$C$3:$I$670,7,0)</f>
        <v>5000</v>
      </c>
      <c r="J402" s="5">
        <f>VLOOKUP(C402,'Master File June-26'!C:J,8,0)</f>
        <v>14</v>
      </c>
      <c r="K402" s="97">
        <f t="shared" si="24"/>
        <v>2800.0000000000005</v>
      </c>
      <c r="L402" s="58">
        <f>VLOOKUP(C402,'Master File June-26'!C:L,10,0)</f>
        <v>2500</v>
      </c>
      <c r="M402" s="98">
        <f t="shared" si="25"/>
        <v>15</v>
      </c>
      <c r="N402" s="99" t="str">
        <f t="shared" si="26"/>
        <v>IN STOCK</v>
      </c>
      <c r="O402" s="99" t="str">
        <f t="shared" si="27"/>
        <v>FOLLOW UP DELIVERY</v>
      </c>
      <c r="P402" t="s">
        <v>30</v>
      </c>
      <c r="Q402" s="87">
        <v>46113.430891203701</v>
      </c>
    </row>
    <row r="403" spans="1:17" ht="18.75" hidden="1" x14ac:dyDescent="0.25">
      <c r="A403" s="4">
        <v>600</v>
      </c>
      <c r="B403" s="4" t="s">
        <v>38</v>
      </c>
      <c r="C403" s="4" t="s">
        <v>1190</v>
      </c>
      <c r="D403" s="28" t="s">
        <v>1191</v>
      </c>
      <c r="E403" s="27" t="s">
        <v>1192</v>
      </c>
      <c r="F403" s="5" t="s">
        <v>49</v>
      </c>
      <c r="G403" s="21">
        <v>1</v>
      </c>
      <c r="H403" s="22">
        <v>800</v>
      </c>
      <c r="I403" s="96">
        <f>H403/G403</f>
        <v>800</v>
      </c>
      <c r="J403" s="5">
        <f>VLOOKUP(C403,'Master File June-26'!C:J,8,0)</f>
        <v>14</v>
      </c>
      <c r="K403" s="23">
        <f t="shared" si="24"/>
        <v>448.00000000000006</v>
      </c>
      <c r="L403" s="58">
        <f>VLOOKUP(C403,'Master File June-26'!C:L,10,0)</f>
        <v>0</v>
      </c>
      <c r="M403" s="24">
        <f t="shared" si="25"/>
        <v>0</v>
      </c>
      <c r="N403" s="25" t="str">
        <f t="shared" si="26"/>
        <v>ORDER NOW</v>
      </c>
      <c r="O403" s="25" t="str">
        <f t="shared" si="27"/>
        <v>CRITICAL</v>
      </c>
      <c r="Q403" s="90" t="e">
        <f>VLOOKUP(C403,[2]Sheet1!$C$3:$P$524,14,0)</f>
        <v>#N/A</v>
      </c>
    </row>
    <row r="404" spans="1:17" ht="18.75" hidden="1" x14ac:dyDescent="0.25">
      <c r="A404" s="39">
        <v>258</v>
      </c>
      <c r="B404" s="39" t="s">
        <v>157</v>
      </c>
      <c r="C404" s="39" t="s">
        <v>1193</v>
      </c>
      <c r="D404" s="28" t="s">
        <v>1194</v>
      </c>
      <c r="E404" s="27" t="s">
        <v>1195</v>
      </c>
      <c r="F404" s="5" t="s">
        <v>22</v>
      </c>
      <c r="G404" s="21">
        <v>5.0000000000000001E-4</v>
      </c>
      <c r="H404" s="22">
        <v>66</v>
      </c>
      <c r="I404" s="22">
        <f>H404/G404</f>
        <v>132000</v>
      </c>
      <c r="J404" s="5">
        <f>VLOOKUP(C404,'Master File June-26'!C:J,8,0)</f>
        <v>14</v>
      </c>
      <c r="K404" s="100">
        <f t="shared" si="24"/>
        <v>73920</v>
      </c>
      <c r="L404" s="58">
        <f>VLOOKUP(C404,'Master File June-26'!C:L,10,0)</f>
        <v>590</v>
      </c>
      <c r="M404" s="101">
        <f t="shared" si="25"/>
        <v>0.13409090909090909</v>
      </c>
      <c r="N404" s="102" t="str">
        <f t="shared" si="26"/>
        <v>ORDER NOW</v>
      </c>
      <c r="O404" s="102" t="str">
        <f t="shared" si="27"/>
        <v>CRITICAL</v>
      </c>
      <c r="Q404" s="87" t="e">
        <f>VLOOKUP(C404,[2]Sheet1!$C$3:$P$524,14,0)</f>
        <v>#N/A</v>
      </c>
    </row>
    <row r="405" spans="1:17" ht="18.75" x14ac:dyDescent="0.25">
      <c r="A405" s="19">
        <v>30</v>
      </c>
      <c r="B405" s="19" t="s">
        <v>18</v>
      </c>
      <c r="C405" s="19" t="s">
        <v>1405</v>
      </c>
      <c r="D405" s="28" t="s">
        <v>1406</v>
      </c>
      <c r="E405" s="27" t="s">
        <v>25</v>
      </c>
      <c r="F405" s="5" t="s">
        <v>22</v>
      </c>
      <c r="G405" s="21">
        <v>2E-3</v>
      </c>
      <c r="H405" s="22">
        <v>935</v>
      </c>
      <c r="I405" s="22">
        <f>H405/G405</f>
        <v>467500</v>
      </c>
      <c r="J405" s="5">
        <f>VLOOKUP(C405,'Master File June-26'!C:J,8,0)</f>
        <v>60</v>
      </c>
      <c r="K405" s="23">
        <f t="shared" si="24"/>
        <v>1122000</v>
      </c>
      <c r="L405" s="58">
        <f>VLOOKUP(C405,'Master File June-26'!C:L,10,0)</f>
        <v>0</v>
      </c>
      <c r="M405" s="24">
        <f t="shared" si="25"/>
        <v>0</v>
      </c>
      <c r="N405" s="25" t="str">
        <f t="shared" si="26"/>
        <v>ORDER NOW</v>
      </c>
      <c r="O405" s="25" t="str">
        <f t="shared" si="27"/>
        <v>CRITICAL</v>
      </c>
      <c r="P405" t="s">
        <v>30</v>
      </c>
      <c r="Q405" s="87" t="e">
        <f>VLOOKUP(C405,[2]Sheet1!$C$3:$P$524,14,0)</f>
        <v>#N/A</v>
      </c>
    </row>
    <row r="406" spans="1:17" ht="18.75" hidden="1" x14ac:dyDescent="0.25">
      <c r="A406" s="19">
        <v>171</v>
      </c>
      <c r="B406" s="19" t="s">
        <v>18</v>
      </c>
      <c r="C406" s="19" t="s">
        <v>1528</v>
      </c>
      <c r="D406" s="38" t="s">
        <v>1529</v>
      </c>
      <c r="E406" s="27" t="s">
        <v>1530</v>
      </c>
      <c r="F406" s="5" t="s">
        <v>49</v>
      </c>
      <c r="G406" s="21">
        <f>1/331</f>
        <v>3.0211480362537764E-3</v>
      </c>
      <c r="H406" s="22">
        <v>30</v>
      </c>
      <c r="I406" s="22">
        <f>H406/G406</f>
        <v>9930</v>
      </c>
      <c r="J406" s="5">
        <f>VLOOKUP(C406,'Master File June-26'!C:J,8,0)</f>
        <v>60</v>
      </c>
      <c r="K406" s="23">
        <f t="shared" si="24"/>
        <v>23832</v>
      </c>
      <c r="L406" s="58">
        <f>VLOOKUP(C406,'Master File June-26'!C:L,10,0)</f>
        <v>0</v>
      </c>
      <c r="M406" s="24">
        <f t="shared" si="25"/>
        <v>0</v>
      </c>
      <c r="N406" s="25" t="str">
        <f t="shared" si="26"/>
        <v>ORDER NOW</v>
      </c>
      <c r="O406" s="25" t="str">
        <f t="shared" si="27"/>
        <v>CRITICAL</v>
      </c>
      <c r="Q406" s="87" t="e">
        <f>VLOOKUP(C406,[2]Sheet1!$C$3:$P$524,14,0)</f>
        <v>#N/A</v>
      </c>
    </row>
    <row r="407" spans="1:17" ht="18.75" hidden="1" x14ac:dyDescent="0.25">
      <c r="A407" s="4">
        <v>601</v>
      </c>
      <c r="B407" s="4" t="s">
        <v>85</v>
      </c>
      <c r="C407" s="4" t="s">
        <v>747</v>
      </c>
      <c r="D407" s="28" t="s">
        <v>748</v>
      </c>
      <c r="E407" s="27" t="s">
        <v>78</v>
      </c>
      <c r="F407" s="5" t="s">
        <v>49</v>
      </c>
      <c r="G407" s="21">
        <v>1</v>
      </c>
      <c r="H407" s="22">
        <f>VLOOKUP(C407,'Master File June-26'!$C$3:$I$670,6,0)</f>
        <v>121</v>
      </c>
      <c r="I407" s="22">
        <f>VLOOKUP(C407,'Master File June-26'!$C$3:$I$670,7,0)</f>
        <v>121</v>
      </c>
      <c r="J407" s="5">
        <f>VLOOKUP(C407,'Master File June-26'!C:J,8,0)</f>
        <v>14</v>
      </c>
      <c r="K407" s="97">
        <f t="shared" si="24"/>
        <v>67.760000000000005</v>
      </c>
      <c r="L407" s="58">
        <f>VLOOKUP(C407,'Master File June-26'!C:L,10,0)</f>
        <v>0</v>
      </c>
      <c r="M407" s="98">
        <f t="shared" si="25"/>
        <v>0</v>
      </c>
      <c r="N407" s="99" t="str">
        <f t="shared" si="26"/>
        <v>ORDER NOW</v>
      </c>
      <c r="O407" s="99" t="str">
        <f t="shared" si="27"/>
        <v>CRITICAL</v>
      </c>
      <c r="Q407" s="87">
        <f>VLOOKUP(C407,'Master File June-26'!$C$3:$S$670,17,0)</f>
        <v>46138.481446759259</v>
      </c>
    </row>
    <row r="408" spans="1:17" ht="18.75" hidden="1" x14ac:dyDescent="0.25">
      <c r="A408" s="41">
        <v>507</v>
      </c>
      <c r="B408" s="41" t="s">
        <v>38</v>
      </c>
      <c r="C408" s="41" t="s">
        <v>1202</v>
      </c>
      <c r="D408" s="28" t="s">
        <v>1203</v>
      </c>
      <c r="E408" s="27" t="s">
        <v>1204</v>
      </c>
      <c r="F408" s="5" t="s">
        <v>22</v>
      </c>
      <c r="G408" s="21">
        <v>0.8771929824561403</v>
      </c>
      <c r="H408" s="22">
        <v>45</v>
      </c>
      <c r="I408" s="96">
        <f t="shared" ref="I408:I415" si="28">H408/G408</f>
        <v>51.300000000000004</v>
      </c>
      <c r="J408" s="5">
        <f>VLOOKUP(C408,'Master File June-26'!C:J,8,0)</f>
        <v>14</v>
      </c>
      <c r="K408" s="23">
        <f t="shared" si="24"/>
        <v>28.728000000000005</v>
      </c>
      <c r="L408" s="58">
        <f>VLOOKUP(C408,'Master File June-26'!C:L,10,0)</f>
        <v>22.8</v>
      </c>
      <c r="M408" s="24">
        <f t="shared" si="25"/>
        <v>13.333333333333332</v>
      </c>
      <c r="N408" s="25" t="str">
        <f t="shared" si="26"/>
        <v>ORDER NOW</v>
      </c>
      <c r="O408" s="25" t="str">
        <f t="shared" si="27"/>
        <v>CRITICAL</v>
      </c>
      <c r="Q408" s="90" t="e">
        <f>VLOOKUP(C408,[2]Sheet1!$C$3:$P$524,14,0)</f>
        <v>#N/A</v>
      </c>
    </row>
    <row r="409" spans="1:17" ht="18.75" hidden="1" x14ac:dyDescent="0.25">
      <c r="A409" s="39">
        <v>262</v>
      </c>
      <c r="B409" s="39" t="s">
        <v>239</v>
      </c>
      <c r="C409" s="39" t="s">
        <v>1333</v>
      </c>
      <c r="D409" s="28" t="s">
        <v>1334</v>
      </c>
      <c r="E409" s="27" t="s">
        <v>78</v>
      </c>
      <c r="F409" s="5" t="s">
        <v>49</v>
      </c>
      <c r="G409" s="21">
        <v>1</v>
      </c>
      <c r="H409" s="22">
        <v>33</v>
      </c>
      <c r="I409" s="22">
        <f t="shared" si="28"/>
        <v>33</v>
      </c>
      <c r="J409" s="5">
        <f>VLOOKUP(C409,'Master File June-26'!C:J,8,0)</f>
        <v>14</v>
      </c>
      <c r="K409" s="100">
        <f t="shared" si="24"/>
        <v>18.48</v>
      </c>
      <c r="L409" s="58">
        <f>VLOOKUP(C409,'Master File June-26'!C:L,10,0)</f>
        <v>0</v>
      </c>
      <c r="M409" s="101">
        <f t="shared" si="25"/>
        <v>0</v>
      </c>
      <c r="N409" s="102" t="str">
        <f t="shared" si="26"/>
        <v>ORDER NOW</v>
      </c>
      <c r="O409" s="102" t="str">
        <f t="shared" si="27"/>
        <v>CRITICAL</v>
      </c>
      <c r="Q409" s="87" t="e">
        <f>VLOOKUP(C409,[2]Sheet1!$C$3:$P$524,14,0)</f>
        <v>#N/A</v>
      </c>
    </row>
    <row r="410" spans="1:17" ht="18.75" hidden="1" x14ac:dyDescent="0.25">
      <c r="A410" s="41">
        <v>340</v>
      </c>
      <c r="B410" s="41" t="s">
        <v>85</v>
      </c>
      <c r="C410" s="41" t="s">
        <v>1196</v>
      </c>
      <c r="D410" s="30" t="s">
        <v>1197</v>
      </c>
      <c r="E410" s="29" t="s">
        <v>1198</v>
      </c>
      <c r="F410" s="5" t="s">
        <v>22</v>
      </c>
      <c r="G410" s="21">
        <v>4.1666666666666664E-2</v>
      </c>
      <c r="H410" s="22">
        <v>132</v>
      </c>
      <c r="I410" s="22">
        <f t="shared" si="28"/>
        <v>3168</v>
      </c>
      <c r="J410" s="5">
        <f>VLOOKUP(C410,'Master File June-26'!C:J,8,0)</f>
        <v>14</v>
      </c>
      <c r="K410" s="23">
        <f t="shared" si="24"/>
        <v>1774.0800000000002</v>
      </c>
      <c r="L410" s="58">
        <f>VLOOKUP(C410,'Master File June-26'!C:L,10,0)</f>
        <v>2110</v>
      </c>
      <c r="M410" s="24">
        <f t="shared" si="25"/>
        <v>19.981060606060606</v>
      </c>
      <c r="N410" s="25" t="str">
        <f t="shared" si="26"/>
        <v>IN STOCK</v>
      </c>
      <c r="O410" s="25" t="str">
        <f t="shared" si="27"/>
        <v>FOLLOW UP DELIVERY</v>
      </c>
      <c r="Q410" s="87" t="e">
        <f>VLOOKUP(C410,[2]Sheet1!$C$3:$P$524,14,0)</f>
        <v>#N/A</v>
      </c>
    </row>
    <row r="411" spans="1:17" ht="18.75" hidden="1" x14ac:dyDescent="0.25">
      <c r="A411" s="19">
        <v>27</v>
      </c>
      <c r="B411" s="19" t="s">
        <v>18</v>
      </c>
      <c r="C411" s="19" t="s">
        <v>1328</v>
      </c>
      <c r="D411" s="28" t="s">
        <v>1329</v>
      </c>
      <c r="E411" s="27" t="s">
        <v>25</v>
      </c>
      <c r="F411" s="5" t="s">
        <v>22</v>
      </c>
      <c r="G411" s="21">
        <v>2E-3</v>
      </c>
      <c r="H411" s="22">
        <v>1028.5</v>
      </c>
      <c r="I411" s="22">
        <f t="shared" si="28"/>
        <v>514250</v>
      </c>
      <c r="J411" s="5">
        <f>VLOOKUP(C411,'Master File June-26'!C:J,8,0)</f>
        <v>60</v>
      </c>
      <c r="K411" s="23">
        <f t="shared" si="24"/>
        <v>1234200</v>
      </c>
      <c r="L411" s="58">
        <f>VLOOKUP(C411,'Master File June-26'!C:L,10,0)</f>
        <v>178800</v>
      </c>
      <c r="M411" s="24">
        <f t="shared" si="25"/>
        <v>10.430724355858045</v>
      </c>
      <c r="N411" s="25" t="str">
        <f t="shared" si="26"/>
        <v>ORDER NOW</v>
      </c>
      <c r="O411" s="25" t="str">
        <f t="shared" si="27"/>
        <v>CRITICAL</v>
      </c>
      <c r="P411" t="s">
        <v>30</v>
      </c>
      <c r="Q411" s="87" t="e">
        <f>VLOOKUP(C411,[2]Sheet1!$C$3:$P$524,14,0)</f>
        <v>#N/A</v>
      </c>
    </row>
    <row r="412" spans="1:17" ht="18.75" hidden="1" x14ac:dyDescent="0.25">
      <c r="A412" s="19">
        <v>40</v>
      </c>
      <c r="B412" s="19" t="s">
        <v>18</v>
      </c>
      <c r="C412" s="19" t="s">
        <v>1455</v>
      </c>
      <c r="D412" s="28" t="s">
        <v>1456</v>
      </c>
      <c r="E412" s="27" t="s">
        <v>1457</v>
      </c>
      <c r="F412" s="5" t="s">
        <v>22</v>
      </c>
      <c r="G412" s="21">
        <f>1/100</f>
        <v>0.01</v>
      </c>
      <c r="H412" s="22">
        <v>5.5</v>
      </c>
      <c r="I412" s="22">
        <f t="shared" si="28"/>
        <v>550</v>
      </c>
      <c r="J412" s="5">
        <f>VLOOKUP(C412,'Master File June-26'!C:J,8,0)</f>
        <v>14</v>
      </c>
      <c r="K412" s="23">
        <f t="shared" si="24"/>
        <v>308.00000000000006</v>
      </c>
      <c r="L412" s="58">
        <f>VLOOKUP(C412,'Master File June-26'!C:L,10,0)</f>
        <v>0</v>
      </c>
      <c r="M412" s="24">
        <f t="shared" si="25"/>
        <v>0</v>
      </c>
      <c r="N412" s="25" t="str">
        <f t="shared" si="26"/>
        <v>ORDER NOW</v>
      </c>
      <c r="O412" s="25" t="str">
        <f t="shared" si="27"/>
        <v>CRITICAL</v>
      </c>
      <c r="P412" t="s">
        <v>30</v>
      </c>
      <c r="Q412" s="87" t="e">
        <f>VLOOKUP(C412,[2]Sheet1!$C$3:$P$524,14,0)</f>
        <v>#N/A</v>
      </c>
    </row>
    <row r="413" spans="1:17" ht="18.75" hidden="1" x14ac:dyDescent="0.25">
      <c r="A413" s="41">
        <v>363</v>
      </c>
      <c r="B413" s="41" t="s">
        <v>85</v>
      </c>
      <c r="C413" s="41" t="s">
        <v>1086</v>
      </c>
      <c r="D413" s="28" t="s">
        <v>1087</v>
      </c>
      <c r="E413" s="27" t="s">
        <v>1088</v>
      </c>
      <c r="F413" s="5" t="s">
        <v>22</v>
      </c>
      <c r="G413" s="21">
        <v>0.16666666666666666</v>
      </c>
      <c r="H413" s="22">
        <v>16.5</v>
      </c>
      <c r="I413" s="22">
        <f t="shared" si="28"/>
        <v>99</v>
      </c>
      <c r="J413" s="5">
        <f>VLOOKUP(C413,'Master File June-26'!C:J,8,0)</f>
        <v>14</v>
      </c>
      <c r="K413" s="23">
        <f t="shared" si="24"/>
        <v>55.440000000000005</v>
      </c>
      <c r="L413" s="58">
        <f>VLOOKUP(C413,'Master File June-26'!C:L,10,0)</f>
        <v>109</v>
      </c>
      <c r="M413" s="24">
        <f t="shared" si="25"/>
        <v>33.030303030303031</v>
      </c>
      <c r="N413" s="25" t="str">
        <f t="shared" si="26"/>
        <v>IN STOCK</v>
      </c>
      <c r="O413" s="25" t="str">
        <f t="shared" si="27"/>
        <v>FOLLOW UP DELIVERY</v>
      </c>
      <c r="Q413" s="87" t="e">
        <f>VLOOKUP(C413,[2]Sheet1!$C$3:$P$524,14,0)</f>
        <v>#N/A</v>
      </c>
    </row>
    <row r="414" spans="1:17" ht="18.75" hidden="1" x14ac:dyDescent="0.25">
      <c r="A414" s="19">
        <v>114</v>
      </c>
      <c r="B414" s="19" t="s">
        <v>18</v>
      </c>
      <c r="C414" s="19" t="s">
        <v>1002</v>
      </c>
      <c r="D414" s="28" t="s">
        <v>1003</v>
      </c>
      <c r="E414" s="27" t="s">
        <v>180</v>
      </c>
      <c r="F414" s="5" t="s">
        <v>22</v>
      </c>
      <c r="G414" s="21">
        <f>1/1000</f>
        <v>1E-3</v>
      </c>
      <c r="H414" s="22">
        <v>10</v>
      </c>
      <c r="I414" s="22">
        <f t="shared" si="28"/>
        <v>10000</v>
      </c>
      <c r="J414" s="5">
        <f>VLOOKUP(C414,'Master File June-26'!C:J,8,0)</f>
        <v>14</v>
      </c>
      <c r="K414" s="23">
        <f t="shared" si="24"/>
        <v>5600.0000000000009</v>
      </c>
      <c r="L414" s="58">
        <f>VLOOKUP(C414,'Master File June-26'!C:L,10,0)</f>
        <v>0</v>
      </c>
      <c r="M414" s="24">
        <f t="shared" si="25"/>
        <v>0</v>
      </c>
      <c r="N414" s="25" t="str">
        <f t="shared" si="26"/>
        <v>ORDER NOW</v>
      </c>
      <c r="O414" s="25" t="str">
        <f t="shared" si="27"/>
        <v>CRITICAL</v>
      </c>
      <c r="P414" t="s">
        <v>30</v>
      </c>
      <c r="Q414" s="87" t="e">
        <f>VLOOKUP(C414,[2]Sheet1!$C$3:$P$524,14,0)</f>
        <v>#N/A</v>
      </c>
    </row>
    <row r="415" spans="1:17" ht="18.75" hidden="1" x14ac:dyDescent="0.25">
      <c r="A415" s="41">
        <v>471</v>
      </c>
      <c r="B415" s="41" t="s">
        <v>38</v>
      </c>
      <c r="C415" s="41" t="s">
        <v>905</v>
      </c>
      <c r="D415" s="28" t="s">
        <v>906</v>
      </c>
      <c r="E415" s="27" t="s">
        <v>907</v>
      </c>
      <c r="F415" s="5" t="s">
        <v>22</v>
      </c>
      <c r="G415" s="21">
        <v>8.3333333333333329E-2</v>
      </c>
      <c r="H415" s="22">
        <v>2700</v>
      </c>
      <c r="I415" s="22">
        <f t="shared" si="28"/>
        <v>32400</v>
      </c>
      <c r="J415" s="5">
        <f>VLOOKUP(C415,'Master File June-26'!C:J,8,0)</f>
        <v>14</v>
      </c>
      <c r="K415" s="23">
        <f t="shared" si="24"/>
        <v>18144</v>
      </c>
      <c r="L415" s="58">
        <f>VLOOKUP(C415,'Master File June-26'!C:L,10,0)</f>
        <v>9168</v>
      </c>
      <c r="M415" s="24">
        <f t="shared" si="25"/>
        <v>8.4888888888888889</v>
      </c>
      <c r="N415" s="25" t="str">
        <f t="shared" si="26"/>
        <v>ORDER NOW</v>
      </c>
      <c r="O415" s="25" t="str">
        <f t="shared" si="27"/>
        <v>CRITICAL</v>
      </c>
      <c r="Q415" s="87" t="e">
        <f>VLOOKUP(C415,[2]Sheet1!$C$3:$P$524,14,0)</f>
        <v>#N/A</v>
      </c>
    </row>
    <row r="416" spans="1:17" ht="18.75" hidden="1" x14ac:dyDescent="0.25">
      <c r="A416" s="41">
        <v>392</v>
      </c>
      <c r="B416" s="41" t="s">
        <v>38</v>
      </c>
      <c r="C416" s="41" t="s">
        <v>1398</v>
      </c>
      <c r="D416" s="28" t="s">
        <v>1399</v>
      </c>
      <c r="E416" s="27" t="s">
        <v>1400</v>
      </c>
      <c r="F416" s="5" t="s">
        <v>22</v>
      </c>
      <c r="G416" s="21">
        <f>1/96</f>
        <v>1.0416666666666666E-2</v>
      </c>
      <c r="H416" s="22">
        <f>VLOOKUP(C416,'Master File June-26'!$C$3:$I$670,6,0)</f>
        <v>10</v>
      </c>
      <c r="I416" s="22">
        <f>VLOOKUP(C416,'Master File June-26'!$C$3:$I$670,7,0)</f>
        <v>60</v>
      </c>
      <c r="J416" s="5">
        <f>VLOOKUP(C416,'Master File June-26'!C:J,8,0)</f>
        <v>14</v>
      </c>
      <c r="K416" s="23">
        <f t="shared" si="24"/>
        <v>33.6</v>
      </c>
      <c r="L416" s="58">
        <f>VLOOKUP(C416,'Master File June-26'!C:L,10,0)</f>
        <v>0</v>
      </c>
      <c r="M416" s="24">
        <f t="shared" si="25"/>
        <v>0</v>
      </c>
      <c r="N416" s="25" t="str">
        <f t="shared" si="26"/>
        <v>ORDER NOW</v>
      </c>
      <c r="O416" s="25" t="str">
        <f t="shared" si="27"/>
        <v>CRITICAL</v>
      </c>
      <c r="Q416" s="87">
        <f>VLOOKUP(C416,'Master File June-26'!$C$3:$S$670,17,0)</f>
        <v>46131.519502314812</v>
      </c>
    </row>
    <row r="417" spans="1:17" ht="18.75" hidden="1" x14ac:dyDescent="0.25">
      <c r="A417" s="39">
        <v>264</v>
      </c>
      <c r="B417" s="39" t="s">
        <v>157</v>
      </c>
      <c r="C417" s="39" t="s">
        <v>1376</v>
      </c>
      <c r="D417" s="28" t="s">
        <v>1377</v>
      </c>
      <c r="E417" s="27" t="s">
        <v>160</v>
      </c>
      <c r="F417" s="5" t="s">
        <v>49</v>
      </c>
      <c r="G417" s="21">
        <v>1</v>
      </c>
      <c r="H417" s="22">
        <v>33</v>
      </c>
      <c r="I417" s="22">
        <f>H417/G417</f>
        <v>33</v>
      </c>
      <c r="J417" s="5">
        <f>VLOOKUP(C417,'Master File June-26'!C:J,8,0)</f>
        <v>14</v>
      </c>
      <c r="K417" s="23">
        <f t="shared" si="24"/>
        <v>18.48</v>
      </c>
      <c r="L417" s="58">
        <f>VLOOKUP(C417,'Master File June-26'!C:L,10,0)</f>
        <v>0</v>
      </c>
      <c r="M417" s="24">
        <f t="shared" si="25"/>
        <v>0</v>
      </c>
      <c r="N417" s="25" t="str">
        <f t="shared" si="26"/>
        <v>ORDER NOW</v>
      </c>
      <c r="O417" s="25" t="str">
        <f t="shared" si="27"/>
        <v>CRITICAL</v>
      </c>
      <c r="Q417" s="87" t="e">
        <f>VLOOKUP(C417,[2]Sheet1!$C$3:$P$524,14,0)</f>
        <v>#N/A</v>
      </c>
    </row>
    <row r="418" spans="1:17" ht="18.75" hidden="1" x14ac:dyDescent="0.25">
      <c r="A418" s="19">
        <v>90</v>
      </c>
      <c r="B418" s="19" t="s">
        <v>18</v>
      </c>
      <c r="C418" s="19" t="s">
        <v>176</v>
      </c>
      <c r="D418" s="28" t="s">
        <v>177</v>
      </c>
      <c r="E418" s="27" t="s">
        <v>35</v>
      </c>
      <c r="F418" s="5" t="s">
        <v>22</v>
      </c>
      <c r="G418" s="21">
        <v>2E-3</v>
      </c>
      <c r="H418" s="22">
        <f>VLOOKUP(C418,'Master File June-26'!$C$3:$I$670,6,0)</f>
        <v>150</v>
      </c>
      <c r="I418" s="22">
        <f>VLOOKUP(C418,'Master File June-26'!$C$3:$I$670,7,0)</f>
        <v>75000</v>
      </c>
      <c r="J418" s="5">
        <f>VLOOKUP(C418,'Master File June-26'!C:J,8,0)</f>
        <v>14</v>
      </c>
      <c r="K418" s="23">
        <f t="shared" si="24"/>
        <v>42000.000000000007</v>
      </c>
      <c r="L418" s="58">
        <f>VLOOKUP(C418,'Master File June-26'!C:L,10,0)</f>
        <v>3500</v>
      </c>
      <c r="M418" s="24">
        <f t="shared" si="25"/>
        <v>1.4000000000000001</v>
      </c>
      <c r="N418" s="25" t="str">
        <f t="shared" si="26"/>
        <v>ORDER NOW</v>
      </c>
      <c r="O418" s="25" t="str">
        <f t="shared" si="27"/>
        <v>CRITICAL</v>
      </c>
      <c r="P418" t="s">
        <v>30</v>
      </c>
      <c r="Q418" s="87">
        <f>VLOOKUP(C418,'Master File June-26'!$C$3:$S$670,17,0)</f>
        <v>46113.430891203701</v>
      </c>
    </row>
    <row r="419" spans="1:17" ht="18.75" hidden="1" x14ac:dyDescent="0.25">
      <c r="A419" s="19">
        <v>67</v>
      </c>
      <c r="B419" s="19" t="s">
        <v>18</v>
      </c>
      <c r="C419" s="19" t="s">
        <v>1067</v>
      </c>
      <c r="D419" s="34" t="s">
        <v>1068</v>
      </c>
      <c r="E419" s="31" t="s">
        <v>1069</v>
      </c>
      <c r="F419" s="5" t="s">
        <v>22</v>
      </c>
      <c r="G419" s="21">
        <v>0.02</v>
      </c>
      <c r="H419" s="22">
        <f>VLOOKUP(C419,'Master File June-26'!$C$3:$I$670,6,0)</f>
        <v>71.5</v>
      </c>
      <c r="I419" s="22">
        <f>VLOOKUP(C419,'Master File June-26'!$C$3:$I$670,7,0)</f>
        <v>3575</v>
      </c>
      <c r="J419" s="5">
        <f>VLOOKUP(C419,'Master File June-26'!C:J,8,0)</f>
        <v>14</v>
      </c>
      <c r="K419" s="23">
        <f t="shared" si="24"/>
        <v>2002.0000000000002</v>
      </c>
      <c r="L419" s="58">
        <f>VLOOKUP(C419,'Master File June-26'!C:L,10,0)</f>
        <v>0</v>
      </c>
      <c r="M419" s="24">
        <f t="shared" si="25"/>
        <v>0</v>
      </c>
      <c r="N419" s="25" t="str">
        <f t="shared" si="26"/>
        <v>ORDER NOW</v>
      </c>
      <c r="O419" s="25" t="str">
        <f t="shared" si="27"/>
        <v>CRITICAL</v>
      </c>
      <c r="P419" t="s">
        <v>30</v>
      </c>
      <c r="Q419" s="87" t="e">
        <f>VLOOKUP(C419,[2]Sheet1!$C$3:$P$524,14,0)</f>
        <v>#N/A</v>
      </c>
    </row>
    <row r="420" spans="1:17" ht="18.75" hidden="1" x14ac:dyDescent="0.25">
      <c r="A420" s="19"/>
      <c r="B420" s="19"/>
      <c r="C420" s="19" t="s">
        <v>1626</v>
      </c>
      <c r="D420" s="20" t="s">
        <v>1627</v>
      </c>
      <c r="E420" s="31"/>
      <c r="F420" s="5"/>
      <c r="G420" s="21"/>
      <c r="H420" s="22">
        <f>VLOOKUP(C420,'Master File June-26'!$C$3:$I$670,6,0)</f>
        <v>80</v>
      </c>
      <c r="I420" s="22">
        <f>VLOOKUP(C420,'Master File June-26'!$C$3:$I$670,7,0)</f>
        <v>40000</v>
      </c>
      <c r="J420" s="5">
        <f>VLOOKUP(C420,'Master File June-26'!C:J,8,0)</f>
        <v>60</v>
      </c>
      <c r="K420" s="23">
        <f t="shared" si="24"/>
        <v>96000</v>
      </c>
      <c r="L420" s="58">
        <f>VLOOKUP(C420,'Master File June-26'!C:L,10,0)</f>
        <v>0</v>
      </c>
      <c r="M420" s="24">
        <f t="shared" si="25"/>
        <v>0</v>
      </c>
      <c r="N420" s="25" t="str">
        <f t="shared" si="26"/>
        <v>ORDER NOW</v>
      </c>
      <c r="O420" s="25" t="str">
        <f t="shared" si="27"/>
        <v>CRITICAL</v>
      </c>
      <c r="Q420" s="87" t="e">
        <f>VLOOKUP(C420,[2]Sheet1!$C$3:$P$524,14,0)</f>
        <v>#N/A</v>
      </c>
    </row>
    <row r="421" spans="1:17" ht="18.75" hidden="1" x14ac:dyDescent="0.25">
      <c r="A421" s="19">
        <v>88</v>
      </c>
      <c r="B421" s="19" t="s">
        <v>18</v>
      </c>
      <c r="C421" s="19" t="s">
        <v>909</v>
      </c>
      <c r="D421" s="28" t="s">
        <v>910</v>
      </c>
      <c r="E421" s="27" t="s">
        <v>911</v>
      </c>
      <c r="F421" s="5" t="s">
        <v>22</v>
      </c>
      <c r="G421" s="21">
        <v>3.1250000000000002E-3</v>
      </c>
      <c r="H421" s="22">
        <v>40</v>
      </c>
      <c r="I421" s="22">
        <f>H421/G421</f>
        <v>12800</v>
      </c>
      <c r="J421" s="5">
        <f>VLOOKUP(C421,'Master File June-26'!C:J,8,0)</f>
        <v>14</v>
      </c>
      <c r="K421" s="23">
        <f t="shared" si="24"/>
        <v>7168.0000000000009</v>
      </c>
      <c r="L421" s="58">
        <f>VLOOKUP(C421,'Master File June-26'!C:L,10,0)</f>
        <v>5000</v>
      </c>
      <c r="M421" s="24">
        <f t="shared" si="25"/>
        <v>11.71875</v>
      </c>
      <c r="N421" s="25" t="str">
        <f t="shared" si="26"/>
        <v>ORDER NOW</v>
      </c>
      <c r="O421" s="25" t="str">
        <f t="shared" si="27"/>
        <v>CRITICAL</v>
      </c>
      <c r="P421" t="s">
        <v>30</v>
      </c>
      <c r="Q421" s="87" t="e">
        <f>VLOOKUP(C421,[2]Sheet1!$C$3:$P$524,14,0)</f>
        <v>#N/A</v>
      </c>
    </row>
    <row r="422" spans="1:17" ht="18.75" hidden="1" x14ac:dyDescent="0.25">
      <c r="A422" s="39">
        <v>278</v>
      </c>
      <c r="B422" s="39" t="s">
        <v>157</v>
      </c>
      <c r="C422" s="39" t="s">
        <v>1426</v>
      </c>
      <c r="D422" s="28" t="s">
        <v>1427</v>
      </c>
      <c r="E422" s="27" t="s">
        <v>78</v>
      </c>
      <c r="F422" s="5" t="s">
        <v>49</v>
      </c>
      <c r="G422" s="21">
        <v>1</v>
      </c>
      <c r="H422" s="22">
        <v>5.5</v>
      </c>
      <c r="I422" s="22">
        <f>H422/G422</f>
        <v>5.5</v>
      </c>
      <c r="J422" s="5">
        <f>VLOOKUP(C422,'Master File June-26'!C:J,8,0)</f>
        <v>14</v>
      </c>
      <c r="K422" s="23">
        <f t="shared" si="24"/>
        <v>3.08</v>
      </c>
      <c r="L422" s="58">
        <f>VLOOKUP(C422,'Master File June-26'!C:L,10,0)</f>
        <v>0</v>
      </c>
      <c r="M422" s="24">
        <f t="shared" si="25"/>
        <v>0</v>
      </c>
      <c r="N422" s="25" t="str">
        <f t="shared" si="26"/>
        <v>ORDER NOW</v>
      </c>
      <c r="O422" s="25" t="str">
        <f t="shared" si="27"/>
        <v>CRITICAL</v>
      </c>
      <c r="Q422" s="87" t="e">
        <f>VLOOKUP(C422,[2]Sheet1!$C$3:$P$524,14,0)</f>
        <v>#N/A</v>
      </c>
    </row>
    <row r="423" spans="1:17" ht="18.75" hidden="1" x14ac:dyDescent="0.25">
      <c r="A423" s="19">
        <v>164</v>
      </c>
      <c r="B423" s="19" t="s">
        <v>18</v>
      </c>
      <c r="C423" s="19" t="s">
        <v>1117</v>
      </c>
      <c r="D423" s="28" t="s">
        <v>1118</v>
      </c>
      <c r="E423" s="27" t="s">
        <v>1119</v>
      </c>
      <c r="F423" s="5" t="s">
        <v>22</v>
      </c>
      <c r="G423" s="21">
        <v>1</v>
      </c>
      <c r="H423" s="22"/>
      <c r="I423" s="22">
        <f>VLOOKUP(C423,'Master File June-26'!$C$3:$I$670,7,0)</f>
        <v>80000</v>
      </c>
      <c r="J423" s="5">
        <f>VLOOKUP(C423,'Master File June-26'!C:J,8,0)</f>
        <v>14</v>
      </c>
      <c r="K423" s="23">
        <f t="shared" si="24"/>
        <v>44800.000000000007</v>
      </c>
      <c r="L423" s="58">
        <f>VLOOKUP(C423,'Master File June-26'!C:L,10,0)</f>
        <v>30400</v>
      </c>
      <c r="M423" s="24">
        <f t="shared" si="25"/>
        <v>11.4</v>
      </c>
      <c r="N423" s="25" t="str">
        <f t="shared" si="26"/>
        <v>ORDER NOW</v>
      </c>
      <c r="O423" s="25" t="str">
        <f t="shared" si="27"/>
        <v>CRITICAL</v>
      </c>
      <c r="Q423" s="87">
        <f>VLOOKUP(C423,'Master File June-26'!$C$3:$S$670,17,0)</f>
        <v>46131.517997685187</v>
      </c>
    </row>
    <row r="424" spans="1:17" ht="18.75" hidden="1" x14ac:dyDescent="0.25">
      <c r="A424" s="19">
        <v>113</v>
      </c>
      <c r="B424" s="19" t="s">
        <v>18</v>
      </c>
      <c r="C424" s="19" t="s">
        <v>1060</v>
      </c>
      <c r="D424" s="28" t="s">
        <v>1061</v>
      </c>
      <c r="E424" s="27" t="s">
        <v>1062</v>
      </c>
      <c r="F424" s="5" t="s">
        <v>22</v>
      </c>
      <c r="G424" s="21">
        <f>1/500</f>
        <v>2E-3</v>
      </c>
      <c r="H424" s="22">
        <v>20</v>
      </c>
      <c r="I424" s="22">
        <f>H424/G424</f>
        <v>10000</v>
      </c>
      <c r="J424" s="5">
        <f>VLOOKUP(C424,'Master File June-26'!C:J,8,0)</f>
        <v>14</v>
      </c>
      <c r="K424" s="23">
        <f t="shared" si="24"/>
        <v>5600.0000000000009</v>
      </c>
      <c r="L424" s="58">
        <f>VLOOKUP(C424,'Master File June-26'!C:L,10,0)</f>
        <v>20000</v>
      </c>
      <c r="M424" s="24">
        <f t="shared" si="25"/>
        <v>60</v>
      </c>
      <c r="N424" s="25" t="str">
        <f t="shared" si="26"/>
        <v>IN STOCK</v>
      </c>
      <c r="O424" s="25" t="str">
        <f t="shared" si="27"/>
        <v>FOLLOW UP DELIVERY</v>
      </c>
      <c r="P424" t="s">
        <v>30</v>
      </c>
      <c r="Q424" s="87" t="e">
        <f>VLOOKUP(C424,[2]Sheet1!$C$3:$P$524,14,0)</f>
        <v>#N/A</v>
      </c>
    </row>
    <row r="425" spans="1:17" ht="18.75" hidden="1" x14ac:dyDescent="0.25">
      <c r="A425" s="19">
        <v>20</v>
      </c>
      <c r="B425" s="19" t="s">
        <v>18</v>
      </c>
      <c r="C425" s="19" t="s">
        <v>934</v>
      </c>
      <c r="D425" s="28" t="s">
        <v>935</v>
      </c>
      <c r="E425" s="27" t="s">
        <v>92</v>
      </c>
      <c r="F425" s="5" t="s">
        <v>22</v>
      </c>
      <c r="G425" s="21">
        <v>5.0000000000000001E-4</v>
      </c>
      <c r="H425" s="22">
        <v>100.5</v>
      </c>
      <c r="I425" s="22">
        <f>H425/G425</f>
        <v>201000</v>
      </c>
      <c r="J425" s="5">
        <f>VLOOKUP(C425,'Master File June-26'!C:J,8,0)</f>
        <v>14</v>
      </c>
      <c r="K425" s="23">
        <f t="shared" si="24"/>
        <v>112560.00000000001</v>
      </c>
      <c r="L425" s="58">
        <f>VLOOKUP(C425,'Master File June-26'!C:L,10,0)</f>
        <v>29000</v>
      </c>
      <c r="M425" s="24">
        <f t="shared" si="25"/>
        <v>4.3283582089552244</v>
      </c>
      <c r="N425" s="25" t="str">
        <f t="shared" si="26"/>
        <v>ORDER NOW</v>
      </c>
      <c r="O425" s="25" t="str">
        <f t="shared" si="27"/>
        <v>CRITICAL</v>
      </c>
      <c r="P425" t="s">
        <v>30</v>
      </c>
      <c r="Q425" s="87" t="e">
        <f>VLOOKUP(C425,[2]Sheet1!$C$3:$P$524,14,0)</f>
        <v>#N/A</v>
      </c>
    </row>
    <row r="426" spans="1:17" ht="18.75" hidden="1" x14ac:dyDescent="0.25">
      <c r="A426" s="19">
        <v>6</v>
      </c>
      <c r="B426" s="19"/>
      <c r="C426" s="19" t="s">
        <v>1428</v>
      </c>
      <c r="D426" s="20" t="s">
        <v>1429</v>
      </c>
      <c r="E426" s="31" t="s">
        <v>1258</v>
      </c>
      <c r="F426" s="5" t="s">
        <v>49</v>
      </c>
      <c r="G426" s="21">
        <f>1/3000</f>
        <v>3.3333333333333332E-4</v>
      </c>
      <c r="H426" s="22">
        <v>3</v>
      </c>
      <c r="I426" s="22">
        <f>H426/G426</f>
        <v>9000</v>
      </c>
      <c r="J426" s="5">
        <f>VLOOKUP(C426,'Master File June-26'!C:J,8,0)</f>
        <v>60</v>
      </c>
      <c r="K426" s="23">
        <f t="shared" si="24"/>
        <v>21600</v>
      </c>
      <c r="L426" s="58">
        <f>VLOOKUP(C426,'Master File June-26'!C:L,10,0)</f>
        <v>0</v>
      </c>
      <c r="M426" s="24">
        <f t="shared" si="25"/>
        <v>0</v>
      </c>
      <c r="N426" s="25" t="str">
        <f t="shared" si="26"/>
        <v>ORDER NOW</v>
      </c>
      <c r="O426" s="25" t="str">
        <f t="shared" si="27"/>
        <v>CRITICAL</v>
      </c>
      <c r="P426" t="s">
        <v>30</v>
      </c>
      <c r="Q426" s="87" t="e">
        <f>VLOOKUP(C426,[2]Sheet1!$C$3:$P$524,14,0)</f>
        <v>#N/A</v>
      </c>
    </row>
    <row r="427" spans="1:17" ht="18.75" hidden="1" x14ac:dyDescent="0.25">
      <c r="A427" s="41">
        <v>479</v>
      </c>
      <c r="B427" s="41" t="s">
        <v>38</v>
      </c>
      <c r="C427" s="41" t="s">
        <v>1330</v>
      </c>
      <c r="D427" s="28" t="s">
        <v>1331</v>
      </c>
      <c r="E427" s="27" t="s">
        <v>1332</v>
      </c>
      <c r="F427" s="5" t="s">
        <v>22</v>
      </c>
      <c r="G427" s="21">
        <v>0.5</v>
      </c>
      <c r="H427" s="22">
        <v>65</v>
      </c>
      <c r="I427" s="22">
        <f>H427/G427</f>
        <v>130</v>
      </c>
      <c r="J427" s="5">
        <f>VLOOKUP(C427,'Master File June-26'!C:J,8,0)</f>
        <v>14</v>
      </c>
      <c r="K427" s="23">
        <f t="shared" si="24"/>
        <v>72.800000000000011</v>
      </c>
      <c r="L427" s="58">
        <f>VLOOKUP(C427,'Master File June-26'!C:L,10,0)</f>
        <v>0</v>
      </c>
      <c r="M427" s="24">
        <f t="shared" si="25"/>
        <v>0</v>
      </c>
      <c r="N427" s="25" t="str">
        <f t="shared" si="26"/>
        <v>ORDER NOW</v>
      </c>
      <c r="O427" s="25" t="str">
        <f t="shared" si="27"/>
        <v>CRITICAL</v>
      </c>
      <c r="Q427" s="87">
        <f>VLOOKUP(C427,'Master File June-26'!$C$3:$S$670,17,0)</f>
        <v>46131.519224537034</v>
      </c>
    </row>
    <row r="428" spans="1:17" ht="18.75" hidden="1" x14ac:dyDescent="0.25">
      <c r="A428" s="39">
        <v>251</v>
      </c>
      <c r="B428" s="39" t="s">
        <v>123</v>
      </c>
      <c r="C428" s="39" t="s">
        <v>1199</v>
      </c>
      <c r="D428" s="28" t="s">
        <v>1200</v>
      </c>
      <c r="E428" s="27" t="s">
        <v>1201</v>
      </c>
      <c r="F428" s="5" t="s">
        <v>264</v>
      </c>
      <c r="G428" s="21">
        <v>1</v>
      </c>
      <c r="H428" s="22">
        <f>VLOOKUP(C428,'Master File June-26'!$C$3:$I$670,6,0)</f>
        <v>105.5</v>
      </c>
      <c r="I428" s="22">
        <f>VLOOKUP(C428,'Master File June-26'!$C$3:$I$670,7,0)</f>
        <v>105.5</v>
      </c>
      <c r="J428" s="5">
        <f>VLOOKUP(C428,'Master File June-26'!C:J,8,0)</f>
        <v>14</v>
      </c>
      <c r="K428" s="23">
        <f t="shared" si="24"/>
        <v>59.080000000000005</v>
      </c>
      <c r="L428" s="58">
        <f>VLOOKUP(C428,'Master File June-26'!C:L,10,0)</f>
        <v>128</v>
      </c>
      <c r="M428" s="24">
        <f t="shared" si="25"/>
        <v>36.39810426540285</v>
      </c>
      <c r="N428" s="25" t="str">
        <f t="shared" si="26"/>
        <v>IN STOCK</v>
      </c>
      <c r="O428" s="25" t="str">
        <f t="shared" si="27"/>
        <v>FOLLOW UP DELIVERY</v>
      </c>
      <c r="Q428" s="87">
        <f>VLOOKUP(C428,'Master File June-26'!$C$3:$S$670,17,0)</f>
        <v>46131.518472222226</v>
      </c>
    </row>
    <row r="429" spans="1:17" ht="18.75" hidden="1" x14ac:dyDescent="0.25">
      <c r="A429" s="41">
        <v>396</v>
      </c>
      <c r="B429" s="41" t="s">
        <v>38</v>
      </c>
      <c r="C429" s="41" t="s">
        <v>1562</v>
      </c>
      <c r="D429" s="28" t="s">
        <v>1563</v>
      </c>
      <c r="E429" s="27" t="s">
        <v>1564</v>
      </c>
      <c r="F429" s="5" t="s">
        <v>49</v>
      </c>
      <c r="G429" s="21">
        <v>1</v>
      </c>
      <c r="H429" s="22">
        <v>36</v>
      </c>
      <c r="I429" s="22">
        <v>36</v>
      </c>
      <c r="J429" s="5">
        <f>VLOOKUP(C429,'Master File June-26'!C:J,8,0)</f>
        <v>14</v>
      </c>
      <c r="K429" s="23">
        <f t="shared" si="24"/>
        <v>20.160000000000004</v>
      </c>
      <c r="L429" s="58">
        <f>VLOOKUP(C429,'Master File June-26'!C:L,10,0)</f>
        <v>0</v>
      </c>
      <c r="M429" s="24">
        <f t="shared" si="25"/>
        <v>0</v>
      </c>
      <c r="N429" s="25" t="str">
        <f t="shared" si="26"/>
        <v>ORDER NOW</v>
      </c>
      <c r="O429" s="25" t="str">
        <f t="shared" si="27"/>
        <v>CRITICAL</v>
      </c>
      <c r="Q429" s="87" t="e">
        <f>VLOOKUP(C429,[2]Sheet1!$C$3:$P$524,14,0)</f>
        <v>#N/A</v>
      </c>
    </row>
    <row r="430" spans="1:17" ht="18.75" hidden="1" x14ac:dyDescent="0.25">
      <c r="A430" s="19"/>
      <c r="B430" s="19"/>
      <c r="C430" s="19" t="s">
        <v>1628</v>
      </c>
      <c r="D430" s="20" t="s">
        <v>1629</v>
      </c>
      <c r="E430" s="31"/>
      <c r="F430" s="5"/>
      <c r="G430" s="21"/>
      <c r="H430" s="22">
        <f>VLOOKUP(C430,'Master File June-26'!$C$3:$I$670,6,0)</f>
        <v>20</v>
      </c>
      <c r="I430" s="22">
        <f>VLOOKUP(C430,'Master File June-26'!$C$3:$I$670,7,0)</f>
        <v>20000</v>
      </c>
      <c r="J430" s="5">
        <f>VLOOKUP(C430,'Master File June-26'!C:J,8,0)</f>
        <v>30</v>
      </c>
      <c r="K430" s="23">
        <f t="shared" si="24"/>
        <v>24000</v>
      </c>
      <c r="L430" s="58">
        <f>VLOOKUP(C430,'Master File June-26'!C:L,10,0)</f>
        <v>0</v>
      </c>
      <c r="M430" s="24">
        <f t="shared" si="25"/>
        <v>0</v>
      </c>
      <c r="N430" s="25" t="str">
        <f t="shared" si="26"/>
        <v>ORDER NOW</v>
      </c>
      <c r="O430" s="25" t="str">
        <f t="shared" si="27"/>
        <v>CRITICAL</v>
      </c>
      <c r="Q430" s="87" t="e">
        <f>VLOOKUP(C430,[2]Sheet1!$C$3:$P$524,14,0)</f>
        <v>#N/A</v>
      </c>
    </row>
    <row r="431" spans="1:17" ht="18.75" hidden="1" x14ac:dyDescent="0.25">
      <c r="A431" s="41">
        <v>368</v>
      </c>
      <c r="B431" s="41" t="s">
        <v>85</v>
      </c>
      <c r="C431" s="41" t="s">
        <v>1247</v>
      </c>
      <c r="D431" s="144" t="s">
        <v>1248</v>
      </c>
      <c r="E431" s="27" t="s">
        <v>101</v>
      </c>
      <c r="F431" s="5" t="s">
        <v>22</v>
      </c>
      <c r="G431" s="21">
        <v>0.16666666666666666</v>
      </c>
      <c r="H431" s="22">
        <v>16.5</v>
      </c>
      <c r="I431" s="22">
        <f>H431/G431</f>
        <v>99</v>
      </c>
      <c r="J431" s="5">
        <f>VLOOKUP(C431,'Master File June-26'!C:J,8,0)</f>
        <v>14</v>
      </c>
      <c r="K431" s="23">
        <f t="shared" si="24"/>
        <v>55.440000000000005</v>
      </c>
      <c r="L431" s="58">
        <f>VLOOKUP(C431,'Master File June-26'!C:L,10,0)</f>
        <v>94</v>
      </c>
      <c r="M431" s="24">
        <f t="shared" si="25"/>
        <v>28.484848484848484</v>
      </c>
      <c r="N431" s="25" t="str">
        <f t="shared" si="26"/>
        <v>IN STOCK</v>
      </c>
      <c r="O431" s="25" t="str">
        <f t="shared" si="27"/>
        <v>FOLLOW UP DELIVERY</v>
      </c>
      <c r="Q431" s="87" t="e">
        <f>VLOOKUP(C431,[2]Sheet1!$C$3:$P$524,14,0)</f>
        <v>#N/A</v>
      </c>
    </row>
    <row r="432" spans="1:17" ht="18.75" hidden="1" x14ac:dyDescent="0.25">
      <c r="A432" s="41">
        <v>332</v>
      </c>
      <c r="B432" s="41" t="s">
        <v>38</v>
      </c>
      <c r="C432" s="41" t="s">
        <v>905</v>
      </c>
      <c r="D432" s="28" t="s">
        <v>908</v>
      </c>
      <c r="E432" s="27" t="s">
        <v>907</v>
      </c>
      <c r="F432" s="5" t="s">
        <v>22</v>
      </c>
      <c r="G432" s="21">
        <v>8.3333333333333329E-2</v>
      </c>
      <c r="H432" s="22">
        <v>2282.5</v>
      </c>
      <c r="I432" s="22">
        <f>H432/G432</f>
        <v>27390</v>
      </c>
      <c r="J432" s="5">
        <f>VLOOKUP(C432,'Master File June-26'!C:J,8,0)</f>
        <v>14</v>
      </c>
      <c r="K432" s="23">
        <f t="shared" si="24"/>
        <v>15338.400000000001</v>
      </c>
      <c r="L432" s="58">
        <f>VLOOKUP(C432,'Master File June-26'!C:L,10,0)</f>
        <v>9168</v>
      </c>
      <c r="M432" s="24">
        <f t="shared" si="25"/>
        <v>10.041621029572838</v>
      </c>
      <c r="N432" s="25" t="str">
        <f t="shared" si="26"/>
        <v>ORDER NOW</v>
      </c>
      <c r="O432" s="25" t="str">
        <f t="shared" si="27"/>
        <v>CRITICAL</v>
      </c>
      <c r="Q432" s="87" t="e">
        <f>VLOOKUP(C432,[2]Sheet1!$C$3:$P$524,14,0)</f>
        <v>#N/A</v>
      </c>
    </row>
    <row r="433" spans="1:17" ht="18.75" hidden="1" x14ac:dyDescent="0.25">
      <c r="A433" s="39">
        <v>233</v>
      </c>
      <c r="B433" s="39" t="s">
        <v>123</v>
      </c>
      <c r="C433" s="39" t="s">
        <v>1476</v>
      </c>
      <c r="D433" s="28" t="s">
        <v>1477</v>
      </c>
      <c r="E433" s="27" t="s">
        <v>160</v>
      </c>
      <c r="F433" s="5" t="s">
        <v>49</v>
      </c>
      <c r="G433" s="21">
        <v>1</v>
      </c>
      <c r="H433" s="22">
        <v>5.5</v>
      </c>
      <c r="I433" s="22">
        <f>H433/G433</f>
        <v>5.5</v>
      </c>
      <c r="J433" s="5">
        <f>VLOOKUP(C433,'Master File June-26'!C:J,8,0)</f>
        <v>14</v>
      </c>
      <c r="K433" s="23">
        <f t="shared" si="24"/>
        <v>3.08</v>
      </c>
      <c r="L433" s="58">
        <f>VLOOKUP(C433,'Master File June-26'!C:L,10,0)</f>
        <v>6</v>
      </c>
      <c r="M433" s="24">
        <f t="shared" si="25"/>
        <v>32.727272727272727</v>
      </c>
      <c r="N433" s="25" t="str">
        <f t="shared" si="26"/>
        <v>IN STOCK</v>
      </c>
      <c r="O433" s="25" t="str">
        <f t="shared" si="27"/>
        <v>FOLLOW UP DELIVERY</v>
      </c>
      <c r="Q433" s="87" t="e">
        <f>VLOOKUP(C433,[2]Sheet1!$C$3:$P$524,14,0)</f>
        <v>#N/A</v>
      </c>
    </row>
    <row r="434" spans="1:17" ht="18.75" hidden="1" x14ac:dyDescent="0.25">
      <c r="A434" s="39">
        <v>257</v>
      </c>
      <c r="B434" s="39" t="s">
        <v>123</v>
      </c>
      <c r="C434" s="39" t="s">
        <v>709</v>
      </c>
      <c r="D434" s="28" t="s">
        <v>710</v>
      </c>
      <c r="E434" s="27" t="s">
        <v>180</v>
      </c>
      <c r="F434" s="5" t="s">
        <v>22</v>
      </c>
      <c r="G434" s="21">
        <v>1E-3</v>
      </c>
      <c r="H434" s="22">
        <f>VLOOKUP(C434,'Master File June-26'!$C$3:$I$670,6,0)</f>
        <v>46</v>
      </c>
      <c r="I434" s="22">
        <f>VLOOKUP(C434,'Master File June-26'!$C$3:$I$670,7,0)</f>
        <v>46000</v>
      </c>
      <c r="J434" s="5">
        <f>VLOOKUP(C434,'Master File June-26'!C:J,8,0)</f>
        <v>14</v>
      </c>
      <c r="K434" s="23">
        <f t="shared" si="24"/>
        <v>25760.000000000004</v>
      </c>
      <c r="L434" s="58">
        <f>VLOOKUP(C434,'Master File June-26'!C:L,10,0)</f>
        <v>1050</v>
      </c>
      <c r="M434" s="24">
        <f t="shared" si="25"/>
        <v>0.68478260869565222</v>
      </c>
      <c r="N434" s="25" t="str">
        <f t="shared" si="26"/>
        <v>ORDER NOW</v>
      </c>
      <c r="O434" s="25" t="str">
        <f t="shared" si="27"/>
        <v>CRITICAL</v>
      </c>
      <c r="Q434" s="87">
        <f>VLOOKUP(C434,'Master File June-26'!$C$3:$S$670,17,0)</f>
        <v>46113.430960648147</v>
      </c>
    </row>
    <row r="435" spans="1:17" ht="18.75" hidden="1" x14ac:dyDescent="0.25">
      <c r="A435" s="41">
        <v>386</v>
      </c>
      <c r="B435" s="41" t="s">
        <v>38</v>
      </c>
      <c r="C435" s="41" t="s">
        <v>74</v>
      </c>
      <c r="D435" s="28" t="s">
        <v>75</v>
      </c>
      <c r="E435" s="27" t="s">
        <v>70</v>
      </c>
      <c r="F435" s="5" t="s">
        <v>54</v>
      </c>
      <c r="G435" s="21">
        <v>0.1</v>
      </c>
      <c r="H435" s="22">
        <v>9.5</v>
      </c>
      <c r="I435" s="22">
        <f t="shared" ref="I435:I442" si="29">H435/G435</f>
        <v>95</v>
      </c>
      <c r="J435" s="5">
        <f>VLOOKUP(C435,'Master File June-26'!C:J,8,0)</f>
        <v>14</v>
      </c>
      <c r="K435" s="23">
        <f t="shared" si="24"/>
        <v>53.2</v>
      </c>
      <c r="L435" s="58">
        <f>VLOOKUP(C435,'Master File June-26'!C:L,10,0)</f>
        <v>20</v>
      </c>
      <c r="M435" s="24">
        <f t="shared" si="25"/>
        <v>6.3157894736842106</v>
      </c>
      <c r="N435" s="25" t="str">
        <f t="shared" si="26"/>
        <v>ORDER NOW</v>
      </c>
      <c r="O435" s="25" t="str">
        <f t="shared" si="27"/>
        <v>CRITICAL</v>
      </c>
      <c r="Q435" s="87" t="e">
        <f>VLOOKUP(C435,[2]Sheet1!$C$3:$P$524,14,0)</f>
        <v>#N/A</v>
      </c>
    </row>
    <row r="436" spans="1:17" ht="18.75" hidden="1" x14ac:dyDescent="0.25">
      <c r="A436" s="19">
        <v>47</v>
      </c>
      <c r="B436" s="19" t="s">
        <v>239</v>
      </c>
      <c r="C436" s="19" t="s">
        <v>943</v>
      </c>
      <c r="D436" s="28" t="s">
        <v>944</v>
      </c>
      <c r="E436" s="27" t="s">
        <v>945</v>
      </c>
      <c r="F436" s="5" t="s">
        <v>22</v>
      </c>
      <c r="G436" s="21">
        <v>2E-3</v>
      </c>
      <c r="H436" s="22">
        <v>175</v>
      </c>
      <c r="I436" s="22">
        <f t="shared" si="29"/>
        <v>87500</v>
      </c>
      <c r="J436" s="5">
        <f>VLOOKUP(C436,'Master File June-26'!C:J,8,0)</f>
        <v>14</v>
      </c>
      <c r="K436" s="23">
        <f t="shared" si="24"/>
        <v>49000.000000000007</v>
      </c>
      <c r="L436" s="58">
        <f>VLOOKUP(C436,'Master File June-26'!C:L,10,0)</f>
        <v>31000</v>
      </c>
      <c r="M436" s="24">
        <f t="shared" si="25"/>
        <v>10.628571428571428</v>
      </c>
      <c r="N436" s="25" t="str">
        <f t="shared" si="26"/>
        <v>ORDER NOW</v>
      </c>
      <c r="O436" s="25" t="str">
        <f t="shared" si="27"/>
        <v>CRITICAL</v>
      </c>
      <c r="P436" t="s">
        <v>30</v>
      </c>
      <c r="Q436" s="87" t="e">
        <f>VLOOKUP(C436,[2]Sheet1!$C$3:$P$524,14,0)</f>
        <v>#N/A</v>
      </c>
    </row>
    <row r="437" spans="1:17" ht="18.75" hidden="1" x14ac:dyDescent="0.25">
      <c r="A437" s="41">
        <v>547</v>
      </c>
      <c r="B437" s="41" t="s">
        <v>38</v>
      </c>
      <c r="C437" s="41" t="s">
        <v>1285</v>
      </c>
      <c r="D437" s="45" t="s">
        <v>1286</v>
      </c>
      <c r="E437" s="34" t="s">
        <v>64</v>
      </c>
      <c r="F437" s="5" t="s">
        <v>49</v>
      </c>
      <c r="G437" s="21">
        <v>1</v>
      </c>
      <c r="H437" s="22">
        <v>1</v>
      </c>
      <c r="I437" s="22">
        <f t="shared" si="29"/>
        <v>1</v>
      </c>
      <c r="J437" s="5">
        <f>VLOOKUP(C437,'Master File June-26'!C:J,8,0)</f>
        <v>14</v>
      </c>
      <c r="K437" s="23">
        <f t="shared" si="24"/>
        <v>0.56000000000000005</v>
      </c>
      <c r="L437" s="58">
        <f>VLOOKUP(C437,'Master File June-26'!C:L,10,0)</f>
        <v>0</v>
      </c>
      <c r="M437" s="24">
        <f t="shared" si="25"/>
        <v>0</v>
      </c>
      <c r="N437" s="25" t="str">
        <f t="shared" si="26"/>
        <v>ORDER NOW</v>
      </c>
      <c r="O437" s="25" t="str">
        <f t="shared" si="27"/>
        <v>CRITICAL</v>
      </c>
      <c r="Q437" s="87" t="e">
        <f>VLOOKUP(C437,[2]Sheet1!$C$3:$P$524,14,0)</f>
        <v>#N/A</v>
      </c>
    </row>
    <row r="438" spans="1:17" ht="18.75" hidden="1" x14ac:dyDescent="0.25">
      <c r="A438" s="41">
        <v>501</v>
      </c>
      <c r="B438" s="41" t="s">
        <v>38</v>
      </c>
      <c r="C438" s="41" t="s">
        <v>488</v>
      </c>
      <c r="D438" s="28" t="s">
        <v>489</v>
      </c>
      <c r="E438" s="28" t="s">
        <v>490</v>
      </c>
      <c r="F438" s="5" t="s">
        <v>54</v>
      </c>
      <c r="G438" s="21">
        <v>0.2</v>
      </c>
      <c r="H438" s="22">
        <v>5</v>
      </c>
      <c r="I438" s="22">
        <f t="shared" si="29"/>
        <v>25</v>
      </c>
      <c r="J438" s="5">
        <f>VLOOKUP(C438,'Master File June-26'!C:J,8,0)</f>
        <v>14</v>
      </c>
      <c r="K438" s="23">
        <f t="shared" si="24"/>
        <v>14.000000000000002</v>
      </c>
      <c r="L438" s="58">
        <f>VLOOKUP(C438,'Master File June-26'!C:L,10,0)</f>
        <v>10</v>
      </c>
      <c r="M438" s="24">
        <f t="shared" si="25"/>
        <v>12</v>
      </c>
      <c r="N438" s="25" t="str">
        <f t="shared" si="26"/>
        <v>ORDER NOW</v>
      </c>
      <c r="O438" s="25" t="str">
        <f t="shared" si="27"/>
        <v>CRITICAL</v>
      </c>
      <c r="Q438" s="87" t="e">
        <f>VLOOKUP(C438,[2]Sheet1!$C$3:$P$524,14,0)</f>
        <v>#N/A</v>
      </c>
    </row>
    <row r="439" spans="1:17" ht="18.75" hidden="1" x14ac:dyDescent="0.25">
      <c r="A439" s="19">
        <v>31</v>
      </c>
      <c r="B439" s="19" t="s">
        <v>18</v>
      </c>
      <c r="C439" s="19" t="s">
        <v>1448</v>
      </c>
      <c r="D439" s="28" t="s">
        <v>1449</v>
      </c>
      <c r="E439" s="28" t="s">
        <v>186</v>
      </c>
      <c r="F439" s="5" t="s">
        <v>22</v>
      </c>
      <c r="G439" s="21">
        <v>2E-3</v>
      </c>
      <c r="H439" s="22">
        <v>715</v>
      </c>
      <c r="I439" s="22">
        <f t="shared" si="29"/>
        <v>357500</v>
      </c>
      <c r="J439" s="5">
        <f>VLOOKUP(C439,'Master File June-26'!C:J,8,0)</f>
        <v>60</v>
      </c>
      <c r="K439" s="23">
        <f t="shared" si="24"/>
        <v>858000</v>
      </c>
      <c r="L439" s="58">
        <f>VLOOKUP(C439,'Master File June-26'!C:L,10,0)</f>
        <v>79500</v>
      </c>
      <c r="M439" s="24">
        <f t="shared" si="25"/>
        <v>6.6713286713286717</v>
      </c>
      <c r="N439" s="25" t="str">
        <f t="shared" si="26"/>
        <v>ORDER NOW</v>
      </c>
      <c r="O439" s="25" t="str">
        <f t="shared" si="27"/>
        <v>CRITICAL</v>
      </c>
      <c r="P439" t="s">
        <v>30</v>
      </c>
      <c r="Q439" s="87" t="e">
        <f>VLOOKUP(C439,[2]Sheet1!$C$3:$P$524,14,0)</f>
        <v>#N/A</v>
      </c>
    </row>
    <row r="440" spans="1:17" ht="18.75" hidden="1" x14ac:dyDescent="0.25">
      <c r="A440" s="41">
        <v>333</v>
      </c>
      <c r="B440" s="41" t="s">
        <v>38</v>
      </c>
      <c r="C440" s="41" t="s">
        <v>1103</v>
      </c>
      <c r="D440" s="28" t="s">
        <v>1104</v>
      </c>
      <c r="E440" s="28" t="s">
        <v>907</v>
      </c>
      <c r="F440" s="5" t="s">
        <v>22</v>
      </c>
      <c r="G440" s="21">
        <v>8.3333333333333329E-2</v>
      </c>
      <c r="H440" s="22">
        <v>1040</v>
      </c>
      <c r="I440" s="22">
        <f t="shared" si="29"/>
        <v>12480</v>
      </c>
      <c r="J440" s="5">
        <f>VLOOKUP(C440,'Master File June-26'!C:J,8,0)</f>
        <v>14</v>
      </c>
      <c r="K440" s="23">
        <f t="shared" si="24"/>
        <v>6988.8000000000011</v>
      </c>
      <c r="L440" s="58">
        <f>VLOOKUP(C440,'Master File June-26'!C:L,10,0)</f>
        <v>4088</v>
      </c>
      <c r="M440" s="24">
        <f t="shared" si="25"/>
        <v>9.8269230769230766</v>
      </c>
      <c r="N440" s="25" t="str">
        <f t="shared" si="26"/>
        <v>ORDER NOW</v>
      </c>
      <c r="O440" s="25" t="str">
        <f t="shared" si="27"/>
        <v>CRITICAL</v>
      </c>
      <c r="Q440" s="87" t="e">
        <f>VLOOKUP(C440,[2]Sheet1!$C$3:$P$524,14,0)</f>
        <v>#N/A</v>
      </c>
    </row>
    <row r="441" spans="1:17" ht="18.75" hidden="1" x14ac:dyDescent="0.25">
      <c r="A441" s="19">
        <v>99</v>
      </c>
      <c r="B441" s="19" t="s">
        <v>18</v>
      </c>
      <c r="C441" s="19" t="s">
        <v>1188</v>
      </c>
      <c r="D441" s="28" t="s">
        <v>1189</v>
      </c>
      <c r="E441" s="27" t="s">
        <v>850</v>
      </c>
      <c r="F441" s="48" t="s">
        <v>22</v>
      </c>
      <c r="G441" s="21">
        <v>0.01</v>
      </c>
      <c r="H441" s="22">
        <v>140</v>
      </c>
      <c r="I441" s="22">
        <f t="shared" si="29"/>
        <v>14000</v>
      </c>
      <c r="J441" s="5">
        <f>VLOOKUP(C441,'Master File June-26'!C:J,8,0)</f>
        <v>14</v>
      </c>
      <c r="K441" s="23">
        <f t="shared" si="24"/>
        <v>7840.0000000000009</v>
      </c>
      <c r="L441" s="58">
        <f>VLOOKUP(C441,'Master File June-26'!C:L,10,0)</f>
        <v>700</v>
      </c>
      <c r="M441" s="24">
        <f t="shared" si="25"/>
        <v>1.5</v>
      </c>
      <c r="N441" s="25" t="str">
        <f t="shared" si="26"/>
        <v>ORDER NOW</v>
      </c>
      <c r="O441" s="25" t="str">
        <f t="shared" si="27"/>
        <v>CRITICAL</v>
      </c>
      <c r="P441" t="s">
        <v>30</v>
      </c>
      <c r="Q441" s="87" t="e">
        <f>VLOOKUP(C441,[2]Sheet1!$C$3:$P$524,14,0)</f>
        <v>#N/A</v>
      </c>
    </row>
    <row r="442" spans="1:17" ht="18.75" hidden="1" x14ac:dyDescent="0.25">
      <c r="A442" s="19">
        <v>115</v>
      </c>
      <c r="B442" s="19" t="s">
        <v>18</v>
      </c>
      <c r="C442" s="19" t="s">
        <v>1115</v>
      </c>
      <c r="D442" s="28" t="s">
        <v>1116</v>
      </c>
      <c r="E442" s="28" t="s">
        <v>191</v>
      </c>
      <c r="F442" s="5" t="s">
        <v>22</v>
      </c>
      <c r="G442" s="21">
        <v>1E-3</v>
      </c>
      <c r="H442" s="22">
        <v>8</v>
      </c>
      <c r="I442" s="22">
        <f t="shared" si="29"/>
        <v>8000</v>
      </c>
      <c r="J442" s="5">
        <f>VLOOKUP(C442,'Master File June-26'!C:J,8,0)</f>
        <v>14</v>
      </c>
      <c r="K442" s="23">
        <f t="shared" si="24"/>
        <v>4480</v>
      </c>
      <c r="L442" s="58">
        <f>VLOOKUP(C442,'Master File June-26'!C:L,10,0)</f>
        <v>0</v>
      </c>
      <c r="M442" s="24">
        <f t="shared" si="25"/>
        <v>0</v>
      </c>
      <c r="N442" s="25" t="str">
        <f t="shared" si="26"/>
        <v>ORDER NOW</v>
      </c>
      <c r="O442" s="25" t="str">
        <f t="shared" si="27"/>
        <v>CRITICAL</v>
      </c>
      <c r="P442" t="s">
        <v>30</v>
      </c>
      <c r="Q442" s="87" t="e">
        <f>VLOOKUP(C442,[2]Sheet1!$C$3:$P$524,14,0)</f>
        <v>#N/A</v>
      </c>
    </row>
    <row r="443" spans="1:17" ht="18.75" hidden="1" x14ac:dyDescent="0.25">
      <c r="A443" s="4">
        <v>599</v>
      </c>
      <c r="B443" s="4" t="s">
        <v>104</v>
      </c>
      <c r="C443" s="4" t="s">
        <v>108</v>
      </c>
      <c r="D443" s="28" t="s">
        <v>109</v>
      </c>
      <c r="E443" s="28" t="s">
        <v>110</v>
      </c>
      <c r="F443" s="5" t="s">
        <v>22</v>
      </c>
      <c r="G443" s="21">
        <v>0.5</v>
      </c>
      <c r="H443" s="22">
        <f>VLOOKUP(C443,'Master File June-26'!$C$3:$I$670,6,0)</f>
        <v>38.5</v>
      </c>
      <c r="I443" s="22">
        <f>VLOOKUP(C443,'Master File June-26'!$C$3:$I$670,7,0)</f>
        <v>77</v>
      </c>
      <c r="J443" s="5">
        <f>VLOOKUP(C443,'Master File June-26'!C:J,8,0)</f>
        <v>14</v>
      </c>
      <c r="K443" s="23">
        <f t="shared" si="24"/>
        <v>43.120000000000005</v>
      </c>
      <c r="L443" s="58">
        <f>VLOOKUP(C443,'Master File June-26'!C:L,10,0)</f>
        <v>0</v>
      </c>
      <c r="M443" s="24">
        <f t="shared" si="25"/>
        <v>0</v>
      </c>
      <c r="N443" s="25" t="str">
        <f t="shared" si="26"/>
        <v>ORDER NOW</v>
      </c>
      <c r="O443" s="25" t="str">
        <f t="shared" si="27"/>
        <v>CRITICAL</v>
      </c>
      <c r="Q443" s="87">
        <f>VLOOKUP(C443,'Master File June-26'!$C$3:$S$670,17,0)</f>
        <v>46127.531030092592</v>
      </c>
    </row>
    <row r="444" spans="1:17" ht="18.75" hidden="1" x14ac:dyDescent="0.25">
      <c r="A444" s="19">
        <v>167</v>
      </c>
      <c r="B444" s="19" t="s">
        <v>18</v>
      </c>
      <c r="C444" s="19" t="s">
        <v>1531</v>
      </c>
      <c r="D444" s="28" t="s">
        <v>1532</v>
      </c>
      <c r="E444" s="28" t="s">
        <v>21</v>
      </c>
      <c r="F444" s="5" t="s">
        <v>22</v>
      </c>
      <c r="G444" s="21">
        <v>1.6666666666666668E-3</v>
      </c>
      <c r="H444" s="22">
        <v>20</v>
      </c>
      <c r="I444" s="22">
        <f>H444/G444</f>
        <v>12000</v>
      </c>
      <c r="J444" s="5">
        <f>VLOOKUP(C444,'Master File June-26'!C:J,8,0)</f>
        <v>14</v>
      </c>
      <c r="K444" s="23">
        <f t="shared" si="24"/>
        <v>6720.0000000000009</v>
      </c>
      <c r="L444" s="58">
        <f>VLOOKUP(C444,'Master File June-26'!C:L,10,0)</f>
        <v>1500</v>
      </c>
      <c r="M444" s="24">
        <f t="shared" si="25"/>
        <v>3.75</v>
      </c>
      <c r="N444" s="25" t="str">
        <f t="shared" si="26"/>
        <v>ORDER NOW</v>
      </c>
      <c r="O444" s="25" t="str">
        <f t="shared" si="27"/>
        <v>CRITICAL</v>
      </c>
      <c r="Q444" s="87" t="e">
        <f>VLOOKUP(C444,[2]Sheet1!$C$3:$P$524,14,0)</f>
        <v>#N/A</v>
      </c>
    </row>
    <row r="445" spans="1:17" ht="18.75" hidden="1" x14ac:dyDescent="0.25">
      <c r="A445" s="19">
        <v>183</v>
      </c>
      <c r="B445" s="19" t="s">
        <v>18</v>
      </c>
      <c r="C445" s="19" t="s">
        <v>226</v>
      </c>
      <c r="D445" s="20" t="s">
        <v>227</v>
      </c>
      <c r="E445" s="34" t="s">
        <v>49</v>
      </c>
      <c r="F445" s="5" t="s">
        <v>49</v>
      </c>
      <c r="G445" s="21">
        <v>1</v>
      </c>
      <c r="H445" s="22">
        <f>VLOOKUP(C445,'Master File June-26'!$C$3:$I$670,6,0)</f>
        <v>5000</v>
      </c>
      <c r="I445" s="22">
        <f>VLOOKUP(C445,'Master File June-26'!$C$3:$I$670,7,0)</f>
        <v>5000</v>
      </c>
      <c r="J445" s="5">
        <f>VLOOKUP(C445,'Master File June-26'!C:J,8,0)</f>
        <v>14</v>
      </c>
      <c r="K445" s="23">
        <f t="shared" si="24"/>
        <v>2800.0000000000005</v>
      </c>
      <c r="L445" s="58">
        <f>VLOOKUP(C445,'Master File June-26'!C:L,10,0)</f>
        <v>0</v>
      </c>
      <c r="M445" s="24">
        <f t="shared" si="25"/>
        <v>0</v>
      </c>
      <c r="N445" s="25" t="str">
        <f t="shared" si="26"/>
        <v>ORDER NOW</v>
      </c>
      <c r="O445" s="25" t="str">
        <f t="shared" si="27"/>
        <v>CRITICAL</v>
      </c>
      <c r="Q445" s="87">
        <f>VLOOKUP(C445,'Master File June-26'!$C$3:$S$670,17,0)</f>
        <v>46113.430902777778</v>
      </c>
    </row>
    <row r="446" spans="1:17" ht="18.75" hidden="1" x14ac:dyDescent="0.25">
      <c r="A446" s="19">
        <v>184</v>
      </c>
      <c r="B446" s="19" t="s">
        <v>18</v>
      </c>
      <c r="C446" s="19" t="s">
        <v>228</v>
      </c>
      <c r="D446" s="20" t="s">
        <v>229</v>
      </c>
      <c r="E446" s="34" t="s">
        <v>49</v>
      </c>
      <c r="F446" s="5" t="s">
        <v>49</v>
      </c>
      <c r="G446" s="21">
        <v>1</v>
      </c>
      <c r="H446" s="22">
        <f>VLOOKUP(C446,'Master File June-26'!$C$3:$I$670,6,0)</f>
        <v>5000</v>
      </c>
      <c r="I446" s="22">
        <f>VLOOKUP(C446,'Master File June-26'!$C$3:$I$670,7,0)</f>
        <v>5000</v>
      </c>
      <c r="J446" s="5">
        <f>VLOOKUP(C446,'Master File June-26'!C:J,8,0)</f>
        <v>14</v>
      </c>
      <c r="K446" s="23">
        <f t="shared" si="24"/>
        <v>2800.0000000000005</v>
      </c>
      <c r="L446" s="58">
        <f>VLOOKUP(C446,'Master File June-26'!C:L,10,0)</f>
        <v>0</v>
      </c>
      <c r="M446" s="24">
        <f t="shared" si="25"/>
        <v>0</v>
      </c>
      <c r="N446" s="25" t="str">
        <f t="shared" si="26"/>
        <v>ORDER NOW</v>
      </c>
      <c r="O446" s="25" t="str">
        <f t="shared" si="27"/>
        <v>CRITICAL</v>
      </c>
      <c r="Q446" s="87">
        <f>VLOOKUP(C446,'Master File June-26'!$C$3:$S$670,17,0)</f>
        <v>46113.430902777778</v>
      </c>
    </row>
    <row r="447" spans="1:17" ht="18.75" hidden="1" x14ac:dyDescent="0.25">
      <c r="A447" s="41">
        <v>361</v>
      </c>
      <c r="B447" s="41" t="s">
        <v>85</v>
      </c>
      <c r="C447" s="41" t="s">
        <v>786</v>
      </c>
      <c r="D447" s="28" t="s">
        <v>787</v>
      </c>
      <c r="E447" s="28" t="s">
        <v>101</v>
      </c>
      <c r="F447" s="5" t="s">
        <v>22</v>
      </c>
      <c r="G447" s="21">
        <v>0.16666666666666666</v>
      </c>
      <c r="H447" s="22">
        <v>5.5</v>
      </c>
      <c r="I447" s="22">
        <f>H447/G447</f>
        <v>33</v>
      </c>
      <c r="J447" s="5">
        <f>VLOOKUP(C447,'Master File June-26'!C:J,8,0)</f>
        <v>14</v>
      </c>
      <c r="K447" s="23">
        <f t="shared" si="24"/>
        <v>18.48</v>
      </c>
      <c r="L447" s="58">
        <f>VLOOKUP(C447,'Master File June-26'!C:L,10,0)</f>
        <v>48</v>
      </c>
      <c r="M447" s="24">
        <f t="shared" si="25"/>
        <v>43.63636363636364</v>
      </c>
      <c r="N447" s="25" t="str">
        <f t="shared" si="26"/>
        <v>IN STOCK</v>
      </c>
      <c r="O447" s="25" t="str">
        <f t="shared" si="27"/>
        <v>FOLLOW UP DELIVERY</v>
      </c>
      <c r="Q447" s="87" t="e">
        <f>VLOOKUP(C447,[2]Sheet1!$C$3:$P$524,14,0)</f>
        <v>#N/A</v>
      </c>
    </row>
    <row r="448" spans="1:17" ht="18.75" hidden="1" x14ac:dyDescent="0.25">
      <c r="A448" s="19">
        <v>86</v>
      </c>
      <c r="B448" s="19" t="s">
        <v>18</v>
      </c>
      <c r="C448" s="19" t="s">
        <v>990</v>
      </c>
      <c r="D448" s="28" t="s">
        <v>991</v>
      </c>
      <c r="E448" s="28" t="s">
        <v>196</v>
      </c>
      <c r="F448" s="5" t="s">
        <v>46</v>
      </c>
      <c r="G448" s="21">
        <v>0.01</v>
      </c>
      <c r="H448" s="22">
        <f>VLOOKUP(C448,'Master File June-26'!$C$3:$I$670,6,0)</f>
        <v>96</v>
      </c>
      <c r="I448" s="22">
        <f>VLOOKUP(C448,'Master File June-26'!$C$3:$I$670,7,0)</f>
        <v>9600</v>
      </c>
      <c r="J448" s="5">
        <f>VLOOKUP(C448,'Master File June-26'!C:J,8,0)</f>
        <v>14</v>
      </c>
      <c r="K448" s="23">
        <f t="shared" si="24"/>
        <v>5376.0000000000009</v>
      </c>
      <c r="L448" s="58">
        <f>VLOOKUP(C448,'Master File June-26'!C:L,10,0)</f>
        <v>3100</v>
      </c>
      <c r="M448" s="24">
        <f t="shared" si="25"/>
        <v>9.6875</v>
      </c>
      <c r="N448" s="25" t="str">
        <f t="shared" si="26"/>
        <v>ORDER NOW</v>
      </c>
      <c r="O448" s="25" t="str">
        <f t="shared" si="27"/>
        <v>CRITICAL</v>
      </c>
      <c r="P448" t="s">
        <v>30</v>
      </c>
      <c r="Q448" s="87" t="e">
        <f>VLOOKUP(C448,[2]Sheet1!$C$3:$P$524,14,0)</f>
        <v>#N/A</v>
      </c>
    </row>
    <row r="449" spans="1:17" ht="18.75" hidden="1" x14ac:dyDescent="0.25">
      <c r="A449" s="19">
        <v>15</v>
      </c>
      <c r="B449" s="19" t="s">
        <v>18</v>
      </c>
      <c r="C449" s="19" t="s">
        <v>1516</v>
      </c>
      <c r="D449" s="28" t="s">
        <v>1517</v>
      </c>
      <c r="E449" s="28" t="s">
        <v>1518</v>
      </c>
      <c r="F449" s="5" t="s">
        <v>22</v>
      </c>
      <c r="G449" s="21">
        <v>7.6923076923076927E-3</v>
      </c>
      <c r="H449" s="22">
        <v>170.5</v>
      </c>
      <c r="I449" s="22">
        <f>H449/G449</f>
        <v>22165</v>
      </c>
      <c r="J449" s="5">
        <f>VLOOKUP(C449,'Master File June-26'!C:J,8,0)</f>
        <v>60</v>
      </c>
      <c r="K449" s="23">
        <f t="shared" si="24"/>
        <v>53196</v>
      </c>
      <c r="L449" s="58">
        <f>VLOOKUP(C449,'Master File June-26'!C:L,10,0)</f>
        <v>16510</v>
      </c>
      <c r="M449" s="24">
        <f t="shared" si="25"/>
        <v>22.346041055718477</v>
      </c>
      <c r="N449" s="25" t="str">
        <f t="shared" si="26"/>
        <v>ORDER NOW</v>
      </c>
      <c r="O449" s="25" t="str">
        <f t="shared" si="27"/>
        <v>CRITICAL</v>
      </c>
      <c r="P449" t="s">
        <v>30</v>
      </c>
      <c r="Q449" s="87" t="e">
        <f>VLOOKUP(C449,[2]Sheet1!$C$3:$P$524,14,0)</f>
        <v>#N/A</v>
      </c>
    </row>
    <row r="450" spans="1:17" ht="18.75" hidden="1" x14ac:dyDescent="0.25">
      <c r="A450" s="41">
        <v>355</v>
      </c>
      <c r="B450" s="41" t="s">
        <v>38</v>
      </c>
      <c r="C450" s="41" t="s">
        <v>1495</v>
      </c>
      <c r="D450" s="28" t="s">
        <v>1496</v>
      </c>
      <c r="E450" s="28" t="s">
        <v>1244</v>
      </c>
      <c r="F450" s="5" t="s">
        <v>22</v>
      </c>
      <c r="G450" s="21">
        <v>0.2</v>
      </c>
      <c r="H450" s="22">
        <v>27.5</v>
      </c>
      <c r="I450" s="22">
        <f>H450/G450</f>
        <v>137.5</v>
      </c>
      <c r="J450" s="5">
        <f>VLOOKUP(C450,'Master File June-26'!C:J,8,0)</f>
        <v>14</v>
      </c>
      <c r="K450" s="23">
        <f t="shared" si="24"/>
        <v>77.000000000000014</v>
      </c>
      <c r="L450" s="58">
        <f>VLOOKUP(C450,'Master File June-26'!C:L,10,0)</f>
        <v>105</v>
      </c>
      <c r="M450" s="24">
        <f t="shared" si="25"/>
        <v>22.90909090909091</v>
      </c>
      <c r="N450" s="25" t="str">
        <f t="shared" si="26"/>
        <v>IN STOCK</v>
      </c>
      <c r="O450" s="25" t="str">
        <f t="shared" si="27"/>
        <v>FOLLOW UP DELIVERY</v>
      </c>
      <c r="Q450" s="87" t="e">
        <f>VLOOKUP(C450,[2]Sheet1!$C$3:$P$524,14,0)</f>
        <v>#N/A</v>
      </c>
    </row>
    <row r="451" spans="1:17" ht="18.75" hidden="1" x14ac:dyDescent="0.25">
      <c r="A451" s="41">
        <v>436</v>
      </c>
      <c r="B451" s="41" t="s">
        <v>38</v>
      </c>
      <c r="C451" s="41" t="s">
        <v>1341</v>
      </c>
      <c r="D451" s="28" t="s">
        <v>1342</v>
      </c>
      <c r="E451" s="28" t="s">
        <v>64</v>
      </c>
      <c r="F451" s="5" t="s">
        <v>49</v>
      </c>
      <c r="G451" s="21">
        <v>0.04</v>
      </c>
      <c r="H451" s="22">
        <v>13</v>
      </c>
      <c r="I451" s="22">
        <f>H451/G451</f>
        <v>325</v>
      </c>
      <c r="J451" s="5">
        <f>VLOOKUP(C451,'Master File June-26'!C:J,8,0)</f>
        <v>14</v>
      </c>
      <c r="K451" s="23">
        <f t="shared" ref="K451:K514" si="30">I451*(J451/25)</f>
        <v>182.00000000000003</v>
      </c>
      <c r="L451" s="58">
        <f>VLOOKUP(C451,'Master File June-26'!C:L,10,0)</f>
        <v>0</v>
      </c>
      <c r="M451" s="24">
        <f t="shared" ref="M451:M514" si="31">IFERROR((L451/I451*30),0)</f>
        <v>0</v>
      </c>
      <c r="N451" s="25" t="str">
        <f t="shared" ref="N451:N514" si="32">IF(M451&lt;J451,"ORDER NOW","IN STOCK")</f>
        <v>ORDER NOW</v>
      </c>
      <c r="O451" s="25" t="str">
        <f t="shared" ref="O451:O514" si="33">IF(M451&lt;J451,"CRITICAL","FOLLOW UP DELIVERY")</f>
        <v>CRITICAL</v>
      </c>
      <c r="Q451" s="87" t="e">
        <f>VLOOKUP(C451,[2]Sheet1!$C$3:$P$524,14,0)</f>
        <v>#N/A</v>
      </c>
    </row>
    <row r="452" spans="1:17" ht="18.75" hidden="1" x14ac:dyDescent="0.25">
      <c r="A452" s="41">
        <v>454</v>
      </c>
      <c r="B452" s="41" t="s">
        <v>85</v>
      </c>
      <c r="C452" s="41" t="s">
        <v>1533</v>
      </c>
      <c r="D452" s="28" t="s">
        <v>1534</v>
      </c>
      <c r="E452" s="28" t="s">
        <v>1535</v>
      </c>
      <c r="F452" s="5" t="s">
        <v>22</v>
      </c>
      <c r="G452" s="21">
        <v>7.407407407407407E-2</v>
      </c>
      <c r="H452" s="22">
        <f>VLOOKUP(C452,'Master File June-26'!$C$3:$I$670,6,0)</f>
        <v>1</v>
      </c>
      <c r="I452" s="22">
        <f>VLOOKUP(C452,'Master File June-26'!$C$3:$I$670,7,0)</f>
        <v>13.5</v>
      </c>
      <c r="J452" s="5">
        <f>VLOOKUP(C452,'Master File June-26'!C:J,8,0)</f>
        <v>14</v>
      </c>
      <c r="K452" s="23">
        <f t="shared" si="30"/>
        <v>7.5600000000000005</v>
      </c>
      <c r="L452" s="58">
        <f>VLOOKUP(C452,'Master File June-26'!C:L,10,0)</f>
        <v>0</v>
      </c>
      <c r="M452" s="24">
        <f t="shared" si="31"/>
        <v>0</v>
      </c>
      <c r="N452" s="25" t="str">
        <f t="shared" si="32"/>
        <v>ORDER NOW</v>
      </c>
      <c r="O452" s="25" t="str">
        <f t="shared" si="33"/>
        <v>CRITICAL</v>
      </c>
      <c r="Q452" s="87" t="e">
        <f>VLOOKUP(C452,[2]Sheet1!$C$3:$P$524,14,0)</f>
        <v>#N/A</v>
      </c>
    </row>
    <row r="453" spans="1:17" ht="18.75" hidden="1" x14ac:dyDescent="0.25">
      <c r="A453" s="19">
        <v>43</v>
      </c>
      <c r="B453" s="19" t="s">
        <v>18</v>
      </c>
      <c r="C453" s="19" t="s">
        <v>1482</v>
      </c>
      <c r="D453" s="28" t="s">
        <v>1483</v>
      </c>
      <c r="E453" s="28" t="s">
        <v>1484</v>
      </c>
      <c r="F453" s="5" t="s">
        <v>22</v>
      </c>
      <c r="G453" s="21">
        <v>1.6666666666666666E-2</v>
      </c>
      <c r="H453" s="22">
        <v>346.5</v>
      </c>
      <c r="I453" s="22">
        <f>H453/G453</f>
        <v>20790</v>
      </c>
      <c r="J453" s="5">
        <f>VLOOKUP(C453,'Master File June-26'!C:J,8,0)</f>
        <v>14</v>
      </c>
      <c r="K453" s="23">
        <f t="shared" si="30"/>
        <v>11642.400000000001</v>
      </c>
      <c r="L453" s="58">
        <f>VLOOKUP(C453,'Master File June-26'!C:L,10,0)</f>
        <v>19360</v>
      </c>
      <c r="M453" s="24">
        <f t="shared" si="31"/>
        <v>27.936507936507937</v>
      </c>
      <c r="N453" s="25" t="str">
        <f t="shared" si="32"/>
        <v>IN STOCK</v>
      </c>
      <c r="O453" s="25" t="str">
        <f t="shared" si="33"/>
        <v>FOLLOW UP DELIVERY</v>
      </c>
      <c r="P453" t="s">
        <v>30</v>
      </c>
      <c r="Q453" s="87" t="e">
        <f>VLOOKUP(C453,[2]Sheet1!$C$3:$P$524,14,0)</f>
        <v>#N/A</v>
      </c>
    </row>
    <row r="454" spans="1:17" ht="18.75" hidden="1" x14ac:dyDescent="0.25">
      <c r="A454" s="41">
        <v>563</v>
      </c>
      <c r="B454" s="41" t="s">
        <v>38</v>
      </c>
      <c r="C454" s="41" t="s">
        <v>1167</v>
      </c>
      <c r="D454" s="149" t="s">
        <v>1168</v>
      </c>
      <c r="E454" s="34" t="s">
        <v>22</v>
      </c>
      <c r="F454" s="5" t="s">
        <v>22</v>
      </c>
      <c r="G454" s="21">
        <v>1</v>
      </c>
      <c r="H454" s="22">
        <v>5</v>
      </c>
      <c r="I454" s="22">
        <f>H454/G454</f>
        <v>5</v>
      </c>
      <c r="J454" s="5">
        <f>VLOOKUP(C454,'Master File June-26'!C:J,8,0)</f>
        <v>14</v>
      </c>
      <c r="K454" s="23">
        <f t="shared" si="30"/>
        <v>2.8000000000000003</v>
      </c>
      <c r="L454" s="58">
        <f>VLOOKUP(C454,'Master File June-26'!C:L,10,0)</f>
        <v>0</v>
      </c>
      <c r="M454" s="24">
        <f t="shared" si="31"/>
        <v>0</v>
      </c>
      <c r="N454" s="25" t="str">
        <f t="shared" si="32"/>
        <v>ORDER NOW</v>
      </c>
      <c r="O454" s="25" t="str">
        <f t="shared" si="33"/>
        <v>CRITICAL</v>
      </c>
      <c r="Q454" s="87" t="e">
        <f>VLOOKUP(C454,[2]Sheet1!$C$3:$P$524,14,0)</f>
        <v>#N/A</v>
      </c>
    </row>
    <row r="455" spans="1:17" ht="18.75" hidden="1" x14ac:dyDescent="0.25">
      <c r="A455" s="19">
        <v>89</v>
      </c>
      <c r="B455" s="19" t="s">
        <v>18</v>
      </c>
      <c r="C455" s="19" t="s">
        <v>1035</v>
      </c>
      <c r="D455" s="28" t="s">
        <v>1036</v>
      </c>
      <c r="E455" s="28" t="s">
        <v>119</v>
      </c>
      <c r="F455" s="5" t="s">
        <v>22</v>
      </c>
      <c r="G455" s="21">
        <v>1E-3</v>
      </c>
      <c r="H455" s="22">
        <v>22</v>
      </c>
      <c r="I455" s="22">
        <f>H455/G455</f>
        <v>22000</v>
      </c>
      <c r="J455" s="5">
        <f>VLOOKUP(C455,'Master File June-26'!C:J,8,0)</f>
        <v>14</v>
      </c>
      <c r="K455" s="23">
        <f t="shared" si="30"/>
        <v>12320.000000000002</v>
      </c>
      <c r="L455" s="58">
        <f>VLOOKUP(C455,'Master File June-26'!C:L,10,0)</f>
        <v>5500</v>
      </c>
      <c r="M455" s="24">
        <f t="shared" si="31"/>
        <v>7.5</v>
      </c>
      <c r="N455" s="25" t="str">
        <f t="shared" si="32"/>
        <v>ORDER NOW</v>
      </c>
      <c r="O455" s="25" t="str">
        <f t="shared" si="33"/>
        <v>CRITICAL</v>
      </c>
      <c r="P455" t="s">
        <v>30</v>
      </c>
      <c r="Q455" s="87" t="e">
        <f>VLOOKUP(C455,[2]Sheet1!$C$3:$P$524,14,0)</f>
        <v>#N/A</v>
      </c>
    </row>
    <row r="456" spans="1:17" ht="18.75" hidden="1" x14ac:dyDescent="0.25">
      <c r="A456" s="19">
        <v>169</v>
      </c>
      <c r="B456" s="19" t="s">
        <v>18</v>
      </c>
      <c r="C456" s="19" t="s">
        <v>725</v>
      </c>
      <c r="D456" s="30" t="s">
        <v>726</v>
      </c>
      <c r="E456" s="28" t="s">
        <v>78</v>
      </c>
      <c r="F456" s="5" t="s">
        <v>49</v>
      </c>
      <c r="G456" s="21">
        <v>1</v>
      </c>
      <c r="H456" s="22">
        <f>VLOOKUP(C456,'Master File June-26'!$C$3:$I$670,6,0)</f>
        <v>4000</v>
      </c>
      <c r="I456" s="22">
        <f>VLOOKUP(C456,'Master File June-26'!$C$3:$I$670,7,0)</f>
        <v>4000</v>
      </c>
      <c r="J456" s="5">
        <f>VLOOKUP(C456,'Master File June-26'!C:J,8,0)</f>
        <v>14</v>
      </c>
      <c r="K456" s="23">
        <f t="shared" si="30"/>
        <v>2240</v>
      </c>
      <c r="L456" s="58">
        <f>VLOOKUP(C456,'Master File June-26'!C:L,10,0)</f>
        <v>0</v>
      </c>
      <c r="M456" s="24">
        <f t="shared" si="31"/>
        <v>0</v>
      </c>
      <c r="N456" s="25" t="str">
        <f t="shared" si="32"/>
        <v>ORDER NOW</v>
      </c>
      <c r="O456" s="25" t="str">
        <f t="shared" si="33"/>
        <v>CRITICAL</v>
      </c>
      <c r="Q456" s="87">
        <f>VLOOKUP(C456,'Master File June-26'!$C$3:$S$670,17,0)</f>
        <v>46134.44635416667</v>
      </c>
    </row>
    <row r="457" spans="1:17" ht="18.75" hidden="1" x14ac:dyDescent="0.25">
      <c r="A457" s="41">
        <v>467</v>
      </c>
      <c r="B457" s="41" t="s">
        <v>38</v>
      </c>
      <c r="C457" s="41" t="s">
        <v>464</v>
      </c>
      <c r="D457" s="28" t="s">
        <v>465</v>
      </c>
      <c r="E457" s="28" t="s">
        <v>466</v>
      </c>
      <c r="F457" s="5" t="s">
        <v>49</v>
      </c>
      <c r="G457" s="21">
        <v>0.04</v>
      </c>
      <c r="H457" s="22">
        <f>VLOOKUP(C457,'Master File June-26'!$C$3:$I$670,6,0)</f>
        <v>4</v>
      </c>
      <c r="I457" s="22">
        <f>VLOOKUP(C457,'Master File June-26'!$C$3:$I$670,7,0)</f>
        <v>100</v>
      </c>
      <c r="J457" s="5">
        <f>VLOOKUP(C457,'Master File June-26'!C:J,8,0)</f>
        <v>14</v>
      </c>
      <c r="K457" s="23">
        <f t="shared" si="30"/>
        <v>56.000000000000007</v>
      </c>
      <c r="L457" s="58">
        <f>VLOOKUP(C457,'Master File June-26'!C:L,10,0)</f>
        <v>0</v>
      </c>
      <c r="M457" s="24">
        <f t="shared" si="31"/>
        <v>0</v>
      </c>
      <c r="N457" s="25" t="str">
        <f t="shared" si="32"/>
        <v>ORDER NOW</v>
      </c>
      <c r="O457" s="25" t="str">
        <f t="shared" si="33"/>
        <v>CRITICAL</v>
      </c>
      <c r="Q457" s="87">
        <f>VLOOKUP(C457,'Master File June-26'!$C$3:$S$670,17,0)</f>
        <v>46113.430925925924</v>
      </c>
    </row>
    <row r="458" spans="1:17" ht="18.75" hidden="1" x14ac:dyDescent="0.25">
      <c r="A458" s="39">
        <v>242</v>
      </c>
      <c r="B458" s="39" t="s">
        <v>123</v>
      </c>
      <c r="C458" s="39" t="s">
        <v>711</v>
      </c>
      <c r="D458" s="28" t="s">
        <v>712</v>
      </c>
      <c r="E458" s="28" t="s">
        <v>706</v>
      </c>
      <c r="F458" s="5" t="s">
        <v>49</v>
      </c>
      <c r="G458" s="21">
        <v>1</v>
      </c>
      <c r="H458" s="22">
        <v>11</v>
      </c>
      <c r="I458" s="22">
        <f>H458/G458</f>
        <v>11</v>
      </c>
      <c r="J458" s="5">
        <f>VLOOKUP(C458,'Master File June-26'!C:J,8,0)</f>
        <v>14</v>
      </c>
      <c r="K458" s="23">
        <f t="shared" si="30"/>
        <v>6.16</v>
      </c>
      <c r="L458" s="58">
        <f>VLOOKUP(C458,'Master File June-26'!C:L,10,0)</f>
        <v>12</v>
      </c>
      <c r="M458" s="24">
        <f t="shared" si="31"/>
        <v>32.727272727272727</v>
      </c>
      <c r="N458" s="25" t="str">
        <f t="shared" si="32"/>
        <v>IN STOCK</v>
      </c>
      <c r="O458" s="25" t="str">
        <f t="shared" si="33"/>
        <v>FOLLOW UP DELIVERY</v>
      </c>
      <c r="Q458" s="87" t="e">
        <f>VLOOKUP(C458,[2]Sheet1!$C$3:$P$524,14,0)</f>
        <v>#N/A</v>
      </c>
    </row>
    <row r="459" spans="1:17" ht="18.75" hidden="1" x14ac:dyDescent="0.25">
      <c r="A459" s="41">
        <v>377</v>
      </c>
      <c r="B459" s="41" t="s">
        <v>85</v>
      </c>
      <c r="C459" s="41" t="s">
        <v>1453</v>
      </c>
      <c r="D459" s="28" t="s">
        <v>1454</v>
      </c>
      <c r="E459" s="28" t="s">
        <v>101</v>
      </c>
      <c r="F459" s="5" t="s">
        <v>22</v>
      </c>
      <c r="G459" s="21">
        <v>0.16666666666666666</v>
      </c>
      <c r="H459" s="22">
        <f>VLOOKUP(C459,'Master File June-26'!$C$3:$I$670,6,0)</f>
        <v>30.5</v>
      </c>
      <c r="I459" s="22">
        <f>VLOOKUP(C459,'Master File June-26'!$C$3:$I$670,7,0)</f>
        <v>183</v>
      </c>
      <c r="J459" s="5">
        <f>VLOOKUP(C459,'Master File June-26'!C:J,8,0)</f>
        <v>14</v>
      </c>
      <c r="K459" s="23">
        <f t="shared" si="30"/>
        <v>102.48</v>
      </c>
      <c r="L459" s="58">
        <f>VLOOKUP(C459,'Master File June-26'!C:L,10,0)</f>
        <v>198</v>
      </c>
      <c r="M459" s="24">
        <f t="shared" si="31"/>
        <v>32.459016393442624</v>
      </c>
      <c r="N459" s="25" t="str">
        <f t="shared" si="32"/>
        <v>IN STOCK</v>
      </c>
      <c r="O459" s="25" t="str">
        <f t="shared" si="33"/>
        <v>FOLLOW UP DELIVERY</v>
      </c>
      <c r="Q459" s="87">
        <f>VLOOKUP(C459,'Master File June-26'!$C$3:$S$670,17,0)</f>
        <v>46131.519872685189</v>
      </c>
    </row>
    <row r="460" spans="1:17" ht="18.75" hidden="1" x14ac:dyDescent="0.25">
      <c r="A460" s="19">
        <v>4</v>
      </c>
      <c r="B460" s="19" t="s">
        <v>18</v>
      </c>
      <c r="C460" s="19" t="s">
        <v>997</v>
      </c>
      <c r="D460" s="28" t="s">
        <v>998</v>
      </c>
      <c r="E460" s="28" t="s">
        <v>999</v>
      </c>
      <c r="F460" s="5" t="s">
        <v>22</v>
      </c>
      <c r="G460" s="21">
        <v>3.3333333333333335E-3</v>
      </c>
      <c r="H460" s="22">
        <f>VLOOKUP(C460,'Master File June-26'!$C$3:$I$670,6,0)</f>
        <v>240</v>
      </c>
      <c r="I460" s="22">
        <f>VLOOKUP(C460,'Master File June-26'!$C$3:$I$670,7,0)</f>
        <v>72000</v>
      </c>
      <c r="J460" s="5">
        <f>VLOOKUP(C460,'Master File June-26'!C:J,8,0)</f>
        <v>14</v>
      </c>
      <c r="K460" s="23">
        <f t="shared" si="30"/>
        <v>40320.000000000007</v>
      </c>
      <c r="L460" s="58">
        <f>VLOOKUP(C460,'Master File June-26'!C:L,10,0)</f>
        <v>20500</v>
      </c>
      <c r="M460" s="24">
        <f t="shared" si="31"/>
        <v>8.5416666666666661</v>
      </c>
      <c r="N460" s="25" t="str">
        <f t="shared" si="32"/>
        <v>ORDER NOW</v>
      </c>
      <c r="O460" s="25" t="str">
        <f t="shared" si="33"/>
        <v>CRITICAL</v>
      </c>
      <c r="P460" t="s">
        <v>30</v>
      </c>
      <c r="Q460" s="87">
        <f>VLOOKUP(C460,'Master File June-26'!$C$3:$S$670,17,0)</f>
        <v>46138.437847222223</v>
      </c>
    </row>
    <row r="461" spans="1:17" ht="18.75" hidden="1" x14ac:dyDescent="0.25">
      <c r="A461" s="41">
        <v>348</v>
      </c>
      <c r="B461" s="41" t="s">
        <v>38</v>
      </c>
      <c r="C461" s="41" t="s">
        <v>807</v>
      </c>
      <c r="D461" s="28" t="s">
        <v>808</v>
      </c>
      <c r="E461" s="28" t="s">
        <v>809</v>
      </c>
      <c r="F461" s="5" t="s">
        <v>49</v>
      </c>
      <c r="G461" s="21">
        <v>0.16666666666666666</v>
      </c>
      <c r="H461" s="22">
        <v>35.5</v>
      </c>
      <c r="I461" s="22">
        <f>H461/G461</f>
        <v>213</v>
      </c>
      <c r="J461" s="5">
        <f>VLOOKUP(C461,'Master File June-26'!C:J,8,0)</f>
        <v>14</v>
      </c>
      <c r="K461" s="23">
        <f t="shared" si="30"/>
        <v>119.28000000000002</v>
      </c>
      <c r="L461" s="58">
        <f>VLOOKUP(C461,'Master File June-26'!C:L,10,0)</f>
        <v>102</v>
      </c>
      <c r="M461" s="24">
        <f t="shared" si="31"/>
        <v>14.36619718309859</v>
      </c>
      <c r="N461" s="25" t="str">
        <f t="shared" si="32"/>
        <v>IN STOCK</v>
      </c>
      <c r="O461" s="25" t="str">
        <f t="shared" si="33"/>
        <v>FOLLOW UP DELIVERY</v>
      </c>
      <c r="Q461" s="87" t="e">
        <f>VLOOKUP(C461,[2]Sheet1!$C$3:$P$524,14,0)</f>
        <v>#N/A</v>
      </c>
    </row>
    <row r="462" spans="1:17" ht="18.75" hidden="1" x14ac:dyDescent="0.25">
      <c r="A462" s="19">
        <v>111</v>
      </c>
      <c r="B462" s="19" t="s">
        <v>18</v>
      </c>
      <c r="C462" s="19" t="s">
        <v>884</v>
      </c>
      <c r="D462" s="28" t="s">
        <v>885</v>
      </c>
      <c r="E462" s="27" t="s">
        <v>180</v>
      </c>
      <c r="F462" s="48" t="s">
        <v>22</v>
      </c>
      <c r="G462" s="21">
        <f>1/1000</f>
        <v>1E-3</v>
      </c>
      <c r="H462" s="22">
        <v>4</v>
      </c>
      <c r="I462" s="22">
        <f>H462/G462</f>
        <v>4000</v>
      </c>
      <c r="J462" s="5">
        <f>VLOOKUP(C462,'Master File June-26'!C:J,8,0)</f>
        <v>14</v>
      </c>
      <c r="K462" s="23">
        <f t="shared" si="30"/>
        <v>2240</v>
      </c>
      <c r="L462" s="58">
        <f>VLOOKUP(C462,'Master File June-26'!C:L,10,0)</f>
        <v>0</v>
      </c>
      <c r="M462" s="24">
        <f t="shared" si="31"/>
        <v>0</v>
      </c>
      <c r="N462" s="25" t="str">
        <f t="shared" si="32"/>
        <v>ORDER NOW</v>
      </c>
      <c r="O462" s="25" t="str">
        <f t="shared" si="33"/>
        <v>CRITICAL</v>
      </c>
      <c r="P462" t="s">
        <v>30</v>
      </c>
      <c r="Q462" s="87" t="e">
        <f>VLOOKUP(C462,[2]Sheet1!$C$3:$P$524,14,0)</f>
        <v>#N/A</v>
      </c>
    </row>
    <row r="463" spans="1:17" ht="18.75" hidden="1" x14ac:dyDescent="0.25">
      <c r="A463" s="41">
        <v>365</v>
      </c>
      <c r="B463" s="41" t="s">
        <v>85</v>
      </c>
      <c r="C463" s="41" t="s">
        <v>1352</v>
      </c>
      <c r="D463" s="28" t="s">
        <v>1353</v>
      </c>
      <c r="E463" s="28" t="s">
        <v>890</v>
      </c>
      <c r="F463" s="5" t="s">
        <v>22</v>
      </c>
      <c r="G463" s="21">
        <v>0.23809523809523814</v>
      </c>
      <c r="H463" s="22">
        <f>VLOOKUP(C463,'Master File June-26'!$C$3:$I$670,6,0)</f>
        <v>30</v>
      </c>
      <c r="I463" s="22">
        <f>VLOOKUP(C463,'Master File June-26'!$C$3:$I$670,7,0)</f>
        <v>125.99999999999997</v>
      </c>
      <c r="J463" s="5">
        <f>VLOOKUP(C463,'Master File June-26'!C:J,8,0)</f>
        <v>14</v>
      </c>
      <c r="K463" s="23">
        <f t="shared" si="30"/>
        <v>70.559999999999988</v>
      </c>
      <c r="L463" s="58">
        <f>VLOOKUP(C463,'Master File June-26'!C:L,10,0)</f>
        <v>24</v>
      </c>
      <c r="M463" s="24">
        <f t="shared" si="31"/>
        <v>5.7142857142857153</v>
      </c>
      <c r="N463" s="25" t="str">
        <f t="shared" si="32"/>
        <v>ORDER NOW</v>
      </c>
      <c r="O463" s="25" t="str">
        <f t="shared" si="33"/>
        <v>CRITICAL</v>
      </c>
      <c r="Q463" s="87">
        <v>46113.430914351855</v>
      </c>
    </row>
    <row r="464" spans="1:17" ht="18.75" hidden="1" x14ac:dyDescent="0.25">
      <c r="A464" s="41">
        <v>476</v>
      </c>
      <c r="B464" s="41" t="s">
        <v>38</v>
      </c>
      <c r="C464" s="41" t="s">
        <v>1552</v>
      </c>
      <c r="D464" s="28" t="s">
        <v>1553</v>
      </c>
      <c r="E464" s="28" t="s">
        <v>1554</v>
      </c>
      <c r="F464" s="5" t="s">
        <v>22</v>
      </c>
      <c r="G464" s="21">
        <v>0.1</v>
      </c>
      <c r="H464" s="22">
        <f>VLOOKUP(C464,'Master File June-26'!$C$3:$I$670,6,0)</f>
        <v>59</v>
      </c>
      <c r="I464" s="22">
        <f>VLOOKUP(C464,'Master File June-26'!$C$3:$I$670,7,0)</f>
        <v>590</v>
      </c>
      <c r="J464" s="5">
        <f>VLOOKUP(C464,'Master File June-26'!C:J,8,0)</f>
        <v>14</v>
      </c>
      <c r="K464" s="23">
        <f t="shared" si="30"/>
        <v>330.40000000000003</v>
      </c>
      <c r="L464" s="58">
        <f>VLOOKUP(C464,'Master File June-26'!C:L,10,0)</f>
        <v>30</v>
      </c>
      <c r="M464" s="24">
        <f t="shared" si="31"/>
        <v>1.5254237288135595</v>
      </c>
      <c r="N464" s="25" t="str">
        <f t="shared" si="32"/>
        <v>ORDER NOW</v>
      </c>
      <c r="O464" s="25" t="str">
        <f t="shared" si="33"/>
        <v>CRITICAL</v>
      </c>
      <c r="Q464" s="87">
        <f>VLOOKUP(C464,'Master File June-26'!$C$3:$S$670,17,0)</f>
        <v>46131.517476851855</v>
      </c>
    </row>
    <row r="465" spans="1:17" ht="18.75" hidden="1" x14ac:dyDescent="0.25">
      <c r="A465" s="41">
        <v>548</v>
      </c>
      <c r="B465" s="41" t="s">
        <v>38</v>
      </c>
      <c r="C465" s="41" t="s">
        <v>1287</v>
      </c>
      <c r="D465" s="45" t="s">
        <v>1288</v>
      </c>
      <c r="E465" s="34" t="s">
        <v>22</v>
      </c>
      <c r="F465" s="5" t="s">
        <v>22</v>
      </c>
      <c r="G465" s="21">
        <v>0.18518518518518517</v>
      </c>
      <c r="H465" s="22">
        <v>1</v>
      </c>
      <c r="I465" s="22">
        <f>H465/G465</f>
        <v>5.4</v>
      </c>
      <c r="J465" s="5">
        <f>VLOOKUP(C465,'Master File June-26'!C:J,8,0)</f>
        <v>14</v>
      </c>
      <c r="K465" s="23">
        <f t="shared" si="30"/>
        <v>3.0240000000000005</v>
      </c>
      <c r="L465" s="58">
        <f>VLOOKUP(C465,'Master File June-26'!C:L,10,0)</f>
        <v>2</v>
      </c>
      <c r="M465" s="24">
        <f t="shared" si="31"/>
        <v>11.111111111111111</v>
      </c>
      <c r="N465" s="25" t="str">
        <f t="shared" si="32"/>
        <v>ORDER NOW</v>
      </c>
      <c r="O465" s="25" t="str">
        <f t="shared" si="33"/>
        <v>CRITICAL</v>
      </c>
      <c r="Q465" s="87" t="e">
        <f>VLOOKUP(C465,[2]Sheet1!$C$3:$P$524,14,0)</f>
        <v>#N/A</v>
      </c>
    </row>
    <row r="466" spans="1:17" ht="18.75" hidden="1" x14ac:dyDescent="0.25">
      <c r="A466" s="49">
        <v>585</v>
      </c>
      <c r="B466" s="49" t="s">
        <v>298</v>
      </c>
      <c r="C466" s="49" t="s">
        <v>917</v>
      </c>
      <c r="D466" s="28" t="s">
        <v>918</v>
      </c>
      <c r="E466" s="28" t="s">
        <v>49</v>
      </c>
      <c r="F466" s="5" t="s">
        <v>49</v>
      </c>
      <c r="G466" s="21">
        <v>1</v>
      </c>
      <c r="H466" s="22">
        <f>VLOOKUP(C466,'Master File June-26'!$C$3:$I$670,6,0)</f>
        <v>5.5</v>
      </c>
      <c r="I466" s="22">
        <f>VLOOKUP(C466,'Master File June-26'!$C$3:$I$670,7,0)</f>
        <v>5.5</v>
      </c>
      <c r="J466" s="5">
        <f>VLOOKUP(C466,'Master File June-26'!C:J,8,0)</f>
        <v>14</v>
      </c>
      <c r="K466" s="23">
        <f t="shared" si="30"/>
        <v>3.08</v>
      </c>
      <c r="L466" s="58">
        <f>VLOOKUP(C466,'Master File June-26'!C:L,10,0)</f>
        <v>0</v>
      </c>
      <c r="M466" s="24">
        <f t="shared" si="31"/>
        <v>0</v>
      </c>
      <c r="N466" s="25" t="str">
        <f t="shared" si="32"/>
        <v>ORDER NOW</v>
      </c>
      <c r="O466" s="25" t="str">
        <f t="shared" si="33"/>
        <v>CRITICAL</v>
      </c>
      <c r="Q466" s="87">
        <f>VLOOKUP(C466,'Master File June-26'!$C$3:$S$670,17,0)</f>
        <v>46113.430960648147</v>
      </c>
    </row>
    <row r="467" spans="1:17" ht="18.75" hidden="1" x14ac:dyDescent="0.25">
      <c r="A467" s="19">
        <v>44</v>
      </c>
      <c r="B467" s="19" t="s">
        <v>18</v>
      </c>
      <c r="C467" s="19" t="s">
        <v>805</v>
      </c>
      <c r="D467" s="28" t="s">
        <v>806</v>
      </c>
      <c r="E467" s="28" t="s">
        <v>78</v>
      </c>
      <c r="F467" s="5" t="s">
        <v>49</v>
      </c>
      <c r="G467" s="21">
        <v>1</v>
      </c>
      <c r="H467" s="22">
        <f>VLOOKUP(C467,'Master File June-26'!$C$3:$I$670,6,0)</f>
        <v>660</v>
      </c>
      <c r="I467" s="22">
        <f>VLOOKUP(C467,'Master File June-26'!$C$3:$I$670,7,0)</f>
        <v>660</v>
      </c>
      <c r="J467" s="5">
        <f>VLOOKUP(C467,'Master File June-26'!C:J,8,0)</f>
        <v>14</v>
      </c>
      <c r="K467" s="23">
        <f t="shared" si="30"/>
        <v>369.6</v>
      </c>
      <c r="L467" s="58">
        <f>VLOOKUP(C467,'Master File June-26'!C:L,10,0)</f>
        <v>0</v>
      </c>
      <c r="M467" s="24">
        <f t="shared" si="31"/>
        <v>0</v>
      </c>
      <c r="N467" s="25" t="str">
        <f t="shared" si="32"/>
        <v>ORDER NOW</v>
      </c>
      <c r="O467" s="25" t="str">
        <f t="shared" si="33"/>
        <v>CRITICAL</v>
      </c>
      <c r="P467" t="s">
        <v>30</v>
      </c>
      <c r="Q467" s="87">
        <f>VLOOKUP(C467,'Master File June-26'!$C$3:$S$670,17,0)</f>
        <v>46128.695185185185</v>
      </c>
    </row>
    <row r="468" spans="1:17" ht="18.75" hidden="1" x14ac:dyDescent="0.25">
      <c r="A468" s="19">
        <v>24</v>
      </c>
      <c r="B468" s="19" t="s">
        <v>18</v>
      </c>
      <c r="C468" s="19" t="s">
        <v>1485</v>
      </c>
      <c r="D468" s="28" t="s">
        <v>1486</v>
      </c>
      <c r="E468" s="28" t="s">
        <v>119</v>
      </c>
      <c r="F468" s="5" t="s">
        <v>22</v>
      </c>
      <c r="G468" s="21">
        <f>1/1000</f>
        <v>1E-3</v>
      </c>
      <c r="H468" s="22">
        <v>22</v>
      </c>
      <c r="I468" s="22">
        <f>H468/G468</f>
        <v>22000</v>
      </c>
      <c r="J468" s="5">
        <f>VLOOKUP(C468,'Master File June-26'!C:J,8,0)</f>
        <v>14</v>
      </c>
      <c r="K468" s="23">
        <f t="shared" si="30"/>
        <v>12320.000000000002</v>
      </c>
      <c r="L468" s="58">
        <f>VLOOKUP(C468,'Master File June-26'!C:L,10,0)</f>
        <v>0</v>
      </c>
      <c r="M468" s="24">
        <f t="shared" si="31"/>
        <v>0</v>
      </c>
      <c r="N468" s="25" t="str">
        <f t="shared" si="32"/>
        <v>ORDER NOW</v>
      </c>
      <c r="O468" s="25" t="str">
        <f t="shared" si="33"/>
        <v>CRITICAL</v>
      </c>
      <c r="P468" t="s">
        <v>30</v>
      </c>
      <c r="Q468" s="87" t="e">
        <f>VLOOKUP(C468,[2]Sheet1!$C$3:$P$524,14,0)</f>
        <v>#N/A</v>
      </c>
    </row>
    <row r="469" spans="1:17" ht="18.75" hidden="1" x14ac:dyDescent="0.25">
      <c r="A469" s="19">
        <v>104</v>
      </c>
      <c r="B469" s="19" t="s">
        <v>18</v>
      </c>
      <c r="C469" s="19" t="s">
        <v>1228</v>
      </c>
      <c r="D469" s="28" t="s">
        <v>1229</v>
      </c>
      <c r="E469" s="28" t="s">
        <v>1069</v>
      </c>
      <c r="F469" s="5"/>
      <c r="G469" s="21">
        <v>0.02</v>
      </c>
      <c r="H469" s="22">
        <v>24</v>
      </c>
      <c r="I469" s="22">
        <f>H469/G469</f>
        <v>1200</v>
      </c>
      <c r="J469" s="5">
        <f>VLOOKUP(C469,'Master File June-26'!C:J,8,0)</f>
        <v>14</v>
      </c>
      <c r="K469" s="23">
        <f t="shared" si="30"/>
        <v>672.00000000000011</v>
      </c>
      <c r="L469" s="58">
        <f>VLOOKUP(C469,'Master File June-26'!C:L,10,0)</f>
        <v>150</v>
      </c>
      <c r="M469" s="24">
        <f t="shared" si="31"/>
        <v>3.75</v>
      </c>
      <c r="N469" s="25" t="str">
        <f t="shared" si="32"/>
        <v>ORDER NOW</v>
      </c>
      <c r="O469" s="25" t="str">
        <f t="shared" si="33"/>
        <v>CRITICAL</v>
      </c>
      <c r="P469" t="s">
        <v>30</v>
      </c>
      <c r="Q469" s="87" t="e">
        <f>VLOOKUP(C469,[2]Sheet1!$C$3:$P$524,14,0)</f>
        <v>#N/A</v>
      </c>
    </row>
    <row r="470" spans="1:17" ht="18.75" hidden="1" x14ac:dyDescent="0.25">
      <c r="A470" s="41">
        <v>339</v>
      </c>
      <c r="B470" s="41" t="s">
        <v>38</v>
      </c>
      <c r="C470" s="41" t="s">
        <v>1547</v>
      </c>
      <c r="D470" s="28" t="s">
        <v>1548</v>
      </c>
      <c r="E470" s="28" t="s">
        <v>1549</v>
      </c>
      <c r="F470" s="5" t="s">
        <v>22</v>
      </c>
      <c r="G470" s="21">
        <v>0.2</v>
      </c>
      <c r="H470" s="22">
        <v>1</v>
      </c>
      <c r="I470" s="22">
        <f>H470/G470</f>
        <v>5</v>
      </c>
      <c r="J470" s="5">
        <f>VLOOKUP(C470,'Master File June-26'!C:J,8,0)</f>
        <v>14</v>
      </c>
      <c r="K470" s="23">
        <f t="shared" si="30"/>
        <v>2.8000000000000003</v>
      </c>
      <c r="L470" s="58">
        <f>VLOOKUP(C470,'Master File June-26'!C:L,10,0)</f>
        <v>10</v>
      </c>
      <c r="M470" s="24">
        <f t="shared" si="31"/>
        <v>60</v>
      </c>
      <c r="N470" s="25" t="str">
        <f t="shared" si="32"/>
        <v>IN STOCK</v>
      </c>
      <c r="O470" s="25" t="str">
        <f t="shared" si="33"/>
        <v>FOLLOW UP DELIVERY</v>
      </c>
      <c r="Q470" s="87" t="e">
        <f>VLOOKUP(C470,[2]Sheet1!$C$3:$P$524,14,0)</f>
        <v>#N/A</v>
      </c>
    </row>
    <row r="471" spans="1:17" ht="18.75" hidden="1" x14ac:dyDescent="0.25">
      <c r="A471" s="19">
        <v>105</v>
      </c>
      <c r="B471" s="19" t="s">
        <v>18</v>
      </c>
      <c r="C471" s="19" t="s">
        <v>1033</v>
      </c>
      <c r="D471" s="28" t="s">
        <v>1034</v>
      </c>
      <c r="E471" s="28" t="s">
        <v>175</v>
      </c>
      <c r="F471" s="5" t="s">
        <v>22</v>
      </c>
      <c r="G471" s="21">
        <v>0.01</v>
      </c>
      <c r="H471" s="22">
        <f>VLOOKUP(C471,'Master File June-26'!$C$3:$I$670,6,0)</f>
        <v>75</v>
      </c>
      <c r="I471" s="22">
        <f>VLOOKUP(C471,'Master File June-26'!$C$3:$I$670,7,0)</f>
        <v>7500</v>
      </c>
      <c r="J471" s="5">
        <f>VLOOKUP(C471,'Master File June-26'!C:J,8,0)</f>
        <v>14</v>
      </c>
      <c r="K471" s="23">
        <f t="shared" si="30"/>
        <v>4200</v>
      </c>
      <c r="L471" s="58">
        <f>VLOOKUP(C471,'Master File June-26'!C:L,10,0)</f>
        <v>601</v>
      </c>
      <c r="M471" s="24">
        <f t="shared" si="31"/>
        <v>2.4039999999999999</v>
      </c>
      <c r="N471" s="25" t="str">
        <f t="shared" si="32"/>
        <v>ORDER NOW</v>
      </c>
      <c r="O471" s="25" t="str">
        <f t="shared" si="33"/>
        <v>CRITICAL</v>
      </c>
      <c r="P471" t="s">
        <v>30</v>
      </c>
      <c r="Q471" s="87">
        <f>VLOOKUP(C471,'Master File June-26'!$C$3:$S$670,17,0)</f>
        <v>46141.52584490741</v>
      </c>
    </row>
    <row r="472" spans="1:17" ht="18.75" hidden="1" x14ac:dyDescent="0.25">
      <c r="A472" s="19">
        <v>32</v>
      </c>
      <c r="B472" s="19" t="s">
        <v>18</v>
      </c>
      <c r="C472" s="19" t="s">
        <v>1536</v>
      </c>
      <c r="D472" s="28" t="s">
        <v>1537</v>
      </c>
      <c r="E472" s="28" t="s">
        <v>180</v>
      </c>
      <c r="F472" s="5" t="s">
        <v>22</v>
      </c>
      <c r="G472" s="21">
        <f>1/1000</f>
        <v>1E-3</v>
      </c>
      <c r="H472" s="22">
        <v>22</v>
      </c>
      <c r="I472" s="22">
        <f>H472/G472</f>
        <v>22000</v>
      </c>
      <c r="J472" s="5">
        <f>VLOOKUP(C472,'Master File June-26'!C:J,8,0)</f>
        <v>60</v>
      </c>
      <c r="K472" s="23">
        <f t="shared" si="30"/>
        <v>52800</v>
      </c>
      <c r="L472" s="58">
        <f>VLOOKUP(C472,'Master File June-26'!C:L,10,0)</f>
        <v>2500</v>
      </c>
      <c r="M472" s="24">
        <f t="shared" si="31"/>
        <v>3.4090909090909092</v>
      </c>
      <c r="N472" s="25" t="str">
        <f t="shared" si="32"/>
        <v>ORDER NOW</v>
      </c>
      <c r="O472" s="25" t="str">
        <f t="shared" si="33"/>
        <v>CRITICAL</v>
      </c>
      <c r="P472" t="s">
        <v>30</v>
      </c>
      <c r="Q472" s="87" t="e">
        <f>VLOOKUP(C472,[2]Sheet1!$C$3:$P$524,14,0)</f>
        <v>#N/A</v>
      </c>
    </row>
    <row r="473" spans="1:17" ht="18.75" hidden="1" x14ac:dyDescent="0.25">
      <c r="A473" s="41">
        <v>484</v>
      </c>
      <c r="B473" s="41" t="s">
        <v>38</v>
      </c>
      <c r="C473" s="41" t="s">
        <v>1004</v>
      </c>
      <c r="D473" s="30" t="s">
        <v>1005</v>
      </c>
      <c r="E473" s="28" t="s">
        <v>1006</v>
      </c>
      <c r="F473" s="5" t="s">
        <v>49</v>
      </c>
      <c r="G473" s="21">
        <f>1/0.8</f>
        <v>1.25</v>
      </c>
      <c r="H473" s="22">
        <f>VLOOKUP(C473,'Master File June-26'!$C$3:$I$670,6,0)</f>
        <v>40</v>
      </c>
      <c r="I473" s="22">
        <f>VLOOKUP(C473,'Master File June-26'!$C$3:$I$670,7,0)</f>
        <v>32</v>
      </c>
      <c r="J473" s="5">
        <f>VLOOKUP(C473,'Master File June-26'!C:J,8,0)</f>
        <v>14</v>
      </c>
      <c r="K473" s="23">
        <f t="shared" si="30"/>
        <v>17.920000000000002</v>
      </c>
      <c r="L473" s="58">
        <f>VLOOKUP(C473,'Master File June-26'!C:L,10,0)</f>
        <v>17</v>
      </c>
      <c r="M473" s="24">
        <f t="shared" si="31"/>
        <v>15.9375</v>
      </c>
      <c r="N473" s="25" t="str">
        <f t="shared" si="32"/>
        <v>IN STOCK</v>
      </c>
      <c r="O473" s="25" t="str">
        <f t="shared" si="33"/>
        <v>FOLLOW UP DELIVERY</v>
      </c>
      <c r="Q473" s="87" t="e">
        <f>VLOOKUP(C473,[2]Sheet1!$C$3:$P$524,14,0)</f>
        <v>#N/A</v>
      </c>
    </row>
    <row r="474" spans="1:17" ht="18.75" hidden="1" x14ac:dyDescent="0.25">
      <c r="A474" s="19">
        <v>130</v>
      </c>
      <c r="B474" s="19" t="s">
        <v>18</v>
      </c>
      <c r="C474" s="19" t="s">
        <v>974</v>
      </c>
      <c r="D474" s="28" t="s">
        <v>975</v>
      </c>
      <c r="E474" s="28" t="s">
        <v>98</v>
      </c>
      <c r="F474" s="5" t="s">
        <v>46</v>
      </c>
      <c r="G474" s="21">
        <v>2E-3</v>
      </c>
      <c r="H474" s="22">
        <v>5</v>
      </c>
      <c r="I474" s="22">
        <f>H474/G474</f>
        <v>2500</v>
      </c>
      <c r="J474" s="5">
        <f>VLOOKUP(C474,'Master File June-26'!C:J,8,0)</f>
        <v>14</v>
      </c>
      <c r="K474" s="23">
        <f t="shared" si="30"/>
        <v>1400.0000000000002</v>
      </c>
      <c r="L474" s="58">
        <f>VLOOKUP(C474,'Master File June-26'!C:L,10,0)</f>
        <v>0</v>
      </c>
      <c r="M474" s="24">
        <f t="shared" si="31"/>
        <v>0</v>
      </c>
      <c r="N474" s="25" t="str">
        <f t="shared" si="32"/>
        <v>ORDER NOW</v>
      </c>
      <c r="O474" s="25" t="str">
        <f t="shared" si="33"/>
        <v>CRITICAL</v>
      </c>
      <c r="P474" t="s">
        <v>30</v>
      </c>
      <c r="Q474" s="87" t="e">
        <f>VLOOKUP(C474,[2]Sheet1!$C$3:$P$524,14,0)</f>
        <v>#N/A</v>
      </c>
    </row>
    <row r="475" spans="1:17" ht="18.75" hidden="1" x14ac:dyDescent="0.25">
      <c r="A475" s="41">
        <v>564</v>
      </c>
      <c r="B475" s="41" t="s">
        <v>38</v>
      </c>
      <c r="C475" s="41" t="s">
        <v>526</v>
      </c>
      <c r="D475" s="40" t="s">
        <v>527</v>
      </c>
      <c r="E475" s="34" t="s">
        <v>22</v>
      </c>
      <c r="F475" s="5" t="s">
        <v>22</v>
      </c>
      <c r="G475" s="21">
        <v>1</v>
      </c>
      <c r="H475" s="22">
        <f>VLOOKUP(C475,'Master File June-26'!$C$3:$I$670,6,0)</f>
        <v>1</v>
      </c>
      <c r="I475" s="22">
        <f>VLOOKUP(C475,'Master File June-26'!$C$3:$I$670,7,0)</f>
        <v>1</v>
      </c>
      <c r="J475" s="5">
        <f>VLOOKUP(C475,'Master File June-26'!C:J,8,0)</f>
        <v>14</v>
      </c>
      <c r="K475" s="23">
        <f t="shared" si="30"/>
        <v>0.56000000000000005</v>
      </c>
      <c r="L475" s="58">
        <f>VLOOKUP(C475,'Master File June-26'!C:L,10,0)</f>
        <v>0</v>
      </c>
      <c r="M475" s="24">
        <f t="shared" si="31"/>
        <v>0</v>
      </c>
      <c r="N475" s="25" t="str">
        <f t="shared" si="32"/>
        <v>ORDER NOW</v>
      </c>
      <c r="O475" s="25" t="str">
        <f t="shared" si="33"/>
        <v>CRITICAL</v>
      </c>
      <c r="Q475" s="87">
        <f>VLOOKUP(C475,'Master File June-26'!$C$3:$S$670,17,0)</f>
        <v>46141.525300925925</v>
      </c>
    </row>
    <row r="476" spans="1:17" ht="18.75" hidden="1" x14ac:dyDescent="0.25">
      <c r="A476" s="41">
        <v>566</v>
      </c>
      <c r="B476" s="41" t="s">
        <v>38</v>
      </c>
      <c r="C476" s="41" t="s">
        <v>528</v>
      </c>
      <c r="D476" s="40" t="s">
        <v>529</v>
      </c>
      <c r="E476" s="34" t="s">
        <v>49</v>
      </c>
      <c r="F476" s="5" t="s">
        <v>22</v>
      </c>
      <c r="G476" s="21">
        <v>1</v>
      </c>
      <c r="H476" s="22">
        <f>VLOOKUP(C476,'Master File June-26'!$C$3:$I$670,6,0)</f>
        <v>1</v>
      </c>
      <c r="I476" s="22">
        <f>VLOOKUP(C476,'Master File June-26'!$C$3:$I$670,7,0)</f>
        <v>1</v>
      </c>
      <c r="J476" s="5">
        <f>VLOOKUP(C476,'Master File June-26'!C:J,8,0)</f>
        <v>14</v>
      </c>
      <c r="K476" s="23">
        <f t="shared" si="30"/>
        <v>0.56000000000000005</v>
      </c>
      <c r="L476" s="58">
        <f>VLOOKUP(C476,'Master File June-26'!C:L,10,0)</f>
        <v>0</v>
      </c>
      <c r="M476" s="24">
        <f t="shared" si="31"/>
        <v>0</v>
      </c>
      <c r="N476" s="25" t="str">
        <f t="shared" si="32"/>
        <v>ORDER NOW</v>
      </c>
      <c r="O476" s="25" t="str">
        <f t="shared" si="33"/>
        <v>CRITICAL</v>
      </c>
      <c r="Q476" s="87">
        <f>VLOOKUP(C476,'Master File June-26'!$C$3:$S$670,17,0)</f>
        <v>46113.430925925924</v>
      </c>
    </row>
    <row r="477" spans="1:17" ht="18.75" hidden="1" x14ac:dyDescent="0.25">
      <c r="A477" s="41">
        <v>534</v>
      </c>
      <c r="B477" s="41" t="s">
        <v>61</v>
      </c>
      <c r="C477" s="41" t="s">
        <v>1278</v>
      </c>
      <c r="D477" s="40" t="s">
        <v>1279</v>
      </c>
      <c r="E477" s="34" t="s">
        <v>22</v>
      </c>
      <c r="F477" s="5" t="s">
        <v>22</v>
      </c>
      <c r="G477" s="21">
        <v>1</v>
      </c>
      <c r="H477" s="22">
        <v>1</v>
      </c>
      <c r="I477" s="22">
        <f>H477/G477</f>
        <v>1</v>
      </c>
      <c r="J477" s="5">
        <f>VLOOKUP(C477,'Master File June-26'!C:J,8,0)</f>
        <v>14</v>
      </c>
      <c r="K477" s="23">
        <f t="shared" si="30"/>
        <v>0.56000000000000005</v>
      </c>
      <c r="L477" s="58">
        <f>VLOOKUP(C477,'Master File June-26'!C:L,10,0)</f>
        <v>0</v>
      </c>
      <c r="M477" s="24">
        <f t="shared" si="31"/>
        <v>0</v>
      </c>
      <c r="N477" s="25" t="str">
        <f t="shared" si="32"/>
        <v>ORDER NOW</v>
      </c>
      <c r="O477" s="25" t="str">
        <f t="shared" si="33"/>
        <v>CRITICAL</v>
      </c>
      <c r="Q477" s="87">
        <f>VLOOKUP(C477,'Master File June-26'!$C$3:$S$670,17,0)</f>
        <v>46131.518958333334</v>
      </c>
    </row>
    <row r="478" spans="1:17" ht="18.75" hidden="1" x14ac:dyDescent="0.25">
      <c r="A478" s="41">
        <v>515</v>
      </c>
      <c r="B478" s="41" t="s">
        <v>85</v>
      </c>
      <c r="C478" s="41" t="s">
        <v>1373</v>
      </c>
      <c r="D478" s="28" t="s">
        <v>1374</v>
      </c>
      <c r="E478" s="28" t="s">
        <v>1375</v>
      </c>
      <c r="F478" s="5" t="s">
        <v>49</v>
      </c>
      <c r="G478" s="21">
        <v>0.05</v>
      </c>
      <c r="H478" s="22">
        <v>12</v>
      </c>
      <c r="I478" s="22">
        <f>H478/G478</f>
        <v>240</v>
      </c>
      <c r="J478" s="5">
        <f>VLOOKUP(C478,'Master File June-26'!C:J,8,0)</f>
        <v>14</v>
      </c>
      <c r="K478" s="23">
        <f t="shared" si="30"/>
        <v>134.4</v>
      </c>
      <c r="L478" s="58">
        <f>VLOOKUP(C478,'Master File June-26'!C:L,10,0)</f>
        <v>0</v>
      </c>
      <c r="M478" s="24">
        <f t="shared" si="31"/>
        <v>0</v>
      </c>
      <c r="N478" s="25" t="str">
        <f t="shared" si="32"/>
        <v>ORDER NOW</v>
      </c>
      <c r="O478" s="25" t="str">
        <f t="shared" si="33"/>
        <v>CRITICAL</v>
      </c>
      <c r="Q478" s="87" t="e">
        <f>VLOOKUP(C478,[2]Sheet1!$C$3:$P$524,14,0)</f>
        <v>#N/A</v>
      </c>
    </row>
    <row r="479" spans="1:17" ht="18.75" hidden="1" x14ac:dyDescent="0.25">
      <c r="A479" s="41">
        <v>492</v>
      </c>
      <c r="B479" s="41" t="s">
        <v>38</v>
      </c>
      <c r="C479" s="41" t="s">
        <v>1129</v>
      </c>
      <c r="D479" s="28" t="s">
        <v>1130</v>
      </c>
      <c r="E479" s="28" t="s">
        <v>826</v>
      </c>
      <c r="F479" s="5" t="s">
        <v>49</v>
      </c>
      <c r="G479" s="21">
        <v>1</v>
      </c>
      <c r="H479" s="22">
        <v>1</v>
      </c>
      <c r="I479" s="22">
        <f>H479/G479</f>
        <v>1</v>
      </c>
      <c r="J479" s="5">
        <f>VLOOKUP(C479,'Master File June-26'!C:J,8,0)</f>
        <v>14</v>
      </c>
      <c r="K479" s="23">
        <f t="shared" si="30"/>
        <v>0.56000000000000005</v>
      </c>
      <c r="L479" s="58">
        <f>VLOOKUP(C479,'Master File June-26'!C:L,10,0)</f>
        <v>0</v>
      </c>
      <c r="M479" s="24">
        <f t="shared" si="31"/>
        <v>0</v>
      </c>
      <c r="N479" s="25" t="str">
        <f t="shared" si="32"/>
        <v>ORDER NOW</v>
      </c>
      <c r="O479" s="25" t="str">
        <f t="shared" si="33"/>
        <v>CRITICAL</v>
      </c>
      <c r="Q479" s="87" t="e">
        <f>VLOOKUP(C479,[2]Sheet1!$C$3:$P$524,14,0)</f>
        <v>#N/A</v>
      </c>
    </row>
    <row r="480" spans="1:17" ht="18.75" hidden="1" x14ac:dyDescent="0.25">
      <c r="A480" s="41">
        <v>419</v>
      </c>
      <c r="B480" s="41" t="s">
        <v>38</v>
      </c>
      <c r="C480" s="41" t="s">
        <v>1502</v>
      </c>
      <c r="D480" s="28" t="s">
        <v>1503</v>
      </c>
      <c r="E480" s="27" t="s">
        <v>1059</v>
      </c>
      <c r="F480" s="48" t="s">
        <v>54</v>
      </c>
      <c r="G480" s="21">
        <v>0.04</v>
      </c>
      <c r="H480" s="22">
        <v>1</v>
      </c>
      <c r="I480" s="22">
        <f>H480/G480</f>
        <v>25</v>
      </c>
      <c r="J480" s="5">
        <f>VLOOKUP(C480,'Master File June-26'!C:J,8,0)</f>
        <v>14</v>
      </c>
      <c r="K480" s="23">
        <f t="shared" si="30"/>
        <v>14.000000000000002</v>
      </c>
      <c r="L480" s="58">
        <f>VLOOKUP(C480,'Master File June-26'!C:L,10,0)</f>
        <v>0</v>
      </c>
      <c r="M480" s="24">
        <f t="shared" si="31"/>
        <v>0</v>
      </c>
      <c r="N480" s="25" t="str">
        <f t="shared" si="32"/>
        <v>ORDER NOW</v>
      </c>
      <c r="O480" s="25" t="str">
        <f t="shared" si="33"/>
        <v>CRITICAL</v>
      </c>
      <c r="Q480" s="87">
        <f>VLOOKUP(C480,'Master File June-26'!$C$3:$S$670,17,0)</f>
        <v>46131.520208333335</v>
      </c>
    </row>
    <row r="481" spans="1:17" ht="18.75" hidden="1" x14ac:dyDescent="0.25">
      <c r="A481" s="41">
        <v>540</v>
      </c>
      <c r="B481" s="41" t="s">
        <v>38</v>
      </c>
      <c r="C481" s="41" t="s">
        <v>518</v>
      </c>
      <c r="D481" s="40" t="s">
        <v>519</v>
      </c>
      <c r="E481" s="31" t="s">
        <v>64</v>
      </c>
      <c r="F481" s="5" t="s">
        <v>49</v>
      </c>
      <c r="G481" s="21">
        <v>1</v>
      </c>
      <c r="H481" s="22">
        <f>VLOOKUP(C481,'Master File June-26'!$C$3:$I$670,6,0)</f>
        <v>1</v>
      </c>
      <c r="I481" s="22">
        <f>VLOOKUP(C481,'Master File June-26'!$C$3:$I$670,7,0)</f>
        <v>1</v>
      </c>
      <c r="J481" s="5">
        <f>VLOOKUP(C481,'Master File June-26'!C:J,8,0)</f>
        <v>14</v>
      </c>
      <c r="K481" s="23">
        <f t="shared" si="30"/>
        <v>0.56000000000000005</v>
      </c>
      <c r="L481" s="58">
        <f>VLOOKUP(C481,'Master File June-26'!C:L,10,0)</f>
        <v>0</v>
      </c>
      <c r="M481" s="24">
        <f t="shared" si="31"/>
        <v>0</v>
      </c>
      <c r="N481" s="25" t="str">
        <f t="shared" si="32"/>
        <v>ORDER NOW</v>
      </c>
      <c r="O481" s="25" t="str">
        <f t="shared" si="33"/>
        <v>CRITICAL</v>
      </c>
      <c r="Q481" s="87">
        <f>VLOOKUP(C481,'Master File June-26'!$C$3:$S$670,17,0)</f>
        <v>46134.446759259263</v>
      </c>
    </row>
    <row r="482" spans="1:17" ht="18.75" hidden="1" x14ac:dyDescent="0.25">
      <c r="A482" s="41">
        <v>555</v>
      </c>
      <c r="B482" s="41" t="s">
        <v>38</v>
      </c>
      <c r="C482" s="41" t="s">
        <v>1436</v>
      </c>
      <c r="D482" s="40" t="s">
        <v>1437</v>
      </c>
      <c r="E482" s="34" t="s">
        <v>22</v>
      </c>
      <c r="F482" s="5" t="s">
        <v>22</v>
      </c>
      <c r="G482" s="21">
        <v>1</v>
      </c>
      <c r="H482" s="22">
        <v>1</v>
      </c>
      <c r="I482" s="22">
        <f>H482/G482</f>
        <v>1</v>
      </c>
      <c r="J482" s="5">
        <f>VLOOKUP(C482,'Master File June-26'!C:J,8,0)</f>
        <v>14</v>
      </c>
      <c r="K482" s="23">
        <f t="shared" si="30"/>
        <v>0.56000000000000005</v>
      </c>
      <c r="L482" s="58">
        <f>VLOOKUP(C482,'Master File June-26'!C:L,10,0)</f>
        <v>0</v>
      </c>
      <c r="M482" s="24">
        <f t="shared" si="31"/>
        <v>0</v>
      </c>
      <c r="N482" s="25" t="str">
        <f t="shared" si="32"/>
        <v>ORDER NOW</v>
      </c>
      <c r="O482" s="25" t="str">
        <f t="shared" si="33"/>
        <v>CRITICAL</v>
      </c>
      <c r="Q482" s="87" t="e">
        <f>VLOOKUP(C482,[2]Sheet1!$C$3:$P$524,14,0)</f>
        <v>#N/A</v>
      </c>
    </row>
    <row r="483" spans="1:17" ht="18.75" hidden="1" x14ac:dyDescent="0.25">
      <c r="A483" s="39">
        <v>273</v>
      </c>
      <c r="B483" s="39" t="s">
        <v>18</v>
      </c>
      <c r="C483" s="39" t="s">
        <v>71</v>
      </c>
      <c r="D483" s="28" t="s">
        <v>72</v>
      </c>
      <c r="E483" s="28" t="s">
        <v>73</v>
      </c>
      <c r="F483" s="5" t="s">
        <v>22</v>
      </c>
      <c r="G483" s="21">
        <v>0.16666666666666666</v>
      </c>
      <c r="H483" s="22">
        <f>VLOOKUP(C483,'Master File June-26'!$C$3:$I$670,6,0)</f>
        <v>22</v>
      </c>
      <c r="I483" s="22">
        <f>VLOOKUP(C483,'Master File June-26'!$C$3:$I$670,7,0)</f>
        <v>132</v>
      </c>
      <c r="J483" s="5">
        <f>VLOOKUP(C483,'Master File June-26'!C:J,8,0)</f>
        <v>14</v>
      </c>
      <c r="K483" s="23">
        <f t="shared" si="30"/>
        <v>73.92</v>
      </c>
      <c r="L483" s="58">
        <f>VLOOKUP(C483,'Master File June-26'!C:L,10,0)</f>
        <v>36</v>
      </c>
      <c r="M483" s="24">
        <f t="shared" si="31"/>
        <v>8.1818181818181817</v>
      </c>
      <c r="N483" s="25" t="str">
        <f t="shared" si="32"/>
        <v>ORDER NOW</v>
      </c>
      <c r="O483" s="25" t="str">
        <f t="shared" si="33"/>
        <v>CRITICAL</v>
      </c>
      <c r="Q483" s="87">
        <f>VLOOKUP(C483,'Master File June-26'!$C$3:$S$670,17,0)</f>
        <v>46141.525729166664</v>
      </c>
    </row>
    <row r="484" spans="1:17" ht="18.75" hidden="1" x14ac:dyDescent="0.25">
      <c r="A484" s="19">
        <v>68</v>
      </c>
      <c r="B484" s="19" t="s">
        <v>18</v>
      </c>
      <c r="C484" s="19" t="s">
        <v>1560</v>
      </c>
      <c r="D484" s="28" t="s">
        <v>1561</v>
      </c>
      <c r="E484" s="28" t="s">
        <v>873</v>
      </c>
      <c r="F484" s="5" t="s">
        <v>22</v>
      </c>
      <c r="G484" s="21">
        <v>2E-3</v>
      </c>
      <c r="H484" s="22">
        <f>VLOOKUP(C484,'Master File June-26'!$C$3:$I$670,6,0)</f>
        <v>38.5</v>
      </c>
      <c r="I484" s="22">
        <f>VLOOKUP(C484,'Master File June-26'!$C$3:$I$670,7,0)</f>
        <v>19250</v>
      </c>
      <c r="J484" s="5">
        <f>VLOOKUP(C484,'Master File June-26'!C:J,8,0)</f>
        <v>14</v>
      </c>
      <c r="K484" s="23">
        <f t="shared" si="30"/>
        <v>10780.000000000002</v>
      </c>
      <c r="L484" s="58">
        <f>VLOOKUP(C484,'Master File June-26'!C:L,10,0)</f>
        <v>5500</v>
      </c>
      <c r="M484" s="24">
        <f t="shared" si="31"/>
        <v>8.5714285714285712</v>
      </c>
      <c r="N484" s="25" t="str">
        <f t="shared" si="32"/>
        <v>ORDER NOW</v>
      </c>
      <c r="O484" s="25" t="str">
        <f t="shared" si="33"/>
        <v>CRITICAL</v>
      </c>
      <c r="P484" t="s">
        <v>30</v>
      </c>
      <c r="Q484" s="87">
        <f>VLOOKUP(C484,'Master File June-26'!$C$3:$S$670,17,0)</f>
        <v>46131.517500000002</v>
      </c>
    </row>
    <row r="485" spans="1:17" ht="18.75" hidden="1" x14ac:dyDescent="0.25">
      <c r="A485" s="41">
        <v>409</v>
      </c>
      <c r="B485" s="41" t="s">
        <v>85</v>
      </c>
      <c r="C485" s="41" t="s">
        <v>1521</v>
      </c>
      <c r="D485" s="28" t="s">
        <v>1522</v>
      </c>
      <c r="E485" s="28" t="s">
        <v>1442</v>
      </c>
      <c r="F485" s="5" t="s">
        <v>22</v>
      </c>
      <c r="G485" s="21">
        <v>0.11737089201877934</v>
      </c>
      <c r="H485" s="22">
        <v>12</v>
      </c>
      <c r="I485" s="22">
        <f>H485/G485</f>
        <v>102.24</v>
      </c>
      <c r="J485" s="5">
        <f>VLOOKUP(C485,'Master File June-26'!C:J,8,0)</f>
        <v>14</v>
      </c>
      <c r="K485" s="23">
        <f t="shared" si="30"/>
        <v>57.254400000000004</v>
      </c>
      <c r="L485" s="58">
        <f>VLOOKUP(C485,'Master File June-26'!C:L,10,0)</f>
        <v>42.6</v>
      </c>
      <c r="M485" s="24">
        <f t="shared" si="31"/>
        <v>12.5</v>
      </c>
      <c r="N485" s="25" t="str">
        <f t="shared" si="32"/>
        <v>ORDER NOW</v>
      </c>
      <c r="O485" s="25" t="str">
        <f t="shared" si="33"/>
        <v>CRITICAL</v>
      </c>
      <c r="Q485" s="87" t="e">
        <f>VLOOKUP(C485,[2]Sheet1!$C$3:$P$524,14,0)</f>
        <v>#N/A</v>
      </c>
    </row>
    <row r="486" spans="1:17" ht="18.75" hidden="1" x14ac:dyDescent="0.25">
      <c r="A486" s="41">
        <v>511</v>
      </c>
      <c r="B486" s="41" t="s">
        <v>38</v>
      </c>
      <c r="C486" s="41" t="s">
        <v>1558</v>
      </c>
      <c r="D486" s="28" t="s">
        <v>1559</v>
      </c>
      <c r="E486" s="27" t="s">
        <v>1310</v>
      </c>
      <c r="F486" s="48" t="s">
        <v>22</v>
      </c>
      <c r="G486" s="21">
        <v>8.3333333333333329E-2</v>
      </c>
      <c r="H486" s="22">
        <v>10</v>
      </c>
      <c r="I486" s="22">
        <f>H486/G486</f>
        <v>120</v>
      </c>
      <c r="J486" s="5">
        <f>VLOOKUP(C486,'Master File June-26'!C:J,8,0)</f>
        <v>14</v>
      </c>
      <c r="K486" s="23">
        <f t="shared" si="30"/>
        <v>67.2</v>
      </c>
      <c r="L486" s="58">
        <f>VLOOKUP(C486,'Master File June-26'!C:L,10,0)</f>
        <v>0</v>
      </c>
      <c r="M486" s="24">
        <f t="shared" si="31"/>
        <v>0</v>
      </c>
      <c r="N486" s="25" t="str">
        <f t="shared" si="32"/>
        <v>ORDER NOW</v>
      </c>
      <c r="O486" s="25" t="str">
        <f t="shared" si="33"/>
        <v>CRITICAL</v>
      </c>
      <c r="Q486" s="87" t="e">
        <f>VLOOKUP(C486,[2]Sheet1!$C$3:$P$524,14,0)</f>
        <v>#N/A</v>
      </c>
    </row>
    <row r="487" spans="1:17" ht="18.75" hidden="1" x14ac:dyDescent="0.25">
      <c r="A487" s="41">
        <v>533</v>
      </c>
      <c r="B487" s="41" t="s">
        <v>104</v>
      </c>
      <c r="C487" s="41" t="s">
        <v>1576</v>
      </c>
      <c r="D487" s="40" t="s">
        <v>1577</v>
      </c>
      <c r="E487" s="34" t="s">
        <v>22</v>
      </c>
      <c r="F487" s="5" t="s">
        <v>22</v>
      </c>
      <c r="G487" s="21">
        <v>0.13333333333333333</v>
      </c>
      <c r="H487" s="22">
        <v>1</v>
      </c>
      <c r="I487" s="22">
        <f>H487/G487</f>
        <v>7.5</v>
      </c>
      <c r="J487" s="5">
        <f>VLOOKUP(C487,'Master File June-26'!C:J,8,0)</f>
        <v>14</v>
      </c>
      <c r="K487" s="23">
        <f t="shared" si="30"/>
        <v>4.2</v>
      </c>
      <c r="L487" s="58">
        <f>VLOOKUP(C487,'Master File June-26'!C:L,10,0)</f>
        <v>0</v>
      </c>
      <c r="M487" s="24">
        <f t="shared" si="31"/>
        <v>0</v>
      </c>
      <c r="N487" s="25" t="str">
        <f t="shared" si="32"/>
        <v>ORDER NOW</v>
      </c>
      <c r="O487" s="25" t="str">
        <f t="shared" si="33"/>
        <v>CRITICAL</v>
      </c>
      <c r="Q487" s="87" t="e">
        <f>VLOOKUP(C487,[2]Sheet1!$C$3:$P$524,14,0)</f>
        <v>#N/A</v>
      </c>
    </row>
    <row r="488" spans="1:17" ht="18.75" hidden="1" x14ac:dyDescent="0.25">
      <c r="A488" s="41">
        <v>482</v>
      </c>
      <c r="B488" s="41" t="s">
        <v>38</v>
      </c>
      <c r="C488" s="41" t="s">
        <v>771</v>
      </c>
      <c r="D488" s="28" t="s">
        <v>772</v>
      </c>
      <c r="E488" s="28" t="s">
        <v>773</v>
      </c>
      <c r="F488" s="5" t="s">
        <v>22</v>
      </c>
      <c r="G488" s="21">
        <v>0.33333333333333331</v>
      </c>
      <c r="H488" s="22">
        <f>VLOOKUP(C488,'Master File June-26'!$C$3:$I$670,6,0)</f>
        <v>120</v>
      </c>
      <c r="I488" s="22">
        <f>VLOOKUP(C488,'Master File June-26'!$C$3:$I$670,7,0)</f>
        <v>360</v>
      </c>
      <c r="J488" s="5">
        <f>VLOOKUP(C488,'Master File June-26'!C:J,8,0)</f>
        <v>14</v>
      </c>
      <c r="K488" s="23">
        <f t="shared" si="30"/>
        <v>201.60000000000002</v>
      </c>
      <c r="L488" s="58">
        <f>VLOOKUP(C488,'Master File June-26'!C:L,10,0)</f>
        <v>0</v>
      </c>
      <c r="M488" s="24">
        <f t="shared" si="31"/>
        <v>0</v>
      </c>
      <c r="N488" s="25" t="str">
        <f t="shared" si="32"/>
        <v>ORDER NOW</v>
      </c>
      <c r="O488" s="25" t="str">
        <f t="shared" si="33"/>
        <v>CRITICAL</v>
      </c>
      <c r="Q488" s="87">
        <f>VLOOKUP(C488,'Master File June-26'!$C$3:$S$670,17,0)</f>
        <v>46131.517430555556</v>
      </c>
    </row>
    <row r="489" spans="1:17" ht="18.75" hidden="1" x14ac:dyDescent="0.25">
      <c r="A489" s="39">
        <v>272</v>
      </c>
      <c r="B489" s="39" t="s">
        <v>157</v>
      </c>
      <c r="C489" s="39" t="s">
        <v>1572</v>
      </c>
      <c r="D489" s="28" t="s">
        <v>1573</v>
      </c>
      <c r="E489" s="28" t="s">
        <v>160</v>
      </c>
      <c r="F489" s="5" t="s">
        <v>49</v>
      </c>
      <c r="G489" s="21">
        <v>1</v>
      </c>
      <c r="H489" s="22">
        <v>11</v>
      </c>
      <c r="I489" s="22">
        <f t="shared" ref="I489:I498" si="34">H489/G489</f>
        <v>11</v>
      </c>
      <c r="J489" s="5">
        <f>VLOOKUP(C489,'Master File June-26'!C:J,8,0)</f>
        <v>14</v>
      </c>
      <c r="K489" s="23">
        <f t="shared" si="30"/>
        <v>6.16</v>
      </c>
      <c r="L489" s="58">
        <f>VLOOKUP(C489,'Master File June-26'!C:L,10,0)</f>
        <v>0</v>
      </c>
      <c r="M489" s="24">
        <f t="shared" si="31"/>
        <v>0</v>
      </c>
      <c r="N489" s="25" t="str">
        <f t="shared" si="32"/>
        <v>ORDER NOW</v>
      </c>
      <c r="O489" s="25" t="str">
        <f t="shared" si="33"/>
        <v>CRITICAL</v>
      </c>
      <c r="Q489" s="87" t="e">
        <f>VLOOKUP(C489,[2]Sheet1!$C$3:$P$524,14,0)</f>
        <v>#N/A</v>
      </c>
    </row>
    <row r="490" spans="1:17" ht="18.75" hidden="1" x14ac:dyDescent="0.25">
      <c r="A490" s="41">
        <v>475</v>
      </c>
      <c r="B490" s="41" t="s">
        <v>85</v>
      </c>
      <c r="C490" s="41" t="s">
        <v>1047</v>
      </c>
      <c r="D490" s="28" t="s">
        <v>1048</v>
      </c>
      <c r="E490" s="28" t="s">
        <v>1049</v>
      </c>
      <c r="F490" s="5" t="s">
        <v>22</v>
      </c>
      <c r="G490" s="21">
        <v>0.14172335600907029</v>
      </c>
      <c r="H490" s="22">
        <v>4</v>
      </c>
      <c r="I490" s="22">
        <f t="shared" si="34"/>
        <v>28.224</v>
      </c>
      <c r="J490" s="5">
        <f>VLOOKUP(C490,'Master File June-26'!C:J,8,0)</f>
        <v>14</v>
      </c>
      <c r="K490" s="23">
        <f t="shared" si="30"/>
        <v>15.805440000000001</v>
      </c>
      <c r="L490" s="58">
        <f>VLOOKUP(C490,'Master File June-26'!C:L,10,0)</f>
        <v>306.04599999999999</v>
      </c>
      <c r="M490" s="24">
        <f t="shared" si="31"/>
        <v>325.30399659863946</v>
      </c>
      <c r="N490" s="25" t="str">
        <f t="shared" si="32"/>
        <v>IN STOCK</v>
      </c>
      <c r="O490" s="25" t="str">
        <f t="shared" si="33"/>
        <v>FOLLOW UP DELIVERY</v>
      </c>
      <c r="Q490" s="87" t="e">
        <f>VLOOKUP(C490,[2]Sheet1!$C$3:$P$524,14,0)</f>
        <v>#N/A</v>
      </c>
    </row>
    <row r="491" spans="1:17" ht="18.75" hidden="1" x14ac:dyDescent="0.25">
      <c r="A491" s="41">
        <v>557</v>
      </c>
      <c r="B491" s="41" t="s">
        <v>38</v>
      </c>
      <c r="C491" s="41" t="s">
        <v>41</v>
      </c>
      <c r="D491" s="40" t="s">
        <v>42</v>
      </c>
      <c r="E491" s="34" t="s">
        <v>22</v>
      </c>
      <c r="F491" s="5" t="s">
        <v>22</v>
      </c>
      <c r="G491" s="21">
        <v>1</v>
      </c>
      <c r="H491" s="22">
        <v>1</v>
      </c>
      <c r="I491" s="22">
        <f t="shared" si="34"/>
        <v>1</v>
      </c>
      <c r="J491" s="5">
        <f>VLOOKUP(C491,'Master File June-26'!C:J,8,0)</f>
        <v>14</v>
      </c>
      <c r="K491" s="23">
        <f t="shared" si="30"/>
        <v>0.56000000000000005</v>
      </c>
      <c r="L491" s="58">
        <f>VLOOKUP(C491,'Master File June-26'!C:L,10,0)</f>
        <v>0</v>
      </c>
      <c r="M491" s="24">
        <f t="shared" si="31"/>
        <v>0</v>
      </c>
      <c r="N491" s="25" t="str">
        <f t="shared" si="32"/>
        <v>ORDER NOW</v>
      </c>
      <c r="O491" s="25" t="str">
        <f t="shared" si="33"/>
        <v>CRITICAL</v>
      </c>
      <c r="Q491" s="87" t="e">
        <f>VLOOKUP(C491,[2]Sheet1!$C$3:$P$524,14,0)</f>
        <v>#N/A</v>
      </c>
    </row>
    <row r="492" spans="1:17" ht="18.75" hidden="1" x14ac:dyDescent="0.25">
      <c r="A492" s="41">
        <v>485</v>
      </c>
      <c r="B492" s="41" t="s">
        <v>61</v>
      </c>
      <c r="C492" s="41" t="s">
        <v>1523</v>
      </c>
      <c r="D492" s="28" t="s">
        <v>1524</v>
      </c>
      <c r="E492" s="28" t="s">
        <v>1525</v>
      </c>
      <c r="F492" s="5" t="s">
        <v>49</v>
      </c>
      <c r="G492" s="21">
        <v>1</v>
      </c>
      <c r="H492" s="22">
        <v>2</v>
      </c>
      <c r="I492" s="22">
        <f t="shared" si="34"/>
        <v>2</v>
      </c>
      <c r="J492" s="5">
        <f>VLOOKUP(C492,'Master File June-26'!C:J,8,0)</f>
        <v>14</v>
      </c>
      <c r="K492" s="23">
        <f t="shared" si="30"/>
        <v>1.1200000000000001</v>
      </c>
      <c r="L492" s="58">
        <f>VLOOKUP(C492,'Master File June-26'!C:L,10,0)</f>
        <v>0</v>
      </c>
      <c r="M492" s="24">
        <f t="shared" si="31"/>
        <v>0</v>
      </c>
      <c r="N492" s="25" t="str">
        <f t="shared" si="32"/>
        <v>ORDER NOW</v>
      </c>
      <c r="O492" s="25" t="str">
        <f t="shared" si="33"/>
        <v>CRITICAL</v>
      </c>
      <c r="Q492" s="87" t="e">
        <f>VLOOKUP(C492,[2]Sheet1!$C$3:$P$524,14,0)</f>
        <v>#N/A</v>
      </c>
    </row>
    <row r="493" spans="1:17" ht="18.75" hidden="1" x14ac:dyDescent="0.25">
      <c r="A493" s="19">
        <v>121</v>
      </c>
      <c r="B493" s="19" t="s">
        <v>18</v>
      </c>
      <c r="C493" s="19" t="s">
        <v>1007</v>
      </c>
      <c r="D493" s="30" t="s">
        <v>1008</v>
      </c>
      <c r="E493" s="28" t="s">
        <v>186</v>
      </c>
      <c r="F493" s="5" t="s">
        <v>606</v>
      </c>
      <c r="G493" s="21">
        <v>2E-3</v>
      </c>
      <c r="H493" s="22">
        <v>5</v>
      </c>
      <c r="I493" s="22">
        <f t="shared" si="34"/>
        <v>2500</v>
      </c>
      <c r="J493" s="5">
        <f>VLOOKUP(C493,'Master File June-26'!C:J,8,0)</f>
        <v>14</v>
      </c>
      <c r="K493" s="23">
        <f t="shared" si="30"/>
        <v>1400.0000000000002</v>
      </c>
      <c r="L493" s="58">
        <f>VLOOKUP(C493,'Master File June-26'!C:L,10,0)</f>
        <v>0</v>
      </c>
      <c r="M493" s="24">
        <f t="shared" si="31"/>
        <v>0</v>
      </c>
      <c r="N493" s="25" t="str">
        <f t="shared" si="32"/>
        <v>ORDER NOW</v>
      </c>
      <c r="O493" s="25" t="str">
        <f t="shared" si="33"/>
        <v>CRITICAL</v>
      </c>
      <c r="P493" t="s">
        <v>30</v>
      </c>
      <c r="Q493" s="87" t="e">
        <f>VLOOKUP(C493,[2]Sheet1!$C$3:$P$524,14,0)</f>
        <v>#N/A</v>
      </c>
    </row>
    <row r="494" spans="1:17" ht="18.75" hidden="1" x14ac:dyDescent="0.25">
      <c r="A494" s="41">
        <v>553</v>
      </c>
      <c r="B494" s="41" t="s">
        <v>38</v>
      </c>
      <c r="C494" s="41" t="s">
        <v>1236</v>
      </c>
      <c r="D494" s="40" t="s">
        <v>1237</v>
      </c>
      <c r="E494" s="34" t="s">
        <v>22</v>
      </c>
      <c r="F494" s="5" t="s">
        <v>22</v>
      </c>
      <c r="G494" s="21">
        <v>1</v>
      </c>
      <c r="H494" s="22">
        <v>5</v>
      </c>
      <c r="I494" s="22">
        <f t="shared" si="34"/>
        <v>5</v>
      </c>
      <c r="J494" s="5">
        <f>VLOOKUP(C494,'Master File June-26'!C:J,8,0)</f>
        <v>14</v>
      </c>
      <c r="K494" s="23">
        <f t="shared" si="30"/>
        <v>2.8000000000000003</v>
      </c>
      <c r="L494" s="58">
        <f>VLOOKUP(C494,'Master File June-26'!C:L,10,0)</f>
        <v>0</v>
      </c>
      <c r="M494" s="24">
        <f t="shared" si="31"/>
        <v>0</v>
      </c>
      <c r="N494" s="25" t="str">
        <f t="shared" si="32"/>
        <v>ORDER NOW</v>
      </c>
      <c r="O494" s="25" t="str">
        <f t="shared" si="33"/>
        <v>CRITICAL</v>
      </c>
      <c r="Q494" s="87" t="e">
        <f>VLOOKUP(C494,[2]Sheet1!$C$3:$P$524,14,0)</f>
        <v>#N/A</v>
      </c>
    </row>
    <row r="495" spans="1:17" ht="18.75" hidden="1" x14ac:dyDescent="0.25">
      <c r="A495" s="19">
        <v>175</v>
      </c>
      <c r="B495" s="19" t="s">
        <v>18</v>
      </c>
      <c r="C495" s="19" t="s">
        <v>693</v>
      </c>
      <c r="D495" s="40" t="s">
        <v>694</v>
      </c>
      <c r="E495" s="34" t="s">
        <v>22</v>
      </c>
      <c r="F495" s="5" t="s">
        <v>22</v>
      </c>
      <c r="G495" s="21">
        <v>4.1666666666666669E-4</v>
      </c>
      <c r="H495" s="22">
        <v>10</v>
      </c>
      <c r="I495" s="22">
        <f t="shared" si="34"/>
        <v>24000</v>
      </c>
      <c r="J495" s="5">
        <f>VLOOKUP(C495,'Master File June-26'!C:J,8,0)</f>
        <v>14</v>
      </c>
      <c r="K495" s="23">
        <f t="shared" si="30"/>
        <v>13440.000000000002</v>
      </c>
      <c r="L495" s="58">
        <f>VLOOKUP(C495,'Master File June-26'!C:L,10,0)</f>
        <v>4800</v>
      </c>
      <c r="M495" s="24">
        <f t="shared" si="31"/>
        <v>6</v>
      </c>
      <c r="N495" s="25" t="str">
        <f t="shared" si="32"/>
        <v>ORDER NOW</v>
      </c>
      <c r="O495" s="25" t="str">
        <f t="shared" si="33"/>
        <v>CRITICAL</v>
      </c>
      <c r="Q495" s="87" t="e">
        <f>VLOOKUP(C495,[2]Sheet1!$C$3:$P$524,14,0)</f>
        <v>#N/A</v>
      </c>
    </row>
    <row r="496" spans="1:17" ht="18.75" hidden="1" x14ac:dyDescent="0.25">
      <c r="A496" s="19">
        <v>165</v>
      </c>
      <c r="B496" s="19" t="s">
        <v>18</v>
      </c>
      <c r="C496" s="19" t="s">
        <v>1565</v>
      </c>
      <c r="D496" s="28" t="s">
        <v>1566</v>
      </c>
      <c r="E496" s="28" t="s">
        <v>183</v>
      </c>
      <c r="F496" s="5" t="s">
        <v>22</v>
      </c>
      <c r="G496" s="21">
        <f>1/200</f>
        <v>5.0000000000000001E-3</v>
      </c>
      <c r="H496" s="22">
        <v>5</v>
      </c>
      <c r="I496" s="22">
        <f t="shared" si="34"/>
        <v>1000</v>
      </c>
      <c r="J496" s="5">
        <f>VLOOKUP(C496,'Master File June-26'!C:J,8,0)</f>
        <v>14</v>
      </c>
      <c r="K496" s="23">
        <f t="shared" si="30"/>
        <v>560</v>
      </c>
      <c r="L496" s="58">
        <f>VLOOKUP(C496,'Master File June-26'!C:L,10,0)</f>
        <v>0</v>
      </c>
      <c r="M496" s="24">
        <f t="shared" si="31"/>
        <v>0</v>
      </c>
      <c r="N496" s="25" t="str">
        <f t="shared" si="32"/>
        <v>ORDER NOW</v>
      </c>
      <c r="O496" s="25" t="str">
        <f t="shared" si="33"/>
        <v>CRITICAL</v>
      </c>
      <c r="Q496" s="87" t="e">
        <f>VLOOKUP(C496,[2]Sheet1!$C$3:$P$524,14,0)</f>
        <v>#N/A</v>
      </c>
    </row>
    <row r="497" spans="1:17" ht="18.75" hidden="1" x14ac:dyDescent="0.25">
      <c r="A497" s="19">
        <v>126</v>
      </c>
      <c r="B497" s="19" t="s">
        <v>18</v>
      </c>
      <c r="C497" s="19" t="s">
        <v>1567</v>
      </c>
      <c r="D497" s="28" t="s">
        <v>1568</v>
      </c>
      <c r="E497" s="28" t="s">
        <v>1569</v>
      </c>
      <c r="F497" s="5" t="s">
        <v>22</v>
      </c>
      <c r="G497" s="21">
        <f>1/4900</f>
        <v>2.0408163265306123E-4</v>
      </c>
      <c r="H497" s="22">
        <v>2</v>
      </c>
      <c r="I497" s="22">
        <f t="shared" si="34"/>
        <v>9800</v>
      </c>
      <c r="J497" s="5">
        <f>VLOOKUP(C497,'Master File June-26'!C:J,8,0)</f>
        <v>14</v>
      </c>
      <c r="K497" s="23">
        <f t="shared" si="30"/>
        <v>5488.0000000000009</v>
      </c>
      <c r="L497" s="58">
        <f>VLOOKUP(C497,'Master File June-26'!C:L,10,0)</f>
        <v>0</v>
      </c>
      <c r="M497" s="24">
        <f t="shared" si="31"/>
        <v>0</v>
      </c>
      <c r="N497" s="25" t="str">
        <f t="shared" si="32"/>
        <v>ORDER NOW</v>
      </c>
      <c r="O497" s="25" t="str">
        <f t="shared" si="33"/>
        <v>CRITICAL</v>
      </c>
      <c r="P497" t="s">
        <v>30</v>
      </c>
      <c r="Q497" s="87" t="e">
        <f>VLOOKUP(C497,[2]Sheet1!$C$3:$P$524,14,0)</f>
        <v>#N/A</v>
      </c>
    </row>
    <row r="498" spans="1:17" ht="18.75" hidden="1" x14ac:dyDescent="0.25">
      <c r="A498" s="19">
        <v>33</v>
      </c>
      <c r="B498" s="19" t="s">
        <v>18</v>
      </c>
      <c r="C498" s="19" t="s">
        <v>1570</v>
      </c>
      <c r="D498" s="28" t="s">
        <v>1571</v>
      </c>
      <c r="E498" s="28" t="s">
        <v>167</v>
      </c>
      <c r="F498" s="5" t="s">
        <v>22</v>
      </c>
      <c r="G498" s="21">
        <v>1E-3</v>
      </c>
      <c r="H498" s="22">
        <v>11</v>
      </c>
      <c r="I498" s="22">
        <f t="shared" si="34"/>
        <v>11000</v>
      </c>
      <c r="J498" s="5">
        <f>VLOOKUP(C498,'Master File June-26'!C:J,8,0)</f>
        <v>60</v>
      </c>
      <c r="K498" s="23">
        <f t="shared" si="30"/>
        <v>26400</v>
      </c>
      <c r="L498" s="58">
        <f>VLOOKUP(C498,'Master File June-26'!C:L,10,0)</f>
        <v>0</v>
      </c>
      <c r="M498" s="24">
        <f t="shared" si="31"/>
        <v>0</v>
      </c>
      <c r="N498" s="25" t="str">
        <f t="shared" si="32"/>
        <v>ORDER NOW</v>
      </c>
      <c r="O498" s="25" t="str">
        <f t="shared" si="33"/>
        <v>CRITICAL</v>
      </c>
      <c r="P498" t="s">
        <v>30</v>
      </c>
      <c r="Q498" s="87" t="e">
        <f>VLOOKUP(C498,[2]Sheet1!$C$3:$P$524,14,0)</f>
        <v>#N/A</v>
      </c>
    </row>
    <row r="499" spans="1:17" ht="18.75" hidden="1" x14ac:dyDescent="0.25">
      <c r="A499" s="49">
        <v>598</v>
      </c>
      <c r="B499" s="49" t="s">
        <v>239</v>
      </c>
      <c r="C499" s="49" t="s">
        <v>574</v>
      </c>
      <c r="D499" s="37" t="s">
        <v>575</v>
      </c>
      <c r="E499" s="34" t="s">
        <v>49</v>
      </c>
      <c r="F499" s="5" t="s">
        <v>49</v>
      </c>
      <c r="G499" s="21">
        <v>1</v>
      </c>
      <c r="H499" s="22">
        <f>VLOOKUP(C499,'Master File June-26'!$C$3:$I$670,6,0)</f>
        <v>6</v>
      </c>
      <c r="I499" s="22">
        <f>VLOOKUP(C499,'Master File June-26'!$C$3:$I$670,7,0)</f>
        <v>6</v>
      </c>
      <c r="J499" s="5">
        <f>VLOOKUP(C499,'Master File June-26'!C:J,8,0)</f>
        <v>14</v>
      </c>
      <c r="K499" s="23">
        <f t="shared" si="30"/>
        <v>3.3600000000000003</v>
      </c>
      <c r="L499" s="58">
        <f>VLOOKUP(C499,'Master File June-26'!C:L,10,0)</f>
        <v>0</v>
      </c>
      <c r="M499" s="24">
        <f t="shared" si="31"/>
        <v>0</v>
      </c>
      <c r="N499" s="25" t="str">
        <f t="shared" si="32"/>
        <v>ORDER NOW</v>
      </c>
      <c r="O499" s="25" t="str">
        <f t="shared" si="33"/>
        <v>CRITICAL</v>
      </c>
      <c r="Q499" s="87">
        <f>VLOOKUP(C499,'Master File June-26'!$C$3:$S$670,17,0)</f>
        <v>46131.519652777781</v>
      </c>
    </row>
    <row r="500" spans="1:17" ht="18.75" hidden="1" x14ac:dyDescent="0.25">
      <c r="A500" s="41">
        <v>538</v>
      </c>
      <c r="B500" s="41" t="s">
        <v>38</v>
      </c>
      <c r="C500" s="41" t="s">
        <v>1478</v>
      </c>
      <c r="D500" s="77" t="s">
        <v>1479</v>
      </c>
      <c r="E500" s="34" t="s">
        <v>22</v>
      </c>
      <c r="F500" s="5" t="s">
        <v>22</v>
      </c>
      <c r="G500" s="21">
        <v>1</v>
      </c>
      <c r="H500" s="22">
        <v>2</v>
      </c>
      <c r="I500" s="22">
        <f t="shared" ref="I500:I506" si="35">H500/G500</f>
        <v>2</v>
      </c>
      <c r="J500" s="5">
        <f>VLOOKUP(C500,'Master File June-26'!C:J,8,0)</f>
        <v>14</v>
      </c>
      <c r="K500" s="23">
        <f t="shared" si="30"/>
        <v>1.1200000000000001</v>
      </c>
      <c r="L500" s="58">
        <f>VLOOKUP(C500,'Master File June-26'!C:L,10,0)</f>
        <v>0</v>
      </c>
      <c r="M500" s="24">
        <f t="shared" si="31"/>
        <v>0</v>
      </c>
      <c r="N500" s="25" t="str">
        <f t="shared" si="32"/>
        <v>ORDER NOW</v>
      </c>
      <c r="O500" s="25" t="str">
        <f t="shared" si="33"/>
        <v>CRITICAL</v>
      </c>
      <c r="Q500" s="87" t="e">
        <f>VLOOKUP(C500,[2]Sheet1!$C$3:$P$524,14,0)</f>
        <v>#N/A</v>
      </c>
    </row>
    <row r="501" spans="1:17" ht="18.75" hidden="1" x14ac:dyDescent="0.25">
      <c r="A501" s="41">
        <v>556</v>
      </c>
      <c r="B501" s="41" t="s">
        <v>38</v>
      </c>
      <c r="C501" s="41" t="s">
        <v>1245</v>
      </c>
      <c r="D501" s="37" t="s">
        <v>1246</v>
      </c>
      <c r="E501" s="34" t="s">
        <v>22</v>
      </c>
      <c r="F501" s="5" t="s">
        <v>22</v>
      </c>
      <c r="G501" s="21">
        <v>1</v>
      </c>
      <c r="H501" s="22">
        <v>1</v>
      </c>
      <c r="I501" s="22">
        <f t="shared" si="35"/>
        <v>1</v>
      </c>
      <c r="J501" s="5">
        <f>VLOOKUP(C501,'Master File June-26'!C:J,8,0)</f>
        <v>14</v>
      </c>
      <c r="K501" s="23">
        <f t="shared" si="30"/>
        <v>0.56000000000000005</v>
      </c>
      <c r="L501" s="58">
        <f>VLOOKUP(C501,'Master File June-26'!C:L,10,0)</f>
        <v>0</v>
      </c>
      <c r="M501" s="24">
        <f t="shared" si="31"/>
        <v>0</v>
      </c>
      <c r="N501" s="25" t="str">
        <f t="shared" si="32"/>
        <v>ORDER NOW</v>
      </c>
      <c r="O501" s="25" t="str">
        <f t="shared" si="33"/>
        <v>CRITICAL</v>
      </c>
      <c r="Q501" s="87" t="e">
        <f>VLOOKUP(C501,[2]Sheet1!$C$3:$P$524,14,0)</f>
        <v>#N/A</v>
      </c>
    </row>
    <row r="502" spans="1:17" ht="18.75" hidden="1" x14ac:dyDescent="0.25">
      <c r="A502" s="41">
        <v>537</v>
      </c>
      <c r="B502" s="41" t="s">
        <v>38</v>
      </c>
      <c r="C502" s="41" t="s">
        <v>1345</v>
      </c>
      <c r="D502" s="37" t="s">
        <v>1346</v>
      </c>
      <c r="E502" s="34" t="s">
        <v>64</v>
      </c>
      <c r="F502" s="5" t="s">
        <v>49</v>
      </c>
      <c r="G502" s="21">
        <v>1</v>
      </c>
      <c r="H502" s="22">
        <v>1</v>
      </c>
      <c r="I502" s="22">
        <f t="shared" si="35"/>
        <v>1</v>
      </c>
      <c r="J502" s="5">
        <f>VLOOKUP(C502,'Master File June-26'!C:J,8,0)</f>
        <v>14</v>
      </c>
      <c r="K502" s="23">
        <f t="shared" si="30"/>
        <v>0.56000000000000005</v>
      </c>
      <c r="L502" s="58">
        <f>VLOOKUP(C502,'Master File June-26'!C:L,10,0)</f>
        <v>0</v>
      </c>
      <c r="M502" s="24">
        <f t="shared" si="31"/>
        <v>0</v>
      </c>
      <c r="N502" s="25" t="str">
        <f t="shared" si="32"/>
        <v>ORDER NOW</v>
      </c>
      <c r="O502" s="25" t="str">
        <f t="shared" si="33"/>
        <v>CRITICAL</v>
      </c>
      <c r="Q502" s="87">
        <f>VLOOKUP(C502,'Master File June-26'!$C$3:$S$670,17,0)</f>
        <v>46131.51934027778</v>
      </c>
    </row>
    <row r="503" spans="1:17" ht="18.75" hidden="1" x14ac:dyDescent="0.25">
      <c r="A503" s="39">
        <v>323</v>
      </c>
      <c r="B503" s="39" t="s">
        <v>123</v>
      </c>
      <c r="C503" s="39" t="s">
        <v>1318</v>
      </c>
      <c r="D503" s="27" t="s">
        <v>1319</v>
      </c>
      <c r="E503" s="28" t="s">
        <v>1320</v>
      </c>
      <c r="F503" s="5" t="s">
        <v>22</v>
      </c>
      <c r="G503" s="21">
        <v>0.05</v>
      </c>
      <c r="H503" s="22">
        <v>6</v>
      </c>
      <c r="I503" s="22">
        <f t="shared" si="35"/>
        <v>120</v>
      </c>
      <c r="J503" s="5">
        <f>VLOOKUP(C503,'Master File June-26'!C:J,8,0)</f>
        <v>14</v>
      </c>
      <c r="K503" s="23">
        <f t="shared" si="30"/>
        <v>67.2</v>
      </c>
      <c r="L503" s="58">
        <f>VLOOKUP(C503,'Master File June-26'!C:L,10,0)</f>
        <v>0</v>
      </c>
      <c r="M503" s="24">
        <f t="shared" si="31"/>
        <v>0</v>
      </c>
      <c r="N503" s="25" t="str">
        <f t="shared" si="32"/>
        <v>ORDER NOW</v>
      </c>
      <c r="O503" s="25" t="str">
        <f t="shared" si="33"/>
        <v>CRITICAL</v>
      </c>
      <c r="Q503" s="87" t="e">
        <f>VLOOKUP(C503,[2]Sheet1!$C$3:$P$524,14,0)</f>
        <v>#N/A</v>
      </c>
    </row>
    <row r="504" spans="1:17" ht="18.75" hidden="1" x14ac:dyDescent="0.25">
      <c r="A504" s="41">
        <v>567</v>
      </c>
      <c r="B504" s="41" t="s">
        <v>38</v>
      </c>
      <c r="C504" s="41" t="s">
        <v>1592</v>
      </c>
      <c r="D504" s="27" t="s">
        <v>1593</v>
      </c>
      <c r="E504" s="34" t="s">
        <v>1630</v>
      </c>
      <c r="F504" s="5" t="s">
        <v>22</v>
      </c>
      <c r="G504" s="21">
        <f>1/7.68</f>
        <v>0.13020833333333334</v>
      </c>
      <c r="H504" s="22">
        <v>8</v>
      </c>
      <c r="I504" s="22">
        <f t="shared" si="35"/>
        <v>61.44</v>
      </c>
      <c r="J504" s="5">
        <f>VLOOKUP(C504,'Master File June-26'!C:J,8,0)</f>
        <v>14</v>
      </c>
      <c r="K504" s="23">
        <f t="shared" si="30"/>
        <v>34.406400000000005</v>
      </c>
      <c r="L504" s="58">
        <f>VLOOKUP(C504,'Master File June-26'!C:L,10,0)</f>
        <v>0</v>
      </c>
      <c r="M504" s="24">
        <f t="shared" si="31"/>
        <v>0</v>
      </c>
      <c r="N504" s="25" t="str">
        <f t="shared" si="32"/>
        <v>ORDER NOW</v>
      </c>
      <c r="O504" s="25" t="str">
        <f t="shared" si="33"/>
        <v>CRITICAL</v>
      </c>
      <c r="Q504" s="87">
        <f>VLOOKUP(C504,'Master File June-26'!$C$3:$S$670,17,0)</f>
        <v>46131.520937499998</v>
      </c>
    </row>
    <row r="505" spans="1:17" ht="18.75" hidden="1" x14ac:dyDescent="0.25">
      <c r="A505" s="39">
        <v>245</v>
      </c>
      <c r="B505" s="39" t="s">
        <v>123</v>
      </c>
      <c r="C505" s="39" t="s">
        <v>1509</v>
      </c>
      <c r="D505" s="78" t="s">
        <v>1510</v>
      </c>
      <c r="E505" s="28" t="s">
        <v>706</v>
      </c>
      <c r="F505" s="5" t="s">
        <v>49</v>
      </c>
      <c r="G505" s="21">
        <v>1</v>
      </c>
      <c r="H505" s="22">
        <v>27.5</v>
      </c>
      <c r="I505" s="22">
        <f t="shared" si="35"/>
        <v>27.5</v>
      </c>
      <c r="J505" s="5">
        <f>VLOOKUP(C505,'Master File June-26'!C:J,8,0)</f>
        <v>14</v>
      </c>
      <c r="K505" s="23">
        <f t="shared" si="30"/>
        <v>15.400000000000002</v>
      </c>
      <c r="L505" s="58">
        <f>VLOOKUP(C505,'Master File June-26'!C:L,10,0)</f>
        <v>10</v>
      </c>
      <c r="M505" s="24">
        <f t="shared" si="31"/>
        <v>10.90909090909091</v>
      </c>
      <c r="N505" s="25" t="str">
        <f t="shared" si="32"/>
        <v>ORDER NOW</v>
      </c>
      <c r="O505" s="25" t="str">
        <f t="shared" si="33"/>
        <v>CRITICAL</v>
      </c>
      <c r="Q505" s="87" t="e">
        <f>VLOOKUP(C505,[2]Sheet1!$C$3:$P$524,14,0)</f>
        <v>#N/A</v>
      </c>
    </row>
    <row r="506" spans="1:17" ht="18.75" hidden="1" x14ac:dyDescent="0.25">
      <c r="A506" s="41">
        <v>397</v>
      </c>
      <c r="B506" s="41" t="s">
        <v>85</v>
      </c>
      <c r="C506" s="41" t="s">
        <v>1463</v>
      </c>
      <c r="D506" s="31" t="s">
        <v>1464</v>
      </c>
      <c r="E506" s="34" t="s">
        <v>1465</v>
      </c>
      <c r="F506" s="5" t="s">
        <v>49</v>
      </c>
      <c r="G506" s="21">
        <v>0.26455026455026459</v>
      </c>
      <c r="H506" s="22">
        <v>1</v>
      </c>
      <c r="I506" s="22">
        <f t="shared" si="35"/>
        <v>3.7799999999999994</v>
      </c>
      <c r="J506" s="5">
        <f>VLOOKUP(C506,'Master File June-26'!C:J,8,0)</f>
        <v>14</v>
      </c>
      <c r="K506" s="23">
        <f t="shared" si="30"/>
        <v>2.1168</v>
      </c>
      <c r="L506" s="58">
        <f>VLOOKUP(C506,'Master File June-26'!C:L,10,0)</f>
        <v>19</v>
      </c>
      <c r="M506" s="24">
        <f t="shared" si="31"/>
        <v>150.79365079365081</v>
      </c>
      <c r="N506" s="25" t="str">
        <f t="shared" si="32"/>
        <v>IN STOCK</v>
      </c>
      <c r="O506" s="25" t="str">
        <f t="shared" si="33"/>
        <v>FOLLOW UP DELIVERY</v>
      </c>
      <c r="Q506" s="87" t="e">
        <f>VLOOKUP(C506,[2]Sheet1!$C$3:$P$524,14,0)</f>
        <v>#N/A</v>
      </c>
    </row>
    <row r="507" spans="1:17" ht="18.75" hidden="1" x14ac:dyDescent="0.25">
      <c r="A507" s="41">
        <v>536</v>
      </c>
      <c r="B507" s="41" t="s">
        <v>38</v>
      </c>
      <c r="C507" s="41" t="s">
        <v>516</v>
      </c>
      <c r="D507" s="37" t="s">
        <v>517</v>
      </c>
      <c r="E507" s="34" t="s">
        <v>64</v>
      </c>
      <c r="F507" s="5" t="s">
        <v>49</v>
      </c>
      <c r="G507" s="21">
        <v>1</v>
      </c>
      <c r="H507" s="22">
        <f>VLOOKUP(C507,'Master File June-26'!$C$3:$I$670,6,0)</f>
        <v>5</v>
      </c>
      <c r="I507" s="22">
        <f>VLOOKUP(C507,'Master File June-26'!$C$3:$I$670,7,0)</f>
        <v>5</v>
      </c>
      <c r="J507" s="5">
        <f>VLOOKUP(C507,'Master File June-26'!C:J,8,0)</f>
        <v>14</v>
      </c>
      <c r="K507" s="23">
        <f t="shared" si="30"/>
        <v>2.8000000000000003</v>
      </c>
      <c r="L507" s="58">
        <f>VLOOKUP(C507,'Master File June-26'!C:L,10,0)</f>
        <v>0</v>
      </c>
      <c r="M507" s="24">
        <f t="shared" si="31"/>
        <v>0</v>
      </c>
      <c r="N507" s="25" t="str">
        <f t="shared" si="32"/>
        <v>ORDER NOW</v>
      </c>
      <c r="O507" s="25" t="str">
        <f t="shared" si="33"/>
        <v>CRITICAL</v>
      </c>
      <c r="Q507" s="87">
        <f>VLOOKUP(C507,'Master File June-26'!$C$3:$S$670,17,0)</f>
        <v>46118.497812499998</v>
      </c>
    </row>
    <row r="508" spans="1:17" ht="18.75" hidden="1" x14ac:dyDescent="0.25">
      <c r="A508" s="41">
        <v>565</v>
      </c>
      <c r="B508" s="41" t="s">
        <v>38</v>
      </c>
      <c r="C508" s="63" t="s">
        <v>1390</v>
      </c>
      <c r="D508" s="37" t="s">
        <v>1391</v>
      </c>
      <c r="E508" s="34" t="s">
        <v>22</v>
      </c>
      <c r="F508" s="5" t="s">
        <v>22</v>
      </c>
      <c r="G508" s="21">
        <v>1</v>
      </c>
      <c r="H508" s="22">
        <v>1</v>
      </c>
      <c r="I508" s="22">
        <f t="shared" ref="I508:I513" si="36">H508/G508</f>
        <v>1</v>
      </c>
      <c r="J508" s="5">
        <f>VLOOKUP(C508,'Master File June-26'!C:J,8,0)</f>
        <v>14</v>
      </c>
      <c r="K508" s="23">
        <f t="shared" si="30"/>
        <v>0.56000000000000005</v>
      </c>
      <c r="L508" s="58">
        <f>VLOOKUP(C508,'Master File June-26'!C:L,10,0)</f>
        <v>0</v>
      </c>
      <c r="M508" s="24">
        <f t="shared" si="31"/>
        <v>0</v>
      </c>
      <c r="N508" s="25" t="str">
        <f t="shared" si="32"/>
        <v>ORDER NOW</v>
      </c>
      <c r="O508" s="25" t="str">
        <f t="shared" si="33"/>
        <v>CRITICAL</v>
      </c>
      <c r="Q508" s="87" t="e">
        <f>VLOOKUP(C508,[2]Sheet1!$C$3:$P$524,14,0)</f>
        <v>#N/A</v>
      </c>
    </row>
    <row r="509" spans="1:17" ht="18.75" hidden="1" x14ac:dyDescent="0.25">
      <c r="A509" s="41">
        <v>521</v>
      </c>
      <c r="B509" s="41" t="s">
        <v>38</v>
      </c>
      <c r="C509" s="63" t="s">
        <v>1584</v>
      </c>
      <c r="D509" s="27" t="s">
        <v>1585</v>
      </c>
      <c r="E509" s="28" t="s">
        <v>1586</v>
      </c>
      <c r="F509" s="5" t="s">
        <v>22</v>
      </c>
      <c r="G509" s="21">
        <f>1/(48*0.04)</f>
        <v>0.52083333333333337</v>
      </c>
      <c r="H509" s="22">
        <v>10</v>
      </c>
      <c r="I509" s="22">
        <f t="shared" si="36"/>
        <v>19.2</v>
      </c>
      <c r="J509" s="5">
        <f>VLOOKUP(C509,'Master File June-26'!C:J,8,0)</f>
        <v>14</v>
      </c>
      <c r="K509" s="23">
        <f t="shared" si="30"/>
        <v>10.752000000000001</v>
      </c>
      <c r="L509" s="58">
        <f>VLOOKUP(C509,'Master File June-26'!C:L,10,0)</f>
        <v>0</v>
      </c>
      <c r="M509" s="24">
        <f t="shared" si="31"/>
        <v>0</v>
      </c>
      <c r="N509" s="25" t="str">
        <f t="shared" si="32"/>
        <v>ORDER NOW</v>
      </c>
      <c r="O509" s="25" t="str">
        <f t="shared" si="33"/>
        <v>CRITICAL</v>
      </c>
      <c r="Q509" s="87" t="e">
        <f>VLOOKUP(C509,[2]Sheet1!$C$3:$P$524,14,0)</f>
        <v>#N/A</v>
      </c>
    </row>
    <row r="510" spans="1:17" ht="18.75" hidden="1" x14ac:dyDescent="0.25">
      <c r="A510" s="41">
        <v>552</v>
      </c>
      <c r="B510" s="41" t="s">
        <v>38</v>
      </c>
      <c r="C510" s="63" t="s">
        <v>1493</v>
      </c>
      <c r="D510" s="37" t="s">
        <v>1494</v>
      </c>
      <c r="E510" s="34" t="s">
        <v>22</v>
      </c>
      <c r="F510" s="5" t="s">
        <v>22</v>
      </c>
      <c r="G510" s="21">
        <v>1</v>
      </c>
      <c r="H510" s="22">
        <v>1</v>
      </c>
      <c r="I510" s="22">
        <f t="shared" si="36"/>
        <v>1</v>
      </c>
      <c r="J510" s="5">
        <f>VLOOKUP(C510,'Master File June-26'!C:J,8,0)</f>
        <v>14</v>
      </c>
      <c r="K510" s="23">
        <f t="shared" si="30"/>
        <v>0.56000000000000005</v>
      </c>
      <c r="L510" s="58">
        <f>VLOOKUP(C510,'Master File June-26'!C:L,10,0)</f>
        <v>0</v>
      </c>
      <c r="M510" s="24">
        <f t="shared" si="31"/>
        <v>0</v>
      </c>
      <c r="N510" s="25" t="str">
        <f t="shared" si="32"/>
        <v>ORDER NOW</v>
      </c>
      <c r="O510" s="25" t="str">
        <f t="shared" si="33"/>
        <v>CRITICAL</v>
      </c>
      <c r="Q510" s="87" t="e">
        <f>VLOOKUP(C510,[2]Sheet1!$C$3:$P$524,14,0)</f>
        <v>#N/A</v>
      </c>
    </row>
    <row r="511" spans="1:17" ht="18.75" hidden="1" x14ac:dyDescent="0.25">
      <c r="A511" s="4">
        <v>606</v>
      </c>
      <c r="B511" s="4" t="s">
        <v>104</v>
      </c>
      <c r="C511" s="139" t="s">
        <v>1550</v>
      </c>
      <c r="D511" s="71" t="s">
        <v>1551</v>
      </c>
      <c r="E511" s="34" t="s">
        <v>22</v>
      </c>
      <c r="F511" s="5" t="s">
        <v>22</v>
      </c>
      <c r="G511" s="21">
        <v>1</v>
      </c>
      <c r="H511" s="22">
        <v>1</v>
      </c>
      <c r="I511" s="22">
        <f t="shared" si="36"/>
        <v>1</v>
      </c>
      <c r="J511" s="5">
        <f>VLOOKUP(C511,'Master File June-26'!C:J,8,0)</f>
        <v>14</v>
      </c>
      <c r="K511" s="23">
        <f t="shared" si="30"/>
        <v>0.56000000000000005</v>
      </c>
      <c r="L511" s="58">
        <f>VLOOKUP(C511,'Master File June-26'!C:L,10,0)</f>
        <v>0</v>
      </c>
      <c r="M511" s="24">
        <f t="shared" si="31"/>
        <v>0</v>
      </c>
      <c r="N511" s="25" t="str">
        <f t="shared" si="32"/>
        <v>ORDER NOW</v>
      </c>
      <c r="O511" s="25" t="str">
        <f t="shared" si="33"/>
        <v>CRITICAL</v>
      </c>
      <c r="Q511" s="87" t="e">
        <f>VLOOKUP(C511,[2]Sheet1!$C$3:$P$524,14,0)</f>
        <v>#N/A</v>
      </c>
    </row>
    <row r="512" spans="1:17" ht="18.75" hidden="1" x14ac:dyDescent="0.25">
      <c r="A512" s="41">
        <v>470</v>
      </c>
      <c r="B512" s="41" t="s">
        <v>38</v>
      </c>
      <c r="C512" s="63" t="s">
        <v>1354</v>
      </c>
      <c r="D512" s="27" t="s">
        <v>1355</v>
      </c>
      <c r="E512" s="28" t="s">
        <v>1356</v>
      </c>
      <c r="F512" s="5" t="s">
        <v>49</v>
      </c>
      <c r="G512" s="21">
        <v>0.25</v>
      </c>
      <c r="H512" s="22">
        <v>5</v>
      </c>
      <c r="I512" s="22">
        <f t="shared" si="36"/>
        <v>20</v>
      </c>
      <c r="J512" s="5">
        <f>VLOOKUP(C512,'Master File June-26'!C:J,8,0)</f>
        <v>14</v>
      </c>
      <c r="K512" s="23">
        <f t="shared" si="30"/>
        <v>11.200000000000001</v>
      </c>
      <c r="L512" s="58">
        <f>VLOOKUP(C512,'Master File June-26'!C:L,10,0)</f>
        <v>0</v>
      </c>
      <c r="M512" s="24">
        <f t="shared" si="31"/>
        <v>0</v>
      </c>
      <c r="N512" s="25" t="str">
        <f t="shared" si="32"/>
        <v>ORDER NOW</v>
      </c>
      <c r="O512" s="25" t="str">
        <f t="shared" si="33"/>
        <v>CRITICAL</v>
      </c>
      <c r="Q512" s="87" t="e">
        <f>VLOOKUP(C512,[2]Sheet1!$C$3:$P$524,14,0)</f>
        <v>#N/A</v>
      </c>
    </row>
    <row r="513" spans="1:17" ht="18.75" hidden="1" x14ac:dyDescent="0.25">
      <c r="A513" s="41">
        <v>560</v>
      </c>
      <c r="B513" s="41" t="s">
        <v>38</v>
      </c>
      <c r="C513" s="63" t="s">
        <v>1480</v>
      </c>
      <c r="D513" s="37" t="s">
        <v>1481</v>
      </c>
      <c r="E513" s="34" t="s">
        <v>22</v>
      </c>
      <c r="F513" s="5" t="s">
        <v>22</v>
      </c>
      <c r="G513" s="21">
        <v>1</v>
      </c>
      <c r="H513" s="22">
        <v>2</v>
      </c>
      <c r="I513" s="22">
        <f t="shared" si="36"/>
        <v>2</v>
      </c>
      <c r="J513" s="5">
        <f>VLOOKUP(C513,'Master File June-26'!C:J,8,0)</f>
        <v>14</v>
      </c>
      <c r="K513" s="23">
        <f t="shared" si="30"/>
        <v>1.1200000000000001</v>
      </c>
      <c r="L513" s="58">
        <f>VLOOKUP(C513,'Master File June-26'!C:L,10,0)</f>
        <v>0</v>
      </c>
      <c r="M513" s="24">
        <f t="shared" si="31"/>
        <v>0</v>
      </c>
      <c r="N513" s="25" t="str">
        <f t="shared" si="32"/>
        <v>ORDER NOW</v>
      </c>
      <c r="O513" s="25" t="str">
        <f t="shared" si="33"/>
        <v>CRITICAL</v>
      </c>
      <c r="Q513" s="87" t="e">
        <f>VLOOKUP(C513,[2]Sheet1!$C$3:$P$524,14,0)</f>
        <v>#N/A</v>
      </c>
    </row>
    <row r="514" spans="1:17" ht="18.75" hidden="1" x14ac:dyDescent="0.25">
      <c r="A514" s="41">
        <v>352</v>
      </c>
      <c r="B514" s="41" t="s">
        <v>38</v>
      </c>
      <c r="C514" s="63" t="s">
        <v>919</v>
      </c>
      <c r="D514" s="27" t="s">
        <v>920</v>
      </c>
      <c r="E514" s="28" t="s">
        <v>921</v>
      </c>
      <c r="F514" s="5" t="s">
        <v>22</v>
      </c>
      <c r="G514" s="21">
        <v>4.1666666666666669E-4</v>
      </c>
      <c r="H514" s="22">
        <f>VLOOKUP(C514,'Master File June-26'!$C$3:$I$670,6,0)</f>
        <v>60.5</v>
      </c>
      <c r="I514" s="22">
        <f>VLOOKUP(C514,'Master File June-26'!$C$3:$I$670,7,0)</f>
        <v>1452</v>
      </c>
      <c r="J514" s="5">
        <f>VLOOKUP(C514,'Master File June-26'!C:J,8,0)</f>
        <v>14</v>
      </c>
      <c r="K514" s="23">
        <f t="shared" si="30"/>
        <v>813.12000000000012</v>
      </c>
      <c r="L514" s="58">
        <f>VLOOKUP(C514,'Master File June-26'!C:L,10,0)</f>
        <v>2</v>
      </c>
      <c r="M514" s="24">
        <f t="shared" si="31"/>
        <v>4.1322314049586778E-2</v>
      </c>
      <c r="N514" s="25" t="str">
        <f t="shared" si="32"/>
        <v>ORDER NOW</v>
      </c>
      <c r="O514" s="25" t="str">
        <f t="shared" si="33"/>
        <v>CRITICAL</v>
      </c>
      <c r="Q514" s="87">
        <f>VLOOKUP(C514,'Master File June-26'!$C$3:$S$670,17,0)</f>
        <v>46131.51766203704</v>
      </c>
    </row>
    <row r="515" spans="1:17" ht="18.75" hidden="1" x14ac:dyDescent="0.25">
      <c r="A515" s="19">
        <v>147</v>
      </c>
      <c r="B515" s="19" t="s">
        <v>18</v>
      </c>
      <c r="C515" s="56" t="s">
        <v>741</v>
      </c>
      <c r="D515" s="65" t="s">
        <v>742</v>
      </c>
      <c r="E515" s="33" t="s">
        <v>49</v>
      </c>
      <c r="F515" s="5" t="s">
        <v>49</v>
      </c>
      <c r="G515" s="21">
        <v>1</v>
      </c>
      <c r="H515" s="22">
        <f>VLOOKUP(C515,'Master File June-26'!$C$3:$I$670,6,0)</f>
        <v>0</v>
      </c>
      <c r="I515" s="22">
        <f>VLOOKUP(C515,'Master File June-26'!$C$3:$I$670,7,0)</f>
        <v>200</v>
      </c>
      <c r="J515" s="5">
        <f>VLOOKUP(C515,'Master File June-26'!C:J,8,0)</f>
        <v>14</v>
      </c>
      <c r="K515" s="23">
        <f t="shared" ref="K515:K526" si="37">I515*(J515/25)</f>
        <v>112.00000000000001</v>
      </c>
      <c r="L515" s="58">
        <f>VLOOKUP(C515,'Master File June-26'!C:L,10,0)</f>
        <v>0</v>
      </c>
      <c r="M515" s="24">
        <f t="shared" ref="M515:M526" si="38">IFERROR((L515/I515*30),0)</f>
        <v>0</v>
      </c>
      <c r="N515" s="25" t="str">
        <f t="shared" ref="N515:N526" si="39">IF(M515&lt;J515,"ORDER NOW","IN STOCK")</f>
        <v>ORDER NOW</v>
      </c>
      <c r="O515" s="25" t="str">
        <f t="shared" ref="O515:O526" si="40">IF(M515&lt;J515,"CRITICAL","FOLLOW UP DELIVERY")</f>
        <v>CRITICAL</v>
      </c>
      <c r="P515" t="s">
        <v>30</v>
      </c>
      <c r="Q515" s="87">
        <f>VLOOKUP(C515,'Master File June-26'!$C$3:$S$670,17,0)</f>
        <v>46113.430902777778</v>
      </c>
    </row>
    <row r="516" spans="1:17" ht="18.75" hidden="1" x14ac:dyDescent="0.25">
      <c r="A516" s="19">
        <v>176</v>
      </c>
      <c r="B516" s="19" t="s">
        <v>18</v>
      </c>
      <c r="C516" s="56" t="s">
        <v>1590</v>
      </c>
      <c r="D516" s="37" t="s">
        <v>1591</v>
      </c>
      <c r="E516" s="34" t="s">
        <v>22</v>
      </c>
      <c r="F516" s="5" t="s">
        <v>22</v>
      </c>
      <c r="G516" s="21">
        <v>1E-3</v>
      </c>
      <c r="H516" s="22">
        <v>2</v>
      </c>
      <c r="I516" s="22">
        <f>H516/G516</f>
        <v>2000</v>
      </c>
      <c r="J516" s="5">
        <f>VLOOKUP(C516,'Master File June-26'!C:J,8,0)</f>
        <v>14</v>
      </c>
      <c r="K516" s="23">
        <f t="shared" si="37"/>
        <v>1120</v>
      </c>
      <c r="L516" s="58">
        <f>VLOOKUP(C516,'Master File June-26'!C:L,10,0)</f>
        <v>1000</v>
      </c>
      <c r="M516" s="24">
        <f t="shared" si="38"/>
        <v>15</v>
      </c>
      <c r="N516" s="25" t="str">
        <f t="shared" si="39"/>
        <v>IN STOCK</v>
      </c>
      <c r="O516" s="25" t="str">
        <f t="shared" si="40"/>
        <v>FOLLOW UP DELIVERY</v>
      </c>
      <c r="Q516" s="87" t="e">
        <f>VLOOKUP(C516,[2]Sheet1!$C$3:$P$524,14,0)</f>
        <v>#N/A</v>
      </c>
    </row>
    <row r="517" spans="1:17" ht="18.75" hidden="1" x14ac:dyDescent="0.25">
      <c r="A517" s="19">
        <v>148</v>
      </c>
      <c r="B517" s="19" t="s">
        <v>18</v>
      </c>
      <c r="C517" s="56" t="s">
        <v>723</v>
      </c>
      <c r="D517" s="65" t="s">
        <v>724</v>
      </c>
      <c r="E517" s="33" t="s">
        <v>49</v>
      </c>
      <c r="F517" s="5" t="s">
        <v>49</v>
      </c>
      <c r="G517" s="21">
        <v>1</v>
      </c>
      <c r="H517" s="22">
        <f>VLOOKUP(C517,'Master File June-26'!$C$3:$I$670,6,0)</f>
        <v>0</v>
      </c>
      <c r="I517" s="22">
        <f>VLOOKUP(C517,'Master File June-26'!$C$3:$I$670,7,0)</f>
        <v>200</v>
      </c>
      <c r="J517" s="5">
        <f>VLOOKUP(C517,'Master File June-26'!C:J,8,0)</f>
        <v>14</v>
      </c>
      <c r="K517" s="23">
        <f t="shared" si="37"/>
        <v>112.00000000000001</v>
      </c>
      <c r="L517" s="58">
        <f>VLOOKUP(C517,'Master File June-26'!C:L,10,0)</f>
        <v>5</v>
      </c>
      <c r="M517" s="24">
        <f t="shared" si="38"/>
        <v>0.75</v>
      </c>
      <c r="N517" s="25" t="str">
        <f t="shared" si="39"/>
        <v>ORDER NOW</v>
      </c>
      <c r="O517" s="25" t="str">
        <f t="shared" si="40"/>
        <v>CRITICAL</v>
      </c>
      <c r="P517" t="s">
        <v>30</v>
      </c>
      <c r="Q517" s="87">
        <f>VLOOKUP(C517,'Master File June-26'!$C$3:$S$670,17,0)</f>
        <v>46113.430902777778</v>
      </c>
    </row>
    <row r="518" spans="1:17" ht="18.75" hidden="1" x14ac:dyDescent="0.25">
      <c r="A518" s="19">
        <v>145</v>
      </c>
      <c r="B518" s="19" t="s">
        <v>18</v>
      </c>
      <c r="C518" s="56" t="s">
        <v>204</v>
      </c>
      <c r="D518" s="65" t="s">
        <v>205</v>
      </c>
      <c r="E518" s="33" t="s">
        <v>49</v>
      </c>
      <c r="F518" s="5" t="s">
        <v>49</v>
      </c>
      <c r="G518" s="21">
        <v>1</v>
      </c>
      <c r="H518" s="22">
        <f>VLOOKUP(C518,'Master File June-26'!$C$3:$I$670,6,0)</f>
        <v>0</v>
      </c>
      <c r="I518" s="22">
        <f>VLOOKUP(C518,'Master File June-26'!$C$3:$I$670,7,0)</f>
        <v>200</v>
      </c>
      <c r="J518" s="5">
        <f>VLOOKUP(C518,'Master File June-26'!C:J,8,0)</f>
        <v>14</v>
      </c>
      <c r="K518" s="23">
        <f t="shared" si="37"/>
        <v>112.00000000000001</v>
      </c>
      <c r="L518" s="58">
        <f>VLOOKUP(C518,'Master File June-26'!C:L,10,0)</f>
        <v>0</v>
      </c>
      <c r="M518" s="24">
        <f t="shared" si="38"/>
        <v>0</v>
      </c>
      <c r="N518" s="25" t="str">
        <f t="shared" si="39"/>
        <v>ORDER NOW</v>
      </c>
      <c r="O518" s="25" t="str">
        <f t="shared" si="40"/>
        <v>CRITICAL</v>
      </c>
      <c r="P518" t="s">
        <v>30</v>
      </c>
      <c r="Q518" s="87">
        <f>VLOOKUP(C518,'Master File June-26'!$C$3:$S$670,17,0)</f>
        <v>46113.430891203701</v>
      </c>
    </row>
    <row r="519" spans="1:17" ht="18.75" hidden="1" x14ac:dyDescent="0.25">
      <c r="A519" s="41">
        <v>529</v>
      </c>
      <c r="B519" s="41" t="s">
        <v>38</v>
      </c>
      <c r="C519" s="63" t="s">
        <v>514</v>
      </c>
      <c r="D519" s="37" t="s">
        <v>515</v>
      </c>
      <c r="E519" s="34" t="s">
        <v>22</v>
      </c>
      <c r="F519" s="5" t="s">
        <v>22</v>
      </c>
      <c r="G519" s="21">
        <v>1</v>
      </c>
      <c r="H519" s="22">
        <v>25</v>
      </c>
      <c r="I519" s="22">
        <f t="shared" ref="I519:I526" si="41">H519/G519</f>
        <v>25</v>
      </c>
      <c r="J519" s="5">
        <f>VLOOKUP(C519,'Master File June-26'!C:J,8,0)</f>
        <v>14</v>
      </c>
      <c r="K519" s="23">
        <f t="shared" si="37"/>
        <v>14.000000000000002</v>
      </c>
      <c r="L519" s="58">
        <f>VLOOKUP(C519,'Master File June-26'!C:L,10,0)</f>
        <v>0</v>
      </c>
      <c r="M519" s="24">
        <f t="shared" si="38"/>
        <v>0</v>
      </c>
      <c r="N519" s="25" t="str">
        <f t="shared" si="39"/>
        <v>ORDER NOW</v>
      </c>
      <c r="O519" s="25" t="str">
        <f t="shared" si="40"/>
        <v>CRITICAL</v>
      </c>
      <c r="Q519" s="87">
        <f>VLOOKUP(C519,'Master File June-26'!$C$3:$S$670,17,0)</f>
        <v>46113.430925925924</v>
      </c>
    </row>
    <row r="520" spans="1:17" ht="18.75" hidden="1" x14ac:dyDescent="0.25">
      <c r="A520" s="49">
        <v>590</v>
      </c>
      <c r="B520" s="49" t="s">
        <v>298</v>
      </c>
      <c r="C520" s="86" t="s">
        <v>1507</v>
      </c>
      <c r="D520" s="36" t="s">
        <v>1508</v>
      </c>
      <c r="E520" s="38" t="s">
        <v>49</v>
      </c>
      <c r="F520" s="5" t="s">
        <v>49</v>
      </c>
      <c r="G520" s="21">
        <v>1</v>
      </c>
      <c r="H520" s="22">
        <v>5.5</v>
      </c>
      <c r="I520" s="22">
        <f t="shared" si="41"/>
        <v>5.5</v>
      </c>
      <c r="J520" s="5">
        <f>VLOOKUP(C520,'Master File June-26'!C:J,8,0)</f>
        <v>14</v>
      </c>
      <c r="K520" s="23">
        <f t="shared" si="37"/>
        <v>3.08</v>
      </c>
      <c r="L520" s="58">
        <f>VLOOKUP(C520,'Master File June-26'!C:L,10,0)</f>
        <v>0</v>
      </c>
      <c r="M520" s="24">
        <f t="shared" si="38"/>
        <v>0</v>
      </c>
      <c r="N520" s="25" t="str">
        <f t="shared" si="39"/>
        <v>ORDER NOW</v>
      </c>
      <c r="O520" s="25" t="str">
        <f t="shared" si="40"/>
        <v>CRITICAL</v>
      </c>
      <c r="Q520" s="87" t="e">
        <f>VLOOKUP(C520,[2]Sheet1!$C$3:$P$524,14,0)</f>
        <v>#N/A</v>
      </c>
    </row>
    <row r="521" spans="1:17" ht="18.75" hidden="1" x14ac:dyDescent="0.25">
      <c r="A521" s="39">
        <v>330</v>
      </c>
      <c r="B521" s="39" t="s">
        <v>239</v>
      </c>
      <c r="C521" s="64" t="s">
        <v>1545</v>
      </c>
      <c r="D521" s="27" t="s">
        <v>1546</v>
      </c>
      <c r="E521" s="34" t="s">
        <v>64</v>
      </c>
      <c r="F521" s="5" t="s">
        <v>49</v>
      </c>
      <c r="G521" s="21">
        <v>1</v>
      </c>
      <c r="H521" s="22">
        <v>1</v>
      </c>
      <c r="I521" s="22">
        <f t="shared" si="41"/>
        <v>1</v>
      </c>
      <c r="J521" s="5">
        <f>VLOOKUP(C521,'Master File June-26'!C:J,8,0)</f>
        <v>14</v>
      </c>
      <c r="K521" s="23">
        <f t="shared" si="37"/>
        <v>0.56000000000000005</v>
      </c>
      <c r="L521" s="58">
        <f>VLOOKUP(C521,'Master File June-26'!C:L,10,0)</f>
        <v>0</v>
      </c>
      <c r="M521" s="24">
        <f t="shared" si="38"/>
        <v>0</v>
      </c>
      <c r="N521" s="25" t="str">
        <f t="shared" si="39"/>
        <v>ORDER NOW</v>
      </c>
      <c r="O521" s="25" t="str">
        <f t="shared" si="40"/>
        <v>CRITICAL</v>
      </c>
      <c r="Q521" s="87" t="e">
        <f>VLOOKUP(C521,[2]Sheet1!$C$3:$P$524,14,0)</f>
        <v>#N/A</v>
      </c>
    </row>
    <row r="522" spans="1:17" ht="18.75" hidden="1" x14ac:dyDescent="0.25">
      <c r="A522" s="19">
        <v>178</v>
      </c>
      <c r="B522" s="19" t="s">
        <v>18</v>
      </c>
      <c r="C522" s="56" t="s">
        <v>31</v>
      </c>
      <c r="D522" s="29" t="s">
        <v>32</v>
      </c>
      <c r="E522" s="34" t="s">
        <v>22</v>
      </c>
      <c r="F522" s="5" t="s">
        <v>22</v>
      </c>
      <c r="G522" s="21">
        <v>1</v>
      </c>
      <c r="H522" s="22">
        <v>8</v>
      </c>
      <c r="I522" s="22">
        <f t="shared" si="41"/>
        <v>8</v>
      </c>
      <c r="J522" s="5">
        <f>VLOOKUP(C522,'Master File June-26'!C:J,8,0)</f>
        <v>14</v>
      </c>
      <c r="K522" s="23">
        <f t="shared" si="37"/>
        <v>4.4800000000000004</v>
      </c>
      <c r="L522" s="58">
        <f>VLOOKUP(C522,'Master File June-26'!C:L,10,0)</f>
        <v>0</v>
      </c>
      <c r="M522" s="24">
        <f t="shared" si="38"/>
        <v>0</v>
      </c>
      <c r="N522" s="25" t="str">
        <f t="shared" si="39"/>
        <v>ORDER NOW</v>
      </c>
      <c r="O522" s="25" t="str">
        <f t="shared" si="40"/>
        <v>CRITICAL</v>
      </c>
      <c r="Q522" s="87" t="e">
        <f>VLOOKUP(C522,[2]Sheet1!$C$3:$P$524,14,0)</f>
        <v>#N/A</v>
      </c>
    </row>
    <row r="523" spans="1:17" ht="18.75" hidden="1" x14ac:dyDescent="0.25">
      <c r="A523" s="19">
        <v>174</v>
      </c>
      <c r="B523" s="19" t="s">
        <v>18</v>
      </c>
      <c r="C523" s="56" t="s">
        <v>1396</v>
      </c>
      <c r="D523" s="37" t="s">
        <v>1397</v>
      </c>
      <c r="E523" s="34" t="s">
        <v>22</v>
      </c>
      <c r="F523" s="5" t="s">
        <v>22</v>
      </c>
      <c r="G523" s="21">
        <v>1</v>
      </c>
      <c r="H523" s="22">
        <v>15</v>
      </c>
      <c r="I523" s="22">
        <f t="shared" si="41"/>
        <v>15</v>
      </c>
      <c r="J523" s="5">
        <f>VLOOKUP(C523,'Master File June-26'!C:J,8,0)</f>
        <v>14</v>
      </c>
      <c r="K523" s="23">
        <f t="shared" si="37"/>
        <v>8.4</v>
      </c>
      <c r="L523" s="58">
        <f>VLOOKUP(C523,'Master File June-26'!C:L,10,0)</f>
        <v>1500</v>
      </c>
      <c r="M523" s="24">
        <f t="shared" si="38"/>
        <v>3000</v>
      </c>
      <c r="N523" s="25" t="str">
        <f t="shared" si="39"/>
        <v>IN STOCK</v>
      </c>
      <c r="O523" s="25" t="str">
        <f t="shared" si="40"/>
        <v>FOLLOW UP DELIVERY</v>
      </c>
      <c r="Q523" s="87" t="e">
        <f>VLOOKUP(C523,[2]Sheet1!$C$3:$P$524,14,0)</f>
        <v>#N/A</v>
      </c>
    </row>
    <row r="524" spans="1:17" ht="18.75" hidden="1" x14ac:dyDescent="0.25">
      <c r="A524" s="19">
        <v>78</v>
      </c>
      <c r="B524" s="19" t="s">
        <v>157</v>
      </c>
      <c r="C524" s="56" t="s">
        <v>1081</v>
      </c>
      <c r="D524" s="27" t="s">
        <v>1082</v>
      </c>
      <c r="E524" s="28" t="s">
        <v>1083</v>
      </c>
      <c r="F524" s="5" t="s">
        <v>22</v>
      </c>
      <c r="G524" s="21">
        <v>2.7777777777777776E-2</v>
      </c>
      <c r="H524" s="22">
        <v>48.5</v>
      </c>
      <c r="I524" s="22">
        <f t="shared" si="41"/>
        <v>1746</v>
      </c>
      <c r="J524" s="5">
        <f>VLOOKUP(C524,'Master File June-26'!C:J,8,0)</f>
        <v>14</v>
      </c>
      <c r="K524" s="23">
        <f t="shared" si="37"/>
        <v>977.7600000000001</v>
      </c>
      <c r="L524" s="58">
        <f>VLOOKUP(C524,'Master File June-26'!C:L,10,0)</f>
        <v>181</v>
      </c>
      <c r="M524" s="24">
        <f t="shared" si="38"/>
        <v>3.1099656357388317</v>
      </c>
      <c r="N524" s="25" t="str">
        <f t="shared" si="39"/>
        <v>ORDER NOW</v>
      </c>
      <c r="O524" s="25" t="str">
        <f t="shared" si="40"/>
        <v>CRITICAL</v>
      </c>
      <c r="P524" t="s">
        <v>30</v>
      </c>
      <c r="Q524" s="87" t="e">
        <f>VLOOKUP(C524,[2]Sheet1!$C$3:$P$524,14,0)</f>
        <v>#N/A</v>
      </c>
    </row>
    <row r="525" spans="1:17" ht="18.75" hidden="1" x14ac:dyDescent="0.25">
      <c r="A525" s="39">
        <v>326</v>
      </c>
      <c r="B525" s="39" t="s">
        <v>157</v>
      </c>
      <c r="C525" s="64" t="s">
        <v>1578</v>
      </c>
      <c r="D525" s="37" t="s">
        <v>1579</v>
      </c>
      <c r="E525" s="34" t="s">
        <v>22</v>
      </c>
      <c r="F525" s="5" t="s">
        <v>22</v>
      </c>
      <c r="G525" s="21">
        <v>1</v>
      </c>
      <c r="H525" s="22">
        <v>1</v>
      </c>
      <c r="I525" s="22">
        <f t="shared" si="41"/>
        <v>1</v>
      </c>
      <c r="J525" s="5">
        <f>VLOOKUP(C525,'Master File June-26'!C:J,8,0)</f>
        <v>14</v>
      </c>
      <c r="K525" s="23">
        <f t="shared" si="37"/>
        <v>0.56000000000000005</v>
      </c>
      <c r="L525" s="58">
        <f>VLOOKUP(C525,'Master File June-26'!C:L,10,0)</f>
        <v>0</v>
      </c>
      <c r="M525" s="24">
        <f t="shared" si="38"/>
        <v>0</v>
      </c>
      <c r="N525" s="25" t="str">
        <f t="shared" si="39"/>
        <v>ORDER NOW</v>
      </c>
      <c r="O525" s="25" t="str">
        <f t="shared" si="40"/>
        <v>CRITICAL</v>
      </c>
      <c r="Q525" s="87" t="e">
        <f>VLOOKUP(C525,[2]Sheet1!$C$3:$P$524,14,0)</f>
        <v>#N/A</v>
      </c>
    </row>
    <row r="526" spans="1:17" ht="18.75" hidden="1" x14ac:dyDescent="0.25">
      <c r="A526" s="39">
        <v>325</v>
      </c>
      <c r="B526" s="39" t="s">
        <v>157</v>
      </c>
      <c r="C526" s="64" t="s">
        <v>1574</v>
      </c>
      <c r="D526" s="37" t="s">
        <v>1575</v>
      </c>
      <c r="E526" s="34" t="s">
        <v>22</v>
      </c>
      <c r="F526" s="5" t="s">
        <v>22</v>
      </c>
      <c r="G526" s="21">
        <v>1</v>
      </c>
      <c r="H526" s="22">
        <v>1</v>
      </c>
      <c r="I526" s="22">
        <f t="shared" si="41"/>
        <v>1</v>
      </c>
      <c r="J526" s="5">
        <f>VLOOKUP(C526,'Master File June-26'!C:J,8,0)</f>
        <v>14</v>
      </c>
      <c r="K526" s="23">
        <f t="shared" si="37"/>
        <v>0.56000000000000005</v>
      </c>
      <c r="L526" s="58">
        <f>VLOOKUP(C526,'Master File June-26'!C:L,10,0)</f>
        <v>0</v>
      </c>
      <c r="M526" s="24">
        <f t="shared" si="38"/>
        <v>0</v>
      </c>
      <c r="N526" s="25" t="str">
        <f t="shared" si="39"/>
        <v>ORDER NOW</v>
      </c>
      <c r="O526" s="25" t="str">
        <f t="shared" si="40"/>
        <v>CRITICAL</v>
      </c>
      <c r="Q526" s="87" t="e">
        <f>VLOOKUP(C526,[2]Sheet1!$C$3:$P$524,14,0)</f>
        <v>#N/A</v>
      </c>
    </row>
    <row r="527" spans="1:17" hidden="1" x14ac:dyDescent="0.25">
      <c r="F527" s="53"/>
      <c r="G527" s="54"/>
      <c r="Q527" t="s">
        <v>1631</v>
      </c>
    </row>
    <row r="528" spans="1:17" hidden="1" x14ac:dyDescent="0.25">
      <c r="F528" s="53"/>
      <c r="G528" s="54"/>
      <c r="Q528" t="s">
        <v>1631</v>
      </c>
    </row>
    <row r="529" spans="17:17" hidden="1" x14ac:dyDescent="0.25">
      <c r="Q529" t="s">
        <v>1631</v>
      </c>
    </row>
    <row r="530" spans="17:17" hidden="1" x14ac:dyDescent="0.25">
      <c r="Q530" t="s">
        <v>1631</v>
      </c>
    </row>
    <row r="531" spans="17:17" hidden="1" x14ac:dyDescent="0.25">
      <c r="Q531" t="s">
        <v>1631</v>
      </c>
    </row>
    <row r="532" spans="17:17" hidden="1" x14ac:dyDescent="0.25">
      <c r="Q532" t="s">
        <v>1631</v>
      </c>
    </row>
    <row r="533" spans="17:17" hidden="1" x14ac:dyDescent="0.25">
      <c r="Q533" t="s">
        <v>1631</v>
      </c>
    </row>
    <row r="534" spans="17:17" hidden="1" x14ac:dyDescent="0.25">
      <c r="Q534" t="s">
        <v>1631</v>
      </c>
    </row>
    <row r="535" spans="17:17" hidden="1" x14ac:dyDescent="0.25">
      <c r="Q535" t="s">
        <v>1631</v>
      </c>
    </row>
    <row r="536" spans="17:17" hidden="1" x14ac:dyDescent="0.25">
      <c r="Q536">
        <v>46113.430960648147</v>
      </c>
    </row>
    <row r="537" spans="17:17" hidden="1" x14ac:dyDescent="0.25">
      <c r="Q537" t="s">
        <v>1631</v>
      </c>
    </row>
    <row r="538" spans="17:17" hidden="1" x14ac:dyDescent="0.25">
      <c r="Q538" t="s">
        <v>1631</v>
      </c>
    </row>
    <row r="539" spans="17:17" hidden="1" x14ac:dyDescent="0.25">
      <c r="Q539" t="s">
        <v>1631</v>
      </c>
    </row>
    <row r="540" spans="17:17" hidden="1" x14ac:dyDescent="0.25">
      <c r="Q540" t="s">
        <v>1631</v>
      </c>
    </row>
    <row r="541" spans="17:17" hidden="1" x14ac:dyDescent="0.25">
      <c r="Q541" t="s">
        <v>1631</v>
      </c>
    </row>
    <row r="542" spans="17:17" hidden="1" x14ac:dyDescent="0.25">
      <c r="Q542" t="s">
        <v>1631</v>
      </c>
    </row>
    <row r="543" spans="17:17" hidden="1" x14ac:dyDescent="0.25">
      <c r="Q543" t="s">
        <v>1631</v>
      </c>
    </row>
    <row r="544" spans="17:17" hidden="1" x14ac:dyDescent="0.25">
      <c r="Q544" t="s">
        <v>1631</v>
      </c>
    </row>
    <row r="545" spans="17:17" hidden="1" x14ac:dyDescent="0.25">
      <c r="Q545" t="s">
        <v>1631</v>
      </c>
    </row>
    <row r="546" spans="17:17" hidden="1" x14ac:dyDescent="0.25">
      <c r="Q546" t="s">
        <v>1631</v>
      </c>
    </row>
    <row r="547" spans="17:17" hidden="1" x14ac:dyDescent="0.25">
      <c r="Q547" t="s">
        <v>1631</v>
      </c>
    </row>
    <row r="548" spans="17:17" hidden="1" x14ac:dyDescent="0.25">
      <c r="Q548" t="s">
        <v>1631</v>
      </c>
    </row>
    <row r="549" spans="17:17" hidden="1" x14ac:dyDescent="0.25">
      <c r="Q549" t="s">
        <v>1631</v>
      </c>
    </row>
    <row r="550" spans="17:17" hidden="1" x14ac:dyDescent="0.25">
      <c r="Q550" t="s">
        <v>1631</v>
      </c>
    </row>
    <row r="551" spans="17:17" hidden="1" x14ac:dyDescent="0.25">
      <c r="Q551" t="s">
        <v>1631</v>
      </c>
    </row>
    <row r="552" spans="17:17" hidden="1" x14ac:dyDescent="0.25">
      <c r="Q552" t="s">
        <v>1631</v>
      </c>
    </row>
    <row r="553" spans="17:17" hidden="1" x14ac:dyDescent="0.25">
      <c r="Q553" t="s">
        <v>1631</v>
      </c>
    </row>
    <row r="554" spans="17:17" hidden="1" x14ac:dyDescent="0.25">
      <c r="Q554" t="s">
        <v>1631</v>
      </c>
    </row>
    <row r="555" spans="17:17" hidden="1" x14ac:dyDescent="0.25">
      <c r="Q555" t="s">
        <v>1631</v>
      </c>
    </row>
    <row r="556" spans="17:17" hidden="1" x14ac:dyDescent="0.25">
      <c r="Q556" t="s">
        <v>1631</v>
      </c>
    </row>
    <row r="557" spans="17:17" hidden="1" x14ac:dyDescent="0.25">
      <c r="Q557" t="s">
        <v>1631</v>
      </c>
    </row>
    <row r="558" spans="17:17" hidden="1" x14ac:dyDescent="0.25">
      <c r="Q558" t="s">
        <v>1631</v>
      </c>
    </row>
    <row r="559" spans="17:17" hidden="1" x14ac:dyDescent="0.25">
      <c r="Q559" t="s">
        <v>1631</v>
      </c>
    </row>
    <row r="560" spans="17:17" hidden="1" x14ac:dyDescent="0.25">
      <c r="Q560" t="s">
        <v>1631</v>
      </c>
    </row>
    <row r="561" spans="17:17" hidden="1" x14ac:dyDescent="0.25">
      <c r="Q561" t="s">
        <v>1631</v>
      </c>
    </row>
    <row r="562" spans="17:17" hidden="1" x14ac:dyDescent="0.25">
      <c r="Q562" t="s">
        <v>1631</v>
      </c>
    </row>
    <row r="563" spans="17:17" hidden="1" x14ac:dyDescent="0.25">
      <c r="Q563" t="s">
        <v>1631</v>
      </c>
    </row>
    <row r="564" spans="17:17" hidden="1" x14ac:dyDescent="0.25">
      <c r="Q564" t="s">
        <v>1631</v>
      </c>
    </row>
    <row r="565" spans="17:17" hidden="1" x14ac:dyDescent="0.25">
      <c r="Q565" t="s">
        <v>1631</v>
      </c>
    </row>
    <row r="566" spans="17:17" hidden="1" x14ac:dyDescent="0.25">
      <c r="Q566" t="s">
        <v>1631</v>
      </c>
    </row>
    <row r="567" spans="17:17" hidden="1" x14ac:dyDescent="0.25">
      <c r="Q567" t="s">
        <v>1631</v>
      </c>
    </row>
    <row r="568" spans="17:17" hidden="1" x14ac:dyDescent="0.25">
      <c r="Q568" t="s">
        <v>1631</v>
      </c>
    </row>
    <row r="569" spans="17:17" hidden="1" x14ac:dyDescent="0.25">
      <c r="Q569" t="s">
        <v>1631</v>
      </c>
    </row>
    <row r="570" spans="17:17" hidden="1" x14ac:dyDescent="0.25">
      <c r="Q570">
        <v>46113.430949074071</v>
      </c>
    </row>
    <row r="571" spans="17:17" hidden="1" x14ac:dyDescent="0.25">
      <c r="Q571" t="s">
        <v>1631</v>
      </c>
    </row>
    <row r="572" spans="17:17" hidden="1" x14ac:dyDescent="0.25">
      <c r="Q572" t="s">
        <v>1631</v>
      </c>
    </row>
    <row r="573" spans="17:17" hidden="1" x14ac:dyDescent="0.25">
      <c r="Q573" t="s">
        <v>1631</v>
      </c>
    </row>
    <row r="574" spans="17:17" hidden="1" x14ac:dyDescent="0.25">
      <c r="Q574" t="s">
        <v>1631</v>
      </c>
    </row>
    <row r="575" spans="17:17" hidden="1" x14ac:dyDescent="0.25">
      <c r="Q575">
        <v>46113.430960648147</v>
      </c>
    </row>
    <row r="576" spans="17:17" hidden="1" x14ac:dyDescent="0.25">
      <c r="Q576" t="s">
        <v>1631</v>
      </c>
    </row>
    <row r="577" spans="17:17" hidden="1" x14ac:dyDescent="0.25">
      <c r="Q577" t="s">
        <v>1631</v>
      </c>
    </row>
    <row r="578" spans="17:17" hidden="1" x14ac:dyDescent="0.25">
      <c r="Q578" t="s">
        <v>1631</v>
      </c>
    </row>
    <row r="579" spans="17:17" hidden="1" x14ac:dyDescent="0.25">
      <c r="Q579" t="s">
        <v>1631</v>
      </c>
    </row>
    <row r="580" spans="17:17" hidden="1" x14ac:dyDescent="0.25">
      <c r="Q580">
        <v>46113.430949074071</v>
      </c>
    </row>
    <row r="581" spans="17:17" hidden="1" x14ac:dyDescent="0.25">
      <c r="Q581" t="s">
        <v>1631</v>
      </c>
    </row>
    <row r="582" spans="17:17" hidden="1" x14ac:dyDescent="0.25">
      <c r="Q582">
        <v>46113.430925925924</v>
      </c>
    </row>
    <row r="583" spans="17:17" hidden="1" x14ac:dyDescent="0.25">
      <c r="Q583" t="s">
        <v>1631</v>
      </c>
    </row>
    <row r="584" spans="17:17" hidden="1" x14ac:dyDescent="0.25">
      <c r="Q584" t="s">
        <v>1631</v>
      </c>
    </row>
    <row r="585" spans="17:17" hidden="1" x14ac:dyDescent="0.25">
      <c r="Q585" t="s">
        <v>1631</v>
      </c>
    </row>
    <row r="586" spans="17:17" hidden="1" x14ac:dyDescent="0.25">
      <c r="Q586" t="s">
        <v>1631</v>
      </c>
    </row>
    <row r="587" spans="17:17" hidden="1" x14ac:dyDescent="0.25">
      <c r="Q587" t="s">
        <v>1631</v>
      </c>
    </row>
    <row r="588" spans="17:17" hidden="1" x14ac:dyDescent="0.25">
      <c r="Q588" t="s">
        <v>1631</v>
      </c>
    </row>
    <row r="589" spans="17:17" hidden="1" x14ac:dyDescent="0.25">
      <c r="Q589" t="s">
        <v>1631</v>
      </c>
    </row>
    <row r="590" spans="17:17" hidden="1" x14ac:dyDescent="0.25">
      <c r="Q590" t="s">
        <v>1631</v>
      </c>
    </row>
    <row r="591" spans="17:17" hidden="1" x14ac:dyDescent="0.25">
      <c r="Q591" t="s">
        <v>1631</v>
      </c>
    </row>
    <row r="592" spans="17:17" hidden="1" x14ac:dyDescent="0.25">
      <c r="Q592" t="s">
        <v>1631</v>
      </c>
    </row>
    <row r="593" spans="17:17" hidden="1" x14ac:dyDescent="0.25">
      <c r="Q593" t="s">
        <v>1631</v>
      </c>
    </row>
    <row r="594" spans="17:17" hidden="1" x14ac:dyDescent="0.25">
      <c r="Q594" t="s">
        <v>1631</v>
      </c>
    </row>
    <row r="595" spans="17:17" hidden="1" x14ac:dyDescent="0.25">
      <c r="Q595">
        <v>46113.430960648147</v>
      </c>
    </row>
    <row r="596" spans="17:17" hidden="1" x14ac:dyDescent="0.25">
      <c r="Q596" t="s">
        <v>1631</v>
      </c>
    </row>
    <row r="597" spans="17:17" hidden="1" x14ac:dyDescent="0.25">
      <c r="Q597" t="s">
        <v>1631</v>
      </c>
    </row>
    <row r="598" spans="17:17" hidden="1" x14ac:dyDescent="0.25">
      <c r="Q598" t="s">
        <v>1631</v>
      </c>
    </row>
    <row r="599" spans="17:17" hidden="1" x14ac:dyDescent="0.25">
      <c r="Q599" t="s">
        <v>1631</v>
      </c>
    </row>
    <row r="600" spans="17:17" hidden="1" x14ac:dyDescent="0.25">
      <c r="Q600" t="s">
        <v>1631</v>
      </c>
    </row>
    <row r="601" spans="17:17" hidden="1" x14ac:dyDescent="0.25">
      <c r="Q601" t="s">
        <v>1631</v>
      </c>
    </row>
    <row r="602" spans="17:17" hidden="1" x14ac:dyDescent="0.25">
      <c r="Q602" t="s">
        <v>1631</v>
      </c>
    </row>
    <row r="603" spans="17:17" hidden="1" x14ac:dyDescent="0.25">
      <c r="Q603">
        <v>46113.430949074071</v>
      </c>
    </row>
    <row r="604" spans="17:17" hidden="1" x14ac:dyDescent="0.25">
      <c r="Q604" t="s">
        <v>1631</v>
      </c>
    </row>
    <row r="605" spans="17:17" hidden="1" x14ac:dyDescent="0.25">
      <c r="Q605" t="s">
        <v>1631</v>
      </c>
    </row>
    <row r="606" spans="17:17" hidden="1" x14ac:dyDescent="0.25">
      <c r="Q606" t="s">
        <v>1631</v>
      </c>
    </row>
    <row r="607" spans="17:17" hidden="1" x14ac:dyDescent="0.25">
      <c r="Q607" t="s">
        <v>1631</v>
      </c>
    </row>
    <row r="608" spans="17:17" hidden="1" x14ac:dyDescent="0.25">
      <c r="Q608" t="s">
        <v>1631</v>
      </c>
    </row>
    <row r="609" spans="17:17" hidden="1" x14ac:dyDescent="0.25">
      <c r="Q609" t="s">
        <v>1631</v>
      </c>
    </row>
    <row r="610" spans="17:17" hidden="1" x14ac:dyDescent="0.25">
      <c r="Q610" t="s">
        <v>1631</v>
      </c>
    </row>
    <row r="611" spans="17:17" hidden="1" x14ac:dyDescent="0.25">
      <c r="Q611" t="s">
        <v>1631</v>
      </c>
    </row>
    <row r="612" spans="17:17" hidden="1" x14ac:dyDescent="0.25">
      <c r="Q612" t="s">
        <v>1631</v>
      </c>
    </row>
    <row r="613" spans="17:17" hidden="1" x14ac:dyDescent="0.25">
      <c r="Q613" t="s">
        <v>1631</v>
      </c>
    </row>
    <row r="614" spans="17:17" hidden="1" x14ac:dyDescent="0.25">
      <c r="Q614" t="s">
        <v>1631</v>
      </c>
    </row>
    <row r="615" spans="17:17" hidden="1" x14ac:dyDescent="0.25">
      <c r="Q615" t="s">
        <v>1631</v>
      </c>
    </row>
    <row r="616" spans="17:17" hidden="1" x14ac:dyDescent="0.25">
      <c r="Q616" t="s">
        <v>1631</v>
      </c>
    </row>
    <row r="617" spans="17:17" hidden="1" x14ac:dyDescent="0.25">
      <c r="Q617" t="s">
        <v>1631</v>
      </c>
    </row>
    <row r="618" spans="17:17" hidden="1" x14ac:dyDescent="0.25">
      <c r="Q618" t="s">
        <v>1631</v>
      </c>
    </row>
    <row r="619" spans="17:17" hidden="1" x14ac:dyDescent="0.25">
      <c r="Q619" t="s">
        <v>1631</v>
      </c>
    </row>
    <row r="620" spans="17:17" hidden="1" x14ac:dyDescent="0.25">
      <c r="Q620" t="s">
        <v>1631</v>
      </c>
    </row>
    <row r="621" spans="17:17" hidden="1" x14ac:dyDescent="0.25">
      <c r="Q621" t="s">
        <v>1631</v>
      </c>
    </row>
    <row r="622" spans="17:17" hidden="1" x14ac:dyDescent="0.25">
      <c r="Q622" t="s">
        <v>1631</v>
      </c>
    </row>
    <row r="623" spans="17:17" hidden="1" x14ac:dyDescent="0.25">
      <c r="Q623" t="s">
        <v>1631</v>
      </c>
    </row>
    <row r="624" spans="17:17" hidden="1" x14ac:dyDescent="0.25">
      <c r="Q624" t="s">
        <v>1631</v>
      </c>
    </row>
    <row r="625" spans="17:17" hidden="1" x14ac:dyDescent="0.25">
      <c r="Q625" t="s">
        <v>1631</v>
      </c>
    </row>
    <row r="626" spans="17:17" hidden="1" x14ac:dyDescent="0.25">
      <c r="Q626" t="s">
        <v>1631</v>
      </c>
    </row>
    <row r="627" spans="17:17" hidden="1" x14ac:dyDescent="0.25">
      <c r="Q627" t="s">
        <v>1631</v>
      </c>
    </row>
    <row r="628" spans="17:17" hidden="1" x14ac:dyDescent="0.25">
      <c r="Q628" t="s">
        <v>1631</v>
      </c>
    </row>
    <row r="629" spans="17:17" hidden="1" x14ac:dyDescent="0.25">
      <c r="Q629" t="s">
        <v>1631</v>
      </c>
    </row>
    <row r="630" spans="17:17" hidden="1" x14ac:dyDescent="0.25">
      <c r="Q630" t="s">
        <v>1631</v>
      </c>
    </row>
    <row r="631" spans="17:17" hidden="1" x14ac:dyDescent="0.25">
      <c r="Q631" t="s">
        <v>1631</v>
      </c>
    </row>
    <row r="632" spans="17:17" hidden="1" x14ac:dyDescent="0.25">
      <c r="Q632" t="s">
        <v>1631</v>
      </c>
    </row>
    <row r="633" spans="17:17" hidden="1" x14ac:dyDescent="0.25">
      <c r="Q633" t="s">
        <v>1631</v>
      </c>
    </row>
    <row r="634" spans="17:17" hidden="1" x14ac:dyDescent="0.25">
      <c r="Q634" t="s">
        <v>1631</v>
      </c>
    </row>
    <row r="635" spans="17:17" hidden="1" x14ac:dyDescent="0.25">
      <c r="Q635" t="s">
        <v>1631</v>
      </c>
    </row>
    <row r="636" spans="17:17" hidden="1" x14ac:dyDescent="0.25">
      <c r="Q636" t="s">
        <v>1631</v>
      </c>
    </row>
    <row r="637" spans="17:17" hidden="1" x14ac:dyDescent="0.25">
      <c r="Q637" t="s">
        <v>1631</v>
      </c>
    </row>
    <row r="638" spans="17:17" hidden="1" x14ac:dyDescent="0.25">
      <c r="Q638" t="s">
        <v>1631</v>
      </c>
    </row>
    <row r="639" spans="17:17" hidden="1" x14ac:dyDescent="0.25">
      <c r="Q639" t="s">
        <v>1631</v>
      </c>
    </row>
    <row r="640" spans="17:17" hidden="1" x14ac:dyDescent="0.25">
      <c r="Q640" t="s">
        <v>1631</v>
      </c>
    </row>
    <row r="641" spans="17:17" hidden="1" x14ac:dyDescent="0.25">
      <c r="Q641" t="s">
        <v>1631</v>
      </c>
    </row>
    <row r="642" spans="17:17" hidden="1" x14ac:dyDescent="0.25">
      <c r="Q642" t="s">
        <v>1631</v>
      </c>
    </row>
    <row r="643" spans="17:17" hidden="1" x14ac:dyDescent="0.25">
      <c r="Q643" t="s">
        <v>1631</v>
      </c>
    </row>
    <row r="644" spans="17:17" hidden="1" x14ac:dyDescent="0.25">
      <c r="Q644" t="s">
        <v>1631</v>
      </c>
    </row>
    <row r="645" spans="17:17" hidden="1" x14ac:dyDescent="0.25">
      <c r="Q645" t="s">
        <v>1631</v>
      </c>
    </row>
    <row r="646" spans="17:17" hidden="1" x14ac:dyDescent="0.25">
      <c r="Q646" t="s">
        <v>1631</v>
      </c>
    </row>
    <row r="647" spans="17:17" hidden="1" x14ac:dyDescent="0.25">
      <c r="Q647" t="s">
        <v>1631</v>
      </c>
    </row>
    <row r="648" spans="17:17" hidden="1" x14ac:dyDescent="0.25">
      <c r="Q648" t="s">
        <v>1631</v>
      </c>
    </row>
    <row r="649" spans="17:17" hidden="1" x14ac:dyDescent="0.25">
      <c r="Q649" t="s">
        <v>1631</v>
      </c>
    </row>
    <row r="650" spans="17:17" hidden="1" x14ac:dyDescent="0.25">
      <c r="Q650" t="s">
        <v>1631</v>
      </c>
    </row>
    <row r="651" spans="17:17" hidden="1" x14ac:dyDescent="0.25">
      <c r="Q651" t="s">
        <v>1631</v>
      </c>
    </row>
    <row r="652" spans="17:17" hidden="1" x14ac:dyDescent="0.25">
      <c r="Q652" t="s">
        <v>1631</v>
      </c>
    </row>
    <row r="653" spans="17:17" hidden="1" x14ac:dyDescent="0.25">
      <c r="Q653" t="s">
        <v>1631</v>
      </c>
    </row>
    <row r="654" spans="17:17" hidden="1" x14ac:dyDescent="0.25">
      <c r="Q654" t="s">
        <v>1631</v>
      </c>
    </row>
    <row r="655" spans="17:17" hidden="1" x14ac:dyDescent="0.25">
      <c r="Q655" t="s">
        <v>1631</v>
      </c>
    </row>
    <row r="656" spans="17:17" hidden="1" x14ac:dyDescent="0.25">
      <c r="Q656" t="s">
        <v>1631</v>
      </c>
    </row>
    <row r="657" spans="17:17" hidden="1" x14ac:dyDescent="0.25">
      <c r="Q657" t="s">
        <v>1631</v>
      </c>
    </row>
    <row r="658" spans="17:17" hidden="1" x14ac:dyDescent="0.25">
      <c r="Q658" t="s">
        <v>1631</v>
      </c>
    </row>
    <row r="659" spans="17:17" hidden="1" x14ac:dyDescent="0.25">
      <c r="Q659" t="s">
        <v>1631</v>
      </c>
    </row>
    <row r="660" spans="17:17" hidden="1" x14ac:dyDescent="0.25">
      <c r="Q660" t="s">
        <v>1631</v>
      </c>
    </row>
    <row r="661" spans="17:17" hidden="1" x14ac:dyDescent="0.25">
      <c r="Q661" t="s">
        <v>1631</v>
      </c>
    </row>
    <row r="662" spans="17:17" hidden="1" x14ac:dyDescent="0.25">
      <c r="Q662" t="s">
        <v>1631</v>
      </c>
    </row>
    <row r="663" spans="17:17" hidden="1" x14ac:dyDescent="0.25">
      <c r="Q663" t="s">
        <v>1631</v>
      </c>
    </row>
    <row r="664" spans="17:17" hidden="1" x14ac:dyDescent="0.25">
      <c r="Q664" t="s">
        <v>1631</v>
      </c>
    </row>
    <row r="665" spans="17:17" hidden="1" x14ac:dyDescent="0.25">
      <c r="Q665" t="s">
        <v>1631</v>
      </c>
    </row>
    <row r="666" spans="17:17" hidden="1" x14ac:dyDescent="0.25">
      <c r="Q666">
        <v>46113.430960648147</v>
      </c>
    </row>
    <row r="667" spans="17:17" hidden="1" x14ac:dyDescent="0.25">
      <c r="Q667" t="s">
        <v>1631</v>
      </c>
    </row>
    <row r="668" spans="17:17" hidden="1" x14ac:dyDescent="0.25">
      <c r="Q668" t="s">
        <v>1631</v>
      </c>
    </row>
    <row r="669" spans="17:17" hidden="1" x14ac:dyDescent="0.25">
      <c r="Q669" t="s">
        <v>1631</v>
      </c>
    </row>
    <row r="670" spans="17:17" hidden="1" x14ac:dyDescent="0.25">
      <c r="Q670" t="s">
        <v>1631</v>
      </c>
    </row>
    <row r="671" spans="17:17" hidden="1" x14ac:dyDescent="0.25">
      <c r="Q671" t="s">
        <v>1631</v>
      </c>
    </row>
    <row r="672" spans="17:17" hidden="1" x14ac:dyDescent="0.25">
      <c r="Q672" t="s">
        <v>1631</v>
      </c>
    </row>
    <row r="673" spans="17:17" hidden="1" x14ac:dyDescent="0.25">
      <c r="Q673" t="s">
        <v>1631</v>
      </c>
    </row>
    <row r="674" spans="17:17" hidden="1" x14ac:dyDescent="0.25">
      <c r="Q674" t="s">
        <v>1631</v>
      </c>
    </row>
    <row r="675" spans="17:17" hidden="1" x14ac:dyDescent="0.25">
      <c r="Q675" t="s">
        <v>1631</v>
      </c>
    </row>
    <row r="676" spans="17:17" hidden="1" x14ac:dyDescent="0.25">
      <c r="Q676" t="s">
        <v>1631</v>
      </c>
    </row>
    <row r="677" spans="17:17" hidden="1" x14ac:dyDescent="0.25">
      <c r="Q677" t="s">
        <v>1631</v>
      </c>
    </row>
    <row r="678" spans="17:17" hidden="1" x14ac:dyDescent="0.25">
      <c r="Q678" t="s">
        <v>1631</v>
      </c>
    </row>
    <row r="679" spans="17:17" hidden="1" x14ac:dyDescent="0.25">
      <c r="Q679" t="s">
        <v>1631</v>
      </c>
    </row>
    <row r="680" spans="17:17" hidden="1" x14ac:dyDescent="0.25">
      <c r="Q680" t="s">
        <v>1631</v>
      </c>
    </row>
    <row r="681" spans="17:17" hidden="1" x14ac:dyDescent="0.25">
      <c r="Q681" t="s">
        <v>1631</v>
      </c>
    </row>
    <row r="682" spans="17:17" hidden="1" x14ac:dyDescent="0.25">
      <c r="Q682" t="s">
        <v>1631</v>
      </c>
    </row>
    <row r="683" spans="17:17" hidden="1" x14ac:dyDescent="0.25">
      <c r="Q683" t="s">
        <v>1631</v>
      </c>
    </row>
    <row r="684" spans="17:17" hidden="1" x14ac:dyDescent="0.25">
      <c r="Q684" t="s">
        <v>1631</v>
      </c>
    </row>
    <row r="685" spans="17:17" hidden="1" x14ac:dyDescent="0.25">
      <c r="Q685" t="s">
        <v>1631</v>
      </c>
    </row>
    <row r="686" spans="17:17" hidden="1" x14ac:dyDescent="0.25">
      <c r="Q686" t="s">
        <v>1631</v>
      </c>
    </row>
    <row r="687" spans="17:17" hidden="1" x14ac:dyDescent="0.25">
      <c r="Q687" t="s">
        <v>1631</v>
      </c>
    </row>
    <row r="688" spans="17:17" hidden="1" x14ac:dyDescent="0.25">
      <c r="Q688" t="s">
        <v>1631</v>
      </c>
    </row>
    <row r="689" spans="17:17" hidden="1" x14ac:dyDescent="0.25">
      <c r="Q689" t="s">
        <v>1631</v>
      </c>
    </row>
    <row r="690" spans="17:17" hidden="1" x14ac:dyDescent="0.25">
      <c r="Q690" t="s">
        <v>1631</v>
      </c>
    </row>
    <row r="691" spans="17:17" hidden="1" x14ac:dyDescent="0.25">
      <c r="Q691" t="s">
        <v>1631</v>
      </c>
    </row>
    <row r="692" spans="17:17" hidden="1" x14ac:dyDescent="0.25">
      <c r="Q692" t="s">
        <v>1631</v>
      </c>
    </row>
    <row r="693" spans="17:17" hidden="1" x14ac:dyDescent="0.25">
      <c r="Q693" t="s">
        <v>1631</v>
      </c>
    </row>
    <row r="694" spans="17:17" hidden="1" x14ac:dyDescent="0.25">
      <c r="Q694" t="s">
        <v>1631</v>
      </c>
    </row>
    <row r="695" spans="17:17" hidden="1" x14ac:dyDescent="0.25">
      <c r="Q695" t="s">
        <v>1631</v>
      </c>
    </row>
    <row r="696" spans="17:17" hidden="1" x14ac:dyDescent="0.25">
      <c r="Q696" t="s">
        <v>1631</v>
      </c>
    </row>
    <row r="697" spans="17:17" hidden="1" x14ac:dyDescent="0.25">
      <c r="Q697" t="s">
        <v>1631</v>
      </c>
    </row>
    <row r="698" spans="17:17" hidden="1" x14ac:dyDescent="0.25">
      <c r="Q698" t="s">
        <v>1631</v>
      </c>
    </row>
    <row r="699" spans="17:17" hidden="1" x14ac:dyDescent="0.25">
      <c r="Q699" t="s">
        <v>1631</v>
      </c>
    </row>
    <row r="700" spans="17:17" hidden="1" x14ac:dyDescent="0.25">
      <c r="Q700" t="s">
        <v>1631</v>
      </c>
    </row>
    <row r="701" spans="17:17" hidden="1" x14ac:dyDescent="0.25">
      <c r="Q701" t="s">
        <v>1631</v>
      </c>
    </row>
    <row r="702" spans="17:17" hidden="1" x14ac:dyDescent="0.25">
      <c r="Q702" t="s">
        <v>1631</v>
      </c>
    </row>
    <row r="703" spans="17:17" hidden="1" x14ac:dyDescent="0.25">
      <c r="Q703" t="s">
        <v>1631</v>
      </c>
    </row>
    <row r="704" spans="17:17" hidden="1" x14ac:dyDescent="0.25">
      <c r="Q704" t="s">
        <v>1631</v>
      </c>
    </row>
    <row r="705" spans="17:17" hidden="1" x14ac:dyDescent="0.25">
      <c r="Q705" t="s">
        <v>1631</v>
      </c>
    </row>
    <row r="706" spans="17:17" hidden="1" x14ac:dyDescent="0.25">
      <c r="Q706" t="s">
        <v>1631</v>
      </c>
    </row>
    <row r="707" spans="17:17" hidden="1" x14ac:dyDescent="0.25">
      <c r="Q707" t="s">
        <v>1631</v>
      </c>
    </row>
    <row r="708" spans="17:17" hidden="1" x14ac:dyDescent="0.25">
      <c r="Q708" t="s">
        <v>1631</v>
      </c>
    </row>
    <row r="709" spans="17:17" hidden="1" x14ac:dyDescent="0.25">
      <c r="Q709" t="s">
        <v>1631</v>
      </c>
    </row>
    <row r="710" spans="17:17" hidden="1" x14ac:dyDescent="0.25">
      <c r="Q710" t="s">
        <v>1631</v>
      </c>
    </row>
    <row r="711" spans="17:17" hidden="1" x14ac:dyDescent="0.25">
      <c r="Q711" t="s">
        <v>1631</v>
      </c>
    </row>
    <row r="712" spans="17:17" hidden="1" x14ac:dyDescent="0.25">
      <c r="Q712" t="s">
        <v>1631</v>
      </c>
    </row>
    <row r="713" spans="17:17" hidden="1" x14ac:dyDescent="0.25">
      <c r="Q713" t="s">
        <v>1631</v>
      </c>
    </row>
    <row r="714" spans="17:17" hidden="1" x14ac:dyDescent="0.25">
      <c r="Q714" t="s">
        <v>1631</v>
      </c>
    </row>
    <row r="715" spans="17:17" hidden="1" x14ac:dyDescent="0.25">
      <c r="Q715" t="s">
        <v>1631</v>
      </c>
    </row>
    <row r="716" spans="17:17" hidden="1" x14ac:dyDescent="0.25">
      <c r="Q716" t="s">
        <v>1631</v>
      </c>
    </row>
    <row r="717" spans="17:17" hidden="1" x14ac:dyDescent="0.25">
      <c r="Q717" t="s">
        <v>1631</v>
      </c>
    </row>
    <row r="718" spans="17:17" hidden="1" x14ac:dyDescent="0.25">
      <c r="Q718" t="s">
        <v>1631</v>
      </c>
    </row>
    <row r="719" spans="17:17" hidden="1" x14ac:dyDescent="0.25">
      <c r="Q719" t="s">
        <v>1631</v>
      </c>
    </row>
    <row r="720" spans="17:17" hidden="1" x14ac:dyDescent="0.25">
      <c r="Q720" t="s">
        <v>1631</v>
      </c>
    </row>
    <row r="721" spans="17:17" hidden="1" x14ac:dyDescent="0.25">
      <c r="Q721" t="s">
        <v>1631</v>
      </c>
    </row>
    <row r="722" spans="17:17" hidden="1" x14ac:dyDescent="0.25">
      <c r="Q722" t="s">
        <v>1631</v>
      </c>
    </row>
    <row r="723" spans="17:17" hidden="1" x14ac:dyDescent="0.25">
      <c r="Q723" t="s">
        <v>1631</v>
      </c>
    </row>
    <row r="724" spans="17:17" hidden="1" x14ac:dyDescent="0.25">
      <c r="Q724" t="s">
        <v>1631</v>
      </c>
    </row>
    <row r="725" spans="17:17" hidden="1" x14ac:dyDescent="0.25">
      <c r="Q725" t="s">
        <v>1631</v>
      </c>
    </row>
    <row r="726" spans="17:17" hidden="1" x14ac:dyDescent="0.25">
      <c r="Q726" t="s">
        <v>1631</v>
      </c>
    </row>
    <row r="727" spans="17:17" hidden="1" x14ac:dyDescent="0.25">
      <c r="Q727" t="s">
        <v>1631</v>
      </c>
    </row>
    <row r="728" spans="17:17" hidden="1" x14ac:dyDescent="0.25">
      <c r="Q728" t="s">
        <v>1631</v>
      </c>
    </row>
    <row r="729" spans="17:17" hidden="1" x14ac:dyDescent="0.25">
      <c r="Q729" t="s">
        <v>1631</v>
      </c>
    </row>
    <row r="730" spans="17:17" hidden="1" x14ac:dyDescent="0.25">
      <c r="Q730" t="s">
        <v>1631</v>
      </c>
    </row>
    <row r="731" spans="17:17" hidden="1" x14ac:dyDescent="0.25">
      <c r="Q731" t="s">
        <v>1631</v>
      </c>
    </row>
    <row r="732" spans="17:17" hidden="1" x14ac:dyDescent="0.25">
      <c r="Q732" t="s">
        <v>1631</v>
      </c>
    </row>
    <row r="733" spans="17:17" hidden="1" x14ac:dyDescent="0.25">
      <c r="Q733" t="s">
        <v>1631</v>
      </c>
    </row>
    <row r="734" spans="17:17" hidden="1" x14ac:dyDescent="0.25">
      <c r="Q734" t="s">
        <v>1631</v>
      </c>
    </row>
    <row r="735" spans="17:17" hidden="1" x14ac:dyDescent="0.25">
      <c r="Q735" t="s">
        <v>1631</v>
      </c>
    </row>
    <row r="736" spans="17:17" hidden="1" x14ac:dyDescent="0.25">
      <c r="Q736" t="s">
        <v>1631</v>
      </c>
    </row>
    <row r="737" spans="17:17" hidden="1" x14ac:dyDescent="0.25">
      <c r="Q737" t="s">
        <v>1631</v>
      </c>
    </row>
    <row r="738" spans="17:17" hidden="1" x14ac:dyDescent="0.25">
      <c r="Q738" t="s">
        <v>1631</v>
      </c>
    </row>
    <row r="739" spans="17:17" hidden="1" x14ac:dyDescent="0.25">
      <c r="Q739" t="s">
        <v>1631</v>
      </c>
    </row>
    <row r="740" spans="17:17" hidden="1" x14ac:dyDescent="0.25">
      <c r="Q740" t="s">
        <v>1631</v>
      </c>
    </row>
    <row r="741" spans="17:17" hidden="1" x14ac:dyDescent="0.25">
      <c r="Q741" t="s">
        <v>1631</v>
      </c>
    </row>
    <row r="742" spans="17:17" hidden="1" x14ac:dyDescent="0.25">
      <c r="Q742" t="s">
        <v>1631</v>
      </c>
    </row>
    <row r="743" spans="17:17" hidden="1" x14ac:dyDescent="0.25">
      <c r="Q743" t="s">
        <v>1631</v>
      </c>
    </row>
    <row r="744" spans="17:17" hidden="1" x14ac:dyDescent="0.25">
      <c r="Q744" t="s">
        <v>1631</v>
      </c>
    </row>
    <row r="745" spans="17:17" hidden="1" x14ac:dyDescent="0.25">
      <c r="Q745" t="s">
        <v>1631</v>
      </c>
    </row>
    <row r="746" spans="17:17" hidden="1" x14ac:dyDescent="0.25">
      <c r="Q746" t="s">
        <v>1631</v>
      </c>
    </row>
    <row r="747" spans="17:17" hidden="1" x14ac:dyDescent="0.25">
      <c r="Q747" t="s">
        <v>1631</v>
      </c>
    </row>
    <row r="748" spans="17:17" hidden="1" x14ac:dyDescent="0.25">
      <c r="Q748" t="s">
        <v>1631</v>
      </c>
    </row>
    <row r="749" spans="17:17" hidden="1" x14ac:dyDescent="0.25">
      <c r="Q749" t="s">
        <v>1631</v>
      </c>
    </row>
    <row r="750" spans="17:17" hidden="1" x14ac:dyDescent="0.25">
      <c r="Q750" t="s">
        <v>1631</v>
      </c>
    </row>
    <row r="751" spans="17:17" hidden="1" x14ac:dyDescent="0.25">
      <c r="Q751" t="s">
        <v>1631</v>
      </c>
    </row>
    <row r="752" spans="17:17" hidden="1" x14ac:dyDescent="0.25">
      <c r="Q752" t="s">
        <v>1631</v>
      </c>
    </row>
    <row r="753" spans="8:17" hidden="1" x14ac:dyDescent="0.25">
      <c r="Q753" t="s">
        <v>1631</v>
      </c>
    </row>
    <row r="754" spans="8:17" hidden="1" x14ac:dyDescent="0.25">
      <c r="Q754" t="s">
        <v>1631</v>
      </c>
    </row>
    <row r="755" spans="8:17" hidden="1" x14ac:dyDescent="0.25">
      <c r="Q755" t="s">
        <v>1631</v>
      </c>
    </row>
    <row r="756" spans="8:17" hidden="1" x14ac:dyDescent="0.25">
      <c r="Q756" t="s">
        <v>1631</v>
      </c>
    </row>
    <row r="757" spans="8:17" hidden="1" x14ac:dyDescent="0.25">
      <c r="Q757" t="s">
        <v>1631</v>
      </c>
    </row>
    <row r="765" spans="8:17" x14ac:dyDescent="0.25">
      <c r="H765" s="13">
        <v>2400</v>
      </c>
      <c r="I765" s="106">
        <f>H765/80</f>
        <v>30</v>
      </c>
    </row>
    <row r="770" spans="8:9" x14ac:dyDescent="0.25">
      <c r="H770" s="13">
        <v>136000</v>
      </c>
      <c r="I770" s="106">
        <f>H770/8000</f>
        <v>17</v>
      </c>
    </row>
  </sheetData>
  <autoFilter ref="A2:XEX757" xr:uid="{8019ACDB-5808-44BF-91A1-E28374A06548}">
    <filterColumn colId="3">
      <filters>
        <filter val="BECIC3 Krampouz BECIC3 Triple Topping Warmer&quot; سخان كرامبوز الكهربائي ثلاث فتحات"/>
        <filter val="ids Cups Wide NAMQ with stick اغطية اكواب القهوة فتحة واسعة - نمق"/>
        <filter val="Retina Diffuser Screw For La Marzocco IMS Shower Screen مسمار شاور سكرين لامارزوكو - 6 فتحات"/>
        <filter val="Squeeze bottle with 3 nozzle علبة التشوكليت بثلاث فتحات"/>
      </filters>
    </filterColumn>
    <sortState xmlns:xlrd2="http://schemas.microsoft.com/office/spreadsheetml/2017/richdata2" ref="A3:Q757">
      <sortCondition ref="M2:M757"/>
    </sortState>
  </autoFilter>
  <mergeCells count="2">
    <mergeCell ref="H1:I1"/>
    <mergeCell ref="M1:O1"/>
  </mergeCells>
  <conditionalFormatting sqref="B2">
    <cfRule type="duplicateValues" dxfId="427" priority="29"/>
  </conditionalFormatting>
  <conditionalFormatting sqref="B2:C2">
    <cfRule type="duplicateValues" dxfId="426" priority="36"/>
    <cfRule type="duplicateValues" dxfId="425" priority="37"/>
  </conditionalFormatting>
  <conditionalFormatting sqref="C1:C2">
    <cfRule type="duplicateValues" dxfId="424" priority="33"/>
  </conditionalFormatting>
  <conditionalFormatting sqref="C7:D7">
    <cfRule type="duplicateValues" dxfId="423" priority="11"/>
  </conditionalFormatting>
  <conditionalFormatting sqref="C508:D520 D496:D507">
    <cfRule type="duplicateValues" dxfId="422" priority="3444"/>
  </conditionalFormatting>
  <conditionalFormatting sqref="C508:D526 C6:D7 D496:D507">
    <cfRule type="duplicateValues" dxfId="421" priority="3446"/>
  </conditionalFormatting>
  <conditionalFormatting sqref="C521:D526 C6:D7">
    <cfRule type="duplicateValues" dxfId="420" priority="12"/>
  </conditionalFormatting>
  <conditionalFormatting sqref="D1:D2">
    <cfRule type="duplicateValues" dxfId="419" priority="34"/>
  </conditionalFormatting>
  <conditionalFormatting sqref="D8:D132 D3:D5">
    <cfRule type="duplicateValues" dxfId="418" priority="3914"/>
  </conditionalFormatting>
  <conditionalFormatting sqref="D8:D144 D3:D5">
    <cfRule type="duplicateValues" dxfId="417" priority="3917"/>
  </conditionalFormatting>
  <conditionalFormatting sqref="D134:D140 D3:D5 D8:D132">
    <cfRule type="duplicateValues" dxfId="416" priority="3001"/>
  </conditionalFormatting>
  <conditionalFormatting sqref="D141">
    <cfRule type="duplicateValues" dxfId="415" priority="39"/>
  </conditionalFormatting>
  <conditionalFormatting sqref="D141:D144">
    <cfRule type="duplicateValues" dxfId="414" priority="3019"/>
  </conditionalFormatting>
  <conditionalFormatting sqref="D142:D144">
    <cfRule type="duplicateValues" dxfId="413" priority="3021"/>
  </conditionalFormatting>
  <conditionalFormatting sqref="D145:D231">
    <cfRule type="duplicateValues" dxfId="412" priority="3257"/>
  </conditionalFormatting>
  <conditionalFormatting sqref="D145:D235">
    <cfRule type="duplicateValues" dxfId="411" priority="3289"/>
    <cfRule type="duplicateValues" dxfId="410" priority="3290"/>
  </conditionalFormatting>
  <conditionalFormatting sqref="D236:D408">
    <cfRule type="duplicateValues" dxfId="409" priority="3692"/>
  </conditionalFormatting>
  <conditionalFormatting sqref="D236:D452">
    <cfRule type="duplicateValues" dxfId="408" priority="3694"/>
  </conditionalFormatting>
  <conditionalFormatting sqref="D236:D459">
    <cfRule type="duplicateValues" dxfId="407" priority="3696"/>
  </conditionalFormatting>
  <conditionalFormatting sqref="D455:D459 D453">
    <cfRule type="duplicateValues" dxfId="406" priority="3453"/>
  </conditionalFormatting>
  <conditionalFormatting sqref="D460:D474">
    <cfRule type="duplicateValues" dxfId="405" priority="23"/>
  </conditionalFormatting>
  <conditionalFormatting sqref="D460:D479">
    <cfRule type="duplicateValues" dxfId="404" priority="22"/>
    <cfRule type="duplicateValues" dxfId="403" priority="24"/>
  </conditionalFormatting>
  <conditionalFormatting sqref="D480:D483">
    <cfRule type="duplicateValues" dxfId="402" priority="3448"/>
  </conditionalFormatting>
  <conditionalFormatting sqref="D480:D486">
    <cfRule type="duplicateValues" dxfId="401" priority="3450"/>
    <cfRule type="duplicateValues" dxfId="400" priority="3451"/>
  </conditionalFormatting>
  <conditionalFormatting sqref="D487:D495">
    <cfRule type="duplicateValues" dxfId="399" priority="16"/>
    <cfRule type="duplicateValues" dxfId="398" priority="17"/>
    <cfRule type="duplicateValues" dxfId="397" priority="18"/>
  </conditionalFormatting>
  <conditionalFormatting sqref="D496:D499">
    <cfRule type="duplicateValues" dxfId="396" priority="14"/>
  </conditionalFormatting>
  <conditionalFormatting sqref="D2:O2">
    <cfRule type="duplicateValues" dxfId="395" priority="50"/>
    <cfRule type="duplicateValues" dxfId="394" priority="51"/>
    <cfRule type="duplicateValues" dxfId="393" priority="52"/>
    <cfRule type="duplicateValues" dxfId="392" priority="53"/>
    <cfRule type="duplicateValues" dxfId="391" priority="54"/>
  </conditionalFormatting>
  <conditionalFormatting sqref="E89">
    <cfRule type="duplicateValues" dxfId="390" priority="6"/>
    <cfRule type="duplicateValues" dxfId="389" priority="7"/>
  </conditionalFormatting>
  <conditionalFormatting sqref="M1 M3:M526">
    <cfRule type="cellIs" dxfId="388" priority="2572" operator="lessThan">
      <formula>#REF!</formula>
    </cfRule>
  </conditionalFormatting>
  <conditionalFormatting sqref="M3:M495">
    <cfRule type="cellIs" dxfId="387" priority="10" operator="lessThan">
      <formula>$J3</formula>
    </cfRule>
  </conditionalFormatting>
  <conditionalFormatting sqref="N3:N526">
    <cfRule type="containsText" dxfId="386" priority="9" operator="containsText" text="ORDER NOW">
      <formula>NOT(ISERROR(SEARCH("ORDER NOW",N3)))</formula>
    </cfRule>
  </conditionalFormatting>
  <conditionalFormatting sqref="O3:O526">
    <cfRule type="containsText" dxfId="385" priority="8" operator="containsText" text="CRITICAL">
      <formula>NOT(ISERROR(SEARCH("CRITICAL",O3)))</formula>
    </cfRule>
  </conditionalFormatting>
  <conditionalFormatting sqref="Q2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B6E88-8D45-44BE-9358-99A503011164}">
  <sheetPr codeName="Sheet7" filterMode="1">
    <tabColor rgb="FF7030A0"/>
  </sheetPr>
  <dimension ref="A1:T670"/>
  <sheetViews>
    <sheetView zoomScale="50" zoomScaleNormal="50" workbookViewId="0">
      <pane xSplit="4" ySplit="2" topLeftCell="E82" activePane="bottomRight" state="frozen"/>
      <selection pane="topRight" activeCell="E1" sqref="E1"/>
      <selection pane="bottomLeft" activeCell="A3" sqref="A3"/>
      <selection pane="bottomRight" activeCell="D723" sqref="D723"/>
    </sheetView>
  </sheetViews>
  <sheetFormatPr defaultRowHeight="15" x14ac:dyDescent="0.25"/>
  <cols>
    <col min="2" max="2" width="26.42578125" hidden="1" customWidth="1"/>
    <col min="3" max="3" width="20.140625" bestFit="1" customWidth="1"/>
    <col min="4" max="4" width="91.5703125" customWidth="1"/>
    <col min="5" max="5" width="27.42578125" customWidth="1"/>
    <col min="6" max="6" width="12.7109375" customWidth="1"/>
    <col min="7" max="7" width="18.28515625" style="12" customWidth="1"/>
    <col min="8" max="8" width="18.28515625" style="13" bestFit="1" customWidth="1"/>
    <col min="9" max="9" width="17.5703125" bestFit="1" customWidth="1"/>
    <col min="10" max="10" width="14.85546875" bestFit="1" customWidth="1"/>
    <col min="11" max="11" width="23.42578125" bestFit="1" customWidth="1"/>
    <col min="12" max="12" width="15.42578125" style="14" bestFit="1" customWidth="1"/>
    <col min="13" max="13" width="21.140625" bestFit="1" customWidth="1"/>
    <col min="14" max="14" width="19.140625" bestFit="1" customWidth="1"/>
    <col min="15" max="15" width="31.5703125" customWidth="1"/>
    <col min="16" max="17" width="8.7109375" hidden="1" customWidth="1"/>
    <col min="18" max="18" width="15.85546875" hidden="1" customWidth="1"/>
    <col min="19" max="19" width="20.85546875" customWidth="1"/>
    <col min="20" max="20" width="12.85546875" bestFit="1" customWidth="1"/>
  </cols>
  <sheetData>
    <row r="1" spans="1:19" ht="18.75" x14ac:dyDescent="0.25">
      <c r="G1" s="88"/>
      <c r="H1" s="197" t="s">
        <v>0</v>
      </c>
      <c r="I1" s="197"/>
      <c r="M1" s="200" t="s">
        <v>1</v>
      </c>
      <c r="N1" s="201"/>
      <c r="O1" s="201"/>
    </row>
    <row r="2" spans="1:19" s="11" customFormat="1" ht="15.75" x14ac:dyDescent="0.25">
      <c r="A2" s="15"/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7" t="s">
        <v>7</v>
      </c>
      <c r="H2" s="18" t="s">
        <v>8</v>
      </c>
      <c r="I2" s="16" t="s">
        <v>9</v>
      </c>
      <c r="J2" s="16" t="s">
        <v>10</v>
      </c>
      <c r="K2" s="16" t="s">
        <v>11</v>
      </c>
      <c r="L2" s="18" t="s">
        <v>12</v>
      </c>
      <c r="M2" s="16" t="s">
        <v>13</v>
      </c>
      <c r="N2" s="16" t="s">
        <v>14</v>
      </c>
      <c r="O2" s="16" t="s">
        <v>15</v>
      </c>
      <c r="P2" s="89"/>
      <c r="Q2" s="89"/>
      <c r="R2" s="89" t="s">
        <v>16</v>
      </c>
      <c r="S2" s="16" t="s">
        <v>1632</v>
      </c>
    </row>
    <row r="3" spans="1:19" ht="18.75" hidden="1" x14ac:dyDescent="0.25">
      <c r="A3" s="41">
        <v>440</v>
      </c>
      <c r="B3" s="41" t="s">
        <v>61</v>
      </c>
      <c r="C3" s="41" t="s">
        <v>983</v>
      </c>
      <c r="D3" s="27" t="s">
        <v>984</v>
      </c>
      <c r="E3" s="27" t="s">
        <v>440</v>
      </c>
      <c r="F3" s="5" t="s">
        <v>22</v>
      </c>
      <c r="G3" s="21">
        <v>0.1</v>
      </c>
      <c r="H3" s="22">
        <v>60</v>
      </c>
      <c r="I3" s="22">
        <f t="shared" ref="I3:I8" si="0">H3/G3</f>
        <v>600</v>
      </c>
      <c r="J3" s="5">
        <v>14</v>
      </c>
      <c r="K3" s="23">
        <f t="shared" ref="K3:K66" si="1">I3*(J3/28)</f>
        <v>300</v>
      </c>
      <c r="L3" s="58">
        <f>(IFERROR(VLOOKUP(C3,'Current Stocks July-26'!B:K,9,0),0))</f>
        <v>0</v>
      </c>
      <c r="M3" s="24">
        <f t="shared" ref="M3:M66" si="2">IFERROR((L3/I3*30),0)</f>
        <v>0</v>
      </c>
      <c r="N3" s="25" t="str">
        <f t="shared" ref="N3:N66" si="3">IF(M3&lt;J3,"ORDER NOW","IN STOCK")</f>
        <v>ORDER NOW</v>
      </c>
      <c r="O3" s="25" t="str">
        <f t="shared" ref="O3:O66" si="4">IF(M3&lt;J3,"CRITICAL","FOLLOW UP DELIVERY")</f>
        <v>CRITICAL</v>
      </c>
      <c r="P3" s="5"/>
      <c r="Q3" s="5"/>
      <c r="R3" s="5"/>
      <c r="S3" s="90">
        <f>VLOOKUP(C3,[3]Sheet1!$C$3:$P$521,14,0)</f>
        <v>46131.521678240744</v>
      </c>
    </row>
    <row r="4" spans="1:19" ht="18.75" hidden="1" x14ac:dyDescent="0.25">
      <c r="A4" s="41">
        <v>431</v>
      </c>
      <c r="B4" s="41" t="s">
        <v>38</v>
      </c>
      <c r="C4" s="41" t="s">
        <v>1538</v>
      </c>
      <c r="D4" s="27" t="s">
        <v>1539</v>
      </c>
      <c r="E4" s="27" t="s">
        <v>1540</v>
      </c>
      <c r="F4" s="5" t="s">
        <v>22</v>
      </c>
      <c r="G4" s="21">
        <v>5.9523809523809534E-2</v>
      </c>
      <c r="H4" s="22">
        <v>6</v>
      </c>
      <c r="I4" s="22">
        <f t="shared" si="0"/>
        <v>100.79999999999998</v>
      </c>
      <c r="J4" s="5">
        <v>14</v>
      </c>
      <c r="K4" s="23">
        <f t="shared" si="1"/>
        <v>50.399999999999991</v>
      </c>
      <c r="L4" s="58">
        <f>(IFERROR(VLOOKUP(C4,'Current Stocks July-26'!B:K,9,0),0))</f>
        <v>0</v>
      </c>
      <c r="M4" s="24">
        <f t="shared" si="2"/>
        <v>0</v>
      </c>
      <c r="N4" s="25" t="str">
        <f t="shared" si="3"/>
        <v>ORDER NOW</v>
      </c>
      <c r="O4" s="25" t="str">
        <f t="shared" si="4"/>
        <v>CRITICAL</v>
      </c>
      <c r="P4" s="5"/>
      <c r="Q4" s="5"/>
      <c r="R4" s="5"/>
      <c r="S4" s="90" t="e">
        <f>VLOOKUP(C4,[3]Sheet1!$C$3:$P$521,14,0)</f>
        <v>#N/A</v>
      </c>
    </row>
    <row r="5" spans="1:19" ht="18.75" hidden="1" x14ac:dyDescent="0.25">
      <c r="A5" s="41">
        <v>432</v>
      </c>
      <c r="B5" s="41" t="s">
        <v>38</v>
      </c>
      <c r="C5" s="41" t="s">
        <v>992</v>
      </c>
      <c r="D5" s="27" t="s">
        <v>993</v>
      </c>
      <c r="E5" s="27" t="s">
        <v>994</v>
      </c>
      <c r="F5" s="5" t="s">
        <v>22</v>
      </c>
      <c r="G5" s="21">
        <v>5.9523809523809534E-2</v>
      </c>
      <c r="H5" s="22">
        <v>16</v>
      </c>
      <c r="I5" s="22">
        <f t="shared" si="0"/>
        <v>268.79999999999995</v>
      </c>
      <c r="J5" s="5">
        <v>14</v>
      </c>
      <c r="K5" s="23">
        <f t="shared" si="1"/>
        <v>134.39999999999998</v>
      </c>
      <c r="L5" s="58">
        <f>(IFERROR(VLOOKUP(C5,'Current Stocks July-26'!B:K,9,0),0))</f>
        <v>0</v>
      </c>
      <c r="M5" s="24">
        <f t="shared" si="2"/>
        <v>0</v>
      </c>
      <c r="N5" s="25" t="str">
        <f t="shared" si="3"/>
        <v>ORDER NOW</v>
      </c>
      <c r="O5" s="25" t="str">
        <f t="shared" si="4"/>
        <v>CRITICAL</v>
      </c>
      <c r="P5" s="5"/>
      <c r="Q5" s="5"/>
      <c r="R5" s="5"/>
      <c r="S5" s="90">
        <f>VLOOKUP(C5,[3]Sheet1!$C$3:$P$521,14,0)</f>
        <v>46141.525590277779</v>
      </c>
    </row>
    <row r="6" spans="1:19" ht="18.75" hidden="1" x14ac:dyDescent="0.25">
      <c r="A6" s="41">
        <v>433</v>
      </c>
      <c r="B6" s="41" t="s">
        <v>38</v>
      </c>
      <c r="C6" s="41" t="s">
        <v>1208</v>
      </c>
      <c r="D6" s="27" t="s">
        <v>1209</v>
      </c>
      <c r="E6" s="27" t="s">
        <v>1210</v>
      </c>
      <c r="F6" s="5" t="s">
        <v>22</v>
      </c>
      <c r="G6" s="21">
        <v>0.1388888888888889</v>
      </c>
      <c r="H6" s="22">
        <v>70</v>
      </c>
      <c r="I6" s="22">
        <f t="shared" si="0"/>
        <v>504</v>
      </c>
      <c r="J6" s="5">
        <v>14</v>
      </c>
      <c r="K6" s="23">
        <f t="shared" si="1"/>
        <v>252</v>
      </c>
      <c r="L6" s="58">
        <f>(IFERROR(VLOOKUP(C6,'Current Stocks July-26'!B:K,9,0),0))</f>
        <v>0</v>
      </c>
      <c r="M6" s="24">
        <f t="shared" si="2"/>
        <v>0</v>
      </c>
      <c r="N6" s="25" t="str">
        <f t="shared" si="3"/>
        <v>ORDER NOW</v>
      </c>
      <c r="O6" s="25" t="str">
        <f t="shared" si="4"/>
        <v>CRITICAL</v>
      </c>
      <c r="P6" s="5"/>
      <c r="Q6" s="5"/>
      <c r="R6" s="5"/>
      <c r="S6" s="90">
        <f>VLOOKUP(C6,[3]Sheet1!$C$3:$P$521,14,0)</f>
        <v>46138.481770833336</v>
      </c>
    </row>
    <row r="7" spans="1:19" ht="18.75" hidden="1" x14ac:dyDescent="0.25">
      <c r="A7" s="41">
        <v>362</v>
      </c>
      <c r="B7" s="41" t="s">
        <v>85</v>
      </c>
      <c r="C7" s="41" t="s">
        <v>888</v>
      </c>
      <c r="D7" s="27" t="s">
        <v>889</v>
      </c>
      <c r="E7" s="27" t="s">
        <v>890</v>
      </c>
      <c r="F7" s="5" t="s">
        <v>22</v>
      </c>
      <c r="G7" s="21">
        <v>0.23809523809523814</v>
      </c>
      <c r="H7" s="22">
        <v>90.5</v>
      </c>
      <c r="I7" s="22">
        <f t="shared" si="0"/>
        <v>380.09999999999991</v>
      </c>
      <c r="J7" s="5">
        <v>14</v>
      </c>
      <c r="K7" s="23">
        <f t="shared" si="1"/>
        <v>190.04999999999995</v>
      </c>
      <c r="L7" s="58">
        <f>(IFERROR(VLOOKUP(C7,'Current Stocks July-26'!B:K,9,0),0))</f>
        <v>0</v>
      </c>
      <c r="M7" s="24">
        <f t="shared" si="2"/>
        <v>0</v>
      </c>
      <c r="N7" s="25" t="str">
        <f t="shared" si="3"/>
        <v>ORDER NOW</v>
      </c>
      <c r="O7" s="25" t="str">
        <f t="shared" si="4"/>
        <v>CRITICAL</v>
      </c>
      <c r="P7" s="5"/>
      <c r="Q7" s="5"/>
      <c r="R7" s="5"/>
      <c r="S7" s="90">
        <f>VLOOKUP(C7,[3]Sheet1!$C$3:$P$521,14,0)</f>
        <v>46141.525104166663</v>
      </c>
    </row>
    <row r="8" spans="1:19" ht="18.75" hidden="1" x14ac:dyDescent="0.25">
      <c r="A8" s="41">
        <v>506</v>
      </c>
      <c r="B8" s="41" t="s">
        <v>38</v>
      </c>
      <c r="C8" s="41" t="s">
        <v>1213</v>
      </c>
      <c r="D8" s="27" t="s">
        <v>1214</v>
      </c>
      <c r="E8" s="27" t="s">
        <v>826</v>
      </c>
      <c r="F8" s="5" t="s">
        <v>49</v>
      </c>
      <c r="G8" s="21">
        <v>1</v>
      </c>
      <c r="H8" s="22">
        <v>5</v>
      </c>
      <c r="I8" s="22">
        <f t="shared" si="0"/>
        <v>5</v>
      </c>
      <c r="J8" s="5">
        <v>14</v>
      </c>
      <c r="K8" s="23">
        <f t="shared" si="1"/>
        <v>2.5</v>
      </c>
      <c r="L8" s="58">
        <v>0</v>
      </c>
      <c r="M8" s="24">
        <f t="shared" si="2"/>
        <v>0</v>
      </c>
      <c r="N8" s="25" t="str">
        <f t="shared" si="3"/>
        <v>ORDER NOW</v>
      </c>
      <c r="O8" s="25" t="str">
        <f t="shared" si="4"/>
        <v>CRITICAL</v>
      </c>
      <c r="P8" s="5"/>
      <c r="Q8" s="5"/>
      <c r="R8" s="5"/>
      <c r="S8" s="90" t="e">
        <f>VLOOKUP(C8,[3]Sheet1!$C$3:$P$521,14,0)</f>
        <v>#N/A</v>
      </c>
    </row>
    <row r="9" spans="1:19" ht="18.75" hidden="1" x14ac:dyDescent="0.25">
      <c r="A9" s="4">
        <v>670</v>
      </c>
      <c r="B9" s="5"/>
      <c r="C9" s="41" t="s">
        <v>938</v>
      </c>
      <c r="D9" s="52" t="s">
        <v>939</v>
      </c>
      <c r="E9" s="31" t="s">
        <v>49</v>
      </c>
      <c r="F9" s="5"/>
      <c r="G9" s="21">
        <v>1</v>
      </c>
      <c r="H9" s="22"/>
      <c r="I9" s="22">
        <v>10</v>
      </c>
      <c r="J9" s="5">
        <v>14</v>
      </c>
      <c r="K9" s="23">
        <f t="shared" si="1"/>
        <v>5</v>
      </c>
      <c r="L9" s="58">
        <v>0</v>
      </c>
      <c r="M9" s="24">
        <f t="shared" si="2"/>
        <v>0</v>
      </c>
      <c r="N9" s="25" t="str">
        <f t="shared" si="3"/>
        <v>ORDER NOW</v>
      </c>
      <c r="O9" s="25" t="str">
        <f t="shared" si="4"/>
        <v>CRITICAL</v>
      </c>
      <c r="P9" s="5"/>
      <c r="Q9" s="5"/>
      <c r="R9" s="5"/>
      <c r="S9" s="90" t="e">
        <f>VLOOKUP(C9,[3]Sheet1!$C$3:$P$521,14,0)</f>
        <v>#N/A</v>
      </c>
    </row>
    <row r="10" spans="1:19" ht="18.75" hidden="1" x14ac:dyDescent="0.25">
      <c r="A10" s="41">
        <v>401</v>
      </c>
      <c r="B10" s="41" t="s">
        <v>104</v>
      </c>
      <c r="C10" s="41" t="s">
        <v>105</v>
      </c>
      <c r="D10" s="27" t="s">
        <v>106</v>
      </c>
      <c r="E10" s="27" t="s">
        <v>107</v>
      </c>
      <c r="F10" s="5" t="s">
        <v>22</v>
      </c>
      <c r="G10" s="21">
        <v>4.1666666666666664E-2</v>
      </c>
      <c r="H10" s="22">
        <v>56</v>
      </c>
      <c r="I10" s="22">
        <f t="shared" ref="I10:I48" si="5">H10/G10</f>
        <v>1344</v>
      </c>
      <c r="J10" s="5">
        <v>14</v>
      </c>
      <c r="K10" s="23">
        <f t="shared" si="1"/>
        <v>672</v>
      </c>
      <c r="L10" s="58">
        <f>(IFERROR(VLOOKUP(C10,'Current Stocks July-26'!B:K,9,0),0))</f>
        <v>5884.8</v>
      </c>
      <c r="M10" s="24">
        <f t="shared" si="2"/>
        <v>131.35714285714286</v>
      </c>
      <c r="N10" s="25" t="str">
        <f t="shared" si="3"/>
        <v>IN STOCK</v>
      </c>
      <c r="O10" s="25" t="str">
        <f t="shared" si="4"/>
        <v>FOLLOW UP DELIVERY</v>
      </c>
      <c r="P10" s="5"/>
      <c r="Q10" s="5"/>
      <c r="R10" s="5"/>
      <c r="S10" s="90">
        <f>VLOOKUP(C10,[3]Sheet1!$C$3:$P$521,14,0)</f>
        <v>46138.437743055554</v>
      </c>
    </row>
    <row r="11" spans="1:19" ht="18.75" hidden="1" x14ac:dyDescent="0.25">
      <c r="A11" s="41">
        <v>371</v>
      </c>
      <c r="B11" s="41" t="s">
        <v>85</v>
      </c>
      <c r="C11" s="41" t="s">
        <v>810</v>
      </c>
      <c r="D11" s="27" t="s">
        <v>811</v>
      </c>
      <c r="E11" s="27" t="s">
        <v>101</v>
      </c>
      <c r="F11" s="5" t="s">
        <v>22</v>
      </c>
      <c r="G11" s="21">
        <v>0.16666666666666666</v>
      </c>
      <c r="H11" s="22">
        <v>30.5</v>
      </c>
      <c r="I11" s="22">
        <f t="shared" si="5"/>
        <v>183</v>
      </c>
      <c r="J11" s="5">
        <v>14</v>
      </c>
      <c r="K11" s="23">
        <f t="shared" si="1"/>
        <v>91.5</v>
      </c>
      <c r="L11" s="58">
        <f>(IFERROR(VLOOKUP(C11,'Current Stocks July-26'!B:K,9,0),0))</f>
        <v>0</v>
      </c>
      <c r="M11" s="24">
        <f t="shared" si="2"/>
        <v>0</v>
      </c>
      <c r="N11" s="25" t="str">
        <f t="shared" si="3"/>
        <v>ORDER NOW</v>
      </c>
      <c r="O11" s="25" t="str">
        <f t="shared" si="4"/>
        <v>CRITICAL</v>
      </c>
      <c r="P11" s="5"/>
      <c r="Q11" s="5"/>
      <c r="R11" s="5"/>
      <c r="S11" s="90">
        <f>VLOOKUP(C11,[3]Sheet1!$C$3:$P$521,14,0)</f>
        <v>46128.695219907408</v>
      </c>
    </row>
    <row r="12" spans="1:19" ht="18.75" hidden="1" x14ac:dyDescent="0.25">
      <c r="A12" s="41">
        <v>370</v>
      </c>
      <c r="B12" s="41" t="s">
        <v>85</v>
      </c>
      <c r="C12" s="41" t="s">
        <v>1143</v>
      </c>
      <c r="D12" s="27" t="s">
        <v>1144</v>
      </c>
      <c r="E12" s="27" t="s">
        <v>101</v>
      </c>
      <c r="F12" s="5" t="s">
        <v>22</v>
      </c>
      <c r="G12" s="21">
        <v>0.16666666666666666</v>
      </c>
      <c r="H12" s="22">
        <v>50</v>
      </c>
      <c r="I12" s="22">
        <f t="shared" si="5"/>
        <v>300</v>
      </c>
      <c r="J12" s="5">
        <v>14</v>
      </c>
      <c r="K12" s="23">
        <f t="shared" si="1"/>
        <v>150</v>
      </c>
      <c r="L12" s="58">
        <f>(IFERROR(VLOOKUP(C12,'Current Stocks July-26'!B:K,9,0),0))</f>
        <v>390</v>
      </c>
      <c r="M12" s="24">
        <f t="shared" si="2"/>
        <v>39</v>
      </c>
      <c r="N12" s="25" t="str">
        <f t="shared" si="3"/>
        <v>IN STOCK</v>
      </c>
      <c r="O12" s="25" t="str">
        <f t="shared" si="4"/>
        <v>FOLLOW UP DELIVERY</v>
      </c>
      <c r="P12" s="5"/>
      <c r="Q12" s="5"/>
      <c r="R12" s="5"/>
      <c r="S12" s="90">
        <f>VLOOKUP(C12,[3]Sheet1!$C$3:$P$521,14,0)</f>
        <v>46131.518206018518</v>
      </c>
    </row>
    <row r="13" spans="1:19" ht="18.75" hidden="1" x14ac:dyDescent="0.25">
      <c r="A13" s="41">
        <v>455</v>
      </c>
      <c r="B13" s="41" t="s">
        <v>85</v>
      </c>
      <c r="C13" s="41" t="s">
        <v>812</v>
      </c>
      <c r="D13" s="27" t="s">
        <v>813</v>
      </c>
      <c r="E13" s="27" t="s">
        <v>814</v>
      </c>
      <c r="F13" s="5" t="s">
        <v>49</v>
      </c>
      <c r="G13" s="21">
        <v>5.5555555555555552E-2</v>
      </c>
      <c r="H13" s="22">
        <v>190</v>
      </c>
      <c r="I13" s="22">
        <f t="shared" si="5"/>
        <v>3420</v>
      </c>
      <c r="J13" s="5">
        <v>14</v>
      </c>
      <c r="K13" s="23">
        <f t="shared" si="1"/>
        <v>1710</v>
      </c>
      <c r="L13" s="58">
        <f>(IFERROR(VLOOKUP(C13,'Current Stocks July-26'!B:K,9,0),0))</f>
        <v>0</v>
      </c>
      <c r="M13" s="24">
        <f t="shared" si="2"/>
        <v>0</v>
      </c>
      <c r="N13" s="25" t="str">
        <f t="shared" si="3"/>
        <v>ORDER NOW</v>
      </c>
      <c r="O13" s="25" t="str">
        <f t="shared" si="4"/>
        <v>CRITICAL</v>
      </c>
      <c r="P13" s="5"/>
      <c r="Q13" s="5"/>
      <c r="R13" s="5"/>
      <c r="S13" s="90">
        <f>VLOOKUP(C13,[3]Sheet1!$C$3:$P$521,14,0)</f>
        <v>46141.525405092594</v>
      </c>
    </row>
    <row r="14" spans="1:19" ht="18.75" hidden="1" x14ac:dyDescent="0.25">
      <c r="A14" s="41">
        <v>474</v>
      </c>
      <c r="B14" s="41" t="s">
        <v>38</v>
      </c>
      <c r="C14" s="41" t="s">
        <v>716</v>
      </c>
      <c r="D14" s="27" t="s">
        <v>717</v>
      </c>
      <c r="E14" s="27" t="s">
        <v>718</v>
      </c>
      <c r="F14" s="5" t="s">
        <v>22</v>
      </c>
      <c r="G14" s="21">
        <v>0.1</v>
      </c>
      <c r="H14" s="22">
        <v>160</v>
      </c>
      <c r="I14" s="22">
        <f t="shared" si="5"/>
        <v>1600</v>
      </c>
      <c r="J14" s="5">
        <v>14</v>
      </c>
      <c r="K14" s="23">
        <f t="shared" si="1"/>
        <v>800</v>
      </c>
      <c r="L14" s="58">
        <f>(IFERROR(VLOOKUP(C14,'Current Stocks July-26'!B:K,9,0),0))</f>
        <v>0</v>
      </c>
      <c r="M14" s="24">
        <f t="shared" si="2"/>
        <v>0</v>
      </c>
      <c r="N14" s="25" t="str">
        <f t="shared" si="3"/>
        <v>ORDER NOW</v>
      </c>
      <c r="O14" s="25" t="str">
        <f t="shared" si="4"/>
        <v>CRITICAL</v>
      </c>
      <c r="P14" s="5"/>
      <c r="Q14" s="5"/>
      <c r="R14" s="5"/>
      <c r="S14" s="90">
        <f>VLOOKUP(C14,[3]Sheet1!$C$3:$P$521,14,0)</f>
        <v>46141.525370370371</v>
      </c>
    </row>
    <row r="15" spans="1:19" ht="18.75" hidden="1" x14ac:dyDescent="0.25">
      <c r="A15" s="41">
        <v>469</v>
      </c>
      <c r="B15" s="41" t="s">
        <v>38</v>
      </c>
      <c r="C15" s="41" t="s">
        <v>470</v>
      </c>
      <c r="D15" s="27" t="s">
        <v>471</v>
      </c>
      <c r="E15" s="27" t="s">
        <v>469</v>
      </c>
      <c r="F15" s="5" t="s">
        <v>54</v>
      </c>
      <c r="G15" s="21">
        <v>6.6666666666666666E-2</v>
      </c>
      <c r="H15" s="22">
        <v>80</v>
      </c>
      <c r="I15" s="22">
        <f t="shared" si="5"/>
        <v>1200</v>
      </c>
      <c r="J15" s="5">
        <v>14</v>
      </c>
      <c r="K15" s="23">
        <f t="shared" si="1"/>
        <v>600</v>
      </c>
      <c r="L15" s="58">
        <f>(IFERROR(VLOOKUP(C15,'Current Stocks July-26'!B:K,9,0),0))</f>
        <v>750</v>
      </c>
      <c r="M15" s="24">
        <f t="shared" si="2"/>
        <v>18.75</v>
      </c>
      <c r="N15" s="25" t="str">
        <f t="shared" si="3"/>
        <v>IN STOCK</v>
      </c>
      <c r="O15" s="25" t="str">
        <f t="shared" si="4"/>
        <v>FOLLOW UP DELIVERY</v>
      </c>
      <c r="P15" s="5"/>
      <c r="Q15" s="5"/>
      <c r="R15" s="5"/>
      <c r="S15" s="90">
        <f>VLOOKUP(C15,[3]Sheet1!$C$3:$P$521,14,0)</f>
        <v>46118.497789351852</v>
      </c>
    </row>
    <row r="16" spans="1:19" ht="18.75" hidden="1" x14ac:dyDescent="0.25">
      <c r="A16" s="19">
        <v>138</v>
      </c>
      <c r="B16" s="19" t="s">
        <v>157</v>
      </c>
      <c r="C16" s="19" t="s">
        <v>940</v>
      </c>
      <c r="D16" s="27" t="s">
        <v>941</v>
      </c>
      <c r="E16" s="27" t="s">
        <v>942</v>
      </c>
      <c r="F16" s="5" t="s">
        <v>49</v>
      </c>
      <c r="G16" s="21">
        <f>1/1000</f>
        <v>1E-3</v>
      </c>
      <c r="H16" s="22">
        <v>25</v>
      </c>
      <c r="I16" s="22">
        <f t="shared" si="5"/>
        <v>25000</v>
      </c>
      <c r="J16" s="5">
        <v>14</v>
      </c>
      <c r="K16" s="23">
        <f t="shared" si="1"/>
        <v>12500</v>
      </c>
      <c r="L16" s="58">
        <f>(IFERROR(VLOOKUP(C16,'Current Stocks July-26'!B:K,9,0),0))</f>
        <v>0</v>
      </c>
      <c r="M16" s="24">
        <f t="shared" si="2"/>
        <v>0</v>
      </c>
      <c r="N16" s="25" t="str">
        <f t="shared" si="3"/>
        <v>ORDER NOW</v>
      </c>
      <c r="O16" s="25" t="str">
        <f t="shared" si="4"/>
        <v>CRITICAL</v>
      </c>
      <c r="P16" s="5"/>
      <c r="Q16" s="5"/>
      <c r="R16" s="5" t="s">
        <v>30</v>
      </c>
      <c r="S16" s="90">
        <f>VLOOKUP(C16,[3]Sheet1!$C$3:$P$521,14,0)</f>
        <v>46141.525462962964</v>
      </c>
    </row>
    <row r="17" spans="1:20" ht="18.75" hidden="1" x14ac:dyDescent="0.25">
      <c r="A17" s="39">
        <v>218</v>
      </c>
      <c r="B17" s="39" t="s">
        <v>239</v>
      </c>
      <c r="C17" s="39" t="s">
        <v>995</v>
      </c>
      <c r="D17" s="27" t="s">
        <v>996</v>
      </c>
      <c r="E17" s="27" t="s">
        <v>160</v>
      </c>
      <c r="F17" s="5" t="s">
        <v>49</v>
      </c>
      <c r="G17" s="21">
        <v>1</v>
      </c>
      <c r="H17" s="22">
        <v>5.5</v>
      </c>
      <c r="I17" s="22">
        <f t="shared" si="5"/>
        <v>5.5</v>
      </c>
      <c r="J17" s="5">
        <v>14</v>
      </c>
      <c r="K17" s="23">
        <f t="shared" si="1"/>
        <v>2.75</v>
      </c>
      <c r="L17" s="58">
        <f>(IFERROR(VLOOKUP(C17,'Current Stocks July-26'!B:K,9,0),0))</f>
        <v>3</v>
      </c>
      <c r="M17" s="24">
        <f t="shared" si="2"/>
        <v>16.363636363636363</v>
      </c>
      <c r="N17" s="25" t="str">
        <f t="shared" si="3"/>
        <v>IN STOCK</v>
      </c>
      <c r="O17" s="25" t="str">
        <f t="shared" si="4"/>
        <v>FOLLOW UP DELIVERY</v>
      </c>
      <c r="P17" s="5"/>
      <c r="Q17" s="5"/>
      <c r="R17" s="5"/>
      <c r="S17" s="90">
        <f>VLOOKUP(C17,[3]Sheet1!$C$3:$P$521,14,0)</f>
        <v>46141.525636574072</v>
      </c>
    </row>
    <row r="18" spans="1:20" ht="18.75" hidden="1" x14ac:dyDescent="0.25">
      <c r="A18" s="41">
        <v>357</v>
      </c>
      <c r="B18" s="41" t="s">
        <v>38</v>
      </c>
      <c r="C18" s="41" t="s">
        <v>1220</v>
      </c>
      <c r="D18" s="27" t="s">
        <v>1221</v>
      </c>
      <c r="E18" s="27" t="s">
        <v>1222</v>
      </c>
      <c r="F18" s="5" t="s">
        <v>22</v>
      </c>
      <c r="G18" s="21">
        <v>0.16666666666666666</v>
      </c>
      <c r="H18" s="22">
        <v>75.5</v>
      </c>
      <c r="I18" s="22">
        <f t="shared" si="5"/>
        <v>453</v>
      </c>
      <c r="J18" s="5">
        <v>14</v>
      </c>
      <c r="K18" s="23">
        <f t="shared" si="1"/>
        <v>226.5</v>
      </c>
      <c r="L18" s="58">
        <f>(IFERROR(VLOOKUP(C18,'Current Stocks July-26'!B:K,9,0),0))</f>
        <v>0</v>
      </c>
      <c r="M18" s="24">
        <f t="shared" si="2"/>
        <v>0</v>
      </c>
      <c r="N18" s="25" t="str">
        <f t="shared" si="3"/>
        <v>ORDER NOW</v>
      </c>
      <c r="O18" s="25" t="str">
        <f t="shared" si="4"/>
        <v>CRITICAL</v>
      </c>
      <c r="P18" s="5"/>
      <c r="Q18" s="5"/>
      <c r="R18" s="5"/>
      <c r="S18" s="90">
        <f>VLOOKUP(C18,[3]Sheet1!$C$3:$P$521,14,0)</f>
        <v>46131.518275462964</v>
      </c>
    </row>
    <row r="19" spans="1:20" ht="18.75" hidden="1" x14ac:dyDescent="0.25">
      <c r="A19" s="41">
        <v>360</v>
      </c>
      <c r="B19" s="41" t="s">
        <v>85</v>
      </c>
      <c r="C19" s="41" t="s">
        <v>1438</v>
      </c>
      <c r="D19" s="27" t="s">
        <v>1439</v>
      </c>
      <c r="E19" s="27" t="s">
        <v>101</v>
      </c>
      <c r="F19" s="5" t="s">
        <v>22</v>
      </c>
      <c r="G19" s="21">
        <v>0.16666666666666666</v>
      </c>
      <c r="H19" s="22">
        <v>21</v>
      </c>
      <c r="I19" s="22">
        <f t="shared" si="5"/>
        <v>126</v>
      </c>
      <c r="J19" s="5">
        <v>14</v>
      </c>
      <c r="K19" s="23">
        <f t="shared" si="1"/>
        <v>63</v>
      </c>
      <c r="L19" s="58">
        <f>(IFERROR(VLOOKUP(C19,'Current Stocks July-26'!B:K,9,0),0))</f>
        <v>25</v>
      </c>
      <c r="M19" s="24">
        <f t="shared" si="2"/>
        <v>5.9523809523809517</v>
      </c>
      <c r="N19" s="25" t="str">
        <f t="shared" si="3"/>
        <v>ORDER NOW</v>
      </c>
      <c r="O19" s="25" t="str">
        <f t="shared" si="4"/>
        <v>CRITICAL</v>
      </c>
      <c r="P19" s="5"/>
      <c r="Q19" s="5"/>
      <c r="R19" s="5"/>
      <c r="S19" s="90">
        <f>VLOOKUP(C19,[3]Sheet1!$C$3:$P$521,14,0)</f>
        <v>46131.519791666666</v>
      </c>
    </row>
    <row r="20" spans="1:20" ht="18.75" hidden="1" x14ac:dyDescent="0.25">
      <c r="A20" s="19">
        <v>48</v>
      </c>
      <c r="B20" s="19" t="s">
        <v>239</v>
      </c>
      <c r="C20" s="19" t="s">
        <v>1113</v>
      </c>
      <c r="D20" s="27" t="s">
        <v>1114</v>
      </c>
      <c r="E20" s="27" t="s">
        <v>156</v>
      </c>
      <c r="F20" s="5" t="s">
        <v>22</v>
      </c>
      <c r="G20" s="21">
        <f>1/8000</f>
        <v>1.25E-4</v>
      </c>
      <c r="H20" s="22">
        <v>25</v>
      </c>
      <c r="I20" s="22">
        <f t="shared" si="5"/>
        <v>200000</v>
      </c>
      <c r="J20" s="5">
        <v>14</v>
      </c>
      <c r="K20" s="23">
        <f t="shared" si="1"/>
        <v>100000</v>
      </c>
      <c r="L20" s="58">
        <f>(IFERROR(VLOOKUP(C20,'Current Stocks July-26'!B:K,9,0),0))</f>
        <v>119900</v>
      </c>
      <c r="M20" s="24">
        <f t="shared" si="2"/>
        <v>17.984999999999999</v>
      </c>
      <c r="N20" s="25" t="str">
        <f t="shared" si="3"/>
        <v>IN STOCK</v>
      </c>
      <c r="O20" s="25" t="str">
        <f t="shared" si="4"/>
        <v>FOLLOW UP DELIVERY</v>
      </c>
      <c r="P20" s="5"/>
      <c r="Q20" s="5"/>
      <c r="R20" s="5" t="s">
        <v>30</v>
      </c>
      <c r="S20" s="90">
        <f>VLOOKUP(C20,[3]Sheet1!$C$3:$P$521,14,0)</f>
        <v>46141.525821759256</v>
      </c>
    </row>
    <row r="21" spans="1:20" ht="18.75" hidden="1" x14ac:dyDescent="0.25">
      <c r="A21" s="19">
        <v>102</v>
      </c>
      <c r="B21" s="19" t="s">
        <v>18</v>
      </c>
      <c r="C21" s="19" t="s">
        <v>96</v>
      </c>
      <c r="D21" s="27" t="s">
        <v>1633</v>
      </c>
      <c r="E21" s="27" t="s">
        <v>98</v>
      </c>
      <c r="F21" s="5" t="s">
        <v>46</v>
      </c>
      <c r="G21" s="21">
        <v>2E-3</v>
      </c>
      <c r="H21" s="22">
        <v>16</v>
      </c>
      <c r="I21" s="22">
        <f t="shared" si="5"/>
        <v>8000</v>
      </c>
      <c r="J21" s="5">
        <v>14</v>
      </c>
      <c r="K21" s="23">
        <f t="shared" si="1"/>
        <v>4000</v>
      </c>
      <c r="L21" s="58">
        <f>(IFERROR(VLOOKUP(C21,'Current Stocks July-26'!B:K,9,0),0))</f>
        <v>3000</v>
      </c>
      <c r="M21" s="24">
        <f t="shared" si="2"/>
        <v>11.25</v>
      </c>
      <c r="N21" s="25" t="str">
        <f t="shared" si="3"/>
        <v>ORDER NOW</v>
      </c>
      <c r="O21" s="25" t="str">
        <f t="shared" si="4"/>
        <v>CRITICAL</v>
      </c>
      <c r="P21" s="5"/>
      <c r="Q21" s="5"/>
      <c r="R21" s="5" t="s">
        <v>30</v>
      </c>
      <c r="S21" s="90">
        <f>VLOOKUP(C21,[3]Sheet1!$C$3:$P$521,14,0)</f>
        <v>46118.497731481482</v>
      </c>
      <c r="T21" t="s">
        <v>1634</v>
      </c>
    </row>
    <row r="22" spans="1:20" ht="18.75" hidden="1" x14ac:dyDescent="0.25">
      <c r="A22" s="19">
        <v>129</v>
      </c>
      <c r="B22" s="19" t="s">
        <v>18</v>
      </c>
      <c r="C22" s="19" t="s">
        <v>197</v>
      </c>
      <c r="D22" s="27" t="s">
        <v>198</v>
      </c>
      <c r="E22" s="27" t="s">
        <v>183</v>
      </c>
      <c r="F22" s="5" t="s">
        <v>22</v>
      </c>
      <c r="G22" s="21">
        <f>1/200</f>
        <v>5.0000000000000001E-3</v>
      </c>
      <c r="H22" s="22">
        <v>50</v>
      </c>
      <c r="I22" s="22">
        <f t="shared" si="5"/>
        <v>10000</v>
      </c>
      <c r="J22" s="5">
        <v>14</v>
      </c>
      <c r="K22" s="23">
        <f t="shared" si="1"/>
        <v>5000</v>
      </c>
      <c r="L22" s="58">
        <f>(IFERROR(VLOOKUP(C22,'Current Stocks July-26'!B:K,9,0),0))</f>
        <v>0</v>
      </c>
      <c r="M22" s="24">
        <f t="shared" si="2"/>
        <v>0</v>
      </c>
      <c r="N22" s="25" t="str">
        <f t="shared" si="3"/>
        <v>ORDER NOW</v>
      </c>
      <c r="O22" s="25" t="str">
        <f t="shared" si="4"/>
        <v>CRITICAL</v>
      </c>
      <c r="P22" s="5"/>
      <c r="Q22" s="5"/>
      <c r="R22" s="5" t="s">
        <v>30</v>
      </c>
      <c r="S22" s="90">
        <f>VLOOKUP(C22,[3]Sheet1!$C$3:$P$521,14,0)</f>
        <v>46113.430891203701</v>
      </c>
    </row>
    <row r="23" spans="1:20" ht="18.75" hidden="1" x14ac:dyDescent="0.25">
      <c r="A23" s="41">
        <v>541</v>
      </c>
      <c r="B23" s="41" t="s">
        <v>38</v>
      </c>
      <c r="C23" s="41" t="s">
        <v>1136</v>
      </c>
      <c r="D23" s="37" t="s">
        <v>1137</v>
      </c>
      <c r="E23" s="31" t="s">
        <v>22</v>
      </c>
      <c r="F23" s="5" t="s">
        <v>22</v>
      </c>
      <c r="G23" s="21">
        <v>0.1</v>
      </c>
      <c r="H23" s="22">
        <v>1</v>
      </c>
      <c r="I23" s="22">
        <f t="shared" si="5"/>
        <v>10</v>
      </c>
      <c r="J23" s="5">
        <v>14</v>
      </c>
      <c r="K23" s="23">
        <f t="shared" si="1"/>
        <v>5</v>
      </c>
      <c r="L23" s="58">
        <f>(IFERROR(VLOOKUP(C23,'Current Stocks July-26'!B:K,9,0),0))</f>
        <v>0</v>
      </c>
      <c r="M23" s="24">
        <f t="shared" si="2"/>
        <v>0</v>
      </c>
      <c r="N23" s="25" t="str">
        <f t="shared" si="3"/>
        <v>ORDER NOW</v>
      </c>
      <c r="O23" s="25" t="str">
        <f t="shared" si="4"/>
        <v>CRITICAL</v>
      </c>
      <c r="P23" s="5"/>
      <c r="Q23" s="5"/>
      <c r="R23" s="5"/>
      <c r="S23" s="90">
        <f>VLOOKUP(C23,[3]Sheet1!$C$3:$P$521,14,0)</f>
        <v>46141.526030092595</v>
      </c>
    </row>
    <row r="24" spans="1:20" ht="18.75" hidden="1" x14ac:dyDescent="0.25">
      <c r="A24" s="19">
        <v>120</v>
      </c>
      <c r="B24" s="19" t="s">
        <v>18</v>
      </c>
      <c r="C24" s="19" t="s">
        <v>815</v>
      </c>
      <c r="D24" s="27" t="s">
        <v>816</v>
      </c>
      <c r="E24" s="27" t="s">
        <v>186</v>
      </c>
      <c r="F24" s="5" t="s">
        <v>606</v>
      </c>
      <c r="G24" s="21">
        <f>1/500</f>
        <v>2E-3</v>
      </c>
      <c r="H24" s="22">
        <v>30</v>
      </c>
      <c r="I24" s="22">
        <f t="shared" si="5"/>
        <v>15000</v>
      </c>
      <c r="J24" s="5">
        <v>14</v>
      </c>
      <c r="K24" s="23">
        <f t="shared" si="1"/>
        <v>7500</v>
      </c>
      <c r="L24" s="58">
        <f>(IFERROR(VLOOKUP(C24,'Current Stocks July-26'!B:K,9,0),0))</f>
        <v>0</v>
      </c>
      <c r="M24" s="24">
        <f t="shared" si="2"/>
        <v>0</v>
      </c>
      <c r="N24" s="25" t="str">
        <f t="shared" si="3"/>
        <v>ORDER NOW</v>
      </c>
      <c r="O24" s="25" t="str">
        <f t="shared" si="4"/>
        <v>CRITICAL</v>
      </c>
      <c r="P24" s="5"/>
      <c r="Q24" s="5"/>
      <c r="R24" s="5" t="s">
        <v>30</v>
      </c>
      <c r="S24" s="90">
        <f>VLOOKUP(C24,[3]Sheet1!$C$3:$P$521,14,0)</f>
        <v>46128.687951388885</v>
      </c>
    </row>
    <row r="25" spans="1:20" ht="18.75" hidden="1" x14ac:dyDescent="0.25">
      <c r="A25" s="19">
        <v>3</v>
      </c>
      <c r="B25" s="19" t="s">
        <v>18</v>
      </c>
      <c r="C25" s="19" t="s">
        <v>900</v>
      </c>
      <c r="D25" s="27" t="s">
        <v>901</v>
      </c>
      <c r="E25" s="27" t="s">
        <v>902</v>
      </c>
      <c r="F25" s="5" t="s">
        <v>22</v>
      </c>
      <c r="G25" s="21">
        <v>3.3333333333333332E-4</v>
      </c>
      <c r="H25" s="22">
        <v>83.5</v>
      </c>
      <c r="I25" s="22">
        <f t="shared" si="5"/>
        <v>250500</v>
      </c>
      <c r="J25" s="5">
        <v>14</v>
      </c>
      <c r="K25" s="23">
        <f t="shared" si="1"/>
        <v>125250</v>
      </c>
      <c r="L25" s="58">
        <f>(IFERROR(VLOOKUP(C25,'Current Stocks July-26'!B:K,9,0),0))</f>
        <v>149000</v>
      </c>
      <c r="M25" s="24">
        <f t="shared" si="2"/>
        <v>17.844311377245507</v>
      </c>
      <c r="N25" s="25" t="str">
        <f t="shared" si="3"/>
        <v>IN STOCK</v>
      </c>
      <c r="O25" s="25" t="str">
        <f t="shared" si="4"/>
        <v>FOLLOW UP DELIVERY</v>
      </c>
      <c r="P25" s="5"/>
      <c r="Q25" s="5"/>
      <c r="R25" s="5" t="s">
        <v>30</v>
      </c>
      <c r="S25" s="90">
        <f>VLOOKUP(C25,[3]Sheet1!$C$3:$P$521,14,0)</f>
        <v>46140.605439814812</v>
      </c>
    </row>
    <row r="26" spans="1:20" ht="18.75" hidden="1" x14ac:dyDescent="0.25">
      <c r="A26" s="39">
        <v>269</v>
      </c>
      <c r="B26" s="39" t="s">
        <v>239</v>
      </c>
      <c r="C26" s="39" t="s">
        <v>760</v>
      </c>
      <c r="D26" s="27" t="s">
        <v>761</v>
      </c>
      <c r="E26" s="27" t="s">
        <v>78</v>
      </c>
      <c r="F26" s="5" t="s">
        <v>49</v>
      </c>
      <c r="G26" s="21">
        <v>1</v>
      </c>
      <c r="H26" s="22">
        <v>99</v>
      </c>
      <c r="I26" s="22">
        <f t="shared" si="5"/>
        <v>99</v>
      </c>
      <c r="J26" s="5">
        <v>14</v>
      </c>
      <c r="K26" s="23">
        <f t="shared" si="1"/>
        <v>49.5</v>
      </c>
      <c r="L26" s="58">
        <f>(IFERROR(VLOOKUP(C26,'Current Stocks July-26'!B:K,9,0),0))</f>
        <v>0</v>
      </c>
      <c r="M26" s="24">
        <f t="shared" si="2"/>
        <v>0</v>
      </c>
      <c r="N26" s="25" t="str">
        <f t="shared" si="3"/>
        <v>ORDER NOW</v>
      </c>
      <c r="O26" s="25" t="str">
        <f t="shared" si="4"/>
        <v>CRITICAL</v>
      </c>
      <c r="P26" s="5"/>
      <c r="Q26" s="5"/>
      <c r="R26" s="5"/>
      <c r="S26" s="90">
        <f>VLOOKUP(C26,[3]Sheet1!$C$3:$P$521,14,0)</f>
        <v>46128.695069444446</v>
      </c>
    </row>
    <row r="27" spans="1:20" ht="18.75" hidden="1" x14ac:dyDescent="0.25">
      <c r="A27" s="19">
        <v>96</v>
      </c>
      <c r="B27" s="19" t="s">
        <v>18</v>
      </c>
      <c r="C27" s="19" t="s">
        <v>129</v>
      </c>
      <c r="D27" s="68" t="s">
        <v>130</v>
      </c>
      <c r="E27" s="27" t="s">
        <v>119</v>
      </c>
      <c r="F27" s="5" t="s">
        <v>22</v>
      </c>
      <c r="G27" s="21">
        <v>1E-3</v>
      </c>
      <c r="H27" s="22">
        <v>18</v>
      </c>
      <c r="I27" s="22">
        <f t="shared" si="5"/>
        <v>18000</v>
      </c>
      <c r="J27" s="5">
        <v>14</v>
      </c>
      <c r="K27" s="23">
        <f t="shared" si="1"/>
        <v>9000</v>
      </c>
      <c r="L27" s="58">
        <f>(IFERROR(VLOOKUP(C27,'Current Stocks July-26'!B:K,9,0),0))</f>
        <v>0</v>
      </c>
      <c r="M27" s="24">
        <f t="shared" si="2"/>
        <v>0</v>
      </c>
      <c r="N27" s="25" t="str">
        <f t="shared" si="3"/>
        <v>ORDER NOW</v>
      </c>
      <c r="O27" s="25" t="str">
        <f t="shared" si="4"/>
        <v>CRITICAL</v>
      </c>
      <c r="P27" s="5"/>
      <c r="Q27" s="5"/>
      <c r="R27" s="5" t="s">
        <v>30</v>
      </c>
      <c r="S27" s="90">
        <f>VLOOKUP(C27,[3]Sheet1!$C$3:$P$521,14,0)</f>
        <v>46141.525266203702</v>
      </c>
    </row>
    <row r="28" spans="1:20" ht="18.75" hidden="1" x14ac:dyDescent="0.25">
      <c r="A28" s="19">
        <v>163</v>
      </c>
      <c r="B28" s="19" t="s">
        <v>18</v>
      </c>
      <c r="C28" s="19" t="s">
        <v>795</v>
      </c>
      <c r="D28" s="29" t="s">
        <v>796</v>
      </c>
      <c r="E28" s="27" t="s">
        <v>797</v>
      </c>
      <c r="F28" s="5" t="s">
        <v>22</v>
      </c>
      <c r="G28" s="21">
        <v>0.01</v>
      </c>
      <c r="H28" s="22">
        <v>100</v>
      </c>
      <c r="I28" s="22">
        <f t="shared" si="5"/>
        <v>10000</v>
      </c>
      <c r="J28" s="5">
        <v>14</v>
      </c>
      <c r="K28" s="23">
        <f t="shared" si="1"/>
        <v>5000</v>
      </c>
      <c r="L28" s="58">
        <f>(IFERROR(VLOOKUP(C28,'Current Stocks July-26'!B:K,9,0),0))</f>
        <v>1505</v>
      </c>
      <c r="M28" s="24">
        <f t="shared" si="2"/>
        <v>4.5149999999999997</v>
      </c>
      <c r="N28" s="25" t="str">
        <f t="shared" si="3"/>
        <v>ORDER NOW</v>
      </c>
      <c r="O28" s="25" t="str">
        <f t="shared" si="4"/>
        <v>CRITICAL</v>
      </c>
      <c r="P28" s="5"/>
      <c r="Q28" s="5"/>
      <c r="R28" s="5"/>
      <c r="S28" s="90">
        <f>VLOOKUP(C28,[3]Sheet1!$C$3:$P$521,14,0)</f>
        <v>46128.695173611108</v>
      </c>
    </row>
    <row r="29" spans="1:20" ht="18.75" hidden="1" x14ac:dyDescent="0.25">
      <c r="A29" s="19">
        <v>119</v>
      </c>
      <c r="B29" s="19" t="s">
        <v>18</v>
      </c>
      <c r="C29" s="19" t="s">
        <v>685</v>
      </c>
      <c r="D29" s="27" t="s">
        <v>686</v>
      </c>
      <c r="E29" s="27" t="s">
        <v>191</v>
      </c>
      <c r="F29" s="5" t="s">
        <v>687</v>
      </c>
      <c r="G29" s="21">
        <v>1E-3</v>
      </c>
      <c r="H29" s="22">
        <v>15</v>
      </c>
      <c r="I29" s="22">
        <f t="shared" si="5"/>
        <v>15000</v>
      </c>
      <c r="J29" s="5">
        <v>14</v>
      </c>
      <c r="K29" s="23">
        <f t="shared" si="1"/>
        <v>7500</v>
      </c>
      <c r="L29" s="58">
        <f>(IFERROR(VLOOKUP(C29,'Current Stocks July-26'!B:K,9,0),0))</f>
        <v>0</v>
      </c>
      <c r="M29" s="24">
        <f t="shared" si="2"/>
        <v>0</v>
      </c>
      <c r="N29" s="25" t="str">
        <f t="shared" si="3"/>
        <v>ORDER NOW</v>
      </c>
      <c r="O29" s="25" t="str">
        <f t="shared" si="4"/>
        <v>CRITICAL</v>
      </c>
      <c r="P29" s="5"/>
      <c r="Q29" s="5"/>
      <c r="R29" s="5" t="s">
        <v>30</v>
      </c>
      <c r="S29" s="90">
        <f>VLOOKUP(C29,[3]Sheet1!$C$3:$P$521,14,0)</f>
        <v>46138.481435185182</v>
      </c>
    </row>
    <row r="30" spans="1:20" ht="18.75" hidden="1" x14ac:dyDescent="0.25">
      <c r="A30" s="19">
        <v>37</v>
      </c>
      <c r="B30" s="19" t="s">
        <v>18</v>
      </c>
      <c r="C30" s="19" t="s">
        <v>838</v>
      </c>
      <c r="D30" s="29" t="s">
        <v>839</v>
      </c>
      <c r="E30" s="29" t="s">
        <v>840</v>
      </c>
      <c r="F30" s="5" t="s">
        <v>22</v>
      </c>
      <c r="G30" s="21">
        <f>1/2750</f>
        <v>3.6363636363636361E-4</v>
      </c>
      <c r="H30" s="22">
        <v>121</v>
      </c>
      <c r="I30" s="22">
        <f t="shared" si="5"/>
        <v>332750</v>
      </c>
      <c r="J30" s="5">
        <v>14</v>
      </c>
      <c r="K30" s="23">
        <f t="shared" si="1"/>
        <v>166375</v>
      </c>
      <c r="L30" s="58">
        <f>(IFERROR(VLOOKUP(C30,'Current Stocks July-26'!B:K,9,0),0))</f>
        <v>76000</v>
      </c>
      <c r="M30" s="24">
        <f t="shared" si="2"/>
        <v>6.8519909842223896</v>
      </c>
      <c r="N30" s="25" t="str">
        <f t="shared" si="3"/>
        <v>ORDER NOW</v>
      </c>
      <c r="O30" s="25" t="str">
        <f t="shared" si="4"/>
        <v>CRITICAL</v>
      </c>
      <c r="P30" s="5"/>
      <c r="Q30" s="5"/>
      <c r="R30" s="5" t="s">
        <v>30</v>
      </c>
      <c r="S30" s="90">
        <f>VLOOKUP(C30,[3]Sheet1!$C$3:$P$521,14,0)</f>
        <v>46141.525497685187</v>
      </c>
    </row>
    <row r="31" spans="1:20" ht="18.75" hidden="1" x14ac:dyDescent="0.25">
      <c r="A31" s="41">
        <v>344</v>
      </c>
      <c r="B31" s="41" t="s">
        <v>38</v>
      </c>
      <c r="C31" s="41" t="s">
        <v>874</v>
      </c>
      <c r="D31" s="27" t="s">
        <v>875</v>
      </c>
      <c r="E31" s="27" t="s">
        <v>876</v>
      </c>
      <c r="F31" s="5" t="s">
        <v>49</v>
      </c>
      <c r="G31" s="21">
        <v>1.639344262295082</v>
      </c>
      <c r="H31" s="22">
        <v>82.5</v>
      </c>
      <c r="I31" s="22">
        <f t="shared" si="5"/>
        <v>50.324999999999996</v>
      </c>
      <c r="J31" s="5">
        <v>14</v>
      </c>
      <c r="K31" s="23">
        <f t="shared" si="1"/>
        <v>25.162499999999998</v>
      </c>
      <c r="L31" s="58">
        <f>(IFERROR(VLOOKUP(C31,'Current Stocks July-26'!B:K,9,0),0))</f>
        <v>140</v>
      </c>
      <c r="M31" s="24">
        <f t="shared" si="2"/>
        <v>83.45752608047691</v>
      </c>
      <c r="N31" s="25" t="str">
        <f t="shared" si="3"/>
        <v>IN STOCK</v>
      </c>
      <c r="O31" s="25" t="str">
        <f t="shared" si="4"/>
        <v>FOLLOW UP DELIVERY</v>
      </c>
      <c r="P31" s="5"/>
      <c r="Q31" s="5"/>
      <c r="R31" s="5"/>
      <c r="S31" s="90">
        <f>VLOOKUP(C31,[3]Sheet1!$C$3:$P$521,14,0)</f>
        <v>46113.430960648147</v>
      </c>
      <c r="T31" t="s">
        <v>1634</v>
      </c>
    </row>
    <row r="32" spans="1:20" ht="18.75" hidden="1" x14ac:dyDescent="0.25">
      <c r="A32" s="39">
        <v>186</v>
      </c>
      <c r="B32" s="39" t="s">
        <v>18</v>
      </c>
      <c r="C32" s="39" t="s">
        <v>1011</v>
      </c>
      <c r="D32" s="27" t="s">
        <v>1012</v>
      </c>
      <c r="E32" s="27" t="s">
        <v>160</v>
      </c>
      <c r="F32" s="5" t="s">
        <v>49</v>
      </c>
      <c r="G32" s="21">
        <v>1</v>
      </c>
      <c r="H32" s="22">
        <v>16.5</v>
      </c>
      <c r="I32" s="22">
        <f t="shared" si="5"/>
        <v>16.5</v>
      </c>
      <c r="J32" s="5">
        <v>14</v>
      </c>
      <c r="K32" s="23">
        <f t="shared" si="1"/>
        <v>8.25</v>
      </c>
      <c r="L32" s="58">
        <f>(IFERROR(VLOOKUP(C32,'Current Stocks July-26'!B:K,9,0),0))</f>
        <v>6</v>
      </c>
      <c r="M32" s="24">
        <f t="shared" si="2"/>
        <v>10.90909090909091</v>
      </c>
      <c r="N32" s="25" t="str">
        <f t="shared" si="3"/>
        <v>ORDER NOW</v>
      </c>
      <c r="O32" s="25" t="str">
        <f t="shared" si="4"/>
        <v>CRITICAL</v>
      </c>
      <c r="P32" s="5"/>
      <c r="Q32" s="5"/>
      <c r="R32" s="5"/>
      <c r="S32" s="90">
        <f>VLOOKUP(C32,[3]Sheet1!$C$3:$P$521,14,0)</f>
        <v>46131.517743055556</v>
      </c>
    </row>
    <row r="33" spans="1:19" ht="18.75" hidden="1" x14ac:dyDescent="0.25">
      <c r="A33" s="39">
        <v>286</v>
      </c>
      <c r="B33" s="39" t="s">
        <v>157</v>
      </c>
      <c r="C33" s="39" t="s">
        <v>294</v>
      </c>
      <c r="D33" s="27" t="s">
        <v>295</v>
      </c>
      <c r="E33" s="27" t="s">
        <v>78</v>
      </c>
      <c r="F33" s="5" t="s">
        <v>49</v>
      </c>
      <c r="G33" s="21">
        <v>1</v>
      </c>
      <c r="H33" s="22">
        <v>44</v>
      </c>
      <c r="I33" s="22">
        <f t="shared" si="5"/>
        <v>44</v>
      </c>
      <c r="J33" s="5">
        <v>14</v>
      </c>
      <c r="K33" s="23">
        <f t="shared" si="1"/>
        <v>22</v>
      </c>
      <c r="L33" s="58">
        <f>(IFERROR(VLOOKUP(C33,'Current Stocks July-26'!B:K,9,0),0))</f>
        <v>0</v>
      </c>
      <c r="M33" s="24">
        <f t="shared" si="2"/>
        <v>0</v>
      </c>
      <c r="N33" s="25" t="str">
        <f t="shared" si="3"/>
        <v>ORDER NOW</v>
      </c>
      <c r="O33" s="25" t="str">
        <f t="shared" si="4"/>
        <v>CRITICAL</v>
      </c>
      <c r="P33" s="5"/>
      <c r="Q33" s="5"/>
      <c r="R33" s="5"/>
      <c r="S33" s="90">
        <f>VLOOKUP(C33,[3]Sheet1!$C$3:$P$521,14,0)</f>
        <v>46113.430902777778</v>
      </c>
    </row>
    <row r="34" spans="1:19" ht="18.75" hidden="1" x14ac:dyDescent="0.25">
      <c r="A34" s="19">
        <v>101</v>
      </c>
      <c r="B34" s="19" t="s">
        <v>18</v>
      </c>
      <c r="C34" s="19" t="s">
        <v>927</v>
      </c>
      <c r="D34" s="27" t="s">
        <v>928</v>
      </c>
      <c r="E34" s="27" t="s">
        <v>25</v>
      </c>
      <c r="F34" s="5" t="s">
        <v>22</v>
      </c>
      <c r="G34" s="21">
        <v>2E-3</v>
      </c>
      <c r="H34" s="22">
        <v>24</v>
      </c>
      <c r="I34" s="22">
        <f t="shared" si="5"/>
        <v>12000</v>
      </c>
      <c r="J34" s="5">
        <v>14</v>
      </c>
      <c r="K34" s="23">
        <f t="shared" si="1"/>
        <v>6000</v>
      </c>
      <c r="L34" s="58">
        <f>(IFERROR(VLOOKUP(C34,'Current Stocks July-26'!B:K,9,0),0))</f>
        <v>3000</v>
      </c>
      <c r="M34" s="24">
        <f t="shared" si="2"/>
        <v>7.5</v>
      </c>
      <c r="N34" s="25" t="str">
        <f t="shared" si="3"/>
        <v>ORDER NOW</v>
      </c>
      <c r="O34" s="25" t="str">
        <f t="shared" si="4"/>
        <v>CRITICAL</v>
      </c>
      <c r="P34" s="5"/>
      <c r="Q34" s="5"/>
      <c r="R34" s="5" t="s">
        <v>30</v>
      </c>
      <c r="S34" s="90">
        <f>VLOOKUP(C34,[3]Sheet1!$C$3:$P$521,14,0)</f>
        <v>46128.695636574077</v>
      </c>
    </row>
    <row r="35" spans="1:19" ht="18.75" hidden="1" x14ac:dyDescent="0.25">
      <c r="A35" s="19">
        <v>149</v>
      </c>
      <c r="B35" s="19" t="s">
        <v>18</v>
      </c>
      <c r="C35" s="19" t="s">
        <v>1178</v>
      </c>
      <c r="D35" s="29" t="s">
        <v>1179</v>
      </c>
      <c r="E35" s="27" t="s">
        <v>1180</v>
      </c>
      <c r="F35" s="5" t="s">
        <v>22</v>
      </c>
      <c r="G35" s="21">
        <v>6.2500000000000001E-4</v>
      </c>
      <c r="H35" s="22">
        <v>16</v>
      </c>
      <c r="I35" s="22">
        <f t="shared" si="5"/>
        <v>25600</v>
      </c>
      <c r="J35" s="5">
        <v>14</v>
      </c>
      <c r="K35" s="23">
        <f t="shared" si="1"/>
        <v>12800</v>
      </c>
      <c r="L35" s="58">
        <f>(IFERROR(VLOOKUP(C35,'Current Stocks July-26'!B:K,9,0),0))</f>
        <v>9000</v>
      </c>
      <c r="M35" s="24">
        <f t="shared" si="2"/>
        <v>10.546875</v>
      </c>
      <c r="N35" s="25" t="str">
        <f t="shared" si="3"/>
        <v>ORDER NOW</v>
      </c>
      <c r="O35" s="25" t="str">
        <f t="shared" si="4"/>
        <v>CRITICAL</v>
      </c>
      <c r="P35" s="5"/>
      <c r="Q35" s="5"/>
      <c r="R35" s="5" t="s">
        <v>30</v>
      </c>
      <c r="S35" s="90">
        <f>VLOOKUP(C35,[3]Sheet1!$C$3:$P$521,14,0)</f>
        <v>46141.525995370372</v>
      </c>
    </row>
    <row r="36" spans="1:19" ht="18.75" hidden="1" x14ac:dyDescent="0.25">
      <c r="A36" s="19">
        <v>34</v>
      </c>
      <c r="B36" s="19" t="s">
        <v>18</v>
      </c>
      <c r="C36" s="19" t="s">
        <v>871</v>
      </c>
      <c r="D36" s="27" t="s">
        <v>872</v>
      </c>
      <c r="E36" s="27" t="s">
        <v>873</v>
      </c>
      <c r="F36" s="5" t="s">
        <v>22</v>
      </c>
      <c r="G36" s="21">
        <v>2E-3</v>
      </c>
      <c r="H36" s="22">
        <v>192.5</v>
      </c>
      <c r="I36" s="22">
        <f t="shared" si="5"/>
        <v>96250</v>
      </c>
      <c r="J36" s="5">
        <v>60</v>
      </c>
      <c r="K36" s="23">
        <f t="shared" si="1"/>
        <v>206250</v>
      </c>
      <c r="L36" s="58">
        <f>(IFERROR(VLOOKUP(C36,'Current Stocks July-26'!B:K,9,0),0))</f>
        <v>0</v>
      </c>
      <c r="M36" s="24">
        <f t="shared" si="2"/>
        <v>0</v>
      </c>
      <c r="N36" s="25" t="str">
        <f t="shared" si="3"/>
        <v>ORDER NOW</v>
      </c>
      <c r="O36" s="25" t="str">
        <f t="shared" si="4"/>
        <v>CRITICAL</v>
      </c>
      <c r="P36" s="5"/>
      <c r="Q36" s="5"/>
      <c r="R36" s="5" t="s">
        <v>30</v>
      </c>
      <c r="S36" s="90">
        <f>VLOOKUP(C36,[3]Sheet1!$C$3:$P$521,14,0)</f>
        <v>46128.695381944446</v>
      </c>
    </row>
    <row r="37" spans="1:19" ht="18.75" hidden="1" x14ac:dyDescent="0.25">
      <c r="A37" s="39">
        <v>192</v>
      </c>
      <c r="B37" s="39" t="s">
        <v>239</v>
      </c>
      <c r="C37" s="39" t="s">
        <v>784</v>
      </c>
      <c r="D37" s="27" t="s">
        <v>785</v>
      </c>
      <c r="E37" s="27" t="s">
        <v>78</v>
      </c>
      <c r="F37" s="5" t="s">
        <v>49</v>
      </c>
      <c r="G37" s="21">
        <v>1</v>
      </c>
      <c r="H37" s="22">
        <v>134</v>
      </c>
      <c r="I37" s="22">
        <f t="shared" si="5"/>
        <v>134</v>
      </c>
      <c r="J37" s="5">
        <v>14</v>
      </c>
      <c r="K37" s="23">
        <f t="shared" si="1"/>
        <v>67</v>
      </c>
      <c r="L37" s="58">
        <f>(IFERROR(VLOOKUP(C37,'Current Stocks July-26'!B:K,9,0),0))</f>
        <v>0</v>
      </c>
      <c r="M37" s="24">
        <f t="shared" si="2"/>
        <v>0</v>
      </c>
      <c r="N37" s="25" t="str">
        <f t="shared" si="3"/>
        <v>ORDER NOW</v>
      </c>
      <c r="O37" s="25" t="str">
        <f t="shared" si="4"/>
        <v>CRITICAL</v>
      </c>
      <c r="P37" s="5"/>
      <c r="Q37" s="5"/>
      <c r="R37" s="5"/>
      <c r="S37" s="90">
        <f>VLOOKUP(C37,[3]Sheet1!$C$3:$P$521,14,0)</f>
        <v>46113.430949074071</v>
      </c>
    </row>
    <row r="38" spans="1:19" ht="18.75" hidden="1" x14ac:dyDescent="0.25">
      <c r="A38" s="41">
        <v>387</v>
      </c>
      <c r="B38" s="41" t="s">
        <v>61</v>
      </c>
      <c r="C38" s="41" t="s">
        <v>1156</v>
      </c>
      <c r="D38" s="27" t="s">
        <v>1157</v>
      </c>
      <c r="E38" s="27" t="s">
        <v>64</v>
      </c>
      <c r="F38" s="5" t="s">
        <v>49</v>
      </c>
      <c r="G38" s="21">
        <v>1</v>
      </c>
      <c r="H38" s="22">
        <v>27.5</v>
      </c>
      <c r="I38" s="22">
        <f t="shared" si="5"/>
        <v>27.5</v>
      </c>
      <c r="J38" s="5">
        <v>14</v>
      </c>
      <c r="K38" s="23">
        <f t="shared" si="1"/>
        <v>13.75</v>
      </c>
      <c r="L38" s="58">
        <f>(IFERROR(VLOOKUP(C38,'Current Stocks July-26'!B:K,9,0),0))</f>
        <v>5</v>
      </c>
      <c r="M38" s="24">
        <f t="shared" si="2"/>
        <v>5.454545454545455</v>
      </c>
      <c r="N38" s="25" t="str">
        <f t="shared" si="3"/>
        <v>ORDER NOW</v>
      </c>
      <c r="O38" s="25" t="str">
        <f t="shared" si="4"/>
        <v>CRITICAL</v>
      </c>
      <c r="P38" s="5"/>
      <c r="Q38" s="5"/>
      <c r="R38" s="5"/>
      <c r="S38" s="90">
        <f>VLOOKUP(C38,[3]Sheet1!$C$3:$P$521,14,0)</f>
        <v>46138.481724537036</v>
      </c>
    </row>
    <row r="39" spans="1:19" ht="18.75" hidden="1" x14ac:dyDescent="0.25">
      <c r="A39" s="19">
        <v>52</v>
      </c>
      <c r="B39" s="19" t="s">
        <v>18</v>
      </c>
      <c r="C39" s="19" t="s">
        <v>854</v>
      </c>
      <c r="D39" s="29" t="s">
        <v>855</v>
      </c>
      <c r="E39" s="29" t="s">
        <v>856</v>
      </c>
      <c r="F39" s="5" t="s">
        <v>22</v>
      </c>
      <c r="G39" s="21">
        <f>1/1000</f>
        <v>1E-3</v>
      </c>
      <c r="H39" s="22">
        <v>10</v>
      </c>
      <c r="I39" s="22">
        <f t="shared" si="5"/>
        <v>10000</v>
      </c>
      <c r="J39" s="5">
        <v>14</v>
      </c>
      <c r="K39" s="23">
        <f t="shared" si="1"/>
        <v>5000</v>
      </c>
      <c r="L39" s="58">
        <f>(IFERROR(VLOOKUP(C39,'Current Stocks July-26'!B:K,9,0),0))</f>
        <v>0</v>
      </c>
      <c r="M39" s="24">
        <f t="shared" si="2"/>
        <v>0</v>
      </c>
      <c r="N39" s="25" t="str">
        <f t="shared" si="3"/>
        <v>ORDER NOW</v>
      </c>
      <c r="O39" s="25" t="str">
        <f t="shared" si="4"/>
        <v>CRITICAL</v>
      </c>
      <c r="P39" s="5"/>
      <c r="Q39" s="5"/>
      <c r="R39" s="5" t="s">
        <v>30</v>
      </c>
      <c r="S39" s="90">
        <f>VLOOKUP(C39,[3]Sheet1!$C$3:$P$521,14,0)</f>
        <v>46140.605983796297</v>
      </c>
    </row>
    <row r="40" spans="1:19" ht="18.75" hidden="1" x14ac:dyDescent="0.25">
      <c r="A40" s="19">
        <v>11</v>
      </c>
      <c r="B40" s="19" t="s">
        <v>18</v>
      </c>
      <c r="C40" s="19" t="s">
        <v>143</v>
      </c>
      <c r="D40" s="29" t="s">
        <v>144</v>
      </c>
      <c r="E40" s="29" t="s">
        <v>145</v>
      </c>
      <c r="F40" s="5" t="s">
        <v>22</v>
      </c>
      <c r="G40" s="21">
        <f>1/8000</f>
        <v>1.25E-4</v>
      </c>
      <c r="H40" s="22">
        <v>8</v>
      </c>
      <c r="I40" s="22">
        <f t="shared" si="5"/>
        <v>64000</v>
      </c>
      <c r="J40" s="5">
        <v>14</v>
      </c>
      <c r="K40" s="23">
        <f t="shared" si="1"/>
        <v>32000</v>
      </c>
      <c r="L40" s="58">
        <f>(IFERROR(VLOOKUP(C40,'Current Stocks July-26'!B:K,9,0),0))</f>
        <v>150</v>
      </c>
      <c r="M40" s="24">
        <f t="shared" si="2"/>
        <v>7.03125E-2</v>
      </c>
      <c r="N40" s="25" t="str">
        <f t="shared" si="3"/>
        <v>ORDER NOW</v>
      </c>
      <c r="O40" s="25" t="str">
        <f t="shared" si="4"/>
        <v>CRITICAL</v>
      </c>
      <c r="P40" s="5"/>
      <c r="Q40" s="5"/>
      <c r="R40" s="5" t="s">
        <v>30</v>
      </c>
      <c r="S40" s="90">
        <f>VLOOKUP(C40,[3]Sheet1!$C$3:$P$521,14,0)</f>
        <v>46141.525289351855</v>
      </c>
    </row>
    <row r="41" spans="1:19" ht="18.75" hidden="1" x14ac:dyDescent="0.25">
      <c r="A41" s="41">
        <v>353</v>
      </c>
      <c r="B41" s="41" t="s">
        <v>38</v>
      </c>
      <c r="C41" s="41" t="s">
        <v>769</v>
      </c>
      <c r="D41" s="27" t="s">
        <v>770</v>
      </c>
      <c r="E41" s="27" t="s">
        <v>70</v>
      </c>
      <c r="F41" s="5" t="s">
        <v>54</v>
      </c>
      <c r="G41" s="21">
        <v>0.1</v>
      </c>
      <c r="H41" s="22">
        <v>30.25</v>
      </c>
      <c r="I41" s="22">
        <f t="shared" si="5"/>
        <v>302.5</v>
      </c>
      <c r="J41" s="5">
        <v>14</v>
      </c>
      <c r="K41" s="23">
        <f t="shared" si="1"/>
        <v>151.25</v>
      </c>
      <c r="L41" s="58">
        <f>(IFERROR(VLOOKUP(C41,'Current Stocks July-26'!B:K,9,0),0))</f>
        <v>10</v>
      </c>
      <c r="M41" s="24">
        <f t="shared" si="2"/>
        <v>0.99173553719008267</v>
      </c>
      <c r="N41" s="25" t="str">
        <f t="shared" si="3"/>
        <v>ORDER NOW</v>
      </c>
      <c r="O41" s="25" t="str">
        <f t="shared" si="4"/>
        <v>CRITICAL</v>
      </c>
      <c r="P41" s="5"/>
      <c r="Q41" s="5"/>
      <c r="R41" s="5"/>
      <c r="S41" s="90">
        <f>VLOOKUP(C41,[3]Sheet1!$C$3:$P$521,14,0)</f>
        <v>46131.432013888887</v>
      </c>
    </row>
    <row r="42" spans="1:19" ht="18.75" hidden="1" x14ac:dyDescent="0.25">
      <c r="A42" s="41">
        <v>420</v>
      </c>
      <c r="B42" s="41" t="s">
        <v>38</v>
      </c>
      <c r="C42" s="41" t="s">
        <v>1151</v>
      </c>
      <c r="D42" s="27" t="s">
        <v>1152</v>
      </c>
      <c r="E42" s="27" t="s">
        <v>1153</v>
      </c>
      <c r="F42" s="5" t="s">
        <v>54</v>
      </c>
      <c r="G42" s="21">
        <v>2.2222222222222223E-2</v>
      </c>
      <c r="H42" s="22">
        <v>160</v>
      </c>
      <c r="I42" s="22">
        <f t="shared" si="5"/>
        <v>7200</v>
      </c>
      <c r="J42" s="5">
        <v>14</v>
      </c>
      <c r="K42" s="23">
        <f t="shared" si="1"/>
        <v>3600</v>
      </c>
      <c r="L42" s="58">
        <f>(IFERROR(VLOOKUP(C42,'Current Stocks July-26'!B:K,9,0),0))</f>
        <v>4840</v>
      </c>
      <c r="M42" s="24">
        <f t="shared" si="2"/>
        <v>20.166666666666668</v>
      </c>
      <c r="N42" s="25" t="str">
        <f t="shared" si="3"/>
        <v>IN STOCK</v>
      </c>
      <c r="O42" s="25" t="str">
        <f t="shared" si="4"/>
        <v>FOLLOW UP DELIVERY</v>
      </c>
      <c r="P42" s="5"/>
      <c r="Q42" s="5"/>
      <c r="R42" s="5"/>
      <c r="S42" s="90">
        <f>VLOOKUP(C42,[3]Sheet1!$C$3:$P$521,14,0)</f>
        <v>46138.481712962966</v>
      </c>
    </row>
    <row r="43" spans="1:19" ht="18.75" hidden="1" x14ac:dyDescent="0.25">
      <c r="A43" s="19">
        <v>135</v>
      </c>
      <c r="B43" s="19" t="s">
        <v>18</v>
      </c>
      <c r="C43" s="19" t="s">
        <v>1371</v>
      </c>
      <c r="D43" s="27" t="s">
        <v>1372</v>
      </c>
      <c r="E43" s="27" t="s">
        <v>25</v>
      </c>
      <c r="F43" s="5" t="s">
        <v>22</v>
      </c>
      <c r="G43" s="21">
        <v>2E-3</v>
      </c>
      <c r="H43" s="22">
        <v>7</v>
      </c>
      <c r="I43" s="22">
        <f t="shared" si="5"/>
        <v>3500</v>
      </c>
      <c r="J43" s="5">
        <v>14</v>
      </c>
      <c r="K43" s="23">
        <f t="shared" si="1"/>
        <v>1750</v>
      </c>
      <c r="L43" s="58">
        <f>(IFERROR(VLOOKUP(C43,'Current Stocks July-26'!B:K,9,0),0))</f>
        <v>5</v>
      </c>
      <c r="M43" s="24">
        <f t="shared" si="2"/>
        <v>4.2857142857142858E-2</v>
      </c>
      <c r="N43" s="25" t="str">
        <f t="shared" si="3"/>
        <v>ORDER NOW</v>
      </c>
      <c r="O43" s="25" t="str">
        <f t="shared" si="4"/>
        <v>CRITICAL</v>
      </c>
      <c r="P43" s="5"/>
      <c r="Q43" s="5"/>
      <c r="R43" s="5" t="s">
        <v>30</v>
      </c>
      <c r="S43" s="90">
        <f>VLOOKUP(C43,[3]Sheet1!$C$3:$P$521,14,0)</f>
        <v>46131.519444444442</v>
      </c>
    </row>
    <row r="44" spans="1:19" ht="18.75" hidden="1" x14ac:dyDescent="0.25">
      <c r="A44" s="39">
        <v>276</v>
      </c>
      <c r="B44" s="39" t="s">
        <v>157</v>
      </c>
      <c r="C44" s="39" t="s">
        <v>283</v>
      </c>
      <c r="D44" s="107" t="s">
        <v>284</v>
      </c>
      <c r="E44" s="27" t="s">
        <v>160</v>
      </c>
      <c r="F44" s="5" t="s">
        <v>49</v>
      </c>
      <c r="G44" s="21">
        <v>1</v>
      </c>
      <c r="H44" s="22">
        <v>600</v>
      </c>
      <c r="I44" s="22">
        <f t="shared" si="5"/>
        <v>600</v>
      </c>
      <c r="J44" s="5">
        <v>14</v>
      </c>
      <c r="K44" s="23">
        <f t="shared" si="1"/>
        <v>300</v>
      </c>
      <c r="L44" s="58">
        <f>(IFERROR(VLOOKUP(C44,'Current Stocks July-26'!B:K,9,0),0))</f>
        <v>0</v>
      </c>
      <c r="M44" s="24">
        <f t="shared" si="2"/>
        <v>0</v>
      </c>
      <c r="N44" s="25" t="str">
        <f t="shared" si="3"/>
        <v>ORDER NOW</v>
      </c>
      <c r="O44" s="25" t="str">
        <f t="shared" si="4"/>
        <v>CRITICAL</v>
      </c>
      <c r="P44" s="5"/>
      <c r="Q44" s="5"/>
      <c r="R44" s="5"/>
      <c r="S44" s="90">
        <f>VLOOKUP(C44,[3]Sheet1!$C$3:$P$521,14,0)</f>
        <v>46113.430902777778</v>
      </c>
    </row>
    <row r="45" spans="1:19" ht="18.75" hidden="1" x14ac:dyDescent="0.25">
      <c r="A45" s="39">
        <v>214</v>
      </c>
      <c r="B45" s="39" t="s">
        <v>123</v>
      </c>
      <c r="C45" s="39" t="s">
        <v>1089</v>
      </c>
      <c r="D45" s="27" t="s">
        <v>1090</v>
      </c>
      <c r="E45" s="27" t="s">
        <v>754</v>
      </c>
      <c r="F45" s="5" t="s">
        <v>49</v>
      </c>
      <c r="G45" s="21">
        <v>1</v>
      </c>
      <c r="H45" s="22">
        <v>120</v>
      </c>
      <c r="I45" s="22">
        <f t="shared" si="5"/>
        <v>120</v>
      </c>
      <c r="J45" s="5">
        <v>14</v>
      </c>
      <c r="K45" s="23">
        <f t="shared" si="1"/>
        <v>60</v>
      </c>
      <c r="L45" s="58">
        <f>(IFERROR(VLOOKUP(C45,'Current Stocks July-26'!B:K,9,0),0))</f>
        <v>64</v>
      </c>
      <c r="M45" s="24">
        <f t="shared" si="2"/>
        <v>16</v>
      </c>
      <c r="N45" s="25" t="str">
        <f t="shared" si="3"/>
        <v>IN STOCK</v>
      </c>
      <c r="O45" s="25" t="str">
        <f t="shared" si="4"/>
        <v>FOLLOW UP DELIVERY</v>
      </c>
      <c r="P45" s="5"/>
      <c r="Q45" s="5"/>
      <c r="R45" s="5"/>
      <c r="S45" s="90">
        <f>VLOOKUP(C45,[3]Sheet1!$C$3:$P$521,14,0)</f>
        <v>46131.517962962964</v>
      </c>
    </row>
    <row r="46" spans="1:19" ht="18.75" hidden="1" x14ac:dyDescent="0.25">
      <c r="A46" s="39">
        <v>270</v>
      </c>
      <c r="B46" s="39" t="s">
        <v>265</v>
      </c>
      <c r="C46" s="39" t="s">
        <v>277</v>
      </c>
      <c r="D46" s="27" t="s">
        <v>278</v>
      </c>
      <c r="E46" s="27" t="s">
        <v>78</v>
      </c>
      <c r="F46" s="5" t="s">
        <v>49</v>
      </c>
      <c r="G46" s="21">
        <v>1</v>
      </c>
      <c r="H46" s="22">
        <v>0</v>
      </c>
      <c r="I46" s="22">
        <f t="shared" si="5"/>
        <v>0</v>
      </c>
      <c r="J46" s="5">
        <v>14</v>
      </c>
      <c r="K46" s="23">
        <f t="shared" si="1"/>
        <v>0</v>
      </c>
      <c r="L46" s="58">
        <f>(IFERROR(VLOOKUP(C46,'Current Stocks July-26'!B:K,9,0),0))</f>
        <v>0</v>
      </c>
      <c r="M46" s="24">
        <f t="shared" si="2"/>
        <v>0</v>
      </c>
      <c r="N46" s="25" t="str">
        <f t="shared" si="3"/>
        <v>ORDER NOW</v>
      </c>
      <c r="O46" s="25" t="str">
        <f t="shared" si="4"/>
        <v>CRITICAL</v>
      </c>
      <c r="P46" s="5"/>
      <c r="Q46" s="5"/>
      <c r="R46" s="5"/>
      <c r="S46" s="90" t="e">
        <f>VLOOKUP(C46,[3]Sheet1!$C$3:$P$521,14,0)</f>
        <v>#N/A</v>
      </c>
    </row>
    <row r="47" spans="1:19" ht="18.75" hidden="1" x14ac:dyDescent="0.25">
      <c r="A47" s="19">
        <v>97</v>
      </c>
      <c r="B47" s="19" t="s">
        <v>18</v>
      </c>
      <c r="C47" s="19" t="s">
        <v>117</v>
      </c>
      <c r="D47" s="32" t="s">
        <v>118</v>
      </c>
      <c r="E47" s="27" t="s">
        <v>119</v>
      </c>
      <c r="F47" s="5" t="s">
        <v>22</v>
      </c>
      <c r="G47" s="21">
        <v>1E-3</v>
      </c>
      <c r="H47" s="22">
        <v>400</v>
      </c>
      <c r="I47" s="22">
        <f t="shared" si="5"/>
        <v>400000</v>
      </c>
      <c r="J47" s="5">
        <v>14</v>
      </c>
      <c r="K47" s="23">
        <f t="shared" si="1"/>
        <v>200000</v>
      </c>
      <c r="L47" s="58">
        <f>(IFERROR(VLOOKUP(C47,'Current Stocks July-26'!B:K,9,0),0))</f>
        <v>0</v>
      </c>
      <c r="M47" s="24">
        <f t="shared" si="2"/>
        <v>0</v>
      </c>
      <c r="N47" s="25" t="str">
        <f t="shared" si="3"/>
        <v>ORDER NOW</v>
      </c>
      <c r="O47" s="25" t="str">
        <f t="shared" si="4"/>
        <v>CRITICAL</v>
      </c>
      <c r="P47" s="5"/>
      <c r="Q47" s="5"/>
      <c r="R47" s="5" t="s">
        <v>30</v>
      </c>
      <c r="S47" s="90">
        <f>VLOOKUP(C47,[3]Sheet1!$C$3:$P$521,14,0)</f>
        <v>46128.686377314814</v>
      </c>
    </row>
    <row r="48" spans="1:19" ht="18.75" hidden="1" x14ac:dyDescent="0.25">
      <c r="A48" s="19">
        <v>13</v>
      </c>
      <c r="B48" s="19" t="s">
        <v>18</v>
      </c>
      <c r="C48" s="19" t="s">
        <v>1205</v>
      </c>
      <c r="D48" s="29" t="s">
        <v>1206</v>
      </c>
      <c r="E48" s="29" t="s">
        <v>1207</v>
      </c>
      <c r="F48" s="5" t="s">
        <v>22</v>
      </c>
      <c r="G48" s="21">
        <v>4.0000000000000001E-3</v>
      </c>
      <c r="H48" s="22">
        <v>110</v>
      </c>
      <c r="I48" s="22">
        <f t="shared" si="5"/>
        <v>27500</v>
      </c>
      <c r="J48" s="5">
        <v>14</v>
      </c>
      <c r="K48" s="23">
        <f t="shared" si="1"/>
        <v>13750</v>
      </c>
      <c r="L48" s="58">
        <f>(IFERROR(VLOOKUP(C48,'Current Stocks July-26'!B:K,9,0),0))</f>
        <v>3000</v>
      </c>
      <c r="M48" s="24">
        <f t="shared" si="2"/>
        <v>3.2727272727272725</v>
      </c>
      <c r="N48" s="25" t="str">
        <f t="shared" si="3"/>
        <v>ORDER NOW</v>
      </c>
      <c r="O48" s="25" t="str">
        <f t="shared" si="4"/>
        <v>CRITICAL</v>
      </c>
      <c r="P48" s="5"/>
      <c r="Q48" s="5"/>
      <c r="R48" s="5" t="s">
        <v>30</v>
      </c>
      <c r="S48" s="90">
        <f>VLOOKUP(C48,[3]Sheet1!$C$3:$P$521,14,0)</f>
        <v>46131.518368055556</v>
      </c>
    </row>
    <row r="49" spans="1:19" ht="18.75" hidden="1" x14ac:dyDescent="0.25">
      <c r="A49" s="19">
        <v>19</v>
      </c>
      <c r="B49" s="19" t="s">
        <v>18</v>
      </c>
      <c r="C49" s="19" t="s">
        <v>146</v>
      </c>
      <c r="D49" s="68" t="s">
        <v>147</v>
      </c>
      <c r="E49" s="27" t="s">
        <v>148</v>
      </c>
      <c r="F49" s="5" t="s">
        <v>22</v>
      </c>
      <c r="G49" s="21">
        <v>2.5000000000000001E-3</v>
      </c>
      <c r="H49" s="22">
        <v>0</v>
      </c>
      <c r="I49" s="22">
        <v>0</v>
      </c>
      <c r="J49" s="5">
        <v>14</v>
      </c>
      <c r="K49" s="23">
        <f t="shared" si="1"/>
        <v>0</v>
      </c>
      <c r="L49" s="58">
        <f>(IFERROR(VLOOKUP(C49,'Current Stocks July-26'!B:K,9,0),0))</f>
        <v>0</v>
      </c>
      <c r="M49" s="24">
        <f t="shared" si="2"/>
        <v>0</v>
      </c>
      <c r="N49" s="25" t="str">
        <f t="shared" si="3"/>
        <v>ORDER NOW</v>
      </c>
      <c r="O49" s="25" t="str">
        <f t="shared" si="4"/>
        <v>CRITICAL</v>
      </c>
      <c r="P49" s="5"/>
      <c r="Q49" s="5"/>
      <c r="R49" s="5" t="s">
        <v>26</v>
      </c>
      <c r="S49" s="90" t="e">
        <f>VLOOKUP(C49,[3]Sheet1!$C$3:$P$521,14,0)</f>
        <v>#N/A</v>
      </c>
    </row>
    <row r="50" spans="1:19" ht="18.75" hidden="1" x14ac:dyDescent="0.25">
      <c r="A50" s="19">
        <v>42</v>
      </c>
      <c r="B50" s="19" t="s">
        <v>18</v>
      </c>
      <c r="C50" s="19" t="s">
        <v>914</v>
      </c>
      <c r="D50" s="68" t="s">
        <v>915</v>
      </c>
      <c r="E50" s="29" t="s">
        <v>916</v>
      </c>
      <c r="F50" s="5" t="s">
        <v>49</v>
      </c>
      <c r="G50" s="21">
        <f>1/100</f>
        <v>0.01</v>
      </c>
      <c r="H50" s="22">
        <v>5.5</v>
      </c>
      <c r="I50" s="22">
        <f t="shared" ref="I50:I63" si="6">H50/G50</f>
        <v>550</v>
      </c>
      <c r="J50" s="5">
        <v>14</v>
      </c>
      <c r="K50" s="23">
        <f t="shared" si="1"/>
        <v>275</v>
      </c>
      <c r="L50" s="58">
        <f>(IFERROR(VLOOKUP(C50,'Current Stocks July-26'!B:K,9,0),0))</f>
        <v>0</v>
      </c>
      <c r="M50" s="24">
        <f t="shared" si="2"/>
        <v>0</v>
      </c>
      <c r="N50" s="25" t="str">
        <f t="shared" si="3"/>
        <v>ORDER NOW</v>
      </c>
      <c r="O50" s="25" t="str">
        <f t="shared" si="4"/>
        <v>CRITICAL</v>
      </c>
      <c r="P50" s="5"/>
      <c r="Q50" s="5"/>
      <c r="R50" s="5" t="s">
        <v>30</v>
      </c>
      <c r="S50" s="90">
        <f>VLOOKUP(C50,[3]Sheet1!$C$3:$P$521,14,0)</f>
        <v>46131.432083333333</v>
      </c>
    </row>
    <row r="51" spans="1:19" ht="18.75" hidden="1" x14ac:dyDescent="0.25">
      <c r="A51" s="19">
        <v>46</v>
      </c>
      <c r="B51" s="19" t="s">
        <v>18</v>
      </c>
      <c r="C51" s="19" t="s">
        <v>152</v>
      </c>
      <c r="D51" s="114" t="s">
        <v>153</v>
      </c>
      <c r="E51" s="29"/>
      <c r="F51" s="5" t="s">
        <v>22</v>
      </c>
      <c r="G51" s="21">
        <v>1</v>
      </c>
      <c r="H51" s="22">
        <v>5.5</v>
      </c>
      <c r="I51" s="22">
        <f t="shared" si="6"/>
        <v>5.5</v>
      </c>
      <c r="J51" s="5">
        <v>14</v>
      </c>
      <c r="K51" s="23">
        <f t="shared" si="1"/>
        <v>2.75</v>
      </c>
      <c r="L51" s="58">
        <f>(IFERROR(VLOOKUP(C51,'Current Stocks July-26'!B:K,9,0),0))</f>
        <v>0</v>
      </c>
      <c r="M51" s="24">
        <f t="shared" si="2"/>
        <v>0</v>
      </c>
      <c r="N51" s="25" t="str">
        <f t="shared" si="3"/>
        <v>ORDER NOW</v>
      </c>
      <c r="O51" s="25" t="str">
        <f t="shared" si="4"/>
        <v>CRITICAL</v>
      </c>
      <c r="P51" s="5"/>
      <c r="Q51" s="5"/>
      <c r="R51" s="5" t="s">
        <v>30</v>
      </c>
      <c r="S51" s="90">
        <f>VLOOKUP(C51,[3]Sheet1!$C$3:$P$521,14,0)</f>
        <v>46113.430879629632</v>
      </c>
    </row>
    <row r="52" spans="1:19" ht="18.75" hidden="1" x14ac:dyDescent="0.25">
      <c r="A52" s="19">
        <v>50</v>
      </c>
      <c r="B52" s="19" t="s">
        <v>157</v>
      </c>
      <c r="C52" s="19" t="s">
        <v>158</v>
      </c>
      <c r="D52" s="27" t="s">
        <v>159</v>
      </c>
      <c r="E52" s="27" t="s">
        <v>160</v>
      </c>
      <c r="F52" s="5" t="s">
        <v>49</v>
      </c>
      <c r="G52" s="21">
        <v>1</v>
      </c>
      <c r="H52" s="22">
        <v>44</v>
      </c>
      <c r="I52" s="22">
        <f t="shared" si="6"/>
        <v>44</v>
      </c>
      <c r="J52" s="5">
        <v>14</v>
      </c>
      <c r="K52" s="23">
        <f t="shared" si="1"/>
        <v>22</v>
      </c>
      <c r="L52" s="58">
        <f>(IFERROR(VLOOKUP(C52,'Current Stocks July-26'!B:K,9,0),0))</f>
        <v>0</v>
      </c>
      <c r="M52" s="24">
        <f t="shared" si="2"/>
        <v>0</v>
      </c>
      <c r="N52" s="25" t="str">
        <f t="shared" si="3"/>
        <v>ORDER NOW</v>
      </c>
      <c r="O52" s="25" t="str">
        <f t="shared" si="4"/>
        <v>CRITICAL</v>
      </c>
      <c r="P52" s="5"/>
      <c r="Q52" s="5"/>
      <c r="R52" s="5" t="s">
        <v>30</v>
      </c>
      <c r="S52" s="90">
        <f>VLOOKUP(C52,[3]Sheet1!$C$3:$P$521,14,0)</f>
        <v>46113.430879629632</v>
      </c>
    </row>
    <row r="53" spans="1:19" ht="18.75" hidden="1" x14ac:dyDescent="0.25">
      <c r="A53" s="19">
        <v>53</v>
      </c>
      <c r="B53" s="19" t="s">
        <v>18</v>
      </c>
      <c r="C53" s="19" t="s">
        <v>843</v>
      </c>
      <c r="D53" s="29" t="s">
        <v>844</v>
      </c>
      <c r="E53" s="29" t="s">
        <v>845</v>
      </c>
      <c r="F53" s="5" t="s">
        <v>22</v>
      </c>
      <c r="G53" s="21">
        <f>1/600</f>
        <v>1.6666666666666668E-3</v>
      </c>
      <c r="H53" s="22">
        <v>20</v>
      </c>
      <c r="I53" s="22">
        <f t="shared" si="6"/>
        <v>12000</v>
      </c>
      <c r="J53" s="5">
        <v>14</v>
      </c>
      <c r="K53" s="23">
        <f t="shared" si="1"/>
        <v>6000</v>
      </c>
      <c r="L53" s="58">
        <f>(IFERROR(VLOOKUP(C53,'Current Stocks July-26'!B:K,9,0),0))</f>
        <v>0</v>
      </c>
      <c r="M53" s="24">
        <f t="shared" si="2"/>
        <v>0</v>
      </c>
      <c r="N53" s="25" t="str">
        <f t="shared" si="3"/>
        <v>ORDER NOW</v>
      </c>
      <c r="O53" s="25" t="str">
        <f t="shared" si="4"/>
        <v>CRITICAL</v>
      </c>
      <c r="P53" s="5"/>
      <c r="Q53" s="5"/>
      <c r="R53" s="5" t="s">
        <v>30</v>
      </c>
      <c r="S53" s="90">
        <f>VLOOKUP(C53,[3]Sheet1!$C$3:$P$521,14,0)</f>
        <v>46128.687893518516</v>
      </c>
    </row>
    <row r="54" spans="1:19" ht="18.75" hidden="1" x14ac:dyDescent="0.25">
      <c r="A54" s="19">
        <v>55</v>
      </c>
      <c r="B54" s="19" t="s">
        <v>18</v>
      </c>
      <c r="C54" s="19" t="s">
        <v>1325</v>
      </c>
      <c r="D54" s="29" t="s">
        <v>1326</v>
      </c>
      <c r="E54" s="29" t="s">
        <v>1327</v>
      </c>
      <c r="F54" s="5" t="s">
        <v>22</v>
      </c>
      <c r="G54" s="21">
        <f>1/1200</f>
        <v>8.3333333333333339E-4</v>
      </c>
      <c r="H54" s="22">
        <v>10</v>
      </c>
      <c r="I54" s="22">
        <f t="shared" si="6"/>
        <v>12000</v>
      </c>
      <c r="J54" s="5">
        <v>14</v>
      </c>
      <c r="K54" s="23">
        <f t="shared" si="1"/>
        <v>6000</v>
      </c>
      <c r="L54" s="58">
        <f>(IFERROR(VLOOKUP(C54,'Current Stocks July-26'!B:K,9,0),0))</f>
        <v>0</v>
      </c>
      <c r="M54" s="24">
        <f t="shared" si="2"/>
        <v>0</v>
      </c>
      <c r="N54" s="25" t="str">
        <f t="shared" si="3"/>
        <v>ORDER NOW</v>
      </c>
      <c r="O54" s="25" t="str">
        <f t="shared" si="4"/>
        <v>CRITICAL</v>
      </c>
      <c r="P54" s="5"/>
      <c r="Q54" s="5"/>
      <c r="R54" s="5" t="s">
        <v>30</v>
      </c>
      <c r="S54" s="90">
        <f>VLOOKUP(C54,[3]Sheet1!$C$3:$P$521,14,0)</f>
        <v>46131.519212962965</v>
      </c>
    </row>
    <row r="55" spans="1:19" ht="18.75" hidden="1" x14ac:dyDescent="0.25">
      <c r="A55" s="19">
        <v>58</v>
      </c>
      <c r="B55" s="19" t="s">
        <v>18</v>
      </c>
      <c r="C55" s="19" t="s">
        <v>76</v>
      </c>
      <c r="D55" s="27" t="s">
        <v>77</v>
      </c>
      <c r="E55" s="27" t="s">
        <v>78</v>
      </c>
      <c r="F55" s="5" t="s">
        <v>49</v>
      </c>
      <c r="G55" s="21">
        <v>1</v>
      </c>
      <c r="H55" s="22">
        <v>20</v>
      </c>
      <c r="I55" s="22">
        <f t="shared" si="6"/>
        <v>20</v>
      </c>
      <c r="J55" s="5">
        <v>30</v>
      </c>
      <c r="K55" s="23">
        <f t="shared" si="1"/>
        <v>21.428571428571427</v>
      </c>
      <c r="L55" s="58">
        <f>(IFERROR(VLOOKUP(C55,'Current Stocks July-26'!B:K,9,0),0))</f>
        <v>0</v>
      </c>
      <c r="M55" s="24">
        <f t="shared" si="2"/>
        <v>0</v>
      </c>
      <c r="N55" s="25" t="str">
        <f t="shared" si="3"/>
        <v>ORDER NOW</v>
      </c>
      <c r="O55" s="25" t="str">
        <f t="shared" si="4"/>
        <v>CRITICAL</v>
      </c>
      <c r="P55" s="5"/>
      <c r="Q55" s="5"/>
      <c r="R55" s="5" t="s">
        <v>30</v>
      </c>
      <c r="S55" s="90" t="e">
        <f>VLOOKUP(C55,[3]Sheet1!$C$3:$P$521,14,0)</f>
        <v>#N/A</v>
      </c>
    </row>
    <row r="56" spans="1:19" ht="18.75" hidden="1" x14ac:dyDescent="0.25">
      <c r="A56" s="19">
        <v>59</v>
      </c>
      <c r="B56" s="19" t="s">
        <v>18</v>
      </c>
      <c r="C56" s="19" t="s">
        <v>161</v>
      </c>
      <c r="D56" s="27" t="s">
        <v>162</v>
      </c>
      <c r="E56" s="27" t="s">
        <v>78</v>
      </c>
      <c r="F56" s="5" t="s">
        <v>49</v>
      </c>
      <c r="G56" s="21">
        <v>1</v>
      </c>
      <c r="H56" s="22">
        <v>40</v>
      </c>
      <c r="I56" s="22">
        <f t="shared" si="6"/>
        <v>40</v>
      </c>
      <c r="J56" s="5">
        <v>30</v>
      </c>
      <c r="K56" s="23">
        <f t="shared" si="1"/>
        <v>42.857142857142854</v>
      </c>
      <c r="L56" s="58">
        <f>(IFERROR(VLOOKUP(C56,'Current Stocks July-26'!B:K,9,0),0))</f>
        <v>0</v>
      </c>
      <c r="M56" s="24">
        <f t="shared" si="2"/>
        <v>0</v>
      </c>
      <c r="N56" s="25" t="str">
        <f t="shared" si="3"/>
        <v>ORDER NOW</v>
      </c>
      <c r="O56" s="25" t="str">
        <f t="shared" si="4"/>
        <v>CRITICAL</v>
      </c>
      <c r="P56" s="5"/>
      <c r="Q56" s="5"/>
      <c r="R56" s="5" t="s">
        <v>30</v>
      </c>
      <c r="S56" s="90" t="e">
        <f>VLOOKUP(C56,[3]Sheet1!$C$3:$P$521,14,0)</f>
        <v>#N/A</v>
      </c>
    </row>
    <row r="57" spans="1:19" ht="18.75" hidden="1" x14ac:dyDescent="0.25">
      <c r="A57" s="19">
        <v>60</v>
      </c>
      <c r="B57" s="19" t="s">
        <v>18</v>
      </c>
      <c r="C57" s="19" t="s">
        <v>163</v>
      </c>
      <c r="D57" s="27" t="s">
        <v>164</v>
      </c>
      <c r="E57" s="27" t="s">
        <v>78</v>
      </c>
      <c r="F57" s="5" t="s">
        <v>49</v>
      </c>
      <c r="G57" s="21">
        <v>1</v>
      </c>
      <c r="H57" s="22">
        <v>10</v>
      </c>
      <c r="I57" s="22">
        <f t="shared" si="6"/>
        <v>10</v>
      </c>
      <c r="J57" s="5">
        <v>30</v>
      </c>
      <c r="K57" s="23">
        <f t="shared" si="1"/>
        <v>10.714285714285714</v>
      </c>
      <c r="L57" s="58">
        <f>(IFERROR(VLOOKUP(C57,'Current Stocks July-26'!B:K,9,0),0))</f>
        <v>0</v>
      </c>
      <c r="M57" s="24">
        <f t="shared" si="2"/>
        <v>0</v>
      </c>
      <c r="N57" s="25" t="str">
        <f t="shared" si="3"/>
        <v>ORDER NOW</v>
      </c>
      <c r="O57" s="25" t="str">
        <f t="shared" si="4"/>
        <v>CRITICAL</v>
      </c>
      <c r="P57" s="5"/>
      <c r="Q57" s="5"/>
      <c r="R57" s="5" t="s">
        <v>30</v>
      </c>
      <c r="S57" s="90" t="e">
        <f>VLOOKUP(C57,[3]Sheet1!$C$3:$P$521,14,0)</f>
        <v>#N/A</v>
      </c>
    </row>
    <row r="58" spans="1:19" ht="18.75" hidden="1" x14ac:dyDescent="0.25">
      <c r="A58" s="19">
        <v>64</v>
      </c>
      <c r="B58" s="19" t="s">
        <v>18</v>
      </c>
      <c r="C58" s="19" t="s">
        <v>43</v>
      </c>
      <c r="D58" s="29" t="s">
        <v>44</v>
      </c>
      <c r="E58" s="29" t="s">
        <v>45</v>
      </c>
      <c r="F58" s="5" t="s">
        <v>46</v>
      </c>
      <c r="G58" s="21">
        <v>2E-3</v>
      </c>
      <c r="H58" s="22">
        <v>5.5</v>
      </c>
      <c r="I58" s="22">
        <f t="shared" si="6"/>
        <v>2750</v>
      </c>
      <c r="J58" s="5">
        <v>14</v>
      </c>
      <c r="K58" s="23">
        <f t="shared" si="1"/>
        <v>1375</v>
      </c>
      <c r="L58" s="58">
        <f>(IFERROR(VLOOKUP(C58,'Current Stocks July-26'!B:K,9,0),0))</f>
        <v>0</v>
      </c>
      <c r="M58" s="24">
        <f t="shared" si="2"/>
        <v>0</v>
      </c>
      <c r="N58" s="25" t="str">
        <f t="shared" si="3"/>
        <v>ORDER NOW</v>
      </c>
      <c r="O58" s="25" t="str">
        <f t="shared" si="4"/>
        <v>CRITICAL</v>
      </c>
      <c r="P58" s="5"/>
      <c r="Q58" s="5"/>
      <c r="R58" s="5" t="s">
        <v>30</v>
      </c>
      <c r="S58" s="90">
        <f>VLOOKUP(C58,[3]Sheet1!$C$3:$P$521,14,0)</f>
        <v>46141.52511574074</v>
      </c>
    </row>
    <row r="59" spans="1:19" ht="18.75" hidden="1" x14ac:dyDescent="0.25">
      <c r="A59" s="19">
        <v>65</v>
      </c>
      <c r="B59" s="19" t="s">
        <v>18</v>
      </c>
      <c r="C59" s="19" t="s">
        <v>165</v>
      </c>
      <c r="D59" s="27" t="s">
        <v>166</v>
      </c>
      <c r="E59" s="27" t="s">
        <v>167</v>
      </c>
      <c r="F59" s="5" t="s">
        <v>22</v>
      </c>
      <c r="G59" s="21">
        <v>1E-3</v>
      </c>
      <c r="H59" s="22">
        <v>0</v>
      </c>
      <c r="I59" s="22">
        <f t="shared" si="6"/>
        <v>0</v>
      </c>
      <c r="J59" s="5">
        <v>14</v>
      </c>
      <c r="K59" s="23">
        <f t="shared" si="1"/>
        <v>0</v>
      </c>
      <c r="L59" s="58">
        <f>(IFERROR(VLOOKUP(C59,'Current Stocks July-26'!B:K,9,0),0))</f>
        <v>0</v>
      </c>
      <c r="M59" s="24">
        <f t="shared" si="2"/>
        <v>0</v>
      </c>
      <c r="N59" s="25" t="str">
        <f t="shared" si="3"/>
        <v>ORDER NOW</v>
      </c>
      <c r="O59" s="25" t="str">
        <f t="shared" si="4"/>
        <v>CRITICAL</v>
      </c>
      <c r="P59" s="5"/>
      <c r="Q59" s="5"/>
      <c r="R59" s="5" t="s">
        <v>30</v>
      </c>
      <c r="S59" s="90" t="e">
        <f>VLOOKUP(C59,[3]Sheet1!$C$3:$P$521,14,0)</f>
        <v>#N/A</v>
      </c>
    </row>
    <row r="60" spans="1:19" ht="18.75" hidden="1" x14ac:dyDescent="0.25">
      <c r="A60" s="19">
        <v>66</v>
      </c>
      <c r="B60" s="19" t="s">
        <v>18</v>
      </c>
      <c r="C60" s="19" t="s">
        <v>168</v>
      </c>
      <c r="D60" s="107" t="s">
        <v>169</v>
      </c>
      <c r="E60" s="27" t="s">
        <v>170</v>
      </c>
      <c r="F60" s="5" t="s">
        <v>22</v>
      </c>
      <c r="G60" s="21">
        <v>4.1666666666666664E-2</v>
      </c>
      <c r="H60" s="22">
        <v>5.5</v>
      </c>
      <c r="I60" s="22">
        <f t="shared" si="6"/>
        <v>132</v>
      </c>
      <c r="J60" s="5">
        <v>14</v>
      </c>
      <c r="K60" s="23">
        <f t="shared" si="1"/>
        <v>66</v>
      </c>
      <c r="L60" s="58">
        <f>(IFERROR(VLOOKUP(C60,'Current Stocks July-26'!B:K,9,0),0))</f>
        <v>0</v>
      </c>
      <c r="M60" s="24">
        <f t="shared" si="2"/>
        <v>0</v>
      </c>
      <c r="N60" s="25" t="str">
        <f t="shared" si="3"/>
        <v>ORDER NOW</v>
      </c>
      <c r="O60" s="25" t="str">
        <f t="shared" si="4"/>
        <v>CRITICAL</v>
      </c>
      <c r="P60" s="5"/>
      <c r="Q60" s="5"/>
      <c r="R60" s="5" t="s">
        <v>30</v>
      </c>
      <c r="S60" s="90">
        <f>VLOOKUP(C60,[3]Sheet1!$C$3:$P$521,14,0)</f>
        <v>46113.430891203701</v>
      </c>
    </row>
    <row r="61" spans="1:19" ht="18.75" hidden="1" x14ac:dyDescent="0.25">
      <c r="A61" s="19">
        <v>69</v>
      </c>
      <c r="B61" s="19" t="s">
        <v>18</v>
      </c>
      <c r="C61" s="19" t="s">
        <v>171</v>
      </c>
      <c r="D61" s="29" t="s">
        <v>172</v>
      </c>
      <c r="E61" s="29"/>
      <c r="F61" s="5"/>
      <c r="G61" s="21">
        <v>1</v>
      </c>
      <c r="H61" s="22">
        <v>5.5</v>
      </c>
      <c r="I61" s="22">
        <f t="shared" si="6"/>
        <v>5.5</v>
      </c>
      <c r="J61" s="5">
        <v>14</v>
      </c>
      <c r="K61" s="23">
        <f t="shared" si="1"/>
        <v>2.75</v>
      </c>
      <c r="L61" s="58">
        <f>(IFERROR(VLOOKUP(C61,'Current Stocks July-26'!B:K,9,0),0))</f>
        <v>0</v>
      </c>
      <c r="M61" s="24">
        <f t="shared" si="2"/>
        <v>0</v>
      </c>
      <c r="N61" s="25" t="str">
        <f t="shared" si="3"/>
        <v>ORDER NOW</v>
      </c>
      <c r="O61" s="25" t="str">
        <f t="shared" si="4"/>
        <v>CRITICAL</v>
      </c>
      <c r="P61" s="5"/>
      <c r="Q61" s="5"/>
      <c r="R61" s="5" t="s">
        <v>30</v>
      </c>
      <c r="S61" s="90">
        <f>VLOOKUP(C61,[3]Sheet1!$C$3:$P$521,14,0)</f>
        <v>46113.430891203701</v>
      </c>
    </row>
    <row r="62" spans="1:19" ht="18.75" hidden="1" x14ac:dyDescent="0.25">
      <c r="A62" s="19">
        <v>72</v>
      </c>
      <c r="B62" s="19" t="s">
        <v>18</v>
      </c>
      <c r="C62" s="19" t="s">
        <v>173</v>
      </c>
      <c r="D62" s="27" t="s">
        <v>174</v>
      </c>
      <c r="E62" s="27" t="s">
        <v>175</v>
      </c>
      <c r="F62" s="5" t="s">
        <v>22</v>
      </c>
      <c r="G62" s="21">
        <f>1/50</f>
        <v>0.02</v>
      </c>
      <c r="H62" s="22">
        <v>11</v>
      </c>
      <c r="I62" s="22">
        <f t="shared" si="6"/>
        <v>550</v>
      </c>
      <c r="J62" s="5">
        <v>14</v>
      </c>
      <c r="K62" s="23">
        <f t="shared" si="1"/>
        <v>275</v>
      </c>
      <c r="L62" s="58">
        <f>(IFERROR(VLOOKUP(C62,'Current Stocks July-26'!B:K,9,0),0))</f>
        <v>0</v>
      </c>
      <c r="M62" s="24">
        <f t="shared" si="2"/>
        <v>0</v>
      </c>
      <c r="N62" s="25" t="str">
        <f t="shared" si="3"/>
        <v>ORDER NOW</v>
      </c>
      <c r="O62" s="25" t="str">
        <f t="shared" si="4"/>
        <v>CRITICAL</v>
      </c>
      <c r="P62" s="5"/>
      <c r="Q62" s="5"/>
      <c r="R62" s="5" t="s">
        <v>30</v>
      </c>
      <c r="S62" s="90">
        <f>VLOOKUP(C62,[3]Sheet1!$C$3:$P$521,14,0)</f>
        <v>46114.517268518517</v>
      </c>
    </row>
    <row r="63" spans="1:19" ht="18.75" hidden="1" x14ac:dyDescent="0.25">
      <c r="A63" s="19">
        <v>94</v>
      </c>
      <c r="B63" s="19" t="s">
        <v>18</v>
      </c>
      <c r="C63" s="19" t="s">
        <v>23</v>
      </c>
      <c r="D63" s="68" t="s">
        <v>24</v>
      </c>
      <c r="E63" s="27" t="s">
        <v>25</v>
      </c>
      <c r="F63" s="5" t="s">
        <v>22</v>
      </c>
      <c r="G63" s="21">
        <v>2E-3</v>
      </c>
      <c r="H63" s="22">
        <v>8</v>
      </c>
      <c r="I63" s="22">
        <f t="shared" si="6"/>
        <v>4000</v>
      </c>
      <c r="J63" s="5">
        <v>14</v>
      </c>
      <c r="K63" s="23">
        <f t="shared" si="1"/>
        <v>2000</v>
      </c>
      <c r="L63" s="58">
        <f>(IFERROR(VLOOKUP(C63,'Current Stocks July-26'!B:K,9,0),0))</f>
        <v>19000</v>
      </c>
      <c r="M63" s="24">
        <f t="shared" si="2"/>
        <v>142.5</v>
      </c>
      <c r="N63" s="25" t="str">
        <f t="shared" si="3"/>
        <v>IN STOCK</v>
      </c>
      <c r="O63" s="25" t="str">
        <f t="shared" si="4"/>
        <v>FOLLOW UP DELIVERY</v>
      </c>
      <c r="P63" s="5"/>
      <c r="Q63" s="5"/>
      <c r="R63" s="5" t="s">
        <v>26</v>
      </c>
      <c r="S63" s="90" t="e">
        <f>VLOOKUP(C63,[3]Sheet1!$C$3:$P$521,14,0)</f>
        <v>#N/A</v>
      </c>
    </row>
    <row r="64" spans="1:19" ht="18.75" hidden="1" x14ac:dyDescent="0.25">
      <c r="A64" s="19">
        <v>95</v>
      </c>
      <c r="B64" s="19" t="s">
        <v>18</v>
      </c>
      <c r="C64" s="19" t="s">
        <v>178</v>
      </c>
      <c r="D64" s="68" t="s">
        <v>179</v>
      </c>
      <c r="E64" s="27" t="s">
        <v>180</v>
      </c>
      <c r="F64" s="5" t="s">
        <v>22</v>
      </c>
      <c r="G64" s="21">
        <v>1E-3</v>
      </c>
      <c r="H64" s="22">
        <v>0</v>
      </c>
      <c r="I64" s="22">
        <v>0</v>
      </c>
      <c r="J64" s="5">
        <v>14</v>
      </c>
      <c r="K64" s="23">
        <f t="shared" si="1"/>
        <v>0</v>
      </c>
      <c r="L64" s="58">
        <f>(IFERROR(VLOOKUP(C64,'Current Stocks July-26'!B:K,9,0),0))</f>
        <v>0</v>
      </c>
      <c r="M64" s="24">
        <f t="shared" si="2"/>
        <v>0</v>
      </c>
      <c r="N64" s="25" t="str">
        <f t="shared" si="3"/>
        <v>ORDER NOW</v>
      </c>
      <c r="O64" s="25" t="str">
        <f t="shared" si="4"/>
        <v>CRITICAL</v>
      </c>
      <c r="P64" s="5"/>
      <c r="Q64" s="5"/>
      <c r="R64" s="5" t="s">
        <v>26</v>
      </c>
      <c r="S64" s="90" t="e">
        <f>VLOOKUP(C64,[3]Sheet1!$C$3:$P$521,14,0)</f>
        <v>#N/A</v>
      </c>
    </row>
    <row r="65" spans="1:20" ht="18.75" hidden="1" x14ac:dyDescent="0.25">
      <c r="A65" s="19">
        <v>107</v>
      </c>
      <c r="B65" s="19" t="s">
        <v>18</v>
      </c>
      <c r="C65" s="19" t="s">
        <v>181</v>
      </c>
      <c r="D65" s="27" t="s">
        <v>182</v>
      </c>
      <c r="E65" s="27" t="s">
        <v>183</v>
      </c>
      <c r="F65" s="5" t="s">
        <v>22</v>
      </c>
      <c r="G65" s="21">
        <v>5.0000000000000001E-3</v>
      </c>
      <c r="H65" s="22">
        <v>25</v>
      </c>
      <c r="I65" s="22">
        <f t="shared" ref="I65:I71" si="7">H65/G65</f>
        <v>5000</v>
      </c>
      <c r="J65" s="5">
        <v>14</v>
      </c>
      <c r="K65" s="23">
        <f t="shared" si="1"/>
        <v>2500</v>
      </c>
      <c r="L65" s="58">
        <f>(IFERROR(VLOOKUP(C65,'Current Stocks July-26'!B:K,9,0),0))</f>
        <v>0</v>
      </c>
      <c r="M65" s="24">
        <f t="shared" si="2"/>
        <v>0</v>
      </c>
      <c r="N65" s="25" t="str">
        <f t="shared" si="3"/>
        <v>ORDER NOW</v>
      </c>
      <c r="O65" s="25" t="str">
        <f t="shared" si="4"/>
        <v>CRITICAL</v>
      </c>
      <c r="P65" s="5"/>
      <c r="Q65" s="5"/>
      <c r="R65" s="5" t="s">
        <v>30</v>
      </c>
      <c r="S65" s="90">
        <f>VLOOKUP(C65,[3]Sheet1!$C$3:$P$521,14,0)</f>
        <v>46113.430891203701</v>
      </c>
    </row>
    <row r="66" spans="1:20" ht="18.75" hidden="1" x14ac:dyDescent="0.25">
      <c r="A66" s="19">
        <v>108</v>
      </c>
      <c r="B66" s="19" t="s">
        <v>18</v>
      </c>
      <c r="C66" s="19" t="s">
        <v>184</v>
      </c>
      <c r="D66" s="68" t="s">
        <v>185</v>
      </c>
      <c r="E66" s="27" t="s">
        <v>186</v>
      </c>
      <c r="F66" s="5" t="s">
        <v>22</v>
      </c>
      <c r="G66" s="21">
        <v>2E-3</v>
      </c>
      <c r="H66" s="22">
        <v>16</v>
      </c>
      <c r="I66" s="22">
        <f t="shared" si="7"/>
        <v>8000</v>
      </c>
      <c r="J66" s="5">
        <v>14</v>
      </c>
      <c r="K66" s="23">
        <f t="shared" si="1"/>
        <v>4000</v>
      </c>
      <c r="L66" s="58">
        <f>(IFERROR(VLOOKUP(C66,'Current Stocks July-26'!B:K,9,0),0))</f>
        <v>1000</v>
      </c>
      <c r="M66" s="24">
        <f t="shared" si="2"/>
        <v>3.75</v>
      </c>
      <c r="N66" s="25" t="str">
        <f t="shared" si="3"/>
        <v>ORDER NOW</v>
      </c>
      <c r="O66" s="25" t="str">
        <f t="shared" si="4"/>
        <v>CRITICAL</v>
      </c>
      <c r="P66" s="5"/>
      <c r="Q66" s="5"/>
      <c r="R66" s="5" t="s">
        <v>30</v>
      </c>
      <c r="S66" s="90" t="e">
        <f>VLOOKUP(C66,[3]Sheet1!$C$3:$P$521,14,0)</f>
        <v>#N/A</v>
      </c>
      <c r="T66" t="s">
        <v>1635</v>
      </c>
    </row>
    <row r="67" spans="1:20" ht="18.75" hidden="1" x14ac:dyDescent="0.25">
      <c r="A67" s="19">
        <v>111</v>
      </c>
      <c r="B67" s="19" t="s">
        <v>18</v>
      </c>
      <c r="C67" s="19" t="s">
        <v>884</v>
      </c>
      <c r="D67" s="27" t="s">
        <v>885</v>
      </c>
      <c r="E67" s="27" t="s">
        <v>180</v>
      </c>
      <c r="F67" s="5" t="s">
        <v>22</v>
      </c>
      <c r="G67" s="21">
        <f>1/1000</f>
        <v>1E-3</v>
      </c>
      <c r="H67" s="22">
        <v>15</v>
      </c>
      <c r="I67" s="22">
        <f t="shared" si="7"/>
        <v>15000</v>
      </c>
      <c r="J67" s="5">
        <v>14</v>
      </c>
      <c r="K67" s="23">
        <f t="shared" ref="K67:K130" si="8">I67*(J67/28)</f>
        <v>7500</v>
      </c>
      <c r="L67" s="58">
        <f>(IFERROR(VLOOKUP(C67,'Current Stocks July-26'!B:K,9,0),0))</f>
        <v>0</v>
      </c>
      <c r="M67" s="24">
        <f t="shared" ref="M67:M130" si="9">IFERROR((L67/I67*30),0)</f>
        <v>0</v>
      </c>
      <c r="N67" s="25" t="str">
        <f t="shared" ref="N67:N130" si="10">IF(M67&lt;J67,"ORDER NOW","IN STOCK")</f>
        <v>ORDER NOW</v>
      </c>
      <c r="O67" s="25" t="str">
        <f t="shared" ref="O67:O130" si="11">IF(M67&lt;J67,"CRITICAL","FOLLOW UP DELIVERY")</f>
        <v>CRITICAL</v>
      </c>
      <c r="P67" s="5"/>
      <c r="Q67" s="5"/>
      <c r="R67" s="5" t="s">
        <v>30</v>
      </c>
      <c r="S67" s="90">
        <f>VLOOKUP(C67,[3]Sheet1!$C$3:$P$521,14,0)</f>
        <v>46128.688148148147</v>
      </c>
    </row>
    <row r="68" spans="1:20" ht="18.75" hidden="1" x14ac:dyDescent="0.25">
      <c r="A68" s="19">
        <v>112</v>
      </c>
      <c r="B68" s="19" t="s">
        <v>18</v>
      </c>
      <c r="C68" s="19" t="s">
        <v>187</v>
      </c>
      <c r="D68" s="27" t="s">
        <v>188</v>
      </c>
      <c r="E68" s="27" t="s">
        <v>180</v>
      </c>
      <c r="F68" s="5" t="s">
        <v>22</v>
      </c>
      <c r="G68" s="21">
        <f>1/1000</f>
        <v>1E-3</v>
      </c>
      <c r="H68" s="22">
        <v>15</v>
      </c>
      <c r="I68" s="22">
        <f t="shared" si="7"/>
        <v>15000</v>
      </c>
      <c r="J68" s="5">
        <v>14</v>
      </c>
      <c r="K68" s="23">
        <f t="shared" si="8"/>
        <v>7500</v>
      </c>
      <c r="L68" s="58">
        <f>(IFERROR(VLOOKUP(C68,'Current Stocks July-26'!B:K,9,0),0))</f>
        <v>0</v>
      </c>
      <c r="M68" s="24">
        <f t="shared" si="9"/>
        <v>0</v>
      </c>
      <c r="N68" s="25" t="str">
        <f t="shared" si="10"/>
        <v>ORDER NOW</v>
      </c>
      <c r="O68" s="25" t="str">
        <f t="shared" si="11"/>
        <v>CRITICAL</v>
      </c>
      <c r="P68" s="5"/>
      <c r="Q68" s="5"/>
      <c r="R68" s="5" t="s">
        <v>30</v>
      </c>
      <c r="S68" s="90">
        <f>VLOOKUP(C68,[3]Sheet1!$C$3:$P$521,14,0)</f>
        <v>46113.430891203701</v>
      </c>
    </row>
    <row r="69" spans="1:20" ht="18.75" hidden="1" x14ac:dyDescent="0.25">
      <c r="A69" s="19">
        <v>116</v>
      </c>
      <c r="B69" s="19" t="s">
        <v>18</v>
      </c>
      <c r="C69" s="19" t="s">
        <v>189</v>
      </c>
      <c r="D69" s="68" t="s">
        <v>190</v>
      </c>
      <c r="E69" s="27" t="s">
        <v>191</v>
      </c>
      <c r="F69" s="5" t="s">
        <v>22</v>
      </c>
      <c r="G69" s="21">
        <v>1E-3</v>
      </c>
      <c r="H69" s="22">
        <v>8</v>
      </c>
      <c r="I69" s="22">
        <f t="shared" si="7"/>
        <v>8000</v>
      </c>
      <c r="J69" s="5">
        <v>14</v>
      </c>
      <c r="K69" s="23">
        <f t="shared" si="8"/>
        <v>4000</v>
      </c>
      <c r="L69" s="58">
        <f>(IFERROR(VLOOKUP(C69,'Current Stocks July-26'!B:K,9,0),0))</f>
        <v>0</v>
      </c>
      <c r="M69" s="24">
        <f t="shared" si="9"/>
        <v>0</v>
      </c>
      <c r="N69" s="25" t="str">
        <f t="shared" si="10"/>
        <v>ORDER NOW</v>
      </c>
      <c r="O69" s="25" t="str">
        <f t="shared" si="11"/>
        <v>CRITICAL</v>
      </c>
      <c r="P69" s="5"/>
      <c r="Q69" s="5"/>
      <c r="R69" s="5" t="s">
        <v>30</v>
      </c>
      <c r="S69" s="90">
        <f>VLOOKUP(C69,[3]Sheet1!$C$3:$P$521,14,0)</f>
        <v>46113.430891203701</v>
      </c>
    </row>
    <row r="70" spans="1:20" ht="18.75" hidden="1" x14ac:dyDescent="0.25">
      <c r="A70" s="19">
        <v>127</v>
      </c>
      <c r="B70" s="19" t="s">
        <v>18</v>
      </c>
      <c r="C70" s="19" t="s">
        <v>194</v>
      </c>
      <c r="D70" s="68" t="s">
        <v>195</v>
      </c>
      <c r="E70" s="27" t="s">
        <v>196</v>
      </c>
      <c r="F70" s="5" t="s">
        <v>46</v>
      </c>
      <c r="G70" s="21">
        <v>0.01</v>
      </c>
      <c r="H70" s="22">
        <v>300</v>
      </c>
      <c r="I70" s="22">
        <f t="shared" si="7"/>
        <v>30000</v>
      </c>
      <c r="J70" s="5">
        <v>14</v>
      </c>
      <c r="K70" s="23">
        <f t="shared" si="8"/>
        <v>15000</v>
      </c>
      <c r="L70" s="58">
        <f>(IFERROR(VLOOKUP(C70,'Current Stocks July-26'!B:K,9,0),0))</f>
        <v>0</v>
      </c>
      <c r="M70" s="24">
        <f t="shared" si="9"/>
        <v>0</v>
      </c>
      <c r="N70" s="25" t="str">
        <f t="shared" si="10"/>
        <v>ORDER NOW</v>
      </c>
      <c r="O70" s="25" t="str">
        <f t="shared" si="11"/>
        <v>CRITICAL</v>
      </c>
      <c r="P70" s="5"/>
      <c r="Q70" s="5"/>
      <c r="R70" s="5" t="s">
        <v>30</v>
      </c>
      <c r="S70" s="90">
        <f>VLOOKUP(C70,[3]Sheet1!$C$3:$P$521,14,0)</f>
        <v>46113.430891203701</v>
      </c>
    </row>
    <row r="71" spans="1:20" ht="18.75" hidden="1" x14ac:dyDescent="0.25">
      <c r="A71" s="19">
        <v>136</v>
      </c>
      <c r="B71" s="19" t="s">
        <v>18</v>
      </c>
      <c r="C71" s="19" t="s">
        <v>199</v>
      </c>
      <c r="D71" s="27" t="s">
        <v>200</v>
      </c>
      <c r="E71" s="27" t="s">
        <v>201</v>
      </c>
      <c r="F71" s="5" t="s">
        <v>46</v>
      </c>
      <c r="G71" s="21">
        <v>0.02</v>
      </c>
      <c r="H71" s="22">
        <v>0</v>
      </c>
      <c r="I71" s="22">
        <f t="shared" si="7"/>
        <v>0</v>
      </c>
      <c r="J71" s="5">
        <v>14</v>
      </c>
      <c r="K71" s="23">
        <f t="shared" si="8"/>
        <v>0</v>
      </c>
      <c r="L71" s="58">
        <f>(IFERROR(VLOOKUP(C71,'Current Stocks July-26'!B:K,9,0),0))</f>
        <v>0</v>
      </c>
      <c r="M71" s="24">
        <f t="shared" si="9"/>
        <v>0</v>
      </c>
      <c r="N71" s="25" t="str">
        <f t="shared" si="10"/>
        <v>ORDER NOW</v>
      </c>
      <c r="O71" s="25" t="str">
        <f t="shared" si="11"/>
        <v>CRITICAL</v>
      </c>
      <c r="P71" s="5"/>
      <c r="Q71" s="5"/>
      <c r="R71" s="5" t="s">
        <v>30</v>
      </c>
      <c r="S71" s="90">
        <f>VLOOKUP(C71,[3]Sheet1!$C$3:$P$521,14,0)</f>
        <v>46113.430891203701</v>
      </c>
    </row>
    <row r="72" spans="1:20" ht="18.75" hidden="1" x14ac:dyDescent="0.25">
      <c r="A72" s="19">
        <v>137</v>
      </c>
      <c r="B72" s="19" t="s">
        <v>18</v>
      </c>
      <c r="C72" s="19" t="s">
        <v>1084</v>
      </c>
      <c r="D72" s="65" t="s">
        <v>1085</v>
      </c>
      <c r="E72" s="32" t="s">
        <v>49</v>
      </c>
      <c r="F72" s="5" t="s">
        <v>49</v>
      </c>
      <c r="G72" s="21">
        <f>1/200</f>
        <v>5.0000000000000001E-3</v>
      </c>
      <c r="H72" s="22">
        <v>0</v>
      </c>
      <c r="I72" s="22">
        <v>5000</v>
      </c>
      <c r="J72" s="5">
        <v>14</v>
      </c>
      <c r="K72" s="23">
        <f t="shared" si="8"/>
        <v>2500</v>
      </c>
      <c r="L72" s="58">
        <f>(IFERROR(VLOOKUP(C72,'Current Stocks July-26'!B:K,9,0),0))</f>
        <v>5</v>
      </c>
      <c r="M72" s="24">
        <f t="shared" si="9"/>
        <v>0.03</v>
      </c>
      <c r="N72" s="25" t="str">
        <f t="shared" si="10"/>
        <v>ORDER NOW</v>
      </c>
      <c r="O72" s="25" t="str">
        <f t="shared" si="11"/>
        <v>CRITICAL</v>
      </c>
      <c r="P72" s="5"/>
      <c r="Q72" s="5"/>
      <c r="R72" s="5" t="s">
        <v>30</v>
      </c>
      <c r="S72" s="90" t="e">
        <f>VLOOKUP(C72,[3]Sheet1!$C$3:$P$521,14,0)</f>
        <v>#N/A</v>
      </c>
    </row>
    <row r="73" spans="1:20" ht="18.75" hidden="1" x14ac:dyDescent="0.25">
      <c r="A73" s="19">
        <v>144</v>
      </c>
      <c r="B73" s="19" t="s">
        <v>18</v>
      </c>
      <c r="C73" s="19" t="s">
        <v>202</v>
      </c>
      <c r="D73" s="29" t="s">
        <v>203</v>
      </c>
      <c r="E73" s="27" t="s">
        <v>49</v>
      </c>
      <c r="F73" s="5" t="s">
        <v>49</v>
      </c>
      <c r="G73" s="21">
        <v>1</v>
      </c>
      <c r="H73" s="22">
        <v>0</v>
      </c>
      <c r="I73" s="22">
        <v>200</v>
      </c>
      <c r="J73" s="5">
        <v>14</v>
      </c>
      <c r="K73" s="23">
        <f t="shared" si="8"/>
        <v>100</v>
      </c>
      <c r="L73" s="58">
        <f>(IFERROR(VLOOKUP(C73,'Current Stocks July-26'!B:K,9,0),0))</f>
        <v>0</v>
      </c>
      <c r="M73" s="24">
        <f t="shared" si="9"/>
        <v>0</v>
      </c>
      <c r="N73" s="25" t="str">
        <f t="shared" si="10"/>
        <v>ORDER NOW</v>
      </c>
      <c r="O73" s="25" t="str">
        <f t="shared" si="11"/>
        <v>CRITICAL</v>
      </c>
      <c r="P73" s="5"/>
      <c r="Q73" s="5"/>
      <c r="R73" s="5" t="s">
        <v>30</v>
      </c>
      <c r="S73" s="90">
        <f>VLOOKUP(C73,[3]Sheet1!$C$3:$P$521,14,0)</f>
        <v>46113.430891203701</v>
      </c>
    </row>
    <row r="74" spans="1:20" ht="18.75" hidden="1" x14ac:dyDescent="0.25">
      <c r="A74" s="19">
        <v>150</v>
      </c>
      <c r="B74" s="19" t="s">
        <v>18</v>
      </c>
      <c r="C74" s="19" t="s">
        <v>206</v>
      </c>
      <c r="D74" s="27" t="s">
        <v>207</v>
      </c>
      <c r="E74" s="27" t="s">
        <v>208</v>
      </c>
      <c r="F74" s="5" t="s">
        <v>46</v>
      </c>
      <c r="G74" s="21">
        <f>1/500</f>
        <v>2E-3</v>
      </c>
      <c r="H74" s="22">
        <v>6</v>
      </c>
      <c r="I74" s="22">
        <f t="shared" ref="I74:I82" si="12">H74/G74</f>
        <v>3000</v>
      </c>
      <c r="J74" s="5">
        <v>14</v>
      </c>
      <c r="K74" s="23">
        <f t="shared" si="8"/>
        <v>1500</v>
      </c>
      <c r="L74" s="58">
        <f>(IFERROR(VLOOKUP(C74,'Current Stocks July-26'!B:K,9,0),0))</f>
        <v>0</v>
      </c>
      <c r="M74" s="24">
        <f t="shared" si="9"/>
        <v>0</v>
      </c>
      <c r="N74" s="25" t="str">
        <f t="shared" si="10"/>
        <v>ORDER NOW</v>
      </c>
      <c r="O74" s="25" t="str">
        <f t="shared" si="11"/>
        <v>CRITICAL</v>
      </c>
      <c r="P74" s="5"/>
      <c r="Q74" s="5"/>
      <c r="R74" s="5" t="s">
        <v>30</v>
      </c>
      <c r="S74" s="90">
        <f>VLOOKUP(C74,[3]Sheet1!$C$3:$P$521,14,0)</f>
        <v>46113.430902777778</v>
      </c>
    </row>
    <row r="75" spans="1:20" ht="18.75" hidden="1" x14ac:dyDescent="0.25">
      <c r="A75" s="19">
        <v>153</v>
      </c>
      <c r="B75" s="19" t="s">
        <v>18</v>
      </c>
      <c r="C75" s="19" t="s">
        <v>1474</v>
      </c>
      <c r="D75" s="27" t="s">
        <v>1475</v>
      </c>
      <c r="E75" s="27" t="s">
        <v>180</v>
      </c>
      <c r="F75" s="5" t="s">
        <v>49</v>
      </c>
      <c r="G75" s="21">
        <f>1/1000</f>
        <v>1E-3</v>
      </c>
      <c r="H75" s="22">
        <v>5</v>
      </c>
      <c r="I75" s="22">
        <f t="shared" si="12"/>
        <v>5000</v>
      </c>
      <c r="J75" s="5">
        <v>14</v>
      </c>
      <c r="K75" s="23">
        <f t="shared" si="8"/>
        <v>2500</v>
      </c>
      <c r="L75" s="58">
        <f>(IFERROR(VLOOKUP(C75,'Current Stocks July-26'!B:K,9,0),0))</f>
        <v>5000</v>
      </c>
      <c r="M75" s="24">
        <f t="shared" si="9"/>
        <v>30</v>
      </c>
      <c r="N75" s="25" t="str">
        <f t="shared" si="10"/>
        <v>IN STOCK</v>
      </c>
      <c r="O75" s="25" t="str">
        <f t="shared" si="11"/>
        <v>FOLLOW UP DELIVERY</v>
      </c>
      <c r="P75" s="5"/>
      <c r="Q75" s="5"/>
      <c r="R75" s="5" t="s">
        <v>30</v>
      </c>
      <c r="S75" s="90">
        <f>VLOOKUP(C75,[3]Sheet1!$C$3:$P$521,14,0)</f>
        <v>46131.519988425927</v>
      </c>
    </row>
    <row r="76" spans="1:20" ht="18.75" hidden="1" x14ac:dyDescent="0.25">
      <c r="A76" s="19">
        <v>157</v>
      </c>
      <c r="B76" s="19" t="s">
        <v>18</v>
      </c>
      <c r="C76" s="19" t="s">
        <v>214</v>
      </c>
      <c r="D76" s="29" t="s">
        <v>215</v>
      </c>
      <c r="E76" s="27" t="s">
        <v>216</v>
      </c>
      <c r="F76" s="5" t="s">
        <v>49</v>
      </c>
      <c r="G76" s="21">
        <f>1/25</f>
        <v>0.04</v>
      </c>
      <c r="H76" s="22">
        <v>400</v>
      </c>
      <c r="I76" s="22">
        <f t="shared" si="12"/>
        <v>10000</v>
      </c>
      <c r="J76" s="5">
        <v>14</v>
      </c>
      <c r="K76" s="23">
        <f t="shared" si="8"/>
        <v>5000</v>
      </c>
      <c r="L76" s="58">
        <f>(IFERROR(VLOOKUP(C76,'Current Stocks July-26'!B:K,9,0),0))</f>
        <v>0</v>
      </c>
      <c r="M76" s="24">
        <f t="shared" si="9"/>
        <v>0</v>
      </c>
      <c r="N76" s="25" t="str">
        <f t="shared" si="10"/>
        <v>ORDER NOW</v>
      </c>
      <c r="O76" s="25" t="str">
        <f t="shared" si="11"/>
        <v>CRITICAL</v>
      </c>
      <c r="P76" s="5"/>
      <c r="Q76" s="5"/>
      <c r="R76" s="5"/>
      <c r="S76" s="90">
        <f>VLOOKUP(C76,[3]Sheet1!$C$3:$P$521,14,0)</f>
        <v>46113.430902777778</v>
      </c>
    </row>
    <row r="77" spans="1:20" ht="18.75" hidden="1" x14ac:dyDescent="0.25">
      <c r="A77" s="19">
        <v>158</v>
      </c>
      <c r="B77" s="19" t="s">
        <v>157</v>
      </c>
      <c r="C77" s="19" t="s">
        <v>217</v>
      </c>
      <c r="D77" s="68" t="s">
        <v>218</v>
      </c>
      <c r="E77" s="27" t="s">
        <v>78</v>
      </c>
      <c r="F77" s="5" t="s">
        <v>49</v>
      </c>
      <c r="G77" s="21">
        <v>1</v>
      </c>
      <c r="H77" s="22">
        <v>80</v>
      </c>
      <c r="I77" s="22">
        <f t="shared" si="12"/>
        <v>80</v>
      </c>
      <c r="J77" s="5">
        <v>14</v>
      </c>
      <c r="K77" s="23">
        <f t="shared" si="8"/>
        <v>40</v>
      </c>
      <c r="L77" s="58">
        <f>(IFERROR(VLOOKUP(C77,'Current Stocks July-26'!B:K,9,0),0))</f>
        <v>0</v>
      </c>
      <c r="M77" s="24">
        <f t="shared" si="9"/>
        <v>0</v>
      </c>
      <c r="N77" s="25" t="str">
        <f t="shared" si="10"/>
        <v>ORDER NOW</v>
      </c>
      <c r="O77" s="25" t="str">
        <f t="shared" si="11"/>
        <v>CRITICAL</v>
      </c>
      <c r="P77" s="5"/>
      <c r="Q77" s="5"/>
      <c r="R77" s="5"/>
      <c r="S77" s="90">
        <f>VLOOKUP(C77,[3]Sheet1!$C$3:$P$521,14,0)</f>
        <v>46113.430902777778</v>
      </c>
    </row>
    <row r="78" spans="1:20" ht="18.75" hidden="1" x14ac:dyDescent="0.25">
      <c r="A78" s="19">
        <v>160</v>
      </c>
      <c r="B78" s="19" t="s">
        <v>18</v>
      </c>
      <c r="C78" s="19" t="s">
        <v>141</v>
      </c>
      <c r="D78" s="68" t="s">
        <v>142</v>
      </c>
      <c r="E78" s="27" t="s">
        <v>78</v>
      </c>
      <c r="F78" s="5" t="s">
        <v>49</v>
      </c>
      <c r="G78" s="21">
        <v>1</v>
      </c>
      <c r="H78" s="22">
        <v>60000</v>
      </c>
      <c r="I78" s="22">
        <f t="shared" si="12"/>
        <v>60000</v>
      </c>
      <c r="J78" s="5">
        <v>14</v>
      </c>
      <c r="K78" s="23">
        <f t="shared" si="8"/>
        <v>30000</v>
      </c>
      <c r="L78" s="58">
        <f>(IFERROR(VLOOKUP(C78,'Current Stocks July-26'!B:K,9,0),0))</f>
        <v>0</v>
      </c>
      <c r="M78" s="24">
        <f t="shared" si="9"/>
        <v>0</v>
      </c>
      <c r="N78" s="25" t="str">
        <f t="shared" si="10"/>
        <v>ORDER NOW</v>
      </c>
      <c r="O78" s="25" t="str">
        <f t="shared" si="11"/>
        <v>CRITICAL</v>
      </c>
      <c r="P78" s="5"/>
      <c r="Q78" s="5"/>
      <c r="R78" s="5"/>
      <c r="S78" s="90">
        <f>VLOOKUP(C78,[3]Sheet1!$C$3:$P$521,14,0)</f>
        <v>46138.481400462966</v>
      </c>
    </row>
    <row r="79" spans="1:20" ht="18.75" hidden="1" x14ac:dyDescent="0.25">
      <c r="A79" s="19">
        <v>170</v>
      </c>
      <c r="B79" s="19" t="s">
        <v>18</v>
      </c>
      <c r="C79" s="19" t="s">
        <v>221</v>
      </c>
      <c r="D79" s="68" t="s">
        <v>222</v>
      </c>
      <c r="E79" s="27" t="s">
        <v>223</v>
      </c>
      <c r="F79" s="5" t="s">
        <v>22</v>
      </c>
      <c r="G79" s="21">
        <v>6.6666666666666671E-3</v>
      </c>
      <c r="H79" s="22">
        <v>50</v>
      </c>
      <c r="I79" s="22">
        <f t="shared" si="12"/>
        <v>7499.9999999999991</v>
      </c>
      <c r="J79" s="5">
        <v>14</v>
      </c>
      <c r="K79" s="23">
        <f t="shared" si="8"/>
        <v>3749.9999999999995</v>
      </c>
      <c r="L79" s="58">
        <f>(IFERROR(VLOOKUP(C79,'Current Stocks July-26'!B:K,9,0),0))</f>
        <v>0</v>
      </c>
      <c r="M79" s="24">
        <f t="shared" si="9"/>
        <v>0</v>
      </c>
      <c r="N79" s="25" t="str">
        <f t="shared" si="10"/>
        <v>ORDER NOW</v>
      </c>
      <c r="O79" s="25" t="str">
        <f t="shared" si="11"/>
        <v>CRITICAL</v>
      </c>
      <c r="P79" s="5"/>
      <c r="Q79" s="5"/>
      <c r="R79" s="5"/>
      <c r="S79" s="90">
        <f>VLOOKUP(C79,[3]Sheet1!$C$3:$P$521,14,0)</f>
        <v>46113.430902777778</v>
      </c>
    </row>
    <row r="80" spans="1:20" ht="18.75" hidden="1" x14ac:dyDescent="0.25">
      <c r="A80" s="19">
        <v>173</v>
      </c>
      <c r="B80" s="19" t="s">
        <v>18</v>
      </c>
      <c r="C80" s="19" t="s">
        <v>36</v>
      </c>
      <c r="D80" s="37" t="s">
        <v>37</v>
      </c>
      <c r="E80" s="31" t="s">
        <v>22</v>
      </c>
      <c r="F80" s="5" t="s">
        <v>22</v>
      </c>
      <c r="G80" s="21">
        <v>1</v>
      </c>
      <c r="H80" s="22">
        <v>2</v>
      </c>
      <c r="I80" s="22">
        <f t="shared" si="12"/>
        <v>2</v>
      </c>
      <c r="J80" s="5">
        <v>14</v>
      </c>
      <c r="K80" s="23">
        <f t="shared" si="8"/>
        <v>1</v>
      </c>
      <c r="L80" s="58">
        <f>(IFERROR(VLOOKUP(C80,'Current Stocks July-26'!B:K,9,0),0))</f>
        <v>0</v>
      </c>
      <c r="M80" s="24">
        <f t="shared" si="9"/>
        <v>0</v>
      </c>
      <c r="N80" s="25" t="str">
        <f t="shared" si="10"/>
        <v>ORDER NOW</v>
      </c>
      <c r="O80" s="25" t="str">
        <f t="shared" si="11"/>
        <v>CRITICAL</v>
      </c>
      <c r="P80" s="5"/>
      <c r="Q80" s="5"/>
      <c r="R80" s="5"/>
      <c r="S80" s="90">
        <f>VLOOKUP(C80,[3]Sheet1!$C$3:$P$521,14,0)</f>
        <v>46141.52516203704</v>
      </c>
    </row>
    <row r="81" spans="1:19" ht="18.75" hidden="1" x14ac:dyDescent="0.25">
      <c r="A81" s="19">
        <v>177</v>
      </c>
      <c r="B81" s="19" t="s">
        <v>18</v>
      </c>
      <c r="C81" s="19" t="s">
        <v>224</v>
      </c>
      <c r="D81" s="108" t="s">
        <v>225</v>
      </c>
      <c r="E81" s="31" t="s">
        <v>22</v>
      </c>
      <c r="F81" s="5" t="s">
        <v>22</v>
      </c>
      <c r="G81" s="21">
        <v>3.1250000000000002E-3</v>
      </c>
      <c r="H81" s="22">
        <v>10</v>
      </c>
      <c r="I81" s="22">
        <f t="shared" si="12"/>
        <v>3200</v>
      </c>
      <c r="J81" s="5">
        <v>14</v>
      </c>
      <c r="K81" s="23">
        <f t="shared" si="8"/>
        <v>1600</v>
      </c>
      <c r="L81" s="58">
        <f>(IFERROR(VLOOKUP(C81,'Current Stocks July-26'!B:K,9,0),0))</f>
        <v>0</v>
      </c>
      <c r="M81" s="24">
        <f t="shared" si="9"/>
        <v>0</v>
      </c>
      <c r="N81" s="25" t="str">
        <f t="shared" si="10"/>
        <v>ORDER NOW</v>
      </c>
      <c r="O81" s="25" t="str">
        <f t="shared" si="11"/>
        <v>CRITICAL</v>
      </c>
      <c r="P81" s="5"/>
      <c r="Q81" s="5"/>
      <c r="R81" s="5"/>
      <c r="S81" s="90">
        <f>VLOOKUP(C81,[3]Sheet1!$C$3:$P$521,14,0)</f>
        <v>46113.430902777778</v>
      </c>
    </row>
    <row r="82" spans="1:19" ht="18.75" x14ac:dyDescent="0.25">
      <c r="A82" s="39">
        <v>185</v>
      </c>
      <c r="B82" s="39" t="s">
        <v>18</v>
      </c>
      <c r="C82" s="39" t="s">
        <v>230</v>
      </c>
      <c r="D82" s="109" t="s">
        <v>231</v>
      </c>
      <c r="E82" s="32" t="s">
        <v>160</v>
      </c>
      <c r="F82" s="5" t="s">
        <v>49</v>
      </c>
      <c r="G82" s="21">
        <v>1</v>
      </c>
      <c r="H82" s="22">
        <v>0</v>
      </c>
      <c r="I82" s="22">
        <f t="shared" si="12"/>
        <v>0</v>
      </c>
      <c r="J82" s="5">
        <v>14</v>
      </c>
      <c r="K82" s="23">
        <f t="shared" si="8"/>
        <v>0</v>
      </c>
      <c r="L82" s="58">
        <f>(IFERROR(VLOOKUP(C82,'Current Stocks July-26'!B:K,9,0),0))</f>
        <v>0</v>
      </c>
      <c r="M82" s="24">
        <f t="shared" si="9"/>
        <v>0</v>
      </c>
      <c r="N82" s="25" t="str">
        <f t="shared" si="10"/>
        <v>ORDER NOW</v>
      </c>
      <c r="O82" s="25" t="str">
        <f t="shared" si="11"/>
        <v>CRITICAL</v>
      </c>
      <c r="P82" s="5"/>
      <c r="Q82" s="5"/>
      <c r="R82" s="5"/>
      <c r="S82" s="90" t="e">
        <f>VLOOKUP(C82,[3]Sheet1!$C$3:$P$521,14,0)</f>
        <v>#N/A</v>
      </c>
    </row>
    <row r="83" spans="1:19" ht="18.75" hidden="1" x14ac:dyDescent="0.25">
      <c r="A83" s="39">
        <v>188</v>
      </c>
      <c r="B83" s="39" t="s">
        <v>18</v>
      </c>
      <c r="C83" s="39" t="s">
        <v>232</v>
      </c>
      <c r="D83" s="27" t="s">
        <v>233</v>
      </c>
      <c r="E83" s="27" t="s">
        <v>78</v>
      </c>
      <c r="F83" s="5" t="s">
        <v>49</v>
      </c>
      <c r="G83" s="21">
        <v>1</v>
      </c>
      <c r="H83" s="22">
        <v>11</v>
      </c>
      <c r="I83" s="22"/>
      <c r="J83" s="5">
        <v>14</v>
      </c>
      <c r="K83" s="23">
        <f t="shared" si="8"/>
        <v>0</v>
      </c>
      <c r="L83" s="58">
        <f>(IFERROR(VLOOKUP(C83,'Current Stocks July-26'!B:K,9,0),0))</f>
        <v>0</v>
      </c>
      <c r="M83" s="24">
        <f t="shared" si="9"/>
        <v>0</v>
      </c>
      <c r="N83" s="25" t="str">
        <f t="shared" si="10"/>
        <v>ORDER NOW</v>
      </c>
      <c r="O83" s="25" t="str">
        <f t="shared" si="11"/>
        <v>CRITICAL</v>
      </c>
      <c r="P83" s="5"/>
      <c r="Q83" s="5"/>
      <c r="R83" s="5"/>
      <c r="S83" s="90" t="e">
        <f>VLOOKUP(C83,[3]Sheet1!$C$3:$P$521,14,0)</f>
        <v>#N/A</v>
      </c>
    </row>
    <row r="84" spans="1:19" ht="18.75" hidden="1" x14ac:dyDescent="0.25">
      <c r="A84" s="39">
        <v>189</v>
      </c>
      <c r="B84" s="39" t="s">
        <v>234</v>
      </c>
      <c r="C84" s="39" t="s">
        <v>235</v>
      </c>
      <c r="D84" s="68" t="s">
        <v>236</v>
      </c>
      <c r="E84" s="27" t="s">
        <v>78</v>
      </c>
      <c r="F84" s="5" t="s">
        <v>49</v>
      </c>
      <c r="G84" s="21">
        <v>1</v>
      </c>
      <c r="H84" s="22">
        <v>0</v>
      </c>
      <c r="I84" s="22">
        <f t="shared" ref="I84:I103" si="13">H84/G84</f>
        <v>0</v>
      </c>
      <c r="J84" s="5">
        <v>14</v>
      </c>
      <c r="K84" s="23">
        <f t="shared" si="8"/>
        <v>0</v>
      </c>
      <c r="L84" s="58">
        <f>(IFERROR(VLOOKUP(C84,'Current Stocks July-26'!B:K,9,0),0))</f>
        <v>0</v>
      </c>
      <c r="M84" s="24">
        <f t="shared" si="9"/>
        <v>0</v>
      </c>
      <c r="N84" s="25" t="str">
        <f t="shared" si="10"/>
        <v>ORDER NOW</v>
      </c>
      <c r="O84" s="25" t="str">
        <f t="shared" si="11"/>
        <v>CRITICAL</v>
      </c>
      <c r="P84" s="5"/>
      <c r="Q84" s="5"/>
      <c r="R84" s="5"/>
      <c r="S84" s="90" t="e">
        <f>VLOOKUP(C84,[3]Sheet1!$C$3:$P$521,14,0)</f>
        <v>#N/A</v>
      </c>
    </row>
    <row r="85" spans="1:19" ht="18.75" hidden="1" x14ac:dyDescent="0.25">
      <c r="A85" s="39">
        <v>194</v>
      </c>
      <c r="B85" s="39" t="s">
        <v>157</v>
      </c>
      <c r="C85" s="39" t="s">
        <v>673</v>
      </c>
      <c r="D85" s="27" t="s">
        <v>674</v>
      </c>
      <c r="E85" s="27" t="s">
        <v>675</v>
      </c>
      <c r="F85" s="5" t="s">
        <v>22</v>
      </c>
      <c r="G85" s="21">
        <v>0.1</v>
      </c>
      <c r="H85" s="22">
        <v>33</v>
      </c>
      <c r="I85" s="22">
        <f t="shared" si="13"/>
        <v>330</v>
      </c>
      <c r="J85" s="5">
        <v>14</v>
      </c>
      <c r="K85" s="23">
        <f t="shared" si="8"/>
        <v>165</v>
      </c>
      <c r="L85" s="58">
        <f>(IFERROR(VLOOKUP(C85,'Current Stocks July-26'!B:K,9,0),0))</f>
        <v>0</v>
      </c>
      <c r="M85" s="24">
        <f t="shared" si="9"/>
        <v>0</v>
      </c>
      <c r="N85" s="25" t="str">
        <f t="shared" si="10"/>
        <v>ORDER NOW</v>
      </c>
      <c r="O85" s="25" t="str">
        <f t="shared" si="11"/>
        <v>CRITICAL</v>
      </c>
      <c r="P85" s="5"/>
      <c r="Q85" s="5"/>
      <c r="R85" s="5"/>
      <c r="S85" s="90">
        <f>VLOOKUP(C85,[3]Sheet1!$C$3:$P$521,14,0)</f>
        <v>46113.430949074071</v>
      </c>
    </row>
    <row r="86" spans="1:19" ht="18.75" hidden="1" x14ac:dyDescent="0.25">
      <c r="A86" s="39">
        <v>195</v>
      </c>
      <c r="B86" s="39" t="s">
        <v>18</v>
      </c>
      <c r="C86" s="39" t="s">
        <v>237</v>
      </c>
      <c r="D86" s="110" t="s">
        <v>238</v>
      </c>
      <c r="E86" s="31" t="s">
        <v>160</v>
      </c>
      <c r="F86" s="5" t="s">
        <v>49</v>
      </c>
      <c r="G86" s="21">
        <v>1</v>
      </c>
      <c r="H86" s="22">
        <v>11</v>
      </c>
      <c r="I86" s="22">
        <f t="shared" si="13"/>
        <v>11</v>
      </c>
      <c r="J86" s="5">
        <v>14</v>
      </c>
      <c r="K86" s="23">
        <f t="shared" si="8"/>
        <v>5.5</v>
      </c>
      <c r="L86" s="58">
        <f>(IFERROR(VLOOKUP(C86,'Current Stocks July-26'!B:K,9,0),0))</f>
        <v>0</v>
      </c>
      <c r="M86" s="24">
        <f t="shared" si="9"/>
        <v>0</v>
      </c>
      <c r="N86" s="25" t="str">
        <f t="shared" si="10"/>
        <v>ORDER NOW</v>
      </c>
      <c r="O86" s="25" t="str">
        <f t="shared" si="11"/>
        <v>CRITICAL</v>
      </c>
      <c r="P86" s="5"/>
      <c r="Q86" s="5"/>
      <c r="R86" s="5"/>
      <c r="S86" s="90">
        <f>VLOOKUP(C86,[3]Sheet1!$C$3:$P$521,14,0)</f>
        <v>46138.481412037036</v>
      </c>
    </row>
    <row r="87" spans="1:19" ht="18.75" hidden="1" x14ac:dyDescent="0.25">
      <c r="A87" s="39">
        <v>196</v>
      </c>
      <c r="B87" s="39" t="s">
        <v>239</v>
      </c>
      <c r="C87" s="39" t="s">
        <v>240</v>
      </c>
      <c r="D87" s="27" t="s">
        <v>241</v>
      </c>
      <c r="E87" s="27" t="s">
        <v>160</v>
      </c>
      <c r="F87" s="5" t="s">
        <v>49</v>
      </c>
      <c r="G87" s="21">
        <v>1</v>
      </c>
      <c r="H87" s="22">
        <v>680</v>
      </c>
      <c r="I87" s="22">
        <f t="shared" si="13"/>
        <v>680</v>
      </c>
      <c r="J87" s="5">
        <v>14</v>
      </c>
      <c r="K87" s="23">
        <f t="shared" si="8"/>
        <v>340</v>
      </c>
      <c r="L87" s="58">
        <f>(IFERROR(VLOOKUP(C87,'Current Stocks July-26'!B:K,9,0),0))</f>
        <v>0</v>
      </c>
      <c r="M87" s="24">
        <f t="shared" si="9"/>
        <v>0</v>
      </c>
      <c r="N87" s="25" t="str">
        <f t="shared" si="10"/>
        <v>ORDER NOW</v>
      </c>
      <c r="O87" s="25" t="str">
        <f t="shared" si="11"/>
        <v>CRITICAL</v>
      </c>
      <c r="P87" s="5"/>
      <c r="Q87" s="5"/>
      <c r="R87" s="5"/>
      <c r="S87" s="90">
        <f>VLOOKUP(C87,[3]Sheet1!$C$3:$P$521,14,0)</f>
        <v>46113.430902777778</v>
      </c>
    </row>
    <row r="88" spans="1:19" ht="18.75" hidden="1" x14ac:dyDescent="0.25">
      <c r="A88" s="39">
        <v>197</v>
      </c>
      <c r="B88" s="39" t="s">
        <v>239</v>
      </c>
      <c r="C88" s="39" t="s">
        <v>755</v>
      </c>
      <c r="D88" s="27" t="s">
        <v>756</v>
      </c>
      <c r="E88" s="27" t="s">
        <v>160</v>
      </c>
      <c r="F88" s="5" t="s">
        <v>49</v>
      </c>
      <c r="G88" s="21">
        <v>1</v>
      </c>
      <c r="H88" s="22">
        <v>220</v>
      </c>
      <c r="I88" s="22">
        <f t="shared" si="13"/>
        <v>220</v>
      </c>
      <c r="J88" s="5">
        <v>14</v>
      </c>
      <c r="K88" s="23">
        <f t="shared" si="8"/>
        <v>110</v>
      </c>
      <c r="L88" s="58">
        <f>(IFERROR(VLOOKUP(C88,'Current Stocks July-26'!B:K,9,0),0))</f>
        <v>0</v>
      </c>
      <c r="M88" s="24">
        <f t="shared" si="9"/>
        <v>0</v>
      </c>
      <c r="N88" s="25" t="str">
        <f t="shared" si="10"/>
        <v>ORDER NOW</v>
      </c>
      <c r="O88" s="25" t="str">
        <f t="shared" si="11"/>
        <v>CRITICAL</v>
      </c>
      <c r="P88" s="5"/>
      <c r="Q88" s="5"/>
      <c r="R88" s="5"/>
      <c r="S88" s="90">
        <f>VLOOKUP(C88,[3]Sheet1!$C$3:$P$521,14,0)</f>
        <v>46138.481458333335</v>
      </c>
    </row>
    <row r="89" spans="1:19" ht="18.75" hidden="1" x14ac:dyDescent="0.25">
      <c r="A89" s="39">
        <v>204</v>
      </c>
      <c r="B89" s="39" t="s">
        <v>242</v>
      </c>
      <c r="C89" s="39" t="s">
        <v>243</v>
      </c>
      <c r="D89" s="31" t="s">
        <v>244</v>
      </c>
      <c r="E89" s="31" t="s">
        <v>160</v>
      </c>
      <c r="F89" s="5" t="s">
        <v>49</v>
      </c>
      <c r="G89" s="21">
        <v>1</v>
      </c>
      <c r="H89" s="22">
        <v>88</v>
      </c>
      <c r="I89" s="22">
        <f t="shared" si="13"/>
        <v>88</v>
      </c>
      <c r="J89" s="5">
        <v>14</v>
      </c>
      <c r="K89" s="23">
        <f t="shared" si="8"/>
        <v>44</v>
      </c>
      <c r="L89" s="58">
        <f>(IFERROR(VLOOKUP(C89,'Current Stocks July-26'!B:K,9,0),0))</f>
        <v>0</v>
      </c>
      <c r="M89" s="24">
        <f t="shared" si="9"/>
        <v>0</v>
      </c>
      <c r="N89" s="25" t="str">
        <f t="shared" si="10"/>
        <v>ORDER NOW</v>
      </c>
      <c r="O89" s="25" t="str">
        <f t="shared" si="11"/>
        <v>CRITICAL</v>
      </c>
      <c r="P89" s="5"/>
      <c r="Q89" s="5"/>
      <c r="R89" s="5"/>
      <c r="S89" s="90">
        <f>VLOOKUP(C89,[3]Sheet1!$C$3:$P$521,14,0)</f>
        <v>46113.430902777778</v>
      </c>
    </row>
    <row r="90" spans="1:19" ht="18.75" hidden="1" x14ac:dyDescent="0.25">
      <c r="A90" s="39">
        <v>205</v>
      </c>
      <c r="B90" s="39" t="s">
        <v>239</v>
      </c>
      <c r="C90" s="39" t="s">
        <v>245</v>
      </c>
      <c r="D90" s="27" t="s">
        <v>246</v>
      </c>
      <c r="E90" s="27" t="s">
        <v>160</v>
      </c>
      <c r="F90" s="5" t="s">
        <v>49</v>
      </c>
      <c r="G90" s="21">
        <v>1</v>
      </c>
      <c r="H90" s="22">
        <v>0</v>
      </c>
      <c r="I90" s="22">
        <f t="shared" si="13"/>
        <v>0</v>
      </c>
      <c r="J90" s="5">
        <v>14</v>
      </c>
      <c r="K90" s="23">
        <f t="shared" si="8"/>
        <v>0</v>
      </c>
      <c r="L90" s="58">
        <f>(IFERROR(VLOOKUP(C90,'Current Stocks July-26'!B:K,9,0),0))</f>
        <v>0</v>
      </c>
      <c r="M90" s="24">
        <f t="shared" si="9"/>
        <v>0</v>
      </c>
      <c r="N90" s="25" t="str">
        <f t="shared" si="10"/>
        <v>ORDER NOW</v>
      </c>
      <c r="O90" s="25" t="str">
        <f t="shared" si="11"/>
        <v>CRITICAL</v>
      </c>
      <c r="P90" s="5"/>
      <c r="Q90" s="5"/>
      <c r="R90" s="5"/>
      <c r="S90" s="90" t="e">
        <f>VLOOKUP(C90,[3]Sheet1!$C$3:$P$521,14,0)</f>
        <v>#N/A</v>
      </c>
    </row>
    <row r="91" spans="1:19" ht="18.75" hidden="1" x14ac:dyDescent="0.25">
      <c r="A91" s="39">
        <v>206</v>
      </c>
      <c r="B91" s="39" t="s">
        <v>239</v>
      </c>
      <c r="C91" s="39" t="s">
        <v>667</v>
      </c>
      <c r="D91" s="27" t="s">
        <v>668</v>
      </c>
      <c r="E91" s="27" t="s">
        <v>78</v>
      </c>
      <c r="F91" s="5" t="s">
        <v>49</v>
      </c>
      <c r="G91" s="21">
        <v>1</v>
      </c>
      <c r="H91" s="22">
        <v>282.5</v>
      </c>
      <c r="I91" s="22">
        <f t="shared" si="13"/>
        <v>282.5</v>
      </c>
      <c r="J91" s="5">
        <v>14</v>
      </c>
      <c r="K91" s="23">
        <f t="shared" si="8"/>
        <v>141.25</v>
      </c>
      <c r="L91" s="58">
        <f>(IFERROR(VLOOKUP(C91,'Current Stocks July-26'!B:K,9,0),0))</f>
        <v>0</v>
      </c>
      <c r="M91" s="24">
        <f t="shared" si="9"/>
        <v>0</v>
      </c>
      <c r="N91" s="25" t="str">
        <f t="shared" si="10"/>
        <v>ORDER NOW</v>
      </c>
      <c r="O91" s="25" t="str">
        <f t="shared" si="11"/>
        <v>CRITICAL</v>
      </c>
      <c r="P91" s="5"/>
      <c r="Q91" s="5"/>
      <c r="R91" s="5"/>
      <c r="S91" s="90">
        <f>VLOOKUP(C91,[3]Sheet1!$C$3:$P$521,14,0)</f>
        <v>46113.430949074071</v>
      </c>
    </row>
    <row r="92" spans="1:19" ht="18.75" hidden="1" x14ac:dyDescent="0.25">
      <c r="A92" s="39">
        <v>207</v>
      </c>
      <c r="B92" s="39" t="s">
        <v>239</v>
      </c>
      <c r="C92" s="39" t="s">
        <v>680</v>
      </c>
      <c r="D92" s="31" t="s">
        <v>681</v>
      </c>
      <c r="E92" s="31" t="s">
        <v>78</v>
      </c>
      <c r="F92" s="5" t="s">
        <v>49</v>
      </c>
      <c r="G92" s="21">
        <v>1</v>
      </c>
      <c r="H92" s="22">
        <v>110</v>
      </c>
      <c r="I92" s="22">
        <f t="shared" si="13"/>
        <v>110</v>
      </c>
      <c r="J92" s="5">
        <v>14</v>
      </c>
      <c r="K92" s="23">
        <f t="shared" si="8"/>
        <v>55</v>
      </c>
      <c r="L92" s="58">
        <f>(IFERROR(VLOOKUP(C92,'Current Stocks July-26'!B:K,9,0),0))</f>
        <v>0</v>
      </c>
      <c r="M92" s="24">
        <f t="shared" si="9"/>
        <v>0</v>
      </c>
      <c r="N92" s="25" t="str">
        <f t="shared" si="10"/>
        <v>ORDER NOW</v>
      </c>
      <c r="O92" s="25" t="str">
        <f t="shared" si="11"/>
        <v>CRITICAL</v>
      </c>
      <c r="P92" s="5"/>
      <c r="Q92" s="5"/>
      <c r="R92" s="5"/>
      <c r="S92" s="90">
        <f>VLOOKUP(C92,[3]Sheet1!$C$3:$P$521,14,0)</f>
        <v>46113.430949074071</v>
      </c>
    </row>
    <row r="93" spans="1:19" ht="18.75" hidden="1" x14ac:dyDescent="0.25">
      <c r="A93" s="39">
        <v>208</v>
      </c>
      <c r="B93" s="39" t="s">
        <v>298</v>
      </c>
      <c r="C93" s="39" t="s">
        <v>707</v>
      </c>
      <c r="D93" s="27" t="s">
        <v>708</v>
      </c>
      <c r="E93" s="27" t="s">
        <v>160</v>
      </c>
      <c r="F93" s="5" t="s">
        <v>49</v>
      </c>
      <c r="G93" s="21">
        <v>1</v>
      </c>
      <c r="H93" s="22">
        <v>55</v>
      </c>
      <c r="I93" s="22">
        <f t="shared" si="13"/>
        <v>55</v>
      </c>
      <c r="J93" s="5">
        <v>14</v>
      </c>
      <c r="K93" s="23">
        <f t="shared" si="8"/>
        <v>27.5</v>
      </c>
      <c r="L93" s="58">
        <f>(IFERROR(VLOOKUP(C93,'Current Stocks July-26'!B:K,9,0),0))</f>
        <v>0</v>
      </c>
      <c r="M93" s="24">
        <f t="shared" si="9"/>
        <v>0</v>
      </c>
      <c r="N93" s="25" t="str">
        <f t="shared" si="10"/>
        <v>ORDER NOW</v>
      </c>
      <c r="O93" s="25" t="str">
        <f t="shared" si="11"/>
        <v>CRITICAL</v>
      </c>
      <c r="P93" s="5"/>
      <c r="Q93" s="5"/>
      <c r="R93" s="5"/>
      <c r="S93" s="90">
        <f>VLOOKUP(C93,[3]Sheet1!$C$3:$P$521,14,0)</f>
        <v>46138.481388888889</v>
      </c>
    </row>
    <row r="94" spans="1:19" ht="18.75" hidden="1" x14ac:dyDescent="0.25">
      <c r="A94" s="39">
        <v>213</v>
      </c>
      <c r="B94" s="39" t="s">
        <v>123</v>
      </c>
      <c r="C94" s="39" t="s">
        <v>752</v>
      </c>
      <c r="D94" s="27" t="s">
        <v>753</v>
      </c>
      <c r="E94" s="27" t="s">
        <v>754</v>
      </c>
      <c r="F94" s="5" t="s">
        <v>49</v>
      </c>
      <c r="G94" s="21">
        <v>1</v>
      </c>
      <c r="H94" s="22">
        <v>175</v>
      </c>
      <c r="I94" s="22">
        <f t="shared" si="13"/>
        <v>175</v>
      </c>
      <c r="J94" s="5">
        <v>14</v>
      </c>
      <c r="K94" s="23">
        <f t="shared" si="8"/>
        <v>87.5</v>
      </c>
      <c r="L94" s="58">
        <f>(IFERROR(VLOOKUP(C94,'Current Stocks July-26'!B:K,9,0),0))</f>
        <v>207</v>
      </c>
      <c r="M94" s="24">
        <f t="shared" si="9"/>
        <v>35.485714285714288</v>
      </c>
      <c r="N94" s="25" t="str">
        <f t="shared" si="10"/>
        <v>IN STOCK</v>
      </c>
      <c r="O94" s="25" t="str">
        <f t="shared" si="11"/>
        <v>FOLLOW UP DELIVERY</v>
      </c>
      <c r="P94" s="5"/>
      <c r="Q94" s="5"/>
      <c r="R94" s="5"/>
      <c r="S94" s="90">
        <f>VLOOKUP(C94,[3]Sheet1!$C$3:$P$521,14,0)</f>
        <v>46113.430949074071</v>
      </c>
    </row>
    <row r="95" spans="1:19" ht="18.75" hidden="1" x14ac:dyDescent="0.25">
      <c r="A95" s="39">
        <v>219</v>
      </c>
      <c r="B95" s="39" t="s">
        <v>123</v>
      </c>
      <c r="C95" s="39" t="s">
        <v>1261</v>
      </c>
      <c r="D95" s="27" t="s">
        <v>1262</v>
      </c>
      <c r="E95" s="27" t="s">
        <v>78</v>
      </c>
      <c r="F95" s="5" t="s">
        <v>49</v>
      </c>
      <c r="G95" s="21">
        <v>1</v>
      </c>
      <c r="H95" s="22">
        <v>79</v>
      </c>
      <c r="I95" s="22">
        <f t="shared" si="13"/>
        <v>79</v>
      </c>
      <c r="J95" s="5">
        <v>14</v>
      </c>
      <c r="K95" s="23">
        <f t="shared" si="8"/>
        <v>39.5</v>
      </c>
      <c r="L95" s="58">
        <f>(IFERROR(VLOOKUP(C95,'Current Stocks July-26'!B:K,9,0),0))</f>
        <v>0</v>
      </c>
      <c r="M95" s="24">
        <f t="shared" si="9"/>
        <v>0</v>
      </c>
      <c r="N95" s="25" t="str">
        <f t="shared" si="10"/>
        <v>ORDER NOW</v>
      </c>
      <c r="O95" s="25" t="str">
        <f t="shared" si="11"/>
        <v>CRITICAL</v>
      </c>
      <c r="P95" s="5"/>
      <c r="Q95" s="5"/>
      <c r="R95" s="5"/>
      <c r="S95" s="90">
        <f>VLOOKUP(C95,[3]Sheet1!$C$3:$P$521,14,0)</f>
        <v>46131.518912037034</v>
      </c>
    </row>
    <row r="96" spans="1:19" ht="18.75" hidden="1" x14ac:dyDescent="0.25">
      <c r="A96" s="39">
        <v>220</v>
      </c>
      <c r="B96" s="39" t="s">
        <v>239</v>
      </c>
      <c r="C96" s="39" t="s">
        <v>1409</v>
      </c>
      <c r="D96" s="27" t="s">
        <v>1410</v>
      </c>
      <c r="E96" s="27" t="s">
        <v>160</v>
      </c>
      <c r="F96" s="5" t="s">
        <v>49</v>
      </c>
      <c r="G96" s="21">
        <v>1</v>
      </c>
      <c r="H96" s="22">
        <v>27.5</v>
      </c>
      <c r="I96" s="22">
        <f t="shared" si="13"/>
        <v>27.5</v>
      </c>
      <c r="J96" s="5">
        <v>14</v>
      </c>
      <c r="K96" s="23">
        <f t="shared" si="8"/>
        <v>13.75</v>
      </c>
      <c r="L96" s="58">
        <f>(IFERROR(VLOOKUP(C96,'Current Stocks July-26'!B:K,9,0),0))</f>
        <v>0</v>
      </c>
      <c r="M96" s="24">
        <f t="shared" si="9"/>
        <v>0</v>
      </c>
      <c r="N96" s="25" t="str">
        <f t="shared" si="10"/>
        <v>ORDER NOW</v>
      </c>
      <c r="O96" s="25" t="str">
        <f t="shared" si="11"/>
        <v>CRITICAL</v>
      </c>
      <c r="P96" s="5"/>
      <c r="Q96" s="5"/>
      <c r="R96" s="5"/>
      <c r="S96" s="90">
        <f>VLOOKUP(C96,[3]Sheet1!$C$3:$P$521,14,0)</f>
        <v>46131.519675925927</v>
      </c>
    </row>
    <row r="97" spans="1:19" ht="18.75" hidden="1" x14ac:dyDescent="0.25">
      <c r="A97" s="39">
        <v>221</v>
      </c>
      <c r="B97" s="39" t="s">
        <v>123</v>
      </c>
      <c r="C97" s="39" t="s">
        <v>250</v>
      </c>
      <c r="D97" s="32" t="s">
        <v>251</v>
      </c>
      <c r="E97" s="27" t="s">
        <v>78</v>
      </c>
      <c r="F97" s="5" t="s">
        <v>49</v>
      </c>
      <c r="G97" s="21">
        <v>1</v>
      </c>
      <c r="H97" s="22">
        <v>115.5</v>
      </c>
      <c r="I97" s="22">
        <f t="shared" si="13"/>
        <v>115.5</v>
      </c>
      <c r="J97" s="5">
        <v>14</v>
      </c>
      <c r="K97" s="23">
        <f t="shared" si="8"/>
        <v>57.75</v>
      </c>
      <c r="L97" s="58">
        <f>(IFERROR(VLOOKUP(C97,'Current Stocks July-26'!B:K,9,0),0))</f>
        <v>0</v>
      </c>
      <c r="M97" s="24">
        <f t="shared" si="9"/>
        <v>0</v>
      </c>
      <c r="N97" s="25" t="str">
        <f t="shared" si="10"/>
        <v>ORDER NOW</v>
      </c>
      <c r="O97" s="25" t="str">
        <f t="shared" si="11"/>
        <v>CRITICAL</v>
      </c>
      <c r="P97" s="5"/>
      <c r="Q97" s="5"/>
      <c r="R97" s="5"/>
      <c r="S97" s="90">
        <f>VLOOKUP(C97,[3]Sheet1!$C$3:$P$521,14,0)</f>
        <v>46113.430902777778</v>
      </c>
    </row>
    <row r="98" spans="1:19" ht="18.75" hidden="1" x14ac:dyDescent="0.25">
      <c r="A98" s="39">
        <v>222</v>
      </c>
      <c r="B98" s="39" t="s">
        <v>123</v>
      </c>
      <c r="C98" s="39" t="s">
        <v>860</v>
      </c>
      <c r="D98" s="27" t="s">
        <v>861</v>
      </c>
      <c r="E98" s="27" t="s">
        <v>254</v>
      </c>
      <c r="F98" s="5" t="s">
        <v>49</v>
      </c>
      <c r="G98" s="21">
        <v>1</v>
      </c>
      <c r="H98" s="22">
        <v>220</v>
      </c>
      <c r="I98" s="22">
        <f t="shared" si="13"/>
        <v>220</v>
      </c>
      <c r="J98" s="5">
        <v>14</v>
      </c>
      <c r="K98" s="23">
        <f t="shared" si="8"/>
        <v>110</v>
      </c>
      <c r="L98" s="58">
        <f>(IFERROR(VLOOKUP(C98,'Current Stocks July-26'!B:K,9,0),0))</f>
        <v>0</v>
      </c>
      <c r="M98" s="24">
        <f t="shared" si="9"/>
        <v>0</v>
      </c>
      <c r="N98" s="25" t="str">
        <f t="shared" si="10"/>
        <v>ORDER NOW</v>
      </c>
      <c r="O98" s="25" t="str">
        <f t="shared" si="11"/>
        <v>CRITICAL</v>
      </c>
      <c r="P98" s="5"/>
      <c r="Q98" s="5"/>
      <c r="R98" s="5"/>
      <c r="S98" s="90">
        <f>VLOOKUP(C98,[3]Sheet1!$C$3:$P$521,14,0)</f>
        <v>46134.446388888886</v>
      </c>
    </row>
    <row r="99" spans="1:19" ht="18.75" hidden="1" x14ac:dyDescent="0.25">
      <c r="A99" s="39">
        <v>223</v>
      </c>
      <c r="B99" s="39" t="s">
        <v>123</v>
      </c>
      <c r="C99" s="39" t="s">
        <v>1301</v>
      </c>
      <c r="D99" s="27" t="s">
        <v>1302</v>
      </c>
      <c r="E99" s="27" t="s">
        <v>254</v>
      </c>
      <c r="F99" s="5" t="s">
        <v>49</v>
      </c>
      <c r="G99" s="21">
        <v>1</v>
      </c>
      <c r="H99" s="22">
        <v>67</v>
      </c>
      <c r="I99" s="22">
        <f t="shared" si="13"/>
        <v>67</v>
      </c>
      <c r="J99" s="5">
        <v>14</v>
      </c>
      <c r="K99" s="23">
        <f t="shared" si="8"/>
        <v>33.5</v>
      </c>
      <c r="L99" s="58">
        <f>(IFERROR(VLOOKUP(C99,'Current Stocks July-26'!B:K,9,0),0))</f>
        <v>0</v>
      </c>
      <c r="M99" s="24">
        <f t="shared" si="9"/>
        <v>0</v>
      </c>
      <c r="N99" s="25" t="str">
        <f t="shared" si="10"/>
        <v>ORDER NOW</v>
      </c>
      <c r="O99" s="25" t="str">
        <f t="shared" si="11"/>
        <v>CRITICAL</v>
      </c>
      <c r="P99" s="5"/>
      <c r="Q99" s="5"/>
      <c r="R99" s="5"/>
      <c r="S99" s="90">
        <f>VLOOKUP(C99,[3]Sheet1!$C$3:$P$521,14,0)</f>
        <v>46131.519120370373</v>
      </c>
    </row>
    <row r="100" spans="1:19" ht="18.75" hidden="1" x14ac:dyDescent="0.25">
      <c r="A100" s="39">
        <v>224</v>
      </c>
      <c r="B100" s="39" t="s">
        <v>123</v>
      </c>
      <c r="C100" s="39" t="s">
        <v>252</v>
      </c>
      <c r="D100" s="32" t="s">
        <v>253</v>
      </c>
      <c r="E100" s="27" t="s">
        <v>254</v>
      </c>
      <c r="F100" s="5" t="s">
        <v>49</v>
      </c>
      <c r="G100" s="21">
        <v>1</v>
      </c>
      <c r="H100" s="22">
        <v>99</v>
      </c>
      <c r="I100" s="22">
        <f t="shared" si="13"/>
        <v>99</v>
      </c>
      <c r="J100" s="5">
        <v>14</v>
      </c>
      <c r="K100" s="23">
        <f t="shared" si="8"/>
        <v>49.5</v>
      </c>
      <c r="L100" s="58">
        <f>(IFERROR(VLOOKUP(C100,'Current Stocks July-26'!B:K,9,0),0))</f>
        <v>0</v>
      </c>
      <c r="M100" s="24">
        <f t="shared" si="9"/>
        <v>0</v>
      </c>
      <c r="N100" s="25" t="str">
        <f t="shared" si="10"/>
        <v>ORDER NOW</v>
      </c>
      <c r="O100" s="25" t="str">
        <f t="shared" si="11"/>
        <v>CRITICAL</v>
      </c>
      <c r="P100" s="5"/>
      <c r="Q100" s="5"/>
      <c r="R100" s="5"/>
      <c r="S100" s="90">
        <f>VLOOKUP(C100,[3]Sheet1!$C$3:$P$521,14,0)</f>
        <v>46113.430902777778</v>
      </c>
    </row>
    <row r="101" spans="1:19" ht="18.75" hidden="1" x14ac:dyDescent="0.25">
      <c r="A101" s="39">
        <v>225</v>
      </c>
      <c r="B101" s="39" t="s">
        <v>239</v>
      </c>
      <c r="C101" s="39" t="s">
        <v>255</v>
      </c>
      <c r="D101" s="32" t="s">
        <v>256</v>
      </c>
      <c r="E101" s="27" t="s">
        <v>160</v>
      </c>
      <c r="F101" s="5" t="s">
        <v>49</v>
      </c>
      <c r="G101" s="21">
        <v>1</v>
      </c>
      <c r="H101" s="22">
        <v>66</v>
      </c>
      <c r="I101" s="22">
        <f t="shared" si="13"/>
        <v>66</v>
      </c>
      <c r="J101" s="5">
        <v>14</v>
      </c>
      <c r="K101" s="23">
        <f t="shared" si="8"/>
        <v>33</v>
      </c>
      <c r="L101" s="58">
        <f>(IFERROR(VLOOKUP(C101,'Current Stocks July-26'!B:K,9,0),0))</f>
        <v>0</v>
      </c>
      <c r="M101" s="24">
        <f t="shared" si="9"/>
        <v>0</v>
      </c>
      <c r="N101" s="25" t="str">
        <f t="shared" si="10"/>
        <v>ORDER NOW</v>
      </c>
      <c r="O101" s="25" t="str">
        <f t="shared" si="11"/>
        <v>CRITICAL</v>
      </c>
      <c r="P101" s="5"/>
      <c r="Q101" s="5"/>
      <c r="R101" s="5"/>
      <c r="S101" s="90">
        <f>VLOOKUP(C101,[3]Sheet1!$C$3:$P$521,14,0)</f>
        <v>46113.430902777778</v>
      </c>
    </row>
    <row r="102" spans="1:19" ht="18.75" hidden="1" x14ac:dyDescent="0.25">
      <c r="A102" s="39">
        <v>226</v>
      </c>
      <c r="B102" s="39" t="s">
        <v>123</v>
      </c>
      <c r="C102" s="39" t="s">
        <v>932</v>
      </c>
      <c r="D102" s="27" t="s">
        <v>933</v>
      </c>
      <c r="E102" s="27" t="s">
        <v>254</v>
      </c>
      <c r="F102" s="5" t="s">
        <v>49</v>
      </c>
      <c r="G102" s="21">
        <v>1</v>
      </c>
      <c r="H102" s="22">
        <v>132</v>
      </c>
      <c r="I102" s="22">
        <f t="shared" si="13"/>
        <v>132</v>
      </c>
      <c r="J102" s="5">
        <v>14</v>
      </c>
      <c r="K102" s="23">
        <f t="shared" si="8"/>
        <v>66</v>
      </c>
      <c r="L102" s="58">
        <f>(IFERROR(VLOOKUP(C102,'Current Stocks July-26'!B:K,9,0),0))</f>
        <v>0</v>
      </c>
      <c r="M102" s="24">
        <f t="shared" si="9"/>
        <v>0</v>
      </c>
      <c r="N102" s="25" t="str">
        <f t="shared" si="10"/>
        <v>ORDER NOW</v>
      </c>
      <c r="O102" s="25" t="str">
        <f t="shared" si="11"/>
        <v>CRITICAL</v>
      </c>
      <c r="P102" s="5"/>
      <c r="Q102" s="5"/>
      <c r="R102" s="5"/>
      <c r="S102" s="90">
        <f>VLOOKUP(C102,[3]Sheet1!$C$3:$P$521,14,0)</f>
        <v>46128.695671296293</v>
      </c>
    </row>
    <row r="103" spans="1:19" ht="18.75" hidden="1" x14ac:dyDescent="0.25">
      <c r="A103" s="39">
        <v>227</v>
      </c>
      <c r="B103" s="39" t="s">
        <v>239</v>
      </c>
      <c r="C103" s="39" t="s">
        <v>257</v>
      </c>
      <c r="D103" s="32" t="s">
        <v>258</v>
      </c>
      <c r="E103" s="27" t="s">
        <v>160</v>
      </c>
      <c r="F103" s="5" t="s">
        <v>49</v>
      </c>
      <c r="G103" s="21">
        <v>1</v>
      </c>
      <c r="H103" s="22">
        <v>5.5</v>
      </c>
      <c r="I103" s="22">
        <f t="shared" si="13"/>
        <v>5.5</v>
      </c>
      <c r="J103" s="5">
        <v>14</v>
      </c>
      <c r="K103" s="23">
        <f t="shared" si="8"/>
        <v>2.75</v>
      </c>
      <c r="L103" s="58">
        <f>(IFERROR(VLOOKUP(C103,'Current Stocks July-26'!B:K,9,0),0))</f>
        <v>0</v>
      </c>
      <c r="M103" s="24">
        <f t="shared" si="9"/>
        <v>0</v>
      </c>
      <c r="N103" s="25" t="str">
        <f t="shared" si="10"/>
        <v>ORDER NOW</v>
      </c>
      <c r="O103" s="25" t="str">
        <f t="shared" si="11"/>
        <v>CRITICAL</v>
      </c>
      <c r="P103" s="5"/>
      <c r="Q103" s="5"/>
      <c r="R103" s="5"/>
      <c r="S103" s="90">
        <f>VLOOKUP(C103,[3]Sheet1!$C$3:$P$521,14,0)</f>
        <v>46113.430902777778</v>
      </c>
    </row>
    <row r="104" spans="1:19" ht="18.75" hidden="1" x14ac:dyDescent="0.25">
      <c r="A104" s="39">
        <v>229</v>
      </c>
      <c r="B104" s="39" t="s">
        <v>239</v>
      </c>
      <c r="C104" s="39" t="s">
        <v>259</v>
      </c>
      <c r="D104" s="27" t="s">
        <v>260</v>
      </c>
      <c r="E104" s="27" t="s">
        <v>78</v>
      </c>
      <c r="F104" s="5" t="s">
        <v>49</v>
      </c>
      <c r="G104" s="21">
        <v>1</v>
      </c>
      <c r="H104" s="22">
        <v>5.5</v>
      </c>
      <c r="I104" s="22"/>
      <c r="J104" s="5">
        <v>14</v>
      </c>
      <c r="K104" s="23">
        <f t="shared" si="8"/>
        <v>0</v>
      </c>
      <c r="L104" s="58">
        <f>(IFERROR(VLOOKUP(C104,'Current Stocks July-26'!B:K,9,0),0))</f>
        <v>0</v>
      </c>
      <c r="M104" s="24">
        <f t="shared" si="9"/>
        <v>0</v>
      </c>
      <c r="N104" s="25" t="str">
        <f t="shared" si="10"/>
        <v>ORDER NOW</v>
      </c>
      <c r="O104" s="25" t="str">
        <f t="shared" si="11"/>
        <v>CRITICAL</v>
      </c>
      <c r="P104" s="5"/>
      <c r="Q104" s="5"/>
      <c r="R104" s="5"/>
      <c r="S104" s="90">
        <f>VLOOKUP(C104,[3]Sheet1!$C$3:$P$521,14,0)</f>
        <v>46113.430902777778</v>
      </c>
    </row>
    <row r="105" spans="1:19" ht="18.75" hidden="1" x14ac:dyDescent="0.25">
      <c r="A105" s="39">
        <v>234</v>
      </c>
      <c r="B105" s="39" t="s">
        <v>123</v>
      </c>
      <c r="C105" s="39" t="s">
        <v>669</v>
      </c>
      <c r="D105" s="27" t="s">
        <v>670</v>
      </c>
      <c r="E105" s="27" t="s">
        <v>126</v>
      </c>
      <c r="F105" s="5" t="s">
        <v>49</v>
      </c>
      <c r="G105" s="21">
        <v>1</v>
      </c>
      <c r="H105" s="22">
        <v>16.5</v>
      </c>
      <c r="I105" s="22">
        <f t="shared" ref="I105:I136" si="14">H105/G105</f>
        <v>16.5</v>
      </c>
      <c r="J105" s="5">
        <v>14</v>
      </c>
      <c r="K105" s="23">
        <f t="shared" si="8"/>
        <v>8.25</v>
      </c>
      <c r="L105" s="58">
        <f>(IFERROR(VLOOKUP(C105,'Current Stocks July-26'!B:K,9,0),0))</f>
        <v>0</v>
      </c>
      <c r="M105" s="24">
        <f t="shared" si="9"/>
        <v>0</v>
      </c>
      <c r="N105" s="25" t="str">
        <f t="shared" si="10"/>
        <v>ORDER NOW</v>
      </c>
      <c r="O105" s="25" t="str">
        <f t="shared" si="11"/>
        <v>CRITICAL</v>
      </c>
      <c r="P105" s="5"/>
      <c r="Q105" s="5"/>
      <c r="R105" s="5"/>
      <c r="S105" s="90">
        <f>VLOOKUP(C105,[3]Sheet1!$C$3:$P$521,14,0)</f>
        <v>46113.430902777778</v>
      </c>
    </row>
    <row r="106" spans="1:19" ht="18.75" hidden="1" x14ac:dyDescent="0.25">
      <c r="A106" s="39">
        <v>252</v>
      </c>
      <c r="B106" s="39" t="s">
        <v>123</v>
      </c>
      <c r="C106" s="39" t="s">
        <v>261</v>
      </c>
      <c r="D106" s="32" t="s">
        <v>262</v>
      </c>
      <c r="E106" s="27" t="s">
        <v>263</v>
      </c>
      <c r="F106" s="5" t="s">
        <v>264</v>
      </c>
      <c r="G106" s="21">
        <f>1/20</f>
        <v>0.05</v>
      </c>
      <c r="H106" s="22">
        <v>5.5</v>
      </c>
      <c r="I106" s="22">
        <f t="shared" si="14"/>
        <v>110</v>
      </c>
      <c r="J106" s="5">
        <v>14</v>
      </c>
      <c r="K106" s="23">
        <f t="shared" si="8"/>
        <v>55</v>
      </c>
      <c r="L106" s="58">
        <f>(IFERROR(VLOOKUP(C106,'Current Stocks July-26'!B:K,9,0),0))</f>
        <v>0</v>
      </c>
      <c r="M106" s="24">
        <f t="shared" si="9"/>
        <v>0</v>
      </c>
      <c r="N106" s="25" t="str">
        <f t="shared" si="10"/>
        <v>ORDER NOW</v>
      </c>
      <c r="O106" s="25" t="str">
        <f t="shared" si="11"/>
        <v>CRITICAL</v>
      </c>
      <c r="P106" s="5"/>
      <c r="Q106" s="5"/>
      <c r="R106" s="5"/>
      <c r="S106" s="90">
        <f>VLOOKUP(C106,[3]Sheet1!$C$3:$P$521,14,0)</f>
        <v>46113.430902777778</v>
      </c>
    </row>
    <row r="107" spans="1:19" ht="18.75" hidden="1" x14ac:dyDescent="0.25">
      <c r="A107" s="39">
        <v>260</v>
      </c>
      <c r="B107" s="39" t="s">
        <v>265</v>
      </c>
      <c r="C107" s="39" t="s">
        <v>266</v>
      </c>
      <c r="D107" s="107" t="s">
        <v>267</v>
      </c>
      <c r="E107" s="27" t="s">
        <v>268</v>
      </c>
      <c r="F107" s="5" t="s">
        <v>46</v>
      </c>
      <c r="G107" s="21">
        <v>0.1</v>
      </c>
      <c r="H107" s="22">
        <v>184</v>
      </c>
      <c r="I107" s="22">
        <f t="shared" si="14"/>
        <v>1840</v>
      </c>
      <c r="J107" s="5">
        <v>14</v>
      </c>
      <c r="K107" s="23">
        <f t="shared" si="8"/>
        <v>920</v>
      </c>
      <c r="L107" s="58">
        <f>(IFERROR(VLOOKUP(C107,'Current Stocks July-26'!B:K,9,0),0))</f>
        <v>0</v>
      </c>
      <c r="M107" s="24">
        <f t="shared" si="9"/>
        <v>0</v>
      </c>
      <c r="N107" s="25" t="str">
        <f t="shared" si="10"/>
        <v>ORDER NOW</v>
      </c>
      <c r="O107" s="25" t="str">
        <f t="shared" si="11"/>
        <v>CRITICAL</v>
      </c>
      <c r="P107" s="5"/>
      <c r="Q107" s="5"/>
      <c r="R107" s="5"/>
      <c r="S107" s="90">
        <f>VLOOKUP(C107,[3]Sheet1!$C$3:$P$521,14,0)</f>
        <v>46113.430902777778</v>
      </c>
    </row>
    <row r="108" spans="1:19" ht="18.75" hidden="1" x14ac:dyDescent="0.25">
      <c r="A108" s="39">
        <v>271</v>
      </c>
      <c r="B108" s="39" t="s">
        <v>239</v>
      </c>
      <c r="C108" s="39" t="s">
        <v>279</v>
      </c>
      <c r="D108" s="27" t="s">
        <v>280</v>
      </c>
      <c r="E108" s="27" t="s">
        <v>78</v>
      </c>
      <c r="F108" s="5" t="s">
        <v>49</v>
      </c>
      <c r="G108" s="21">
        <v>1</v>
      </c>
      <c r="H108" s="22">
        <v>0</v>
      </c>
      <c r="I108" s="22">
        <f t="shared" si="14"/>
        <v>0</v>
      </c>
      <c r="J108" s="5">
        <v>14</v>
      </c>
      <c r="K108" s="23">
        <f t="shared" si="8"/>
        <v>0</v>
      </c>
      <c r="L108" s="58">
        <f>(IFERROR(VLOOKUP(C108,'Current Stocks July-26'!B:K,9,0),0))</f>
        <v>0</v>
      </c>
      <c r="M108" s="24">
        <f t="shared" si="9"/>
        <v>0</v>
      </c>
      <c r="N108" s="25" t="str">
        <f t="shared" si="10"/>
        <v>ORDER NOW</v>
      </c>
      <c r="O108" s="25" t="str">
        <f t="shared" si="11"/>
        <v>CRITICAL</v>
      </c>
      <c r="P108" s="5"/>
      <c r="Q108" s="5"/>
      <c r="R108" s="5"/>
      <c r="S108" s="90" t="e">
        <f>VLOOKUP(C108,[3]Sheet1!$C$3:$P$521,14,0)</f>
        <v>#N/A</v>
      </c>
    </row>
    <row r="109" spans="1:19" ht="18.75" hidden="1" x14ac:dyDescent="0.25">
      <c r="A109" s="39">
        <v>275</v>
      </c>
      <c r="B109" s="39" t="s">
        <v>157</v>
      </c>
      <c r="C109" s="39" t="s">
        <v>281</v>
      </c>
      <c r="D109" s="27" t="s">
        <v>282</v>
      </c>
      <c r="E109" s="27" t="s">
        <v>160</v>
      </c>
      <c r="F109" s="5" t="s">
        <v>49</v>
      </c>
      <c r="G109" s="21">
        <v>1</v>
      </c>
      <c r="H109" s="22">
        <v>22</v>
      </c>
      <c r="I109" s="22">
        <f t="shared" si="14"/>
        <v>22</v>
      </c>
      <c r="J109" s="5">
        <v>14</v>
      </c>
      <c r="K109" s="23">
        <f t="shared" si="8"/>
        <v>11</v>
      </c>
      <c r="L109" s="58">
        <f>(IFERROR(VLOOKUP(C109,'Current Stocks July-26'!B:K,9,0),0))</f>
        <v>0</v>
      </c>
      <c r="M109" s="24">
        <f t="shared" si="9"/>
        <v>0</v>
      </c>
      <c r="N109" s="25" t="str">
        <f t="shared" si="10"/>
        <v>ORDER NOW</v>
      </c>
      <c r="O109" s="25" t="str">
        <f t="shared" si="11"/>
        <v>CRITICAL</v>
      </c>
      <c r="P109" s="5"/>
      <c r="Q109" s="5"/>
      <c r="R109" s="5"/>
      <c r="S109" s="90">
        <f>VLOOKUP(C109,[3]Sheet1!$C$3:$P$521,14,0)</f>
        <v>46113.430902777778</v>
      </c>
    </row>
    <row r="110" spans="1:19" ht="18.75" hidden="1" x14ac:dyDescent="0.25">
      <c r="A110" s="39">
        <v>279</v>
      </c>
      <c r="B110" s="39" t="s">
        <v>18</v>
      </c>
      <c r="C110" s="39" t="s">
        <v>285</v>
      </c>
      <c r="D110" s="27" t="s">
        <v>286</v>
      </c>
      <c r="E110" s="27" t="s">
        <v>160</v>
      </c>
      <c r="F110" s="5" t="s">
        <v>49</v>
      </c>
      <c r="G110" s="21">
        <v>1</v>
      </c>
      <c r="H110" s="22">
        <v>27.5</v>
      </c>
      <c r="I110" s="22">
        <f t="shared" si="14"/>
        <v>27.5</v>
      </c>
      <c r="J110" s="5">
        <v>14</v>
      </c>
      <c r="K110" s="23">
        <f t="shared" si="8"/>
        <v>13.75</v>
      </c>
      <c r="L110" s="58">
        <f>(IFERROR(VLOOKUP(C110,'Current Stocks July-26'!B:K,9,0),0))</f>
        <v>0</v>
      </c>
      <c r="M110" s="24">
        <f t="shared" si="9"/>
        <v>0</v>
      </c>
      <c r="N110" s="25" t="str">
        <f t="shared" si="10"/>
        <v>ORDER NOW</v>
      </c>
      <c r="O110" s="25" t="str">
        <f t="shared" si="11"/>
        <v>CRITICAL</v>
      </c>
      <c r="P110" s="5"/>
      <c r="Q110" s="5"/>
      <c r="R110" s="5"/>
      <c r="S110" s="90">
        <f>VLOOKUP(C110,[3]Sheet1!$C$3:$P$521,14,0)</f>
        <v>46113.430902777778</v>
      </c>
    </row>
    <row r="111" spans="1:19" ht="18.75" hidden="1" x14ac:dyDescent="0.25">
      <c r="A111" s="39">
        <v>282</v>
      </c>
      <c r="B111" s="39" t="s">
        <v>18</v>
      </c>
      <c r="C111" s="39" t="s">
        <v>287</v>
      </c>
      <c r="D111" s="27" t="s">
        <v>288</v>
      </c>
      <c r="E111" s="27" t="s">
        <v>289</v>
      </c>
      <c r="F111" s="5" t="s">
        <v>22</v>
      </c>
      <c r="G111" s="21">
        <v>8.3333333333333339E-4</v>
      </c>
      <c r="H111" s="22">
        <v>11</v>
      </c>
      <c r="I111" s="22">
        <f t="shared" si="14"/>
        <v>13200</v>
      </c>
      <c r="J111" s="5">
        <v>14</v>
      </c>
      <c r="K111" s="23">
        <f t="shared" si="8"/>
        <v>6600</v>
      </c>
      <c r="L111" s="58">
        <f>(IFERROR(VLOOKUP(C111,'Current Stocks July-26'!B:K,9,0),0))</f>
        <v>0</v>
      </c>
      <c r="M111" s="24">
        <f t="shared" si="9"/>
        <v>0</v>
      </c>
      <c r="N111" s="25" t="str">
        <f t="shared" si="10"/>
        <v>ORDER NOW</v>
      </c>
      <c r="O111" s="25" t="str">
        <f t="shared" si="11"/>
        <v>CRITICAL</v>
      </c>
      <c r="P111" s="5"/>
      <c r="Q111" s="5"/>
      <c r="R111" s="5"/>
      <c r="S111" s="90">
        <f>VLOOKUP(C111,[3]Sheet1!$C$3:$P$521,14,0)</f>
        <v>46113.430902777778</v>
      </c>
    </row>
    <row r="112" spans="1:19" ht="18.75" hidden="1" x14ac:dyDescent="0.25">
      <c r="A112" s="39">
        <v>283</v>
      </c>
      <c r="B112" s="39" t="s">
        <v>18</v>
      </c>
      <c r="C112" s="39" t="s">
        <v>290</v>
      </c>
      <c r="D112" s="27" t="s">
        <v>291</v>
      </c>
      <c r="E112" s="27" t="s">
        <v>78</v>
      </c>
      <c r="F112" s="5" t="s">
        <v>49</v>
      </c>
      <c r="G112" s="21">
        <v>1</v>
      </c>
      <c r="H112" s="22">
        <v>22</v>
      </c>
      <c r="I112" s="22">
        <f t="shared" si="14"/>
        <v>22</v>
      </c>
      <c r="J112" s="5">
        <v>14</v>
      </c>
      <c r="K112" s="23">
        <f t="shared" si="8"/>
        <v>11</v>
      </c>
      <c r="L112" s="58">
        <f>(IFERROR(VLOOKUP(C112,'Current Stocks July-26'!B:K,9,0),0))</f>
        <v>0</v>
      </c>
      <c r="M112" s="24">
        <f t="shared" si="9"/>
        <v>0</v>
      </c>
      <c r="N112" s="25" t="str">
        <f t="shared" si="10"/>
        <v>ORDER NOW</v>
      </c>
      <c r="O112" s="25" t="str">
        <f t="shared" si="11"/>
        <v>CRITICAL</v>
      </c>
      <c r="P112" s="5"/>
      <c r="Q112" s="5"/>
      <c r="R112" s="5"/>
      <c r="S112" s="90">
        <f>VLOOKUP(C112,[3]Sheet1!$C$3:$P$521,14,0)</f>
        <v>46113.430902777778</v>
      </c>
    </row>
    <row r="113" spans="1:19" ht="18.75" hidden="1" x14ac:dyDescent="0.25">
      <c r="A113" s="39">
        <v>284</v>
      </c>
      <c r="B113" s="39" t="s">
        <v>157</v>
      </c>
      <c r="C113" s="39" t="s">
        <v>292</v>
      </c>
      <c r="D113" s="27" t="s">
        <v>293</v>
      </c>
      <c r="E113" s="27" t="s">
        <v>160</v>
      </c>
      <c r="F113" s="5" t="s">
        <v>49</v>
      </c>
      <c r="G113" s="21">
        <v>1</v>
      </c>
      <c r="H113" s="22">
        <v>0</v>
      </c>
      <c r="I113" s="22">
        <f t="shared" si="14"/>
        <v>0</v>
      </c>
      <c r="J113" s="5">
        <v>14</v>
      </c>
      <c r="K113" s="23">
        <f t="shared" si="8"/>
        <v>0</v>
      </c>
      <c r="L113" s="58">
        <f>(IFERROR(VLOOKUP(C113,'Current Stocks July-26'!B:K,9,0),0))</f>
        <v>0</v>
      </c>
      <c r="M113" s="24">
        <f t="shared" si="9"/>
        <v>0</v>
      </c>
      <c r="N113" s="25" t="str">
        <f t="shared" si="10"/>
        <v>ORDER NOW</v>
      </c>
      <c r="O113" s="25" t="str">
        <f t="shared" si="11"/>
        <v>CRITICAL</v>
      </c>
      <c r="P113" s="5"/>
      <c r="Q113" s="5"/>
      <c r="R113" s="5"/>
      <c r="S113" s="90" t="e">
        <f>VLOOKUP(C113,[3]Sheet1!$C$3:$P$521,14,0)</f>
        <v>#N/A</v>
      </c>
    </row>
    <row r="114" spans="1:19" ht="18.75" hidden="1" x14ac:dyDescent="0.25">
      <c r="A114" s="39">
        <v>288</v>
      </c>
      <c r="B114" s="39" t="s">
        <v>18</v>
      </c>
      <c r="C114" s="39" t="s">
        <v>296</v>
      </c>
      <c r="D114" s="68" t="s">
        <v>297</v>
      </c>
      <c r="E114" s="27" t="s">
        <v>78</v>
      </c>
      <c r="F114" s="5" t="s">
        <v>49</v>
      </c>
      <c r="G114" s="21">
        <v>1</v>
      </c>
      <c r="H114" s="22">
        <v>121</v>
      </c>
      <c r="I114" s="22">
        <f t="shared" si="14"/>
        <v>121</v>
      </c>
      <c r="J114" s="5">
        <v>14</v>
      </c>
      <c r="K114" s="23">
        <f t="shared" si="8"/>
        <v>60.5</v>
      </c>
      <c r="L114" s="58">
        <f>(IFERROR(VLOOKUP(C114,'Current Stocks July-26'!B:K,9,0),0))</f>
        <v>0</v>
      </c>
      <c r="M114" s="24">
        <f t="shared" si="9"/>
        <v>0</v>
      </c>
      <c r="N114" s="25" t="str">
        <f t="shared" si="10"/>
        <v>ORDER NOW</v>
      </c>
      <c r="O114" s="25" t="str">
        <f t="shared" si="11"/>
        <v>CRITICAL</v>
      </c>
      <c r="P114" s="5"/>
      <c r="Q114" s="5"/>
      <c r="R114" s="5"/>
      <c r="S114" s="90">
        <f>VLOOKUP(C114,[3]Sheet1!$C$3:$P$521,14,0)</f>
        <v>46113.430902777778</v>
      </c>
    </row>
    <row r="115" spans="1:19" ht="18.75" hidden="1" x14ac:dyDescent="0.25">
      <c r="A115" s="39">
        <v>289</v>
      </c>
      <c r="B115" s="39" t="s">
        <v>298</v>
      </c>
      <c r="C115" s="39" t="s">
        <v>299</v>
      </c>
      <c r="D115" s="31" t="s">
        <v>300</v>
      </c>
      <c r="E115" s="31" t="s">
        <v>160</v>
      </c>
      <c r="F115" s="5" t="s">
        <v>49</v>
      </c>
      <c r="G115" s="21">
        <v>1</v>
      </c>
      <c r="H115" s="22">
        <v>11</v>
      </c>
      <c r="I115" s="22">
        <f t="shared" si="14"/>
        <v>11</v>
      </c>
      <c r="J115" s="5">
        <v>14</v>
      </c>
      <c r="K115" s="23">
        <f t="shared" si="8"/>
        <v>5.5</v>
      </c>
      <c r="L115" s="58">
        <f>(IFERROR(VLOOKUP(C115,'Current Stocks July-26'!B:K,9,0),0))</f>
        <v>0</v>
      </c>
      <c r="M115" s="24">
        <f t="shared" si="9"/>
        <v>0</v>
      </c>
      <c r="N115" s="25" t="str">
        <f t="shared" si="10"/>
        <v>ORDER NOW</v>
      </c>
      <c r="O115" s="25" t="str">
        <f t="shared" si="11"/>
        <v>CRITICAL</v>
      </c>
      <c r="P115" s="5"/>
      <c r="Q115" s="5"/>
      <c r="R115" s="5"/>
      <c r="S115" s="90">
        <f>VLOOKUP(C115,[3]Sheet1!$C$3:$P$521,14,0)</f>
        <v>46113.430902777778</v>
      </c>
    </row>
    <row r="116" spans="1:19" ht="18.75" hidden="1" x14ac:dyDescent="0.25">
      <c r="A116" s="39">
        <v>290</v>
      </c>
      <c r="B116" s="39" t="s">
        <v>239</v>
      </c>
      <c r="C116" s="39" t="s">
        <v>301</v>
      </c>
      <c r="D116" s="27" t="s">
        <v>302</v>
      </c>
      <c r="E116" s="27" t="s">
        <v>78</v>
      </c>
      <c r="F116" s="5" t="s">
        <v>49</v>
      </c>
      <c r="G116" s="21">
        <v>1</v>
      </c>
      <c r="H116" s="22">
        <v>27.5</v>
      </c>
      <c r="I116" s="22">
        <f t="shared" si="14"/>
        <v>27.5</v>
      </c>
      <c r="J116" s="5">
        <v>14</v>
      </c>
      <c r="K116" s="23">
        <f t="shared" si="8"/>
        <v>13.75</v>
      </c>
      <c r="L116" s="58">
        <f>(IFERROR(VLOOKUP(C116,'Current Stocks July-26'!B:K,9,0),0))</f>
        <v>0</v>
      </c>
      <c r="M116" s="24">
        <f t="shared" si="9"/>
        <v>0</v>
      </c>
      <c r="N116" s="25" t="str">
        <f t="shared" si="10"/>
        <v>ORDER NOW</v>
      </c>
      <c r="O116" s="25" t="str">
        <f t="shared" si="11"/>
        <v>CRITICAL</v>
      </c>
      <c r="P116" s="5"/>
      <c r="Q116" s="5"/>
      <c r="R116" s="5"/>
      <c r="S116" s="90">
        <f>VLOOKUP(C116,[3]Sheet1!$C$3:$P$521,14,0)</f>
        <v>46113.430902777778</v>
      </c>
    </row>
    <row r="117" spans="1:19" ht="18.75" hidden="1" x14ac:dyDescent="0.25">
      <c r="A117" s="39">
        <v>291</v>
      </c>
      <c r="B117" s="39" t="s">
        <v>18</v>
      </c>
      <c r="C117" s="39" t="s">
        <v>303</v>
      </c>
      <c r="D117" s="68" t="s">
        <v>304</v>
      </c>
      <c r="E117" s="27" t="s">
        <v>160</v>
      </c>
      <c r="F117" s="5" t="s">
        <v>49</v>
      </c>
      <c r="G117" s="21">
        <v>1</v>
      </c>
      <c r="H117" s="22">
        <v>82.5</v>
      </c>
      <c r="I117" s="22">
        <f t="shared" si="14"/>
        <v>82.5</v>
      </c>
      <c r="J117" s="5">
        <v>14</v>
      </c>
      <c r="K117" s="23">
        <f t="shared" si="8"/>
        <v>41.25</v>
      </c>
      <c r="L117" s="58">
        <f>(IFERROR(VLOOKUP(C117,'Current Stocks July-26'!B:K,9,0),0))</f>
        <v>0</v>
      </c>
      <c r="M117" s="24">
        <f t="shared" si="9"/>
        <v>0</v>
      </c>
      <c r="N117" s="25" t="str">
        <f t="shared" si="10"/>
        <v>ORDER NOW</v>
      </c>
      <c r="O117" s="25" t="str">
        <f t="shared" si="11"/>
        <v>CRITICAL</v>
      </c>
      <c r="P117" s="5"/>
      <c r="Q117" s="5"/>
      <c r="R117" s="5"/>
      <c r="S117" s="90">
        <f>VLOOKUP(C117,[3]Sheet1!$C$3:$P$521,14,0)</f>
        <v>46113.430902777778</v>
      </c>
    </row>
    <row r="118" spans="1:19" ht="18.75" hidden="1" x14ac:dyDescent="0.25">
      <c r="A118" s="39">
        <v>292</v>
      </c>
      <c r="B118" s="39" t="s">
        <v>157</v>
      </c>
      <c r="C118" s="39" t="s">
        <v>305</v>
      </c>
      <c r="D118" s="27" t="s">
        <v>306</v>
      </c>
      <c r="E118" s="27" t="s">
        <v>160</v>
      </c>
      <c r="F118" s="5" t="s">
        <v>49</v>
      </c>
      <c r="G118" s="21">
        <v>1</v>
      </c>
      <c r="H118" s="22">
        <v>165</v>
      </c>
      <c r="I118" s="22">
        <f t="shared" si="14"/>
        <v>165</v>
      </c>
      <c r="J118" s="5">
        <v>14</v>
      </c>
      <c r="K118" s="23">
        <f t="shared" si="8"/>
        <v>82.5</v>
      </c>
      <c r="L118" s="58">
        <f>(IFERROR(VLOOKUP(C118,'Current Stocks July-26'!B:K,9,0),0))</f>
        <v>0</v>
      </c>
      <c r="M118" s="24">
        <f t="shared" si="9"/>
        <v>0</v>
      </c>
      <c r="N118" s="25" t="str">
        <f t="shared" si="10"/>
        <v>ORDER NOW</v>
      </c>
      <c r="O118" s="25" t="str">
        <f t="shared" si="11"/>
        <v>CRITICAL</v>
      </c>
      <c r="P118" s="5"/>
      <c r="Q118" s="5"/>
      <c r="R118" s="5"/>
      <c r="S118" s="90">
        <f>VLOOKUP(C118,[3]Sheet1!$C$3:$P$521,14,0)</f>
        <v>46113.430902777778</v>
      </c>
    </row>
    <row r="119" spans="1:19" ht="18.75" hidden="1" x14ac:dyDescent="0.25">
      <c r="A119" s="39">
        <v>293</v>
      </c>
      <c r="B119" s="39" t="s">
        <v>18</v>
      </c>
      <c r="C119" s="39" t="s">
        <v>307</v>
      </c>
      <c r="D119" s="27" t="s">
        <v>308</v>
      </c>
      <c r="E119" s="27" t="s">
        <v>160</v>
      </c>
      <c r="F119" s="5" t="s">
        <v>49</v>
      </c>
      <c r="G119" s="21">
        <v>1</v>
      </c>
      <c r="H119" s="22">
        <v>209</v>
      </c>
      <c r="I119" s="22">
        <f t="shared" si="14"/>
        <v>209</v>
      </c>
      <c r="J119" s="5">
        <v>14</v>
      </c>
      <c r="K119" s="23">
        <f t="shared" si="8"/>
        <v>104.5</v>
      </c>
      <c r="L119" s="58">
        <f>(IFERROR(VLOOKUP(C119,'Current Stocks July-26'!B:K,9,0),0))</f>
        <v>0</v>
      </c>
      <c r="M119" s="24">
        <f t="shared" si="9"/>
        <v>0</v>
      </c>
      <c r="N119" s="25" t="str">
        <f t="shared" si="10"/>
        <v>ORDER NOW</v>
      </c>
      <c r="O119" s="25" t="str">
        <f t="shared" si="11"/>
        <v>CRITICAL</v>
      </c>
      <c r="P119" s="5"/>
      <c r="Q119" s="5"/>
      <c r="R119" s="5"/>
      <c r="S119" s="90">
        <f>VLOOKUP(C119,[3]Sheet1!$C$3:$P$521,14,0)</f>
        <v>46113.430902777778</v>
      </c>
    </row>
    <row r="120" spans="1:19" ht="18.75" hidden="1" x14ac:dyDescent="0.25">
      <c r="A120" s="39">
        <v>295</v>
      </c>
      <c r="B120" s="39" t="s">
        <v>18</v>
      </c>
      <c r="C120" s="39" t="s">
        <v>309</v>
      </c>
      <c r="D120" s="27" t="s">
        <v>310</v>
      </c>
      <c r="E120" s="27" t="s">
        <v>78</v>
      </c>
      <c r="F120" s="5" t="s">
        <v>49</v>
      </c>
      <c r="G120" s="21">
        <v>1</v>
      </c>
      <c r="H120" s="22">
        <v>11</v>
      </c>
      <c r="I120" s="22">
        <f t="shared" si="14"/>
        <v>11</v>
      </c>
      <c r="J120" s="5">
        <v>14</v>
      </c>
      <c r="K120" s="23">
        <f t="shared" si="8"/>
        <v>5.5</v>
      </c>
      <c r="L120" s="58">
        <f>(IFERROR(VLOOKUP(C120,'Current Stocks July-26'!B:K,9,0),0))</f>
        <v>0</v>
      </c>
      <c r="M120" s="24">
        <f t="shared" si="9"/>
        <v>0</v>
      </c>
      <c r="N120" s="25" t="str">
        <f t="shared" si="10"/>
        <v>ORDER NOW</v>
      </c>
      <c r="O120" s="25" t="str">
        <f t="shared" si="11"/>
        <v>CRITICAL</v>
      </c>
      <c r="P120" s="5"/>
      <c r="Q120" s="5"/>
      <c r="R120" s="5"/>
      <c r="S120" s="90">
        <f>VLOOKUP(C120,[3]Sheet1!$C$3:$P$521,14,0)</f>
        <v>46113.430902777778</v>
      </c>
    </row>
    <row r="121" spans="1:19" ht="18.75" hidden="1" x14ac:dyDescent="0.25">
      <c r="A121" s="39">
        <v>296</v>
      </c>
      <c r="B121" s="39" t="s">
        <v>18</v>
      </c>
      <c r="C121" s="39" t="s">
        <v>311</v>
      </c>
      <c r="D121" s="27" t="s">
        <v>312</v>
      </c>
      <c r="E121" s="27" t="s">
        <v>78</v>
      </c>
      <c r="F121" s="5" t="s">
        <v>49</v>
      </c>
      <c r="G121" s="21">
        <v>1</v>
      </c>
      <c r="H121" s="22">
        <v>22</v>
      </c>
      <c r="I121" s="22">
        <f t="shared" si="14"/>
        <v>22</v>
      </c>
      <c r="J121" s="5">
        <v>14</v>
      </c>
      <c r="K121" s="23">
        <f t="shared" si="8"/>
        <v>11</v>
      </c>
      <c r="L121" s="58">
        <f>(IFERROR(VLOOKUP(C121,'Current Stocks July-26'!B:K,9,0),0))</f>
        <v>0</v>
      </c>
      <c r="M121" s="24">
        <f t="shared" si="9"/>
        <v>0</v>
      </c>
      <c r="N121" s="25" t="str">
        <f t="shared" si="10"/>
        <v>ORDER NOW</v>
      </c>
      <c r="O121" s="25" t="str">
        <f t="shared" si="11"/>
        <v>CRITICAL</v>
      </c>
      <c r="P121" s="5"/>
      <c r="Q121" s="5"/>
      <c r="R121" s="5"/>
      <c r="S121" s="90">
        <f>VLOOKUP(C121,[3]Sheet1!$C$3:$P$521,14,0)</f>
        <v>46113.430902777778</v>
      </c>
    </row>
    <row r="122" spans="1:19" ht="18.75" hidden="1" x14ac:dyDescent="0.25">
      <c r="A122" s="39">
        <v>297</v>
      </c>
      <c r="B122" s="39" t="s">
        <v>18</v>
      </c>
      <c r="C122" s="39" t="s">
        <v>313</v>
      </c>
      <c r="D122" s="27" t="s">
        <v>314</v>
      </c>
      <c r="E122" s="27" t="s">
        <v>78</v>
      </c>
      <c r="F122" s="5" t="s">
        <v>49</v>
      </c>
      <c r="G122" s="21">
        <v>1</v>
      </c>
      <c r="H122" s="22">
        <v>11</v>
      </c>
      <c r="I122" s="22">
        <f t="shared" si="14"/>
        <v>11</v>
      </c>
      <c r="J122" s="5">
        <v>14</v>
      </c>
      <c r="K122" s="23">
        <f t="shared" si="8"/>
        <v>5.5</v>
      </c>
      <c r="L122" s="58">
        <f>(IFERROR(VLOOKUP(C122,'Current Stocks July-26'!B:K,9,0),0))</f>
        <v>0</v>
      </c>
      <c r="M122" s="24">
        <f t="shared" si="9"/>
        <v>0</v>
      </c>
      <c r="N122" s="25" t="str">
        <f t="shared" si="10"/>
        <v>ORDER NOW</v>
      </c>
      <c r="O122" s="25" t="str">
        <f t="shared" si="11"/>
        <v>CRITICAL</v>
      </c>
      <c r="P122" s="5"/>
      <c r="Q122" s="5"/>
      <c r="R122" s="5"/>
      <c r="S122" s="90">
        <f>VLOOKUP(C122,[3]Sheet1!$C$3:$P$521,14,0)</f>
        <v>46113.430914351855</v>
      </c>
    </row>
    <row r="123" spans="1:19" ht="18.75" hidden="1" x14ac:dyDescent="0.25">
      <c r="A123" s="39">
        <v>298</v>
      </c>
      <c r="B123" s="39" t="s">
        <v>18</v>
      </c>
      <c r="C123" s="39" t="s">
        <v>315</v>
      </c>
      <c r="D123" s="31" t="s">
        <v>316</v>
      </c>
      <c r="E123" s="31" t="s">
        <v>78</v>
      </c>
      <c r="F123" s="5" t="s">
        <v>49</v>
      </c>
      <c r="G123" s="21">
        <v>1</v>
      </c>
      <c r="H123" s="22">
        <v>11</v>
      </c>
      <c r="I123" s="22">
        <f t="shared" si="14"/>
        <v>11</v>
      </c>
      <c r="J123" s="5">
        <v>14</v>
      </c>
      <c r="K123" s="23">
        <f t="shared" si="8"/>
        <v>5.5</v>
      </c>
      <c r="L123" s="58">
        <f>(IFERROR(VLOOKUP(C123,'Current Stocks July-26'!B:K,9,0),0))</f>
        <v>0</v>
      </c>
      <c r="M123" s="24">
        <f t="shared" si="9"/>
        <v>0</v>
      </c>
      <c r="N123" s="25" t="str">
        <f t="shared" si="10"/>
        <v>ORDER NOW</v>
      </c>
      <c r="O123" s="25" t="str">
        <f t="shared" si="11"/>
        <v>CRITICAL</v>
      </c>
      <c r="P123" s="5"/>
      <c r="Q123" s="5"/>
      <c r="R123" s="5"/>
      <c r="S123" s="90">
        <f>VLOOKUP(C123,[3]Sheet1!$C$3:$P$521,14,0)</f>
        <v>46113.430914351855</v>
      </c>
    </row>
    <row r="124" spans="1:19" ht="18.75" hidden="1" x14ac:dyDescent="0.25">
      <c r="A124" s="39">
        <v>299</v>
      </c>
      <c r="B124" s="39" t="s">
        <v>18</v>
      </c>
      <c r="C124" s="39" t="s">
        <v>317</v>
      </c>
      <c r="D124" s="31" t="s">
        <v>318</v>
      </c>
      <c r="E124" s="31" t="s">
        <v>78</v>
      </c>
      <c r="F124" s="5" t="s">
        <v>49</v>
      </c>
      <c r="G124" s="21">
        <v>1</v>
      </c>
      <c r="H124" s="22">
        <v>11</v>
      </c>
      <c r="I124" s="22">
        <f t="shared" si="14"/>
        <v>11</v>
      </c>
      <c r="J124" s="5">
        <v>14</v>
      </c>
      <c r="K124" s="23">
        <f t="shared" si="8"/>
        <v>5.5</v>
      </c>
      <c r="L124" s="58">
        <f>(IFERROR(VLOOKUP(C124,'Current Stocks July-26'!B:K,9,0),0))</f>
        <v>0</v>
      </c>
      <c r="M124" s="24">
        <f t="shared" si="9"/>
        <v>0</v>
      </c>
      <c r="N124" s="25" t="str">
        <f t="shared" si="10"/>
        <v>ORDER NOW</v>
      </c>
      <c r="O124" s="25" t="str">
        <f t="shared" si="11"/>
        <v>CRITICAL</v>
      </c>
      <c r="P124" s="5"/>
      <c r="Q124" s="5"/>
      <c r="R124" s="5"/>
      <c r="S124" s="90">
        <f>VLOOKUP(C124,[3]Sheet1!$C$3:$P$521,14,0)</f>
        <v>46113.430914351855</v>
      </c>
    </row>
    <row r="125" spans="1:19" ht="18.75" hidden="1" x14ac:dyDescent="0.25">
      <c r="A125" s="39">
        <v>300</v>
      </c>
      <c r="B125" s="39" t="s">
        <v>234</v>
      </c>
      <c r="C125" s="39" t="s">
        <v>319</v>
      </c>
      <c r="D125" s="31" t="s">
        <v>320</v>
      </c>
      <c r="E125" s="31" t="s">
        <v>78</v>
      </c>
      <c r="F125" s="5" t="s">
        <v>49</v>
      </c>
      <c r="G125" s="21">
        <v>1</v>
      </c>
      <c r="H125" s="22">
        <v>11</v>
      </c>
      <c r="I125" s="22">
        <f t="shared" si="14"/>
        <v>11</v>
      </c>
      <c r="J125" s="5">
        <v>14</v>
      </c>
      <c r="K125" s="23">
        <f t="shared" si="8"/>
        <v>5.5</v>
      </c>
      <c r="L125" s="58">
        <f>(IFERROR(VLOOKUP(C125,'Current Stocks July-26'!B:K,9,0),0))</f>
        <v>0</v>
      </c>
      <c r="M125" s="24">
        <f t="shared" si="9"/>
        <v>0</v>
      </c>
      <c r="N125" s="25" t="str">
        <f t="shared" si="10"/>
        <v>ORDER NOW</v>
      </c>
      <c r="O125" s="25" t="str">
        <f t="shared" si="11"/>
        <v>CRITICAL</v>
      </c>
      <c r="P125" s="5"/>
      <c r="Q125" s="5"/>
      <c r="R125" s="5"/>
      <c r="S125" s="90">
        <f>VLOOKUP(C125,[3]Sheet1!$C$3:$P$521,14,0)</f>
        <v>46113.430914351855</v>
      </c>
    </row>
    <row r="126" spans="1:19" ht="18.75" x14ac:dyDescent="0.25">
      <c r="A126" s="39">
        <v>301</v>
      </c>
      <c r="B126" s="39" t="s">
        <v>18</v>
      </c>
      <c r="C126" s="39" t="s">
        <v>321</v>
      </c>
      <c r="D126" s="31" t="s">
        <v>322</v>
      </c>
      <c r="E126" s="31" t="s">
        <v>78</v>
      </c>
      <c r="F126" s="5" t="s">
        <v>49</v>
      </c>
      <c r="G126" s="21">
        <v>1</v>
      </c>
      <c r="H126" s="22">
        <v>11</v>
      </c>
      <c r="I126" s="22">
        <f t="shared" si="14"/>
        <v>11</v>
      </c>
      <c r="J126" s="5">
        <v>14</v>
      </c>
      <c r="K126" s="23">
        <f t="shared" si="8"/>
        <v>5.5</v>
      </c>
      <c r="L126" s="58">
        <f>(IFERROR(VLOOKUP(C126,'Current Stocks July-26'!B:K,9,0),0))</f>
        <v>0</v>
      </c>
      <c r="M126" s="24">
        <f t="shared" si="9"/>
        <v>0</v>
      </c>
      <c r="N126" s="25" t="str">
        <f t="shared" si="10"/>
        <v>ORDER NOW</v>
      </c>
      <c r="O126" s="25" t="str">
        <f t="shared" si="11"/>
        <v>CRITICAL</v>
      </c>
      <c r="P126" s="5"/>
      <c r="Q126" s="5"/>
      <c r="R126" s="5"/>
      <c r="S126" s="90">
        <f>VLOOKUP(C126,[3]Sheet1!$C$3:$P$521,14,0)</f>
        <v>46113.430914351855</v>
      </c>
    </row>
    <row r="127" spans="1:19" ht="18.75" hidden="1" x14ac:dyDescent="0.25">
      <c r="A127" s="39">
        <v>302</v>
      </c>
      <c r="B127" s="39" t="s">
        <v>18</v>
      </c>
      <c r="C127" s="39" t="s">
        <v>323</v>
      </c>
      <c r="D127" s="31" t="s">
        <v>324</v>
      </c>
      <c r="E127" s="31" t="s">
        <v>78</v>
      </c>
      <c r="F127" s="5" t="s">
        <v>49</v>
      </c>
      <c r="G127" s="21">
        <v>1</v>
      </c>
      <c r="H127" s="22">
        <v>11</v>
      </c>
      <c r="I127" s="22">
        <f t="shared" si="14"/>
        <v>11</v>
      </c>
      <c r="J127" s="5">
        <v>14</v>
      </c>
      <c r="K127" s="23">
        <f t="shared" si="8"/>
        <v>5.5</v>
      </c>
      <c r="L127" s="58">
        <f>(IFERROR(VLOOKUP(C127,'Current Stocks July-26'!B:K,9,0),0))</f>
        <v>0</v>
      </c>
      <c r="M127" s="24">
        <f t="shared" si="9"/>
        <v>0</v>
      </c>
      <c r="N127" s="25" t="str">
        <f t="shared" si="10"/>
        <v>ORDER NOW</v>
      </c>
      <c r="O127" s="25" t="str">
        <f t="shared" si="11"/>
        <v>CRITICAL</v>
      </c>
      <c r="P127" s="5"/>
      <c r="Q127" s="5"/>
      <c r="R127" s="5"/>
      <c r="S127" s="90">
        <f>VLOOKUP(C127,[3]Sheet1!$C$3:$P$521,14,0)</f>
        <v>46113.430914351855</v>
      </c>
    </row>
    <row r="128" spans="1:19" ht="18.75" hidden="1" x14ac:dyDescent="0.25">
      <c r="A128" s="39">
        <v>304</v>
      </c>
      <c r="B128" s="39" t="s">
        <v>18</v>
      </c>
      <c r="C128" s="39" t="s">
        <v>325</v>
      </c>
      <c r="D128" s="31" t="s">
        <v>326</v>
      </c>
      <c r="E128" s="31" t="s">
        <v>78</v>
      </c>
      <c r="F128" s="5" t="s">
        <v>49</v>
      </c>
      <c r="G128" s="21">
        <v>1</v>
      </c>
      <c r="H128" s="22">
        <v>11</v>
      </c>
      <c r="I128" s="22">
        <f t="shared" si="14"/>
        <v>11</v>
      </c>
      <c r="J128" s="5">
        <v>14</v>
      </c>
      <c r="K128" s="23">
        <f t="shared" si="8"/>
        <v>5.5</v>
      </c>
      <c r="L128" s="58">
        <f>(IFERROR(VLOOKUP(C128,'Current Stocks July-26'!B:K,9,0),0))</f>
        <v>0</v>
      </c>
      <c r="M128" s="24">
        <f t="shared" si="9"/>
        <v>0</v>
      </c>
      <c r="N128" s="25" t="str">
        <f t="shared" si="10"/>
        <v>ORDER NOW</v>
      </c>
      <c r="O128" s="25" t="str">
        <f t="shared" si="11"/>
        <v>CRITICAL</v>
      </c>
      <c r="P128" s="5"/>
      <c r="Q128" s="5"/>
      <c r="R128" s="5"/>
      <c r="S128" s="90">
        <f>VLOOKUP(C128,[3]Sheet1!$C$3:$P$521,14,0)</f>
        <v>46113.430914351855</v>
      </c>
    </row>
    <row r="129" spans="1:20" ht="18.75" hidden="1" x14ac:dyDescent="0.25">
      <c r="A129" s="39">
        <v>305</v>
      </c>
      <c r="B129" s="39" t="s">
        <v>18</v>
      </c>
      <c r="C129" s="39" t="s">
        <v>327</v>
      </c>
      <c r="D129" s="27" t="s">
        <v>328</v>
      </c>
      <c r="E129" s="27" t="s">
        <v>78</v>
      </c>
      <c r="F129" s="5" t="s">
        <v>49</v>
      </c>
      <c r="G129" s="21">
        <v>1</v>
      </c>
      <c r="H129" s="22">
        <v>22</v>
      </c>
      <c r="I129" s="22">
        <f t="shared" si="14"/>
        <v>22</v>
      </c>
      <c r="J129" s="5">
        <v>14</v>
      </c>
      <c r="K129" s="23">
        <f t="shared" si="8"/>
        <v>11</v>
      </c>
      <c r="L129" s="58">
        <f>(IFERROR(VLOOKUP(C129,'Current Stocks July-26'!B:K,9,0),0))</f>
        <v>0</v>
      </c>
      <c r="M129" s="24">
        <f t="shared" si="9"/>
        <v>0</v>
      </c>
      <c r="N129" s="25" t="str">
        <f t="shared" si="10"/>
        <v>ORDER NOW</v>
      </c>
      <c r="O129" s="25" t="str">
        <f t="shared" si="11"/>
        <v>CRITICAL</v>
      </c>
      <c r="P129" s="5"/>
      <c r="Q129" s="5"/>
      <c r="R129" s="5"/>
      <c r="S129" s="90">
        <f>VLOOKUP(C129,[3]Sheet1!$C$3:$P$521,14,0)</f>
        <v>46113.430914351855</v>
      </c>
    </row>
    <row r="130" spans="1:20" ht="18.75" hidden="1" x14ac:dyDescent="0.25">
      <c r="A130" s="39">
        <v>307</v>
      </c>
      <c r="B130" s="39" t="s">
        <v>18</v>
      </c>
      <c r="C130" s="39" t="s">
        <v>331</v>
      </c>
      <c r="D130" s="27" t="s">
        <v>332</v>
      </c>
      <c r="E130" s="27" t="s">
        <v>78</v>
      </c>
      <c r="F130" s="5" t="s">
        <v>49</v>
      </c>
      <c r="G130" s="21">
        <v>1</v>
      </c>
      <c r="H130" s="22">
        <v>0</v>
      </c>
      <c r="I130" s="22">
        <f t="shared" si="14"/>
        <v>0</v>
      </c>
      <c r="J130" s="5">
        <v>14</v>
      </c>
      <c r="K130" s="23">
        <f t="shared" si="8"/>
        <v>0</v>
      </c>
      <c r="L130" s="58">
        <f>(IFERROR(VLOOKUP(C130,'Current Stocks July-26'!B:K,9,0),0))</f>
        <v>0</v>
      </c>
      <c r="M130" s="24">
        <f t="shared" si="9"/>
        <v>0</v>
      </c>
      <c r="N130" s="25" t="str">
        <f t="shared" si="10"/>
        <v>ORDER NOW</v>
      </c>
      <c r="O130" s="25" t="str">
        <f t="shared" si="11"/>
        <v>CRITICAL</v>
      </c>
      <c r="P130" s="5"/>
      <c r="Q130" s="5"/>
      <c r="R130" s="5"/>
      <c r="S130" s="90" t="e">
        <f>VLOOKUP(C130,[3]Sheet1!$C$3:$P$521,14,0)</f>
        <v>#N/A</v>
      </c>
    </row>
    <row r="131" spans="1:20" ht="18.75" hidden="1" x14ac:dyDescent="0.25">
      <c r="A131" s="39">
        <v>308</v>
      </c>
      <c r="B131" s="39" t="s">
        <v>239</v>
      </c>
      <c r="C131" s="39" t="s">
        <v>333</v>
      </c>
      <c r="D131" s="27" t="s">
        <v>334</v>
      </c>
      <c r="E131" s="27" t="s">
        <v>160</v>
      </c>
      <c r="F131" s="5" t="s">
        <v>49</v>
      </c>
      <c r="G131" s="21">
        <v>1</v>
      </c>
      <c r="H131" s="22">
        <v>8</v>
      </c>
      <c r="I131" s="22">
        <f t="shared" si="14"/>
        <v>8</v>
      </c>
      <c r="J131" s="5">
        <v>14</v>
      </c>
      <c r="K131" s="23">
        <f t="shared" ref="K131:K194" si="15">I131*(J131/28)</f>
        <v>4</v>
      </c>
      <c r="L131" s="58">
        <f>(IFERROR(VLOOKUP(C131,'Current Stocks July-26'!B:K,9,0),0))</f>
        <v>1</v>
      </c>
      <c r="M131" s="24">
        <f t="shared" ref="M131:M194" si="16">IFERROR((L131/I131*30),0)</f>
        <v>3.75</v>
      </c>
      <c r="N131" s="25" t="str">
        <f t="shared" ref="N131:N194" si="17">IF(M131&lt;J131,"ORDER NOW","IN STOCK")</f>
        <v>ORDER NOW</v>
      </c>
      <c r="O131" s="25" t="str">
        <f t="shared" ref="O131:O194" si="18">IF(M131&lt;J131,"CRITICAL","FOLLOW UP DELIVERY")</f>
        <v>CRITICAL</v>
      </c>
      <c r="P131" s="5"/>
      <c r="Q131" s="5"/>
      <c r="R131" s="5"/>
      <c r="S131" s="90">
        <f>VLOOKUP(C131,[3]Sheet1!$C$3:$P$521,14,0)</f>
        <v>46113.430914351855</v>
      </c>
    </row>
    <row r="132" spans="1:20" ht="18.75" hidden="1" x14ac:dyDescent="0.25">
      <c r="A132" s="39">
        <v>309</v>
      </c>
      <c r="B132" s="39" t="s">
        <v>239</v>
      </c>
      <c r="C132" s="39" t="s">
        <v>335</v>
      </c>
      <c r="D132" s="27" t="s">
        <v>336</v>
      </c>
      <c r="E132" s="27" t="s">
        <v>160</v>
      </c>
      <c r="F132" s="5" t="s">
        <v>49</v>
      </c>
      <c r="G132" s="21">
        <v>1</v>
      </c>
      <c r="H132" s="22">
        <v>0</v>
      </c>
      <c r="I132" s="22">
        <f t="shared" si="14"/>
        <v>0</v>
      </c>
      <c r="J132" s="5">
        <v>14</v>
      </c>
      <c r="K132" s="23">
        <f t="shared" si="15"/>
        <v>0</v>
      </c>
      <c r="L132" s="58">
        <f>(IFERROR(VLOOKUP(C132,'Current Stocks July-26'!B:K,9,0),0))</f>
        <v>0</v>
      </c>
      <c r="M132" s="24">
        <f t="shared" si="16"/>
        <v>0</v>
      </c>
      <c r="N132" s="25" t="str">
        <f t="shared" si="17"/>
        <v>ORDER NOW</v>
      </c>
      <c r="O132" s="25" t="str">
        <f t="shared" si="18"/>
        <v>CRITICAL</v>
      </c>
      <c r="P132" s="5"/>
      <c r="Q132" s="5"/>
      <c r="R132" s="5"/>
      <c r="S132" s="90" t="e">
        <f>VLOOKUP(C132,[3]Sheet1!$C$3:$P$521,14,0)</f>
        <v>#N/A</v>
      </c>
    </row>
    <row r="133" spans="1:20" ht="18.75" hidden="1" x14ac:dyDescent="0.25">
      <c r="A133" s="39">
        <v>310</v>
      </c>
      <c r="B133" s="39" t="s">
        <v>18</v>
      </c>
      <c r="C133" s="39" t="s">
        <v>337</v>
      </c>
      <c r="D133" s="27" t="s">
        <v>338</v>
      </c>
      <c r="E133" s="27" t="s">
        <v>78</v>
      </c>
      <c r="F133" s="5" t="s">
        <v>49</v>
      </c>
      <c r="G133" s="21">
        <v>1</v>
      </c>
      <c r="H133" s="22">
        <v>8</v>
      </c>
      <c r="I133" s="22">
        <f t="shared" si="14"/>
        <v>8</v>
      </c>
      <c r="J133" s="5">
        <v>14</v>
      </c>
      <c r="K133" s="23">
        <f t="shared" si="15"/>
        <v>4</v>
      </c>
      <c r="L133" s="58">
        <f>(IFERROR(VLOOKUP(C133,'Current Stocks July-26'!B:K,9,0),0))</f>
        <v>0</v>
      </c>
      <c r="M133" s="24">
        <f t="shared" si="16"/>
        <v>0</v>
      </c>
      <c r="N133" s="25" t="str">
        <f t="shared" si="17"/>
        <v>ORDER NOW</v>
      </c>
      <c r="O133" s="25" t="str">
        <f t="shared" si="18"/>
        <v>CRITICAL</v>
      </c>
      <c r="P133" s="5"/>
      <c r="Q133" s="5"/>
      <c r="R133" s="5"/>
      <c r="S133" s="90">
        <f>VLOOKUP(C133,[3]Sheet1!$C$3:$P$521,14,0)</f>
        <v>46118.497731481482</v>
      </c>
    </row>
    <row r="134" spans="1:20" ht="18.75" hidden="1" x14ac:dyDescent="0.25">
      <c r="A134" s="39">
        <v>311</v>
      </c>
      <c r="B134" s="39" t="s">
        <v>339</v>
      </c>
      <c r="C134" s="39" t="s">
        <v>340</v>
      </c>
      <c r="D134" s="27" t="s">
        <v>341</v>
      </c>
      <c r="E134" s="27" t="s">
        <v>78</v>
      </c>
      <c r="F134" s="5" t="s">
        <v>49</v>
      </c>
      <c r="G134" s="21">
        <v>1</v>
      </c>
      <c r="H134" s="22">
        <v>200</v>
      </c>
      <c r="I134" s="22">
        <f t="shared" si="14"/>
        <v>200</v>
      </c>
      <c r="J134" s="5">
        <v>14</v>
      </c>
      <c r="K134" s="23">
        <f t="shared" si="15"/>
        <v>100</v>
      </c>
      <c r="L134" s="58">
        <f>(IFERROR(VLOOKUP(C134,'Current Stocks July-26'!B:K,9,0),0))</f>
        <v>0</v>
      </c>
      <c r="M134" s="24">
        <f t="shared" si="16"/>
        <v>0</v>
      </c>
      <c r="N134" s="25" t="str">
        <f t="shared" si="17"/>
        <v>ORDER NOW</v>
      </c>
      <c r="O134" s="25" t="str">
        <f t="shared" si="18"/>
        <v>CRITICAL</v>
      </c>
      <c r="P134" s="5"/>
      <c r="Q134" s="5"/>
      <c r="R134" s="5"/>
      <c r="S134" s="90">
        <f>VLOOKUP(C134,[3]Sheet1!$C$3:$P$521,14,0)</f>
        <v>46113.430914351855</v>
      </c>
    </row>
    <row r="135" spans="1:20" ht="18.75" hidden="1" x14ac:dyDescent="0.25">
      <c r="A135" s="39">
        <v>312</v>
      </c>
      <c r="B135" s="39" t="s">
        <v>339</v>
      </c>
      <c r="C135" s="39" t="s">
        <v>342</v>
      </c>
      <c r="D135" s="27" t="s">
        <v>343</v>
      </c>
      <c r="E135" s="27" t="s">
        <v>78</v>
      </c>
      <c r="F135" s="5" t="s">
        <v>49</v>
      </c>
      <c r="G135" s="21">
        <v>1</v>
      </c>
      <c r="H135" s="22">
        <v>200</v>
      </c>
      <c r="I135" s="22">
        <f t="shared" si="14"/>
        <v>200</v>
      </c>
      <c r="J135" s="5">
        <v>14</v>
      </c>
      <c r="K135" s="23">
        <f t="shared" si="15"/>
        <v>100</v>
      </c>
      <c r="L135" s="58">
        <f>(IFERROR(VLOOKUP(C135,'Current Stocks July-26'!B:K,9,0),0))</f>
        <v>0</v>
      </c>
      <c r="M135" s="24">
        <f t="shared" si="16"/>
        <v>0</v>
      </c>
      <c r="N135" s="25" t="str">
        <f t="shared" si="17"/>
        <v>ORDER NOW</v>
      </c>
      <c r="O135" s="25" t="str">
        <f t="shared" si="18"/>
        <v>CRITICAL</v>
      </c>
      <c r="P135" s="5"/>
      <c r="Q135" s="5"/>
      <c r="R135" s="5"/>
      <c r="S135" s="90">
        <f>VLOOKUP(C135,[3]Sheet1!$C$3:$P$521,14,0)</f>
        <v>46113.430914351855</v>
      </c>
    </row>
    <row r="136" spans="1:20" ht="18.75" hidden="1" x14ac:dyDescent="0.25">
      <c r="A136" s="39">
        <v>317</v>
      </c>
      <c r="B136" s="39" t="s">
        <v>123</v>
      </c>
      <c r="C136" s="39" t="s">
        <v>350</v>
      </c>
      <c r="D136" s="68" t="s">
        <v>351</v>
      </c>
      <c r="E136" s="27" t="s">
        <v>352</v>
      </c>
      <c r="F136" s="5" t="s">
        <v>22</v>
      </c>
      <c r="G136" s="21">
        <v>0.1</v>
      </c>
      <c r="H136" s="22">
        <v>1</v>
      </c>
      <c r="I136" s="22">
        <f t="shared" si="14"/>
        <v>10</v>
      </c>
      <c r="J136" s="5">
        <v>14</v>
      </c>
      <c r="K136" s="23">
        <f t="shared" si="15"/>
        <v>5</v>
      </c>
      <c r="L136" s="58">
        <f>(IFERROR(VLOOKUP(C136,'Current Stocks July-26'!B:K,9,0),0))</f>
        <v>0</v>
      </c>
      <c r="M136" s="24">
        <f t="shared" si="16"/>
        <v>0</v>
      </c>
      <c r="N136" s="25" t="str">
        <f t="shared" si="17"/>
        <v>ORDER NOW</v>
      </c>
      <c r="O136" s="25" t="str">
        <f t="shared" si="18"/>
        <v>CRITICAL</v>
      </c>
      <c r="P136" s="5"/>
      <c r="Q136" s="5"/>
      <c r="R136" s="5"/>
      <c r="S136" s="90">
        <f>VLOOKUP(C136,[3]Sheet1!$C$3:$P$521,14,0)</f>
        <v>46113.430914351855</v>
      </c>
    </row>
    <row r="137" spans="1:20" ht="18.75" hidden="1" x14ac:dyDescent="0.25">
      <c r="A137" s="39">
        <v>318</v>
      </c>
      <c r="B137" s="39" t="s">
        <v>239</v>
      </c>
      <c r="C137" s="39" t="s">
        <v>353</v>
      </c>
      <c r="D137" s="27" t="s">
        <v>354</v>
      </c>
      <c r="E137" s="27" t="s">
        <v>78</v>
      </c>
      <c r="F137" s="5" t="s">
        <v>49</v>
      </c>
      <c r="G137" s="21">
        <v>1</v>
      </c>
      <c r="H137" s="22">
        <v>0</v>
      </c>
      <c r="I137" s="22">
        <f t="shared" ref="I137:I168" si="19">H137/G137</f>
        <v>0</v>
      </c>
      <c r="J137" s="5">
        <v>14</v>
      </c>
      <c r="K137" s="23">
        <f t="shared" si="15"/>
        <v>0</v>
      </c>
      <c r="L137" s="58">
        <f>(IFERROR(VLOOKUP(C137,'Current Stocks July-26'!B:K,9,0),0))</f>
        <v>0</v>
      </c>
      <c r="M137" s="24">
        <f t="shared" si="16"/>
        <v>0</v>
      </c>
      <c r="N137" s="25" t="str">
        <f t="shared" si="17"/>
        <v>ORDER NOW</v>
      </c>
      <c r="O137" s="25" t="str">
        <f t="shared" si="18"/>
        <v>CRITICAL</v>
      </c>
      <c r="P137" s="5"/>
      <c r="Q137" s="5"/>
      <c r="R137" s="5"/>
      <c r="S137" s="90" t="e">
        <f>VLOOKUP(C137,[3]Sheet1!$C$3:$P$521,14,0)</f>
        <v>#N/A</v>
      </c>
    </row>
    <row r="138" spans="1:20" ht="18.75" hidden="1" x14ac:dyDescent="0.25">
      <c r="A138" s="39">
        <v>319</v>
      </c>
      <c r="B138" s="39" t="s">
        <v>123</v>
      </c>
      <c r="C138" s="39" t="s">
        <v>355</v>
      </c>
      <c r="D138" s="27" t="s">
        <v>356</v>
      </c>
      <c r="E138" s="27" t="s">
        <v>49</v>
      </c>
      <c r="F138" s="5" t="s">
        <v>49</v>
      </c>
      <c r="G138" s="21">
        <v>1</v>
      </c>
      <c r="H138" s="22">
        <v>30</v>
      </c>
      <c r="I138" s="22">
        <f t="shared" si="19"/>
        <v>30</v>
      </c>
      <c r="J138" s="5">
        <v>14</v>
      </c>
      <c r="K138" s="23">
        <f t="shared" si="15"/>
        <v>15</v>
      </c>
      <c r="L138" s="58">
        <f>(IFERROR(VLOOKUP(C138,'Current Stocks July-26'!B:K,9,0),0))</f>
        <v>0</v>
      </c>
      <c r="M138" s="24">
        <f t="shared" si="16"/>
        <v>0</v>
      </c>
      <c r="N138" s="25" t="str">
        <f t="shared" si="17"/>
        <v>ORDER NOW</v>
      </c>
      <c r="O138" s="25" t="str">
        <f t="shared" si="18"/>
        <v>CRITICAL</v>
      </c>
      <c r="P138" s="5"/>
      <c r="Q138" s="5"/>
      <c r="R138" s="5"/>
      <c r="S138" s="90">
        <f>VLOOKUP(C138,[3]Sheet1!$C$3:$P$521,14,0)</f>
        <v>46113.430914351855</v>
      </c>
    </row>
    <row r="139" spans="1:20" ht="18.75" hidden="1" x14ac:dyDescent="0.25">
      <c r="A139" s="39">
        <v>321</v>
      </c>
      <c r="B139" s="39" t="s">
        <v>157</v>
      </c>
      <c r="C139" s="39" t="s">
        <v>357</v>
      </c>
      <c r="D139" s="27" t="s">
        <v>358</v>
      </c>
      <c r="E139" s="27" t="s">
        <v>180</v>
      </c>
      <c r="F139" s="5" t="s">
        <v>22</v>
      </c>
      <c r="G139" s="21">
        <v>1E-3</v>
      </c>
      <c r="H139" s="22">
        <v>5</v>
      </c>
      <c r="I139" s="22">
        <f t="shared" si="19"/>
        <v>5000</v>
      </c>
      <c r="J139" s="5">
        <v>14</v>
      </c>
      <c r="K139" s="23">
        <f t="shared" si="15"/>
        <v>2500</v>
      </c>
      <c r="L139" s="58">
        <f>(IFERROR(VLOOKUP(C139,'Current Stocks July-26'!B:K,9,0),0))</f>
        <v>0</v>
      </c>
      <c r="M139" s="24">
        <f t="shared" si="16"/>
        <v>0</v>
      </c>
      <c r="N139" s="25" t="str">
        <f t="shared" si="17"/>
        <v>ORDER NOW</v>
      </c>
      <c r="O139" s="25" t="str">
        <f t="shared" si="18"/>
        <v>CRITICAL</v>
      </c>
      <c r="P139" s="5"/>
      <c r="Q139" s="5"/>
      <c r="R139" s="5"/>
      <c r="S139" s="90">
        <f>VLOOKUP(C139,[3]Sheet1!$C$3:$P$521,14,0)</f>
        <v>46113.430914351855</v>
      </c>
    </row>
    <row r="140" spans="1:20" ht="18.75" hidden="1" x14ac:dyDescent="0.25">
      <c r="A140" s="39">
        <v>322</v>
      </c>
      <c r="B140" s="39" t="s">
        <v>157</v>
      </c>
      <c r="C140" s="39" t="s">
        <v>359</v>
      </c>
      <c r="D140" s="27" t="s">
        <v>360</v>
      </c>
      <c r="E140" s="27" t="s">
        <v>160</v>
      </c>
      <c r="F140" s="5" t="s">
        <v>49</v>
      </c>
      <c r="G140" s="21">
        <v>1</v>
      </c>
      <c r="H140" s="22">
        <v>5</v>
      </c>
      <c r="I140" s="22">
        <f t="shared" si="19"/>
        <v>5</v>
      </c>
      <c r="J140" s="5">
        <v>14</v>
      </c>
      <c r="K140" s="23">
        <f t="shared" si="15"/>
        <v>2.5</v>
      </c>
      <c r="L140" s="58">
        <f>(IFERROR(VLOOKUP(C140,'Current Stocks July-26'!B:K,9,0),0))</f>
        <v>0</v>
      </c>
      <c r="M140" s="24">
        <f t="shared" si="16"/>
        <v>0</v>
      </c>
      <c r="N140" s="25" t="str">
        <f t="shared" si="17"/>
        <v>ORDER NOW</v>
      </c>
      <c r="O140" s="25" t="str">
        <f t="shared" si="18"/>
        <v>CRITICAL</v>
      </c>
      <c r="P140" s="5"/>
      <c r="Q140" s="5"/>
      <c r="R140" s="5"/>
      <c r="S140" s="90">
        <f>VLOOKUP(C140,[3]Sheet1!$C$3:$P$521,14,0)</f>
        <v>46131.431921296295</v>
      </c>
    </row>
    <row r="141" spans="1:20" ht="18.75" hidden="1" x14ac:dyDescent="0.25">
      <c r="A141" s="39">
        <v>327</v>
      </c>
      <c r="B141" s="39" t="s">
        <v>239</v>
      </c>
      <c r="C141" s="39" t="s">
        <v>365</v>
      </c>
      <c r="D141" s="111" t="s">
        <v>366</v>
      </c>
      <c r="E141" s="31" t="s">
        <v>22</v>
      </c>
      <c r="F141" s="5" t="s">
        <v>22</v>
      </c>
      <c r="G141" s="21">
        <v>1</v>
      </c>
      <c r="H141" s="22">
        <v>1</v>
      </c>
      <c r="I141" s="22">
        <f t="shared" si="19"/>
        <v>1</v>
      </c>
      <c r="J141" s="5">
        <v>14</v>
      </c>
      <c r="K141" s="23">
        <f t="shared" si="15"/>
        <v>0.5</v>
      </c>
      <c r="L141" s="58">
        <f>(IFERROR(VLOOKUP(C141,'Current Stocks July-26'!B:K,9,0),0))</f>
        <v>0</v>
      </c>
      <c r="M141" s="24">
        <f t="shared" si="16"/>
        <v>0</v>
      </c>
      <c r="N141" s="25" t="str">
        <f t="shared" si="17"/>
        <v>ORDER NOW</v>
      </c>
      <c r="O141" s="25" t="str">
        <f t="shared" si="18"/>
        <v>CRITICAL</v>
      </c>
      <c r="P141" s="5"/>
      <c r="Q141" s="5"/>
      <c r="R141" s="5"/>
      <c r="S141" s="90" t="e">
        <f>VLOOKUP(C141,[3]Sheet1!$C$3:$P$521,14,0)</f>
        <v>#N/A</v>
      </c>
    </row>
    <row r="142" spans="1:20" ht="18.75" hidden="1" x14ac:dyDescent="0.25">
      <c r="A142" s="39">
        <v>328</v>
      </c>
      <c r="B142" s="39" t="s">
        <v>123</v>
      </c>
      <c r="C142" s="39" t="s">
        <v>367</v>
      </c>
      <c r="D142" s="108" t="s">
        <v>368</v>
      </c>
      <c r="E142" s="31" t="s">
        <v>22</v>
      </c>
      <c r="F142" s="5" t="s">
        <v>22</v>
      </c>
      <c r="G142" s="21">
        <v>1</v>
      </c>
      <c r="H142" s="22">
        <v>4</v>
      </c>
      <c r="I142" s="22">
        <f t="shared" si="19"/>
        <v>4</v>
      </c>
      <c r="J142" s="5">
        <v>14</v>
      </c>
      <c r="K142" s="23">
        <f t="shared" si="15"/>
        <v>2</v>
      </c>
      <c r="L142" s="58">
        <f>(IFERROR(VLOOKUP(C142,'Current Stocks July-26'!B:K,9,0),0))</f>
        <v>0</v>
      </c>
      <c r="M142" s="24">
        <f t="shared" si="16"/>
        <v>0</v>
      </c>
      <c r="N142" s="25" t="str">
        <f t="shared" si="17"/>
        <v>ORDER NOW</v>
      </c>
      <c r="O142" s="25" t="str">
        <f t="shared" si="18"/>
        <v>CRITICAL</v>
      </c>
      <c r="P142" s="5"/>
      <c r="Q142" s="5"/>
      <c r="R142" s="5"/>
      <c r="S142" s="90" t="e">
        <f>VLOOKUP(C142,[3]Sheet1!$C$3:$P$521,14,0)</f>
        <v>#N/A</v>
      </c>
    </row>
    <row r="143" spans="1:20" ht="18.75" hidden="1" x14ac:dyDescent="0.25">
      <c r="A143" s="39">
        <v>331</v>
      </c>
      <c r="B143" s="39" t="s">
        <v>157</v>
      </c>
      <c r="C143" s="39" t="s">
        <v>1580</v>
      </c>
      <c r="D143" s="75" t="s">
        <v>1581</v>
      </c>
      <c r="E143" s="31" t="s">
        <v>22</v>
      </c>
      <c r="F143" s="5" t="s">
        <v>22</v>
      </c>
      <c r="G143" s="21">
        <v>1E-3</v>
      </c>
      <c r="H143" s="22">
        <v>5</v>
      </c>
      <c r="I143" s="22">
        <f t="shared" si="19"/>
        <v>5000</v>
      </c>
      <c r="J143" s="5">
        <v>14</v>
      </c>
      <c r="K143" s="23">
        <f t="shared" si="15"/>
        <v>2500</v>
      </c>
      <c r="L143" s="58">
        <f>(IFERROR(VLOOKUP(C143,'Current Stocks July-26'!B:K,9,0),0))</f>
        <v>0</v>
      </c>
      <c r="M143" s="24">
        <f t="shared" si="16"/>
        <v>0</v>
      </c>
      <c r="N143" s="25" t="str">
        <f t="shared" si="17"/>
        <v>ORDER NOW</v>
      </c>
      <c r="O143" s="25" t="str">
        <f t="shared" si="18"/>
        <v>CRITICAL</v>
      </c>
      <c r="P143" s="5"/>
      <c r="Q143" s="5"/>
      <c r="R143" s="5"/>
      <c r="S143" s="90">
        <f>VLOOKUP(C143,[3]Sheet1!$C$3:$P$521,14,0)</f>
        <v>46131.520879629628</v>
      </c>
    </row>
    <row r="144" spans="1:20" ht="18.75" hidden="1" x14ac:dyDescent="0.25">
      <c r="A144" s="41">
        <v>384</v>
      </c>
      <c r="B144" s="41" t="s">
        <v>38</v>
      </c>
      <c r="C144" s="41" t="s">
        <v>120</v>
      </c>
      <c r="D144" s="27" t="s">
        <v>121</v>
      </c>
      <c r="E144" s="27" t="s">
        <v>122</v>
      </c>
      <c r="F144" s="5" t="s">
        <v>22</v>
      </c>
      <c r="G144" s="21">
        <f>1/9</f>
        <v>0.1111111111111111</v>
      </c>
      <c r="H144" s="22">
        <v>22</v>
      </c>
      <c r="I144" s="22">
        <f t="shared" si="19"/>
        <v>198</v>
      </c>
      <c r="J144" s="5">
        <v>14</v>
      </c>
      <c r="K144" s="23">
        <f t="shared" si="15"/>
        <v>99</v>
      </c>
      <c r="L144" s="58">
        <f>(IFERROR(VLOOKUP(C144,'Current Stocks July-26'!B:K,9,0),0))</f>
        <v>0</v>
      </c>
      <c r="M144" s="24">
        <f t="shared" si="16"/>
        <v>0</v>
      </c>
      <c r="N144" s="25" t="str">
        <f t="shared" si="17"/>
        <v>ORDER NOW</v>
      </c>
      <c r="O144" s="25" t="str">
        <f t="shared" si="18"/>
        <v>CRITICAL</v>
      </c>
      <c r="P144" s="5"/>
      <c r="Q144" s="5"/>
      <c r="R144" s="5"/>
      <c r="S144" s="90">
        <f>VLOOKUP(C144,[3]Sheet1!$C$3:$P$521,14,0)</f>
        <v>46128.686388888891</v>
      </c>
      <c r="T144" t="s">
        <v>1634</v>
      </c>
    </row>
    <row r="145" spans="1:20" ht="18.75" hidden="1" x14ac:dyDescent="0.25">
      <c r="A145" s="41">
        <v>336</v>
      </c>
      <c r="B145" s="41" t="s">
        <v>38</v>
      </c>
      <c r="C145" s="41" t="s">
        <v>1407</v>
      </c>
      <c r="D145" s="27" t="s">
        <v>1408</v>
      </c>
      <c r="E145" s="27" t="s">
        <v>1244</v>
      </c>
      <c r="F145" s="5" t="s">
        <v>22</v>
      </c>
      <c r="G145" s="21">
        <f>1/1000</f>
        <v>1E-3</v>
      </c>
      <c r="H145" s="22">
        <v>88</v>
      </c>
      <c r="I145" s="22">
        <f t="shared" si="19"/>
        <v>88000</v>
      </c>
      <c r="J145" s="5">
        <v>14</v>
      </c>
      <c r="K145" s="23">
        <f t="shared" si="15"/>
        <v>44000</v>
      </c>
      <c r="L145" s="58">
        <f>(IFERROR(VLOOKUP(C145,'Current Stocks July-26'!B:K,9,0),0))</f>
        <v>0</v>
      </c>
      <c r="M145" s="24">
        <f t="shared" si="16"/>
        <v>0</v>
      </c>
      <c r="N145" s="25" t="str">
        <f t="shared" si="17"/>
        <v>ORDER NOW</v>
      </c>
      <c r="O145" s="25" t="str">
        <f t="shared" si="18"/>
        <v>CRITICAL</v>
      </c>
      <c r="P145" s="5"/>
      <c r="Q145" s="5"/>
      <c r="R145" s="5"/>
      <c r="S145" s="90">
        <f>VLOOKUP(C145,[3]Sheet1!$C$3:$P$521,14,0)</f>
        <v>46131.517407407409</v>
      </c>
    </row>
    <row r="146" spans="1:20" ht="18.75" hidden="1" x14ac:dyDescent="0.25">
      <c r="A146" s="41">
        <v>427</v>
      </c>
      <c r="B146" s="41" t="s">
        <v>38</v>
      </c>
      <c r="C146" s="41" t="s">
        <v>819</v>
      </c>
      <c r="D146" s="27" t="s">
        <v>820</v>
      </c>
      <c r="E146" s="27" t="s">
        <v>821</v>
      </c>
      <c r="F146" s="5" t="s">
        <v>54</v>
      </c>
      <c r="G146" s="21">
        <v>0.02</v>
      </c>
      <c r="H146" s="22">
        <v>450</v>
      </c>
      <c r="I146" s="22">
        <f t="shared" si="19"/>
        <v>22500</v>
      </c>
      <c r="J146" s="5">
        <v>14</v>
      </c>
      <c r="K146" s="23">
        <f t="shared" si="15"/>
        <v>11250</v>
      </c>
      <c r="L146" s="58">
        <f>(IFERROR(VLOOKUP(C146,'Current Stocks July-26'!B:K,9,0),0))</f>
        <v>6000</v>
      </c>
      <c r="M146" s="24">
        <f t="shared" si="16"/>
        <v>8</v>
      </c>
      <c r="N146" s="25" t="str">
        <f t="shared" si="17"/>
        <v>ORDER NOW</v>
      </c>
      <c r="O146" s="25" t="str">
        <f t="shared" si="18"/>
        <v>CRITICAL</v>
      </c>
      <c r="P146" s="5"/>
      <c r="Q146" s="5"/>
      <c r="R146" s="5"/>
      <c r="S146" s="90">
        <f>VLOOKUP(C146,[3]Sheet1!$C$3:$P$521,14,0)</f>
        <v>46141.525567129633</v>
      </c>
    </row>
    <row r="147" spans="1:20" ht="18.75" hidden="1" x14ac:dyDescent="0.25">
      <c r="A147" s="41">
        <v>337</v>
      </c>
      <c r="B147" s="41" t="s">
        <v>38</v>
      </c>
      <c r="C147" s="41" t="s">
        <v>1021</v>
      </c>
      <c r="D147" s="27" t="s">
        <v>1022</v>
      </c>
      <c r="E147" s="27" t="s">
        <v>1023</v>
      </c>
      <c r="F147" s="5" t="s">
        <v>22</v>
      </c>
      <c r="G147" s="21">
        <f>1/24</f>
        <v>4.1666666666666664E-2</v>
      </c>
      <c r="H147" s="22">
        <v>22</v>
      </c>
      <c r="I147" s="22">
        <f t="shared" si="19"/>
        <v>528</v>
      </c>
      <c r="J147" s="5">
        <v>14</v>
      </c>
      <c r="K147" s="23">
        <f t="shared" si="15"/>
        <v>264</v>
      </c>
      <c r="L147" s="58">
        <f>(IFERROR(VLOOKUP(C147,'Current Stocks July-26'!B:K,9,0),0))</f>
        <v>0</v>
      </c>
      <c r="M147" s="24">
        <f t="shared" si="16"/>
        <v>0</v>
      </c>
      <c r="N147" s="25" t="str">
        <f t="shared" si="17"/>
        <v>ORDER NOW</v>
      </c>
      <c r="O147" s="25" t="str">
        <f t="shared" si="18"/>
        <v>CRITICAL</v>
      </c>
      <c r="P147" s="5"/>
      <c r="Q147" s="5"/>
      <c r="R147" s="5"/>
      <c r="S147" s="90">
        <f>VLOOKUP(C147,[3]Sheet1!$C$3:$P$521,14,0)</f>
        <v>46131.517777777779</v>
      </c>
    </row>
    <row r="148" spans="1:20" ht="18.75" hidden="1" x14ac:dyDescent="0.25">
      <c r="A148" s="41">
        <v>350</v>
      </c>
      <c r="B148" s="41" t="s">
        <v>38</v>
      </c>
      <c r="C148" s="41" t="s">
        <v>1416</v>
      </c>
      <c r="D148" s="29" t="s">
        <v>1417</v>
      </c>
      <c r="E148" s="29"/>
      <c r="F148" s="5"/>
      <c r="G148" s="21">
        <v>1</v>
      </c>
      <c r="H148" s="22">
        <v>27.5</v>
      </c>
      <c r="I148" s="22">
        <f t="shared" si="19"/>
        <v>27.5</v>
      </c>
      <c r="J148" s="5">
        <v>14</v>
      </c>
      <c r="K148" s="23">
        <f t="shared" si="15"/>
        <v>13.75</v>
      </c>
      <c r="L148" s="58">
        <f>(IFERROR(VLOOKUP(C148,'Current Stocks July-26'!B:K,9,0),0))</f>
        <v>0</v>
      </c>
      <c r="M148" s="24">
        <f t="shared" si="16"/>
        <v>0</v>
      </c>
      <c r="N148" s="25" t="str">
        <f t="shared" si="17"/>
        <v>ORDER NOW</v>
      </c>
      <c r="O148" s="25" t="str">
        <f t="shared" si="18"/>
        <v>CRITICAL</v>
      </c>
      <c r="P148" s="5"/>
      <c r="Q148" s="5"/>
      <c r="R148" s="5"/>
      <c r="S148" s="90">
        <f>VLOOKUP(C148,[3]Sheet1!$C$3:$P$521,14,0)</f>
        <v>46131.51971064815</v>
      </c>
    </row>
    <row r="149" spans="1:20" ht="18.75" hidden="1" x14ac:dyDescent="0.25">
      <c r="A149" s="41">
        <v>372</v>
      </c>
      <c r="B149" s="41" t="s">
        <v>85</v>
      </c>
      <c r="C149" s="41" t="s">
        <v>372</v>
      </c>
      <c r="D149" s="27" t="s">
        <v>373</v>
      </c>
      <c r="E149" s="27" t="s">
        <v>374</v>
      </c>
      <c r="F149" s="5" t="s">
        <v>22</v>
      </c>
      <c r="G149" s="21">
        <v>0.16666666666666666</v>
      </c>
      <c r="H149" s="22">
        <v>16.5</v>
      </c>
      <c r="I149" s="22">
        <f t="shared" si="19"/>
        <v>99</v>
      </c>
      <c r="J149" s="5">
        <v>14</v>
      </c>
      <c r="K149" s="23">
        <f t="shared" si="15"/>
        <v>49.5</v>
      </c>
      <c r="L149" s="58">
        <f>(IFERROR(VLOOKUP(C149,'Current Stocks July-26'!B:K,9,0),0))</f>
        <v>0</v>
      </c>
      <c r="M149" s="24">
        <f t="shared" si="16"/>
        <v>0</v>
      </c>
      <c r="N149" s="25" t="str">
        <f t="shared" si="17"/>
        <v>ORDER NOW</v>
      </c>
      <c r="O149" s="25" t="str">
        <f t="shared" si="18"/>
        <v>CRITICAL</v>
      </c>
      <c r="P149" s="5"/>
      <c r="Q149" s="5"/>
      <c r="R149" s="5"/>
      <c r="S149" s="90">
        <f>VLOOKUP(C149,[3]Sheet1!$C$3:$P$521,14,0)</f>
        <v>46113.430914351855</v>
      </c>
    </row>
    <row r="150" spans="1:20" ht="18.75" hidden="1" x14ac:dyDescent="0.25">
      <c r="A150" s="41">
        <v>373</v>
      </c>
      <c r="B150" s="41" t="s">
        <v>85</v>
      </c>
      <c r="C150" s="41" t="s">
        <v>375</v>
      </c>
      <c r="D150" s="27" t="s">
        <v>376</v>
      </c>
      <c r="E150" s="27" t="s">
        <v>374</v>
      </c>
      <c r="F150" s="5" t="s">
        <v>22</v>
      </c>
      <c r="G150" s="21">
        <v>0.16666666666666666</v>
      </c>
      <c r="H150" s="22">
        <v>11</v>
      </c>
      <c r="I150" s="22">
        <f t="shared" si="19"/>
        <v>66</v>
      </c>
      <c r="J150" s="5">
        <v>14</v>
      </c>
      <c r="K150" s="23">
        <f t="shared" si="15"/>
        <v>33</v>
      </c>
      <c r="L150" s="58">
        <f>(IFERROR(VLOOKUP(C150,'Current Stocks July-26'!B:K,9,0),0))</f>
        <v>0</v>
      </c>
      <c r="M150" s="24">
        <f t="shared" si="16"/>
        <v>0</v>
      </c>
      <c r="N150" s="25" t="str">
        <f t="shared" si="17"/>
        <v>ORDER NOW</v>
      </c>
      <c r="O150" s="25" t="str">
        <f t="shared" si="18"/>
        <v>CRITICAL</v>
      </c>
      <c r="P150" s="5"/>
      <c r="Q150" s="5"/>
      <c r="R150" s="5"/>
      <c r="S150" s="90">
        <f>VLOOKUP(C150,[3]Sheet1!$C$3:$P$521,14,0)</f>
        <v>46113.430914351855</v>
      </c>
    </row>
    <row r="151" spans="1:20" ht="18.75" hidden="1" x14ac:dyDescent="0.25">
      <c r="A151" s="41">
        <v>379</v>
      </c>
      <c r="B151" s="41" t="s">
        <v>61</v>
      </c>
      <c r="C151" s="41" t="s">
        <v>379</v>
      </c>
      <c r="D151" s="27" t="s">
        <v>380</v>
      </c>
      <c r="E151" s="27" t="s">
        <v>381</v>
      </c>
      <c r="F151" s="5" t="s">
        <v>22</v>
      </c>
      <c r="G151" s="21">
        <f>1/12</f>
        <v>8.3333333333333329E-2</v>
      </c>
      <c r="H151" s="22">
        <v>66</v>
      </c>
      <c r="I151" s="22">
        <f t="shared" si="19"/>
        <v>792</v>
      </c>
      <c r="J151" s="5">
        <v>14</v>
      </c>
      <c r="K151" s="23">
        <f t="shared" si="15"/>
        <v>396</v>
      </c>
      <c r="L151" s="58">
        <f>(IFERROR(VLOOKUP(C151,'Current Stocks July-26'!B:K,9,0),0))</f>
        <v>0</v>
      </c>
      <c r="M151" s="24">
        <f t="shared" si="16"/>
        <v>0</v>
      </c>
      <c r="N151" s="25" t="str">
        <f t="shared" si="17"/>
        <v>ORDER NOW</v>
      </c>
      <c r="O151" s="25" t="str">
        <f t="shared" si="18"/>
        <v>CRITICAL</v>
      </c>
      <c r="P151" s="5"/>
      <c r="Q151" s="5"/>
      <c r="R151" s="5"/>
      <c r="S151" s="90">
        <f>VLOOKUP(C151,[3]Sheet1!$C$3:$P$521,14,0)</f>
        <v>46113.430914351855</v>
      </c>
    </row>
    <row r="152" spans="1:20" ht="18.75" hidden="1" x14ac:dyDescent="0.25">
      <c r="A152" s="41">
        <v>393</v>
      </c>
      <c r="B152" s="41" t="s">
        <v>61</v>
      </c>
      <c r="C152" s="41" t="s">
        <v>382</v>
      </c>
      <c r="D152" s="27" t="s">
        <v>383</v>
      </c>
      <c r="E152" s="27" t="s">
        <v>384</v>
      </c>
      <c r="F152" s="5" t="s">
        <v>49</v>
      </c>
      <c r="G152" s="21">
        <f>1/0.2</f>
        <v>5</v>
      </c>
      <c r="H152" s="22">
        <v>500</v>
      </c>
      <c r="I152" s="22">
        <f t="shared" si="19"/>
        <v>100</v>
      </c>
      <c r="J152" s="5">
        <v>14</v>
      </c>
      <c r="K152" s="23">
        <f t="shared" si="15"/>
        <v>50</v>
      </c>
      <c r="L152" s="58">
        <f>(IFERROR(VLOOKUP(C152,'Current Stocks July-26'!B:K,9,0),0))</f>
        <v>0</v>
      </c>
      <c r="M152" s="24">
        <f t="shared" si="16"/>
        <v>0</v>
      </c>
      <c r="N152" s="25" t="str">
        <f t="shared" si="17"/>
        <v>ORDER NOW</v>
      </c>
      <c r="O152" s="25" t="str">
        <f t="shared" si="18"/>
        <v>CRITICAL</v>
      </c>
      <c r="P152" s="5"/>
      <c r="Q152" s="5"/>
      <c r="R152" s="5"/>
      <c r="S152" s="90" t="e">
        <f>VLOOKUP(C152,[3]Sheet1!$C$3:$P$521,14,0)</f>
        <v>#N/A</v>
      </c>
    </row>
    <row r="153" spans="1:20" ht="18.75" hidden="1" x14ac:dyDescent="0.25">
      <c r="A153" s="41">
        <v>399</v>
      </c>
      <c r="B153" s="41" t="s">
        <v>38</v>
      </c>
      <c r="C153" s="41" t="s">
        <v>385</v>
      </c>
      <c r="D153" s="27" t="s">
        <v>386</v>
      </c>
      <c r="E153" s="27" t="s">
        <v>64</v>
      </c>
      <c r="F153" s="5" t="s">
        <v>49</v>
      </c>
      <c r="G153" s="21">
        <v>1</v>
      </c>
      <c r="H153" s="22">
        <v>0</v>
      </c>
      <c r="I153" s="22">
        <f t="shared" si="19"/>
        <v>0</v>
      </c>
      <c r="J153" s="5">
        <v>14</v>
      </c>
      <c r="K153" s="23">
        <f t="shared" si="15"/>
        <v>0</v>
      </c>
      <c r="L153" s="58">
        <f>(IFERROR(VLOOKUP(C153,'Current Stocks July-26'!B:K,9,0),0))</f>
        <v>0</v>
      </c>
      <c r="M153" s="24">
        <f t="shared" si="16"/>
        <v>0</v>
      </c>
      <c r="N153" s="25" t="str">
        <f t="shared" si="17"/>
        <v>ORDER NOW</v>
      </c>
      <c r="O153" s="25" t="str">
        <f t="shared" si="18"/>
        <v>CRITICAL</v>
      </c>
      <c r="P153" s="5"/>
      <c r="Q153" s="5"/>
      <c r="R153" s="5"/>
      <c r="S153" s="90" t="e">
        <f>VLOOKUP(C153,[3]Sheet1!$C$3:$P$521,14,0)</f>
        <v>#N/A</v>
      </c>
    </row>
    <row r="154" spans="1:20" ht="18.75" hidden="1" x14ac:dyDescent="0.25">
      <c r="A154" s="41">
        <v>412</v>
      </c>
      <c r="B154" s="41" t="s">
        <v>38</v>
      </c>
      <c r="C154" s="41" t="s">
        <v>390</v>
      </c>
      <c r="D154" s="27" t="s">
        <v>391</v>
      </c>
      <c r="E154" s="27" t="s">
        <v>392</v>
      </c>
      <c r="F154" s="5" t="s">
        <v>49</v>
      </c>
      <c r="G154" s="21">
        <v>0.1</v>
      </c>
      <c r="H154" s="22">
        <v>0</v>
      </c>
      <c r="I154" s="22">
        <f t="shared" si="19"/>
        <v>0</v>
      </c>
      <c r="J154" s="5">
        <v>14</v>
      </c>
      <c r="K154" s="23">
        <f t="shared" si="15"/>
        <v>0</v>
      </c>
      <c r="L154" s="58">
        <f>(IFERROR(VLOOKUP(C154,'Current Stocks July-26'!B:K,9,0),0))</f>
        <v>0</v>
      </c>
      <c r="M154" s="24">
        <f t="shared" si="16"/>
        <v>0</v>
      </c>
      <c r="N154" s="25" t="str">
        <f t="shared" si="17"/>
        <v>ORDER NOW</v>
      </c>
      <c r="O154" s="25" t="str">
        <f t="shared" si="18"/>
        <v>CRITICAL</v>
      </c>
      <c r="P154" s="5"/>
      <c r="Q154" s="5"/>
      <c r="R154" s="5"/>
      <c r="S154" s="90">
        <f>VLOOKUP(C154,[3]Sheet1!$C$3:$P$521,14,0)</f>
        <v>46127.531087962961</v>
      </c>
      <c r="T154" t="s">
        <v>1634</v>
      </c>
    </row>
    <row r="155" spans="1:20" ht="18.75" hidden="1" x14ac:dyDescent="0.25">
      <c r="A155" s="41">
        <v>415</v>
      </c>
      <c r="B155" s="41" t="s">
        <v>38</v>
      </c>
      <c r="C155" s="41" t="s">
        <v>393</v>
      </c>
      <c r="D155" s="68" t="s">
        <v>394</v>
      </c>
      <c r="E155" s="27" t="s">
        <v>395</v>
      </c>
      <c r="F155" s="5" t="s">
        <v>49</v>
      </c>
      <c r="G155" s="21">
        <f>1/25</f>
        <v>0.04</v>
      </c>
      <c r="H155" s="22">
        <v>0</v>
      </c>
      <c r="I155" s="22">
        <f t="shared" si="19"/>
        <v>0</v>
      </c>
      <c r="J155" s="5">
        <v>14</v>
      </c>
      <c r="K155" s="23">
        <f t="shared" si="15"/>
        <v>0</v>
      </c>
      <c r="L155" s="58">
        <f>(IFERROR(VLOOKUP(C155,'Current Stocks July-26'!B:K,9,0),0))</f>
        <v>0</v>
      </c>
      <c r="M155" s="24">
        <f t="shared" si="16"/>
        <v>0</v>
      </c>
      <c r="N155" s="25" t="str">
        <f t="shared" si="17"/>
        <v>ORDER NOW</v>
      </c>
      <c r="O155" s="25" t="str">
        <f t="shared" si="18"/>
        <v>CRITICAL</v>
      </c>
      <c r="P155" s="5"/>
      <c r="Q155" s="5"/>
      <c r="R155" s="5"/>
      <c r="S155" s="90" t="e">
        <f>VLOOKUP(C155,[3]Sheet1!$C$3:$P$521,14,0)</f>
        <v>#N/A</v>
      </c>
      <c r="T155" t="s">
        <v>1634</v>
      </c>
    </row>
    <row r="156" spans="1:20" ht="18.75" hidden="1" x14ac:dyDescent="0.25">
      <c r="A156" s="41">
        <v>418</v>
      </c>
      <c r="B156" s="41" t="s">
        <v>38</v>
      </c>
      <c r="C156" s="41" t="s">
        <v>396</v>
      </c>
      <c r="D156" s="27" t="s">
        <v>397</v>
      </c>
      <c r="E156" s="27" t="s">
        <v>398</v>
      </c>
      <c r="F156" s="5" t="s">
        <v>46</v>
      </c>
      <c r="G156" s="21">
        <v>0.1</v>
      </c>
      <c r="H156" s="22">
        <v>90</v>
      </c>
      <c r="I156" s="22">
        <f t="shared" si="19"/>
        <v>900</v>
      </c>
      <c r="J156" s="5">
        <v>14</v>
      </c>
      <c r="K156" s="23">
        <f t="shared" si="15"/>
        <v>450</v>
      </c>
      <c r="L156" s="58">
        <f>(IFERROR(VLOOKUP(C156,'Current Stocks July-26'!B:K,9,0),0))</f>
        <v>0</v>
      </c>
      <c r="M156" s="24">
        <f t="shared" si="16"/>
        <v>0</v>
      </c>
      <c r="N156" s="25" t="str">
        <f t="shared" si="17"/>
        <v>ORDER NOW</v>
      </c>
      <c r="O156" s="25" t="str">
        <f t="shared" si="18"/>
        <v>CRITICAL</v>
      </c>
      <c r="P156" s="5"/>
      <c r="Q156" s="5"/>
      <c r="R156" s="5"/>
      <c r="S156" s="90">
        <f>VLOOKUP(C156,[3]Sheet1!$C$3:$P$521,14,0)</f>
        <v>46113.430914351855</v>
      </c>
    </row>
    <row r="157" spans="1:20" ht="18.75" hidden="1" x14ac:dyDescent="0.25">
      <c r="A157" s="41">
        <v>426</v>
      </c>
      <c r="B157" s="41" t="s">
        <v>61</v>
      </c>
      <c r="C157" s="41" t="s">
        <v>402</v>
      </c>
      <c r="D157" s="32" t="s">
        <v>403</v>
      </c>
      <c r="E157" s="27" t="s">
        <v>64</v>
      </c>
      <c r="F157" s="5" t="s">
        <v>49</v>
      </c>
      <c r="G157" s="21">
        <v>1</v>
      </c>
      <c r="H157" s="22">
        <v>0</v>
      </c>
      <c r="I157" s="22">
        <f t="shared" si="19"/>
        <v>0</v>
      </c>
      <c r="J157" s="5">
        <v>14</v>
      </c>
      <c r="K157" s="23">
        <f t="shared" si="15"/>
        <v>0</v>
      </c>
      <c r="L157" s="58">
        <f>(IFERROR(VLOOKUP(C157,'Current Stocks July-26'!B:K,9,0),0))</f>
        <v>0</v>
      </c>
      <c r="M157" s="24">
        <f t="shared" si="16"/>
        <v>0</v>
      </c>
      <c r="N157" s="25" t="str">
        <f t="shared" si="17"/>
        <v>ORDER NOW</v>
      </c>
      <c r="O157" s="25" t="str">
        <f t="shared" si="18"/>
        <v>CRITICAL</v>
      </c>
      <c r="P157" s="5"/>
      <c r="Q157" s="5"/>
      <c r="R157" s="5"/>
      <c r="S157" s="90" t="e">
        <f>VLOOKUP(C157,[3]Sheet1!$C$3:$P$521,14,0)</f>
        <v>#N/A</v>
      </c>
    </row>
    <row r="158" spans="1:20" ht="18.75" hidden="1" x14ac:dyDescent="0.25">
      <c r="A158" s="41">
        <v>429</v>
      </c>
      <c r="B158" s="41" t="s">
        <v>38</v>
      </c>
      <c r="C158" s="41" t="s">
        <v>404</v>
      </c>
      <c r="D158" s="27" t="s">
        <v>405</v>
      </c>
      <c r="E158" s="27" t="s">
        <v>406</v>
      </c>
      <c r="F158" s="5" t="s">
        <v>22</v>
      </c>
      <c r="G158" s="21">
        <f>1/8160</f>
        <v>1.2254901960784314E-4</v>
      </c>
      <c r="H158" s="22">
        <v>0</v>
      </c>
      <c r="I158" s="22">
        <f t="shared" si="19"/>
        <v>0</v>
      </c>
      <c r="J158" s="5">
        <v>14</v>
      </c>
      <c r="K158" s="23">
        <f t="shared" si="15"/>
        <v>0</v>
      </c>
      <c r="L158" s="58">
        <f>(IFERROR(VLOOKUP(C158,'Current Stocks July-26'!B:K,9,0),0))</f>
        <v>0</v>
      </c>
      <c r="M158" s="24">
        <f t="shared" si="16"/>
        <v>0</v>
      </c>
      <c r="N158" s="25" t="str">
        <f t="shared" si="17"/>
        <v>ORDER NOW</v>
      </c>
      <c r="O158" s="25" t="str">
        <f t="shared" si="18"/>
        <v>CRITICAL</v>
      </c>
      <c r="P158" s="5"/>
      <c r="Q158" s="5"/>
      <c r="R158" s="5"/>
      <c r="S158" s="90" t="e">
        <f>VLOOKUP(C158,[3]Sheet1!$C$3:$P$521,14,0)</f>
        <v>#N/A</v>
      </c>
    </row>
    <row r="159" spans="1:20" ht="18.75" hidden="1" x14ac:dyDescent="0.25">
      <c r="A159" s="41">
        <v>435</v>
      </c>
      <c r="B159" s="41" t="s">
        <v>38</v>
      </c>
      <c r="C159" s="41" t="s">
        <v>407</v>
      </c>
      <c r="D159" s="27" t="s">
        <v>408</v>
      </c>
      <c r="E159" s="27" t="s">
        <v>409</v>
      </c>
      <c r="F159" s="5" t="s">
        <v>22</v>
      </c>
      <c r="G159" s="21">
        <v>0.1388888888888889</v>
      </c>
      <c r="H159" s="22">
        <v>0</v>
      </c>
      <c r="I159" s="22">
        <f t="shared" si="19"/>
        <v>0</v>
      </c>
      <c r="J159" s="5">
        <v>14</v>
      </c>
      <c r="K159" s="23">
        <f t="shared" si="15"/>
        <v>0</v>
      </c>
      <c r="L159" s="58">
        <f>(IFERROR(VLOOKUP(C159,'Current Stocks July-26'!B:K,9,0),0))</f>
        <v>0</v>
      </c>
      <c r="M159" s="24">
        <f t="shared" si="16"/>
        <v>0</v>
      </c>
      <c r="N159" s="25" t="str">
        <f t="shared" si="17"/>
        <v>ORDER NOW</v>
      </c>
      <c r="O159" s="25" t="str">
        <f t="shared" si="18"/>
        <v>CRITICAL</v>
      </c>
      <c r="P159" s="5"/>
      <c r="Q159" s="5"/>
      <c r="R159" s="5"/>
      <c r="S159" s="90" t="e">
        <f>VLOOKUP(C159,[3]Sheet1!$C$3:$P$521,14,0)</f>
        <v>#N/A</v>
      </c>
    </row>
    <row r="160" spans="1:20" ht="18.75" hidden="1" x14ac:dyDescent="0.25">
      <c r="A160" s="41">
        <v>437</v>
      </c>
      <c r="B160" s="41" t="s">
        <v>61</v>
      </c>
      <c r="C160" s="41" t="s">
        <v>410</v>
      </c>
      <c r="D160" s="27" t="s">
        <v>411</v>
      </c>
      <c r="E160" s="27" t="s">
        <v>412</v>
      </c>
      <c r="F160" s="5" t="s">
        <v>22</v>
      </c>
      <c r="G160" s="21">
        <v>0.05</v>
      </c>
      <c r="H160" s="22">
        <v>170</v>
      </c>
      <c r="I160" s="22">
        <f t="shared" si="19"/>
        <v>3400</v>
      </c>
      <c r="J160" s="5">
        <v>14</v>
      </c>
      <c r="K160" s="23">
        <f t="shared" si="15"/>
        <v>1700</v>
      </c>
      <c r="L160" s="58">
        <f>(IFERROR(VLOOKUP(C160,'Current Stocks July-26'!B:K,9,0),0))</f>
        <v>0</v>
      </c>
      <c r="M160" s="24">
        <f t="shared" si="16"/>
        <v>0</v>
      </c>
      <c r="N160" s="25" t="str">
        <f t="shared" si="17"/>
        <v>ORDER NOW</v>
      </c>
      <c r="O160" s="25" t="str">
        <f t="shared" si="18"/>
        <v>CRITICAL</v>
      </c>
      <c r="P160" s="5"/>
      <c r="Q160" s="5"/>
      <c r="R160" s="5"/>
      <c r="S160" s="90">
        <f>VLOOKUP(C160,[3]Sheet1!$C$3:$P$521,14,0)</f>
        <v>46113.430925925924</v>
      </c>
    </row>
    <row r="161" spans="1:20" ht="18.75" hidden="1" x14ac:dyDescent="0.25">
      <c r="A161" s="41">
        <v>438</v>
      </c>
      <c r="B161" s="41" t="s">
        <v>61</v>
      </c>
      <c r="C161" s="41" t="s">
        <v>413</v>
      </c>
      <c r="D161" s="72" t="s">
        <v>414</v>
      </c>
      <c r="E161" s="27" t="s">
        <v>415</v>
      </c>
      <c r="F161" s="5" t="s">
        <v>89</v>
      </c>
      <c r="G161" s="21">
        <f>1/9.08</f>
        <v>0.11013215859030837</v>
      </c>
      <c r="H161" s="22">
        <v>2</v>
      </c>
      <c r="I161" s="22">
        <f t="shared" si="19"/>
        <v>18.16</v>
      </c>
      <c r="J161" s="5">
        <v>14</v>
      </c>
      <c r="K161" s="23">
        <f t="shared" si="15"/>
        <v>9.08</v>
      </c>
      <c r="L161" s="58">
        <f>(IFERROR(VLOOKUP(C161,'Current Stocks July-26'!B:K,9,0),0))</f>
        <v>0</v>
      </c>
      <c r="M161" s="24">
        <f t="shared" si="16"/>
        <v>0</v>
      </c>
      <c r="N161" s="25" t="str">
        <f t="shared" si="17"/>
        <v>ORDER NOW</v>
      </c>
      <c r="O161" s="25" t="str">
        <f t="shared" si="18"/>
        <v>CRITICAL</v>
      </c>
      <c r="P161" s="5"/>
      <c r="Q161" s="5"/>
      <c r="R161" s="5"/>
      <c r="S161" s="90">
        <f>VLOOKUP(C161,[3]Sheet1!$C$3:$P$521,14,0)</f>
        <v>46113.430925925924</v>
      </c>
    </row>
    <row r="162" spans="1:20" ht="18.75" hidden="1" x14ac:dyDescent="0.25">
      <c r="A162" s="41">
        <v>439</v>
      </c>
      <c r="B162" s="41" t="s">
        <v>61</v>
      </c>
      <c r="C162" s="41" t="s">
        <v>416</v>
      </c>
      <c r="D162" s="27" t="s">
        <v>417</v>
      </c>
      <c r="E162" s="27" t="s">
        <v>418</v>
      </c>
      <c r="F162" s="5" t="s">
        <v>22</v>
      </c>
      <c r="G162" s="21">
        <f>1/7*(48*0.16)</f>
        <v>1.097142857142857</v>
      </c>
      <c r="H162" s="22">
        <v>0</v>
      </c>
      <c r="I162" s="22">
        <f t="shared" si="19"/>
        <v>0</v>
      </c>
      <c r="J162" s="5">
        <v>14</v>
      </c>
      <c r="K162" s="23">
        <f t="shared" si="15"/>
        <v>0</v>
      </c>
      <c r="L162" s="58">
        <f>(IFERROR(VLOOKUP(C162,'Current Stocks July-26'!B:K,9,0),0))</f>
        <v>0</v>
      </c>
      <c r="M162" s="24">
        <f t="shared" si="16"/>
        <v>0</v>
      </c>
      <c r="N162" s="25" t="str">
        <f t="shared" si="17"/>
        <v>ORDER NOW</v>
      </c>
      <c r="O162" s="25" t="str">
        <f t="shared" si="18"/>
        <v>CRITICAL</v>
      </c>
      <c r="P162" s="5"/>
      <c r="Q162" s="5"/>
      <c r="R162" s="5"/>
      <c r="S162" s="90" t="e">
        <f>VLOOKUP(C162,[3]Sheet1!$C$3:$P$521,14,0)</f>
        <v>#N/A</v>
      </c>
    </row>
    <row r="163" spans="1:20" ht="18.75" hidden="1" x14ac:dyDescent="0.25">
      <c r="A163" s="41">
        <v>442</v>
      </c>
      <c r="B163" s="41" t="s">
        <v>61</v>
      </c>
      <c r="C163" s="41" t="s">
        <v>419</v>
      </c>
      <c r="D163" s="27" t="s">
        <v>420</v>
      </c>
      <c r="E163" s="27" t="s">
        <v>421</v>
      </c>
      <c r="F163" s="5" t="s">
        <v>89</v>
      </c>
      <c r="G163" s="21">
        <f>1/(40*0.25)</f>
        <v>0.1</v>
      </c>
      <c r="H163" s="22">
        <v>40</v>
      </c>
      <c r="I163" s="22">
        <f t="shared" si="19"/>
        <v>400</v>
      </c>
      <c r="J163" s="5">
        <v>14</v>
      </c>
      <c r="K163" s="23">
        <f t="shared" si="15"/>
        <v>200</v>
      </c>
      <c r="L163" s="58">
        <f>(IFERROR(VLOOKUP(C163,'Current Stocks July-26'!B:K,9,0),0))</f>
        <v>0</v>
      </c>
      <c r="M163" s="24">
        <f t="shared" si="16"/>
        <v>0</v>
      </c>
      <c r="N163" s="25" t="str">
        <f t="shared" si="17"/>
        <v>ORDER NOW</v>
      </c>
      <c r="O163" s="25" t="str">
        <f t="shared" si="18"/>
        <v>CRITICAL</v>
      </c>
      <c r="P163" s="5"/>
      <c r="Q163" s="5"/>
      <c r="R163" s="5"/>
      <c r="S163" s="90">
        <f>VLOOKUP(C163,[3]Sheet1!$C$3:$P$521,14,0)</f>
        <v>46113.430925925924</v>
      </c>
    </row>
    <row r="164" spans="1:20" ht="18.75" hidden="1" x14ac:dyDescent="0.25">
      <c r="A164" s="41">
        <v>443</v>
      </c>
      <c r="B164" s="41" t="s">
        <v>61</v>
      </c>
      <c r="C164" s="41" t="s">
        <v>422</v>
      </c>
      <c r="D164" s="29" t="s">
        <v>423</v>
      </c>
      <c r="E164" s="27" t="s">
        <v>424</v>
      </c>
      <c r="F164" s="5" t="s">
        <v>22</v>
      </c>
      <c r="G164" s="21">
        <f>1/(24*0.255)</f>
        <v>0.16339869281045752</v>
      </c>
      <c r="H164" s="22">
        <v>5</v>
      </c>
      <c r="I164" s="22">
        <f t="shared" si="19"/>
        <v>30.599999999999998</v>
      </c>
      <c r="J164" s="5">
        <v>14</v>
      </c>
      <c r="K164" s="23">
        <f t="shared" si="15"/>
        <v>15.299999999999999</v>
      </c>
      <c r="L164" s="58">
        <f>(IFERROR(VLOOKUP(C164,'Current Stocks July-26'!B:K,9,0),0))</f>
        <v>0</v>
      </c>
      <c r="M164" s="24">
        <f t="shared" si="16"/>
        <v>0</v>
      </c>
      <c r="N164" s="25" t="str">
        <f t="shared" si="17"/>
        <v>ORDER NOW</v>
      </c>
      <c r="O164" s="25" t="str">
        <f t="shared" si="18"/>
        <v>CRITICAL</v>
      </c>
      <c r="P164" s="5"/>
      <c r="Q164" s="5"/>
      <c r="R164" s="5"/>
      <c r="S164" s="90">
        <f>VLOOKUP(C164,[3]Sheet1!$C$3:$P$521,14,0)</f>
        <v>46113.430925925924</v>
      </c>
      <c r="T164" t="s">
        <v>1634</v>
      </c>
    </row>
    <row r="165" spans="1:20" ht="18.75" hidden="1" x14ac:dyDescent="0.25">
      <c r="A165" s="41">
        <v>445</v>
      </c>
      <c r="B165" s="41" t="s">
        <v>61</v>
      </c>
      <c r="C165" s="41" t="s">
        <v>427</v>
      </c>
      <c r="D165" s="27" t="s">
        <v>428</v>
      </c>
      <c r="E165" s="27" t="s">
        <v>429</v>
      </c>
      <c r="F165" s="5" t="s">
        <v>22</v>
      </c>
      <c r="G165" s="21">
        <v>0.25</v>
      </c>
      <c r="H165" s="22">
        <v>0</v>
      </c>
      <c r="I165" s="22">
        <f t="shared" si="19"/>
        <v>0</v>
      </c>
      <c r="J165" s="5">
        <v>14</v>
      </c>
      <c r="K165" s="23">
        <f t="shared" si="15"/>
        <v>0</v>
      </c>
      <c r="L165" s="58">
        <f>(IFERROR(VLOOKUP(C165,'Current Stocks July-26'!B:K,9,0),0))</f>
        <v>0</v>
      </c>
      <c r="M165" s="24">
        <f t="shared" si="16"/>
        <v>0</v>
      </c>
      <c r="N165" s="25" t="str">
        <f t="shared" si="17"/>
        <v>ORDER NOW</v>
      </c>
      <c r="O165" s="25" t="str">
        <f t="shared" si="18"/>
        <v>CRITICAL</v>
      </c>
      <c r="P165" s="5"/>
      <c r="Q165" s="5"/>
      <c r="R165" s="5"/>
      <c r="S165" s="90" t="e">
        <f>VLOOKUP(C165,[3]Sheet1!$C$3:$P$521,14,0)</f>
        <v>#N/A</v>
      </c>
    </row>
    <row r="166" spans="1:20" ht="18.75" hidden="1" x14ac:dyDescent="0.25">
      <c r="A166" s="41">
        <v>447</v>
      </c>
      <c r="B166" s="41" t="s">
        <v>38</v>
      </c>
      <c r="C166" s="41" t="s">
        <v>432</v>
      </c>
      <c r="D166" s="27" t="s">
        <v>433</v>
      </c>
      <c r="E166" s="27" t="s">
        <v>434</v>
      </c>
      <c r="F166" s="5" t="s">
        <v>22</v>
      </c>
      <c r="G166" s="21">
        <v>9.2592592592592587E-2</v>
      </c>
      <c r="H166" s="22">
        <v>0</v>
      </c>
      <c r="I166" s="22">
        <f t="shared" si="19"/>
        <v>0</v>
      </c>
      <c r="J166" s="5">
        <v>14</v>
      </c>
      <c r="K166" s="23">
        <f t="shared" si="15"/>
        <v>0</v>
      </c>
      <c r="L166" s="58">
        <f>(IFERROR(VLOOKUP(C166,'Current Stocks July-26'!B:K,9,0),0))</f>
        <v>0</v>
      </c>
      <c r="M166" s="24">
        <f t="shared" si="16"/>
        <v>0</v>
      </c>
      <c r="N166" s="25" t="str">
        <f t="shared" si="17"/>
        <v>ORDER NOW</v>
      </c>
      <c r="O166" s="25" t="str">
        <f t="shared" si="18"/>
        <v>CRITICAL</v>
      </c>
      <c r="P166" s="5"/>
      <c r="Q166" s="5"/>
      <c r="R166" s="5"/>
      <c r="S166" s="90" t="e">
        <f>VLOOKUP(C166,[3]Sheet1!$C$3:$P$521,14,0)</f>
        <v>#N/A</v>
      </c>
      <c r="T166" t="s">
        <v>1634</v>
      </c>
    </row>
    <row r="167" spans="1:20" ht="18.75" hidden="1" x14ac:dyDescent="0.25">
      <c r="A167" s="41">
        <v>448</v>
      </c>
      <c r="B167" s="41" t="s">
        <v>61</v>
      </c>
      <c r="C167" s="41" t="s">
        <v>435</v>
      </c>
      <c r="D167" s="27" t="s">
        <v>436</v>
      </c>
      <c r="E167" s="27" t="s">
        <v>437</v>
      </c>
      <c r="F167" s="5" t="s">
        <v>22</v>
      </c>
      <c r="G167" s="21">
        <f>1/(40*0.2)</f>
        <v>0.125</v>
      </c>
      <c r="H167" s="22">
        <v>100</v>
      </c>
      <c r="I167" s="22">
        <f t="shared" si="19"/>
        <v>800</v>
      </c>
      <c r="J167" s="5">
        <v>14</v>
      </c>
      <c r="K167" s="23">
        <f t="shared" si="15"/>
        <v>400</v>
      </c>
      <c r="L167" s="58">
        <f>(IFERROR(VLOOKUP(C167,'Current Stocks July-26'!B:K,9,0),0))</f>
        <v>0</v>
      </c>
      <c r="M167" s="24">
        <f t="shared" si="16"/>
        <v>0</v>
      </c>
      <c r="N167" s="25" t="str">
        <f t="shared" si="17"/>
        <v>ORDER NOW</v>
      </c>
      <c r="O167" s="25" t="str">
        <f t="shared" si="18"/>
        <v>CRITICAL</v>
      </c>
      <c r="P167" s="5"/>
      <c r="Q167" s="5"/>
      <c r="R167" s="5"/>
      <c r="S167" s="90">
        <f>VLOOKUP(C167,[3]Sheet1!$C$3:$P$521,14,0)</f>
        <v>46118.497754629629</v>
      </c>
      <c r="T167" t="s">
        <v>1634</v>
      </c>
    </row>
    <row r="168" spans="1:20" ht="18.75" hidden="1" x14ac:dyDescent="0.25">
      <c r="A168" s="41">
        <v>450</v>
      </c>
      <c r="B168" s="41" t="s">
        <v>61</v>
      </c>
      <c r="C168" s="41" t="s">
        <v>438</v>
      </c>
      <c r="D168" s="27" t="s">
        <v>439</v>
      </c>
      <c r="E168" s="27" t="s">
        <v>440</v>
      </c>
      <c r="F168" s="5" t="s">
        <v>22</v>
      </c>
      <c r="G168" s="21">
        <f>1/10</f>
        <v>0.1</v>
      </c>
      <c r="H168" s="22">
        <v>0</v>
      </c>
      <c r="I168" s="22">
        <f t="shared" si="19"/>
        <v>0</v>
      </c>
      <c r="J168" s="5">
        <v>14</v>
      </c>
      <c r="K168" s="23">
        <f t="shared" si="15"/>
        <v>0</v>
      </c>
      <c r="L168" s="58">
        <f>(IFERROR(VLOOKUP(C168,'Current Stocks July-26'!B:K,9,0),0))</f>
        <v>0</v>
      </c>
      <c r="M168" s="24">
        <f t="shared" si="16"/>
        <v>0</v>
      </c>
      <c r="N168" s="25" t="str">
        <f t="shared" si="17"/>
        <v>ORDER NOW</v>
      </c>
      <c r="O168" s="25" t="str">
        <f t="shared" si="18"/>
        <v>CRITICAL</v>
      </c>
      <c r="P168" s="5"/>
      <c r="Q168" s="5"/>
      <c r="R168" s="5"/>
      <c r="S168" s="90" t="e">
        <f>VLOOKUP(C168,[3]Sheet1!$C$3:$P$521,14,0)</f>
        <v>#N/A</v>
      </c>
    </row>
    <row r="169" spans="1:20" ht="18.75" hidden="1" x14ac:dyDescent="0.25">
      <c r="A169" s="41">
        <v>451</v>
      </c>
      <c r="B169" s="41" t="s">
        <v>61</v>
      </c>
      <c r="C169" s="41" t="s">
        <v>441</v>
      </c>
      <c r="D169" s="27" t="s">
        <v>442</v>
      </c>
      <c r="E169" s="27" t="s">
        <v>443</v>
      </c>
      <c r="F169" s="5" t="s">
        <v>22</v>
      </c>
      <c r="G169" s="21">
        <v>0.04</v>
      </c>
      <c r="H169" s="22">
        <v>100</v>
      </c>
      <c r="I169" s="22">
        <f t="shared" ref="I169:I181" si="20">H169/G169</f>
        <v>2500</v>
      </c>
      <c r="J169" s="5">
        <v>14</v>
      </c>
      <c r="K169" s="23">
        <f t="shared" si="15"/>
        <v>1250</v>
      </c>
      <c r="L169" s="58">
        <f>(IFERROR(VLOOKUP(C169,'Current Stocks July-26'!B:K,9,0),0))</f>
        <v>0</v>
      </c>
      <c r="M169" s="24">
        <f t="shared" si="16"/>
        <v>0</v>
      </c>
      <c r="N169" s="25" t="str">
        <f t="shared" si="17"/>
        <v>ORDER NOW</v>
      </c>
      <c r="O169" s="25" t="str">
        <f t="shared" si="18"/>
        <v>CRITICAL</v>
      </c>
      <c r="P169" s="5"/>
      <c r="Q169" s="5"/>
      <c r="R169" s="5"/>
      <c r="S169" s="90" t="e">
        <f>VLOOKUP(C169,[3]Sheet1!$C$3:$P$521,14,0)</f>
        <v>#N/A</v>
      </c>
    </row>
    <row r="170" spans="1:20" ht="18.75" hidden="1" x14ac:dyDescent="0.25">
      <c r="A170" s="41">
        <v>452</v>
      </c>
      <c r="B170" s="41" t="s">
        <v>38</v>
      </c>
      <c r="C170" s="41" t="s">
        <v>444</v>
      </c>
      <c r="D170" s="27" t="s">
        <v>445</v>
      </c>
      <c r="E170" s="27" t="s">
        <v>446</v>
      </c>
      <c r="F170" s="5" t="s">
        <v>22</v>
      </c>
      <c r="G170" s="21">
        <f>1/12</f>
        <v>8.3333333333333329E-2</v>
      </c>
      <c r="H170" s="22">
        <v>0</v>
      </c>
      <c r="I170" s="22">
        <f t="shared" si="20"/>
        <v>0</v>
      </c>
      <c r="J170" s="5">
        <v>14</v>
      </c>
      <c r="K170" s="23">
        <f t="shared" si="15"/>
        <v>0</v>
      </c>
      <c r="L170" s="58">
        <f>(IFERROR(VLOOKUP(C170,'Current Stocks July-26'!B:K,9,0),0))</f>
        <v>0</v>
      </c>
      <c r="M170" s="24">
        <f t="shared" si="16"/>
        <v>0</v>
      </c>
      <c r="N170" s="25" t="str">
        <f t="shared" si="17"/>
        <v>ORDER NOW</v>
      </c>
      <c r="O170" s="25" t="str">
        <f t="shared" si="18"/>
        <v>CRITICAL</v>
      </c>
      <c r="P170" s="5"/>
      <c r="Q170" s="5"/>
      <c r="R170" s="5"/>
      <c r="S170" s="90" t="e">
        <f>VLOOKUP(C170,[3]Sheet1!$C$3:$P$521,14,0)</f>
        <v>#N/A</v>
      </c>
      <c r="T170" t="s">
        <v>1636</v>
      </c>
    </row>
    <row r="171" spans="1:20" ht="18.75" hidden="1" x14ac:dyDescent="0.25">
      <c r="A171" s="41">
        <v>457</v>
      </c>
      <c r="B171" s="41" t="s">
        <v>85</v>
      </c>
      <c r="C171" s="41" t="s">
        <v>447</v>
      </c>
      <c r="D171" s="72" t="s">
        <v>448</v>
      </c>
      <c r="E171" s="27" t="s">
        <v>49</v>
      </c>
      <c r="F171" s="5" t="s">
        <v>49</v>
      </c>
      <c r="G171" s="21">
        <v>1</v>
      </c>
      <c r="H171" s="22">
        <v>11</v>
      </c>
      <c r="I171" s="22">
        <f t="shared" si="20"/>
        <v>11</v>
      </c>
      <c r="J171" s="5">
        <v>14</v>
      </c>
      <c r="K171" s="23">
        <f t="shared" si="15"/>
        <v>5.5</v>
      </c>
      <c r="L171" s="58">
        <f>(IFERROR(VLOOKUP(C171,'Current Stocks July-26'!B:K,9,0),0))</f>
        <v>0</v>
      </c>
      <c r="M171" s="24">
        <f t="shared" si="16"/>
        <v>0</v>
      </c>
      <c r="N171" s="25" t="str">
        <f t="shared" si="17"/>
        <v>ORDER NOW</v>
      </c>
      <c r="O171" s="25" t="str">
        <f t="shared" si="18"/>
        <v>CRITICAL</v>
      </c>
      <c r="P171" s="5"/>
      <c r="Q171" s="5"/>
      <c r="R171" s="5"/>
      <c r="S171" s="90">
        <f>VLOOKUP(C171,[3]Sheet1!$C$3:$P$521,14,0)</f>
        <v>46113.430925925924</v>
      </c>
    </row>
    <row r="172" spans="1:20" ht="18.75" hidden="1" x14ac:dyDescent="0.25">
      <c r="A172" s="41">
        <v>458</v>
      </c>
      <c r="B172" s="41" t="s">
        <v>38</v>
      </c>
      <c r="C172" s="41" t="s">
        <v>449</v>
      </c>
      <c r="D172" s="27" t="s">
        <v>450</v>
      </c>
      <c r="E172" s="27" t="s">
        <v>451</v>
      </c>
      <c r="F172" s="5" t="s">
        <v>22</v>
      </c>
      <c r="G172" s="21">
        <f>1/8000</f>
        <v>1.25E-4</v>
      </c>
      <c r="H172" s="22">
        <v>0</v>
      </c>
      <c r="I172" s="22">
        <f t="shared" si="20"/>
        <v>0</v>
      </c>
      <c r="J172" s="5">
        <v>14</v>
      </c>
      <c r="K172" s="23">
        <f t="shared" si="15"/>
        <v>0</v>
      </c>
      <c r="L172" s="58">
        <f>(IFERROR(VLOOKUP(C172,'Current Stocks July-26'!B:K,9,0),0))</f>
        <v>0</v>
      </c>
      <c r="M172" s="24">
        <f t="shared" si="16"/>
        <v>0</v>
      </c>
      <c r="N172" s="25" t="str">
        <f t="shared" si="17"/>
        <v>ORDER NOW</v>
      </c>
      <c r="O172" s="25" t="str">
        <f t="shared" si="18"/>
        <v>CRITICAL</v>
      </c>
      <c r="P172" s="5"/>
      <c r="Q172" s="5"/>
      <c r="R172" s="5"/>
      <c r="S172" s="90" t="e">
        <f>VLOOKUP(C172,[3]Sheet1!$C$3:$P$521,14,0)</f>
        <v>#N/A</v>
      </c>
    </row>
    <row r="173" spans="1:20" ht="18.75" hidden="1" x14ac:dyDescent="0.25">
      <c r="A173" s="41">
        <v>459</v>
      </c>
      <c r="B173" s="41" t="s">
        <v>38</v>
      </c>
      <c r="C173" s="41" t="s">
        <v>452</v>
      </c>
      <c r="D173" s="27" t="s">
        <v>453</v>
      </c>
      <c r="E173" s="27" t="s">
        <v>454</v>
      </c>
      <c r="F173" s="5" t="s">
        <v>54</v>
      </c>
      <c r="G173" s="21">
        <f>1/15</f>
        <v>6.6666666666666666E-2</v>
      </c>
      <c r="H173" s="22">
        <v>0</v>
      </c>
      <c r="I173" s="22">
        <f t="shared" si="20"/>
        <v>0</v>
      </c>
      <c r="J173" s="5">
        <v>14</v>
      </c>
      <c r="K173" s="23">
        <f t="shared" si="15"/>
        <v>0</v>
      </c>
      <c r="L173" s="58">
        <f>(IFERROR(VLOOKUP(C173,'Current Stocks July-26'!B:K,9,0),0))</f>
        <v>0</v>
      </c>
      <c r="M173" s="24">
        <f t="shared" si="16"/>
        <v>0</v>
      </c>
      <c r="N173" s="25" t="str">
        <f t="shared" si="17"/>
        <v>ORDER NOW</v>
      </c>
      <c r="O173" s="25" t="str">
        <f t="shared" si="18"/>
        <v>CRITICAL</v>
      </c>
      <c r="P173" s="5"/>
      <c r="Q173" s="5"/>
      <c r="R173" s="5"/>
      <c r="S173" s="90" t="e">
        <f>VLOOKUP(C173,[3]Sheet1!$C$3:$P$521,14,0)</f>
        <v>#N/A</v>
      </c>
      <c r="T173" t="s">
        <v>1634</v>
      </c>
    </row>
    <row r="174" spans="1:20" ht="18.75" hidden="1" x14ac:dyDescent="0.25">
      <c r="A174" s="41">
        <v>461</v>
      </c>
      <c r="B174" s="41" t="s">
        <v>38</v>
      </c>
      <c r="C174" s="41" t="s">
        <v>455</v>
      </c>
      <c r="D174" s="27" t="s">
        <v>456</v>
      </c>
      <c r="E174" s="27" t="s">
        <v>457</v>
      </c>
      <c r="F174" s="5" t="s">
        <v>54</v>
      </c>
      <c r="G174" s="21">
        <v>1</v>
      </c>
      <c r="H174" s="22">
        <v>25</v>
      </c>
      <c r="I174" s="22">
        <f t="shared" si="20"/>
        <v>25</v>
      </c>
      <c r="J174" s="5">
        <v>14</v>
      </c>
      <c r="K174" s="23">
        <f t="shared" si="15"/>
        <v>12.5</v>
      </c>
      <c r="L174" s="58">
        <f>(IFERROR(VLOOKUP(C174,'Current Stocks July-26'!B:K,9,0),0))</f>
        <v>0</v>
      </c>
      <c r="M174" s="24">
        <f t="shared" si="16"/>
        <v>0</v>
      </c>
      <c r="N174" s="25" t="str">
        <f t="shared" si="17"/>
        <v>ORDER NOW</v>
      </c>
      <c r="O174" s="25" t="str">
        <f t="shared" si="18"/>
        <v>CRITICAL</v>
      </c>
      <c r="P174" s="5"/>
      <c r="Q174" s="5"/>
      <c r="R174" s="5"/>
      <c r="S174" s="90">
        <f>VLOOKUP(C174,[3]Sheet1!$C$3:$P$521,14,0)</f>
        <v>46113.430925925924</v>
      </c>
      <c r="T174" t="s">
        <v>1634</v>
      </c>
    </row>
    <row r="175" spans="1:20" ht="18.75" hidden="1" x14ac:dyDescent="0.25">
      <c r="A175" s="41">
        <v>466</v>
      </c>
      <c r="B175" s="41" t="s">
        <v>38</v>
      </c>
      <c r="C175" s="41" t="s">
        <v>461</v>
      </c>
      <c r="D175" s="29" t="s">
        <v>462</v>
      </c>
      <c r="E175" s="27" t="s">
        <v>463</v>
      </c>
      <c r="F175" s="5" t="s">
        <v>22</v>
      </c>
      <c r="G175" s="21">
        <v>0.4</v>
      </c>
      <c r="H175" s="22">
        <v>1</v>
      </c>
      <c r="I175" s="22">
        <f t="shared" si="20"/>
        <v>2.5</v>
      </c>
      <c r="J175" s="5">
        <v>14</v>
      </c>
      <c r="K175" s="23">
        <f t="shared" si="15"/>
        <v>1.25</v>
      </c>
      <c r="L175" s="58">
        <f>(IFERROR(VLOOKUP(C175,'Current Stocks July-26'!B:K,9,0),0))</f>
        <v>0</v>
      </c>
      <c r="M175" s="24">
        <f t="shared" si="16"/>
        <v>0</v>
      </c>
      <c r="N175" s="25" t="str">
        <f t="shared" si="17"/>
        <v>ORDER NOW</v>
      </c>
      <c r="O175" s="25" t="str">
        <f t="shared" si="18"/>
        <v>CRITICAL</v>
      </c>
      <c r="P175" s="5"/>
      <c r="Q175" s="5"/>
      <c r="R175" s="5"/>
      <c r="S175" s="90" t="e">
        <f>VLOOKUP(C175,[3]Sheet1!$C$3:$P$521,14,0)</f>
        <v>#N/A</v>
      </c>
    </row>
    <row r="176" spans="1:20" ht="18.75" hidden="1" x14ac:dyDescent="0.25">
      <c r="A176" s="41">
        <v>472</v>
      </c>
      <c r="B176" s="41" t="s">
        <v>38</v>
      </c>
      <c r="C176" s="41" t="s">
        <v>472</v>
      </c>
      <c r="D176" s="29" t="s">
        <v>473</v>
      </c>
      <c r="E176" s="27" t="s">
        <v>463</v>
      </c>
      <c r="F176" s="5" t="s">
        <v>22</v>
      </c>
      <c r="G176" s="21">
        <v>0.4</v>
      </c>
      <c r="H176" s="22">
        <v>1</v>
      </c>
      <c r="I176" s="22">
        <f t="shared" si="20"/>
        <v>2.5</v>
      </c>
      <c r="J176" s="5">
        <v>14</v>
      </c>
      <c r="K176" s="23">
        <f t="shared" si="15"/>
        <v>1.25</v>
      </c>
      <c r="L176" s="58">
        <f>(IFERROR(VLOOKUP(C176,'Current Stocks July-26'!B:K,9,0),0))</f>
        <v>0</v>
      </c>
      <c r="M176" s="24">
        <f t="shared" si="16"/>
        <v>0</v>
      </c>
      <c r="N176" s="25" t="str">
        <f t="shared" si="17"/>
        <v>ORDER NOW</v>
      </c>
      <c r="O176" s="25" t="str">
        <f t="shared" si="18"/>
        <v>CRITICAL</v>
      </c>
      <c r="P176" s="5"/>
      <c r="Q176" s="5"/>
      <c r="R176" s="5"/>
      <c r="S176" s="90" t="e">
        <f>VLOOKUP(C176,[3]Sheet1!$C$3:$P$521,14,0)</f>
        <v>#N/A</v>
      </c>
      <c r="T176" t="s">
        <v>1634</v>
      </c>
    </row>
    <row r="177" spans="1:20" ht="18.75" hidden="1" x14ac:dyDescent="0.25">
      <c r="A177" s="41">
        <v>487</v>
      </c>
      <c r="B177" s="41" t="s">
        <v>38</v>
      </c>
      <c r="C177" s="41" t="s">
        <v>1215</v>
      </c>
      <c r="D177" s="27" t="s">
        <v>1216</v>
      </c>
      <c r="E177" s="27" t="s">
        <v>1217</v>
      </c>
      <c r="F177" s="5" t="s">
        <v>22</v>
      </c>
      <c r="G177" s="21">
        <f>1/20</f>
        <v>0.05</v>
      </c>
      <c r="H177" s="22">
        <v>1</v>
      </c>
      <c r="I177" s="22">
        <f t="shared" si="20"/>
        <v>20</v>
      </c>
      <c r="J177" s="5">
        <v>14</v>
      </c>
      <c r="K177" s="23">
        <f t="shared" si="15"/>
        <v>10</v>
      </c>
      <c r="L177" s="58">
        <f>(IFERROR(VLOOKUP(C177,'Current Stocks July-26'!B:K,9,0),0))</f>
        <v>0</v>
      </c>
      <c r="M177" s="24">
        <f t="shared" si="16"/>
        <v>0</v>
      </c>
      <c r="N177" s="25" t="str">
        <f t="shared" si="17"/>
        <v>ORDER NOW</v>
      </c>
      <c r="O177" s="25" t="str">
        <f t="shared" si="18"/>
        <v>CRITICAL</v>
      </c>
      <c r="P177" s="5"/>
      <c r="Q177" s="5"/>
      <c r="R177" s="5"/>
      <c r="S177" s="90">
        <f>VLOOKUP(C177,[3]Sheet1!$C$3:$P$521,14,0)</f>
        <v>46141.525914351849</v>
      </c>
    </row>
    <row r="178" spans="1:20" ht="18.75" hidden="1" x14ac:dyDescent="0.25">
      <c r="A178" s="41">
        <v>489</v>
      </c>
      <c r="B178" s="41" t="s">
        <v>38</v>
      </c>
      <c r="C178" s="41" t="s">
        <v>477</v>
      </c>
      <c r="D178" s="27" t="s">
        <v>478</v>
      </c>
      <c r="E178" s="42" t="s">
        <v>479</v>
      </c>
      <c r="F178" s="5" t="s">
        <v>22</v>
      </c>
      <c r="G178" s="21">
        <f>1/64</f>
        <v>1.5625E-2</v>
      </c>
      <c r="H178" s="22">
        <v>0</v>
      </c>
      <c r="I178" s="22">
        <f t="shared" si="20"/>
        <v>0</v>
      </c>
      <c r="J178" s="5">
        <v>14</v>
      </c>
      <c r="K178" s="23">
        <f t="shared" si="15"/>
        <v>0</v>
      </c>
      <c r="L178" s="58">
        <f>(IFERROR(VLOOKUP(C178,'Current Stocks July-26'!B:K,9,0),0))</f>
        <v>0</v>
      </c>
      <c r="M178" s="24">
        <f t="shared" si="16"/>
        <v>0</v>
      </c>
      <c r="N178" s="25" t="str">
        <f t="shared" si="17"/>
        <v>ORDER NOW</v>
      </c>
      <c r="O178" s="25" t="str">
        <f t="shared" si="18"/>
        <v>CRITICAL</v>
      </c>
      <c r="P178" s="5"/>
      <c r="Q178" s="5"/>
      <c r="R178" s="5"/>
      <c r="S178" s="90" t="e">
        <f>VLOOKUP(C178,[3]Sheet1!$C$3:$P$521,14,0)</f>
        <v>#N/A</v>
      </c>
    </row>
    <row r="179" spans="1:20" ht="18.75" hidden="1" x14ac:dyDescent="0.25">
      <c r="A179" s="41">
        <v>508</v>
      </c>
      <c r="B179" s="41" t="s">
        <v>38</v>
      </c>
      <c r="C179" s="41" t="s">
        <v>682</v>
      </c>
      <c r="D179" s="27" t="s">
        <v>683</v>
      </c>
      <c r="E179" s="27" t="s">
        <v>684</v>
      </c>
      <c r="F179" s="5" t="s">
        <v>22</v>
      </c>
      <c r="G179" s="21">
        <v>0.10416666666666666</v>
      </c>
      <c r="H179" s="22">
        <v>70</v>
      </c>
      <c r="I179" s="22">
        <f t="shared" si="20"/>
        <v>672.00000000000011</v>
      </c>
      <c r="J179" s="5">
        <v>14</v>
      </c>
      <c r="K179" s="23">
        <f t="shared" si="15"/>
        <v>336.00000000000006</v>
      </c>
      <c r="L179" s="58">
        <f>(IFERROR(VLOOKUP(C179,'Current Stocks July-26'!B:K,9,0),0))</f>
        <v>0</v>
      </c>
      <c r="M179" s="24">
        <f t="shared" si="16"/>
        <v>0</v>
      </c>
      <c r="N179" s="25" t="str">
        <f t="shared" si="17"/>
        <v>ORDER NOW</v>
      </c>
      <c r="O179" s="25" t="str">
        <f t="shared" si="18"/>
        <v>CRITICAL</v>
      </c>
      <c r="P179" s="5"/>
      <c r="Q179" s="5"/>
      <c r="R179" s="5"/>
      <c r="S179" s="90">
        <f>VLOOKUP(C179,[3]Sheet1!$C$3:$P$521,14,0)</f>
        <v>46113.430925925924</v>
      </c>
      <c r="T179" t="s">
        <v>1637</v>
      </c>
    </row>
    <row r="180" spans="1:20" ht="18.75" hidden="1" x14ac:dyDescent="0.25">
      <c r="A180" s="41">
        <v>518</v>
      </c>
      <c r="B180" s="41" t="s">
        <v>38</v>
      </c>
      <c r="C180" s="41" t="s">
        <v>499</v>
      </c>
      <c r="D180" s="27" t="s">
        <v>500</v>
      </c>
      <c r="E180" s="27" t="s">
        <v>501</v>
      </c>
      <c r="F180" s="5" t="s">
        <v>89</v>
      </c>
      <c r="G180" s="21">
        <f>1/15</f>
        <v>6.6666666666666666E-2</v>
      </c>
      <c r="H180" s="22">
        <v>1</v>
      </c>
      <c r="I180" s="22">
        <f t="shared" si="20"/>
        <v>15</v>
      </c>
      <c r="J180" s="5">
        <v>14</v>
      </c>
      <c r="K180" s="23">
        <f t="shared" si="15"/>
        <v>7.5</v>
      </c>
      <c r="L180" s="58">
        <f>(IFERROR(VLOOKUP(C180,'Current Stocks July-26'!B:K,9,0),0))</f>
        <v>0</v>
      </c>
      <c r="M180" s="24">
        <f t="shared" si="16"/>
        <v>0</v>
      </c>
      <c r="N180" s="25" t="str">
        <f t="shared" si="17"/>
        <v>ORDER NOW</v>
      </c>
      <c r="O180" s="25" t="str">
        <f t="shared" si="18"/>
        <v>CRITICAL</v>
      </c>
      <c r="P180" s="5"/>
      <c r="Q180" s="5"/>
      <c r="R180" s="5"/>
      <c r="S180" s="90">
        <f>VLOOKUP(C180,[3]Sheet1!$C$3:$P$521,14,0)</f>
        <v>46113.430925925924</v>
      </c>
    </row>
    <row r="181" spans="1:20" ht="18.75" hidden="1" x14ac:dyDescent="0.25">
      <c r="A181" s="41">
        <v>520</v>
      </c>
      <c r="B181" s="41" t="s">
        <v>38</v>
      </c>
      <c r="C181" s="41" t="s">
        <v>505</v>
      </c>
      <c r="D181" s="27" t="s">
        <v>506</v>
      </c>
      <c r="E181" s="27" t="s">
        <v>507</v>
      </c>
      <c r="F181" s="5" t="s">
        <v>49</v>
      </c>
      <c r="G181" s="21">
        <f>1/650</f>
        <v>1.5384615384615385E-3</v>
      </c>
      <c r="H181" s="22">
        <v>0</v>
      </c>
      <c r="I181" s="22">
        <f t="shared" si="20"/>
        <v>0</v>
      </c>
      <c r="J181" s="5">
        <v>14</v>
      </c>
      <c r="K181" s="23">
        <f t="shared" si="15"/>
        <v>0</v>
      </c>
      <c r="L181" s="58">
        <f>(IFERROR(VLOOKUP(C181,'Current Stocks July-26'!B:K,9,0),0))</f>
        <v>0</v>
      </c>
      <c r="M181" s="24">
        <f t="shared" si="16"/>
        <v>0</v>
      </c>
      <c r="N181" s="25" t="str">
        <f t="shared" si="17"/>
        <v>ORDER NOW</v>
      </c>
      <c r="O181" s="25" t="str">
        <f t="shared" si="18"/>
        <v>CRITICAL</v>
      </c>
      <c r="P181" s="5"/>
      <c r="Q181" s="5"/>
      <c r="R181" s="5"/>
      <c r="S181" s="90"/>
    </row>
    <row r="182" spans="1:20" ht="18.75" hidden="1" x14ac:dyDescent="0.25">
      <c r="A182" s="41">
        <v>525</v>
      </c>
      <c r="B182" s="41" t="s">
        <v>38</v>
      </c>
      <c r="C182" s="41" t="s">
        <v>511</v>
      </c>
      <c r="D182" s="27" t="s">
        <v>512</v>
      </c>
      <c r="E182" s="27" t="s">
        <v>513</v>
      </c>
      <c r="F182" s="5" t="s">
        <v>22</v>
      </c>
      <c r="G182" s="21">
        <f>1/12</f>
        <v>8.3333333333333329E-2</v>
      </c>
      <c r="H182" s="22">
        <v>0</v>
      </c>
      <c r="I182" s="22">
        <v>10</v>
      </c>
      <c r="J182" s="5">
        <v>14</v>
      </c>
      <c r="K182" s="23">
        <f t="shared" si="15"/>
        <v>5</v>
      </c>
      <c r="L182" s="58">
        <f>(IFERROR(VLOOKUP(C182,'Current Stocks July-26'!B:K,9,0),0))</f>
        <v>0</v>
      </c>
      <c r="M182" s="24">
        <f t="shared" si="16"/>
        <v>0</v>
      </c>
      <c r="N182" s="25" t="str">
        <f t="shared" si="17"/>
        <v>ORDER NOW</v>
      </c>
      <c r="O182" s="25" t="str">
        <f t="shared" si="18"/>
        <v>CRITICAL</v>
      </c>
      <c r="P182" s="5"/>
      <c r="Q182" s="5"/>
      <c r="R182" s="5"/>
      <c r="S182" s="90"/>
    </row>
    <row r="183" spans="1:20" ht="18.75" hidden="1" x14ac:dyDescent="0.25">
      <c r="A183" s="41">
        <v>530</v>
      </c>
      <c r="B183" s="41" t="s">
        <v>38</v>
      </c>
      <c r="C183" s="41" t="s">
        <v>702</v>
      </c>
      <c r="D183" s="37" t="s">
        <v>703</v>
      </c>
      <c r="E183" s="31" t="s">
        <v>64</v>
      </c>
      <c r="F183" s="5" t="s">
        <v>22</v>
      </c>
      <c r="G183" s="21">
        <v>0.1</v>
      </c>
      <c r="H183" s="22">
        <v>100</v>
      </c>
      <c r="I183" s="22">
        <f t="shared" ref="I183:I214" si="21">H183/G183</f>
        <v>1000</v>
      </c>
      <c r="J183" s="5">
        <v>14</v>
      </c>
      <c r="K183" s="23">
        <f t="shared" si="15"/>
        <v>500</v>
      </c>
      <c r="L183" s="58">
        <f>(IFERROR(VLOOKUP(C183,'Current Stocks July-26'!B:K,9,0),0))</f>
        <v>80</v>
      </c>
      <c r="M183" s="24">
        <f t="shared" si="16"/>
        <v>2.4</v>
      </c>
      <c r="N183" s="25" t="str">
        <f t="shared" si="17"/>
        <v>ORDER NOW</v>
      </c>
      <c r="O183" s="25" t="str">
        <f t="shared" si="18"/>
        <v>CRITICAL</v>
      </c>
      <c r="P183" s="5"/>
      <c r="Q183" s="5"/>
      <c r="R183" s="5"/>
      <c r="S183" s="90"/>
    </row>
    <row r="184" spans="1:20" ht="18.75" hidden="1" x14ac:dyDescent="0.25">
      <c r="A184" s="41">
        <v>539</v>
      </c>
      <c r="B184" s="41" t="s">
        <v>38</v>
      </c>
      <c r="C184" s="41" t="s">
        <v>39</v>
      </c>
      <c r="D184" s="37" t="s">
        <v>40</v>
      </c>
      <c r="E184" s="31" t="s">
        <v>22</v>
      </c>
      <c r="F184" s="5" t="s">
        <v>22</v>
      </c>
      <c r="G184" s="21">
        <v>1</v>
      </c>
      <c r="H184" s="22">
        <v>2</v>
      </c>
      <c r="I184" s="22">
        <f t="shared" si="21"/>
        <v>2</v>
      </c>
      <c r="J184" s="5">
        <v>14</v>
      </c>
      <c r="K184" s="23">
        <f t="shared" si="15"/>
        <v>1</v>
      </c>
      <c r="L184" s="58">
        <f>(IFERROR(VLOOKUP(C184,'Current Stocks July-26'!B:K,9,0),0))</f>
        <v>0</v>
      </c>
      <c r="M184" s="24">
        <f t="shared" si="16"/>
        <v>0</v>
      </c>
      <c r="N184" s="25" t="str">
        <f t="shared" si="17"/>
        <v>ORDER NOW</v>
      </c>
      <c r="O184" s="25" t="str">
        <f t="shared" si="18"/>
        <v>CRITICAL</v>
      </c>
      <c r="P184" s="5"/>
      <c r="Q184" s="5"/>
      <c r="R184" s="5"/>
      <c r="S184" s="90"/>
    </row>
    <row r="185" spans="1:20" ht="18.75" hidden="1" x14ac:dyDescent="0.25">
      <c r="A185" s="41">
        <v>543</v>
      </c>
      <c r="B185" s="41" t="s">
        <v>61</v>
      </c>
      <c r="C185" s="41" t="s">
        <v>62</v>
      </c>
      <c r="D185" s="91" t="s">
        <v>63</v>
      </c>
      <c r="E185" s="31" t="s">
        <v>64</v>
      </c>
      <c r="F185" s="5" t="s">
        <v>49</v>
      </c>
      <c r="G185" s="21">
        <v>1</v>
      </c>
      <c r="H185" s="22">
        <v>13</v>
      </c>
      <c r="I185" s="22">
        <f t="shared" si="21"/>
        <v>13</v>
      </c>
      <c r="J185" s="5">
        <v>14</v>
      </c>
      <c r="K185" s="23">
        <f t="shared" si="15"/>
        <v>6.5</v>
      </c>
      <c r="L185" s="58">
        <f>(IFERROR(VLOOKUP(C185,'Current Stocks July-26'!B:K,9,0),0))</f>
        <v>0</v>
      </c>
      <c r="M185" s="24">
        <f t="shared" si="16"/>
        <v>0</v>
      </c>
      <c r="N185" s="25" t="str">
        <f t="shared" si="17"/>
        <v>ORDER NOW</v>
      </c>
      <c r="O185" s="25" t="str">
        <f t="shared" si="18"/>
        <v>CRITICAL</v>
      </c>
      <c r="P185" s="5"/>
      <c r="Q185" s="5"/>
      <c r="R185" s="5"/>
      <c r="S185" s="90"/>
    </row>
    <row r="186" spans="1:20" ht="18.75" hidden="1" x14ac:dyDescent="0.25">
      <c r="A186" s="41">
        <v>544</v>
      </c>
      <c r="B186" s="41" t="s">
        <v>61</v>
      </c>
      <c r="C186" s="41" t="s">
        <v>520</v>
      </c>
      <c r="D186" s="37" t="s">
        <v>521</v>
      </c>
      <c r="E186" s="31" t="s">
        <v>64</v>
      </c>
      <c r="F186" s="5" t="s">
        <v>49</v>
      </c>
      <c r="G186" s="21">
        <v>1</v>
      </c>
      <c r="H186" s="22">
        <v>10</v>
      </c>
      <c r="I186" s="22">
        <f t="shared" si="21"/>
        <v>10</v>
      </c>
      <c r="J186" s="5">
        <v>14</v>
      </c>
      <c r="K186" s="23">
        <f t="shared" si="15"/>
        <v>5</v>
      </c>
      <c r="L186" s="58">
        <f>(IFERROR(VLOOKUP(C186,'Current Stocks July-26'!B:K,9,0),0))</f>
        <v>0</v>
      </c>
      <c r="M186" s="24">
        <f t="shared" si="16"/>
        <v>0</v>
      </c>
      <c r="N186" s="25" t="str">
        <f t="shared" si="17"/>
        <v>ORDER NOW</v>
      </c>
      <c r="O186" s="25" t="str">
        <f t="shared" si="18"/>
        <v>CRITICAL</v>
      </c>
      <c r="P186" s="5"/>
      <c r="Q186" s="5"/>
      <c r="R186" s="5"/>
      <c r="S186" s="90">
        <f>VLOOKUP(C186,[3]Sheet1!$C$3:$P$521,14,0)</f>
        <v>46138.481423611112</v>
      </c>
      <c r="T186" t="s">
        <v>1634</v>
      </c>
    </row>
    <row r="187" spans="1:20" ht="18.75" hidden="1" x14ac:dyDescent="0.25">
      <c r="A187" s="41">
        <v>545</v>
      </c>
      <c r="B187" s="41" t="s">
        <v>61</v>
      </c>
      <c r="C187" s="41" t="s">
        <v>522</v>
      </c>
      <c r="D187" s="91" t="s">
        <v>523</v>
      </c>
      <c r="E187" s="31" t="s">
        <v>64</v>
      </c>
      <c r="F187" s="5" t="s">
        <v>49</v>
      </c>
      <c r="G187" s="21">
        <v>1</v>
      </c>
      <c r="H187" s="22">
        <v>15</v>
      </c>
      <c r="I187" s="22">
        <f t="shared" si="21"/>
        <v>15</v>
      </c>
      <c r="J187" s="5">
        <v>14</v>
      </c>
      <c r="K187" s="23">
        <f t="shared" si="15"/>
        <v>7.5</v>
      </c>
      <c r="L187" s="58">
        <f>(IFERROR(VLOOKUP(C187,'Current Stocks July-26'!B:K,9,0),0))</f>
        <v>0</v>
      </c>
      <c r="M187" s="24">
        <f t="shared" si="16"/>
        <v>0</v>
      </c>
      <c r="N187" s="25" t="str">
        <f t="shared" si="17"/>
        <v>ORDER NOW</v>
      </c>
      <c r="O187" s="25" t="str">
        <f t="shared" si="18"/>
        <v>CRITICAL</v>
      </c>
      <c r="P187" s="5"/>
      <c r="Q187" s="5"/>
      <c r="R187" s="5"/>
      <c r="S187" s="90">
        <f>VLOOKUP(C187,[3]Sheet1!$C$3:$P$521,14,0)</f>
        <v>46131.431944444441</v>
      </c>
    </row>
    <row r="188" spans="1:20" ht="18.75" hidden="1" x14ac:dyDescent="0.25">
      <c r="A188" s="41">
        <v>546</v>
      </c>
      <c r="B188" s="41" t="s">
        <v>61</v>
      </c>
      <c r="C188" s="41" t="s">
        <v>985</v>
      </c>
      <c r="D188" s="37" t="s">
        <v>986</v>
      </c>
      <c r="E188" s="31" t="s">
        <v>64</v>
      </c>
      <c r="F188" s="5" t="s">
        <v>49</v>
      </c>
      <c r="G188" s="21">
        <v>1</v>
      </c>
      <c r="H188" s="22">
        <v>10</v>
      </c>
      <c r="I188" s="22">
        <f t="shared" si="21"/>
        <v>10</v>
      </c>
      <c r="J188" s="5">
        <v>14</v>
      </c>
      <c r="K188" s="23">
        <f t="shared" si="15"/>
        <v>5</v>
      </c>
      <c r="L188" s="58">
        <f>(IFERROR(VLOOKUP(C188,'Current Stocks July-26'!B:K,9,0),0))</f>
        <v>0</v>
      </c>
      <c r="M188" s="24">
        <f t="shared" si="16"/>
        <v>0</v>
      </c>
      <c r="N188" s="25" t="str">
        <f t="shared" si="17"/>
        <v>ORDER NOW</v>
      </c>
      <c r="O188" s="25" t="str">
        <f t="shared" si="18"/>
        <v>CRITICAL</v>
      </c>
      <c r="P188" s="5"/>
      <c r="Q188" s="5"/>
      <c r="R188" s="5"/>
      <c r="S188" s="90">
        <f>VLOOKUP(C188,[3]Sheet1!$C$3:$P$521,14,0)</f>
        <v>46141.525925925926</v>
      </c>
      <c r="T188" t="s">
        <v>1634</v>
      </c>
    </row>
    <row r="189" spans="1:20" ht="18.75" hidden="1" x14ac:dyDescent="0.25">
      <c r="A189" s="41">
        <v>549</v>
      </c>
      <c r="B189" s="41" t="s">
        <v>61</v>
      </c>
      <c r="C189" s="41" t="s">
        <v>524</v>
      </c>
      <c r="D189" s="37" t="s">
        <v>525</v>
      </c>
      <c r="E189" s="31" t="s">
        <v>22</v>
      </c>
      <c r="F189" s="5" t="s">
        <v>22</v>
      </c>
      <c r="G189" s="21">
        <v>1</v>
      </c>
      <c r="H189" s="22">
        <v>20</v>
      </c>
      <c r="I189" s="22">
        <f t="shared" si="21"/>
        <v>20</v>
      </c>
      <c r="J189" s="5">
        <v>14</v>
      </c>
      <c r="K189" s="23">
        <f t="shared" si="15"/>
        <v>10</v>
      </c>
      <c r="L189" s="58">
        <f>(IFERROR(VLOOKUP(C189,'Current Stocks July-26'!B:K,9,0),0))</f>
        <v>0</v>
      </c>
      <c r="M189" s="24">
        <f t="shared" si="16"/>
        <v>0</v>
      </c>
      <c r="N189" s="25" t="str">
        <f t="shared" si="17"/>
        <v>ORDER NOW</v>
      </c>
      <c r="O189" s="25" t="str">
        <f t="shared" si="18"/>
        <v>CRITICAL</v>
      </c>
      <c r="P189" s="5"/>
      <c r="Q189" s="5"/>
      <c r="R189" s="5"/>
      <c r="S189" s="90">
        <f>VLOOKUP(C189,[3]Sheet1!$C$3:$P$521,14,0)</f>
        <v>46113.430925925924</v>
      </c>
      <c r="T189" t="s">
        <v>1634</v>
      </c>
    </row>
    <row r="190" spans="1:20" ht="18.75" hidden="1" x14ac:dyDescent="0.25">
      <c r="A190" s="41">
        <v>550</v>
      </c>
      <c r="B190" s="41" t="s">
        <v>61</v>
      </c>
      <c r="C190" s="41" t="s">
        <v>700</v>
      </c>
      <c r="D190" s="37" t="s">
        <v>701</v>
      </c>
      <c r="E190" s="31" t="s">
        <v>22</v>
      </c>
      <c r="F190" s="5" t="s">
        <v>22</v>
      </c>
      <c r="G190" s="21">
        <v>1</v>
      </c>
      <c r="H190" s="22">
        <v>10</v>
      </c>
      <c r="I190" s="22">
        <f t="shared" si="21"/>
        <v>10</v>
      </c>
      <c r="J190" s="5">
        <v>14</v>
      </c>
      <c r="K190" s="23">
        <f t="shared" si="15"/>
        <v>5</v>
      </c>
      <c r="L190" s="58">
        <f>(IFERROR(VLOOKUP(C190,'Current Stocks July-26'!B:K,9,0),0))</f>
        <v>0</v>
      </c>
      <c r="M190" s="24">
        <f t="shared" si="16"/>
        <v>0</v>
      </c>
      <c r="N190" s="25" t="str">
        <f t="shared" si="17"/>
        <v>ORDER NOW</v>
      </c>
      <c r="O190" s="25" t="str">
        <f t="shared" si="18"/>
        <v>CRITICAL</v>
      </c>
      <c r="P190" s="5"/>
      <c r="Q190" s="5"/>
      <c r="R190" s="5"/>
      <c r="S190" s="90">
        <f>VLOOKUP(C190,[3]Sheet1!$C$3:$P$521,14,0)</f>
        <v>46141.525347222225</v>
      </c>
    </row>
    <row r="191" spans="1:20" ht="18.75" hidden="1" x14ac:dyDescent="0.25">
      <c r="A191" s="41">
        <v>561</v>
      </c>
      <c r="B191" s="41" t="s">
        <v>38</v>
      </c>
      <c r="C191" s="41" t="s">
        <v>691</v>
      </c>
      <c r="D191" s="37" t="s">
        <v>692</v>
      </c>
      <c r="E191" s="31" t="s">
        <v>22</v>
      </c>
      <c r="F191" s="5" t="s">
        <v>22</v>
      </c>
      <c r="G191" s="21">
        <v>1</v>
      </c>
      <c r="H191" s="22">
        <v>5</v>
      </c>
      <c r="I191" s="22">
        <f t="shared" si="21"/>
        <v>5</v>
      </c>
      <c r="J191" s="5">
        <v>14</v>
      </c>
      <c r="K191" s="23">
        <f t="shared" si="15"/>
        <v>2.5</v>
      </c>
      <c r="L191" s="58">
        <f>(IFERROR(VLOOKUP(C191,'Current Stocks July-26'!B:K,9,0),0))</f>
        <v>0</v>
      </c>
      <c r="M191" s="24">
        <f t="shared" si="16"/>
        <v>0</v>
      </c>
      <c r="N191" s="25" t="str">
        <f t="shared" si="17"/>
        <v>ORDER NOW</v>
      </c>
      <c r="O191" s="25" t="str">
        <f t="shared" si="18"/>
        <v>CRITICAL</v>
      </c>
      <c r="P191" s="5"/>
      <c r="Q191" s="5"/>
      <c r="R191" s="5"/>
      <c r="S191" s="90">
        <f>VLOOKUP(C191,[3]Sheet1!$C$3:$P$521,14,0)</f>
        <v>46141.525381944448</v>
      </c>
    </row>
    <row r="192" spans="1:20" ht="18.75" hidden="1" x14ac:dyDescent="0.25">
      <c r="A192" s="41">
        <v>568</v>
      </c>
      <c r="B192" s="41" t="s">
        <v>38</v>
      </c>
      <c r="C192" s="41" t="s">
        <v>1289</v>
      </c>
      <c r="D192" s="29" t="s">
        <v>1290</v>
      </c>
      <c r="E192" s="6" t="s">
        <v>1291</v>
      </c>
      <c r="F192" s="5" t="s">
        <v>64</v>
      </c>
      <c r="G192" s="21">
        <f>1/(12*0.793)</f>
        <v>0.10508617065994115</v>
      </c>
      <c r="H192" s="22">
        <v>1</v>
      </c>
      <c r="I192" s="22">
        <f t="shared" si="21"/>
        <v>9.516</v>
      </c>
      <c r="J192" s="5">
        <v>14</v>
      </c>
      <c r="K192" s="23">
        <f t="shared" si="15"/>
        <v>4.758</v>
      </c>
      <c r="L192" s="58">
        <f>(IFERROR(VLOOKUP(C192,'Current Stocks July-26'!B:K,9,0),0))</f>
        <v>0</v>
      </c>
      <c r="M192" s="24">
        <f t="shared" si="16"/>
        <v>0</v>
      </c>
      <c r="N192" s="25" t="str">
        <f t="shared" si="17"/>
        <v>ORDER NOW</v>
      </c>
      <c r="O192" s="25" t="str">
        <f t="shared" si="18"/>
        <v>CRITICAL</v>
      </c>
      <c r="P192" s="5"/>
      <c r="Q192" s="5"/>
      <c r="R192" s="5"/>
      <c r="S192" s="90" t="e">
        <f>VLOOKUP(C192,[3]Sheet1!$C$3:$P$521,14,0)</f>
        <v>#N/A</v>
      </c>
      <c r="T192" t="s">
        <v>1637</v>
      </c>
    </row>
    <row r="193" spans="1:20" ht="18.75" hidden="1" x14ac:dyDescent="0.25">
      <c r="A193" s="41">
        <v>569</v>
      </c>
      <c r="B193" s="41" t="s">
        <v>61</v>
      </c>
      <c r="C193" s="41" t="s">
        <v>530</v>
      </c>
      <c r="D193" s="27" t="s">
        <v>531</v>
      </c>
      <c r="E193" s="27" t="s">
        <v>22</v>
      </c>
      <c r="F193" s="5" t="s">
        <v>22</v>
      </c>
      <c r="G193" s="21">
        <v>1</v>
      </c>
      <c r="H193" s="22">
        <v>5</v>
      </c>
      <c r="I193" s="22">
        <f t="shared" si="21"/>
        <v>5</v>
      </c>
      <c r="J193" s="5">
        <v>14</v>
      </c>
      <c r="K193" s="23">
        <f t="shared" si="15"/>
        <v>2.5</v>
      </c>
      <c r="L193" s="58">
        <f>(IFERROR(VLOOKUP(C193,'Current Stocks July-26'!B:K,9,0),0))</f>
        <v>0</v>
      </c>
      <c r="M193" s="24">
        <f t="shared" si="16"/>
        <v>0</v>
      </c>
      <c r="N193" s="25" t="str">
        <f t="shared" si="17"/>
        <v>ORDER NOW</v>
      </c>
      <c r="O193" s="25" t="str">
        <f t="shared" si="18"/>
        <v>CRITICAL</v>
      </c>
      <c r="P193" s="5"/>
      <c r="Q193" s="5"/>
      <c r="R193" s="5"/>
      <c r="S193" s="90">
        <f>VLOOKUP(C193,[3]Sheet1!$C$3:$P$521,14,0)</f>
        <v>46113.430925925924</v>
      </c>
    </row>
    <row r="194" spans="1:20" ht="18.75" hidden="1" x14ac:dyDescent="0.25">
      <c r="A194" s="41">
        <v>570</v>
      </c>
      <c r="B194" s="41" t="s">
        <v>85</v>
      </c>
      <c r="C194" s="41" t="s">
        <v>532</v>
      </c>
      <c r="D194" s="27" t="s">
        <v>533</v>
      </c>
      <c r="E194" s="27" t="s">
        <v>22</v>
      </c>
      <c r="F194" s="5" t="s">
        <v>22</v>
      </c>
      <c r="G194" s="21">
        <v>1</v>
      </c>
      <c r="H194" s="22">
        <v>10</v>
      </c>
      <c r="I194" s="22">
        <f t="shared" si="21"/>
        <v>10</v>
      </c>
      <c r="J194" s="5">
        <v>14</v>
      </c>
      <c r="K194" s="23">
        <f t="shared" si="15"/>
        <v>5</v>
      </c>
      <c r="L194" s="58">
        <f>(IFERROR(VLOOKUP(C194,'Current Stocks July-26'!B:K,9,0),0))</f>
        <v>0</v>
      </c>
      <c r="M194" s="24">
        <f t="shared" si="16"/>
        <v>0</v>
      </c>
      <c r="N194" s="25" t="str">
        <f t="shared" si="17"/>
        <v>ORDER NOW</v>
      </c>
      <c r="O194" s="25" t="str">
        <f t="shared" si="18"/>
        <v>CRITICAL</v>
      </c>
      <c r="P194" s="5"/>
      <c r="Q194" s="5"/>
      <c r="R194" s="5"/>
      <c r="S194" s="90">
        <f>VLOOKUP(C194,[3]Sheet1!$C$3:$P$521,14,0)</f>
        <v>46118.497835648152</v>
      </c>
    </row>
    <row r="195" spans="1:20" ht="18.75" hidden="1" x14ac:dyDescent="0.25">
      <c r="A195" s="41">
        <v>571</v>
      </c>
      <c r="B195" s="41" t="s">
        <v>61</v>
      </c>
      <c r="C195" s="41" t="s">
        <v>534</v>
      </c>
      <c r="D195" s="4" t="s">
        <v>535</v>
      </c>
      <c r="E195" s="31" t="s">
        <v>64</v>
      </c>
      <c r="F195" s="5" t="s">
        <v>49</v>
      </c>
      <c r="G195" s="21">
        <v>1</v>
      </c>
      <c r="H195" s="22">
        <v>25</v>
      </c>
      <c r="I195" s="22">
        <f t="shared" si="21"/>
        <v>25</v>
      </c>
      <c r="J195" s="5">
        <v>14</v>
      </c>
      <c r="K195" s="23">
        <f t="shared" ref="K195:K258" si="22">I195*(J195/28)</f>
        <v>12.5</v>
      </c>
      <c r="L195" s="58">
        <f>(IFERROR(VLOOKUP(C195,'Current Stocks July-26'!B:K,9,0),0))</f>
        <v>0</v>
      </c>
      <c r="M195" s="24">
        <f t="shared" ref="M195:M258" si="23">IFERROR((L195/I195*30),0)</f>
        <v>0</v>
      </c>
      <c r="N195" s="25" t="str">
        <f t="shared" ref="N195:N258" si="24">IF(M195&lt;J195,"ORDER NOW","IN STOCK")</f>
        <v>ORDER NOW</v>
      </c>
      <c r="O195" s="25" t="str">
        <f t="shared" ref="O195:O258" si="25">IF(M195&lt;J195,"CRITICAL","FOLLOW UP DELIVERY")</f>
        <v>CRITICAL</v>
      </c>
      <c r="P195" s="5"/>
      <c r="Q195" s="5"/>
      <c r="R195" s="5"/>
      <c r="S195" s="90">
        <f>VLOOKUP(C195,[3]Sheet1!$C$3:$P$521,14,0)</f>
        <v>46113.430925925924</v>
      </c>
    </row>
    <row r="196" spans="1:20" ht="18.75" hidden="1" x14ac:dyDescent="0.25">
      <c r="A196" s="41">
        <v>572</v>
      </c>
      <c r="B196" s="41" t="s">
        <v>38</v>
      </c>
      <c r="C196" s="41" t="s">
        <v>1432</v>
      </c>
      <c r="D196" s="94" t="s">
        <v>1433</v>
      </c>
      <c r="E196" s="31" t="s">
        <v>64</v>
      </c>
      <c r="F196" s="5" t="s">
        <v>49</v>
      </c>
      <c r="G196" s="21">
        <v>1</v>
      </c>
      <c r="H196" s="22">
        <v>5</v>
      </c>
      <c r="I196" s="22">
        <f t="shared" si="21"/>
        <v>5</v>
      </c>
      <c r="J196" s="5">
        <v>14</v>
      </c>
      <c r="K196" s="23">
        <f t="shared" si="22"/>
        <v>2.5</v>
      </c>
      <c r="L196" s="58">
        <f>(IFERROR(VLOOKUP(C196,'Current Stocks July-26'!B:K,9,0),0))</f>
        <v>0</v>
      </c>
      <c r="M196" s="24">
        <f t="shared" si="23"/>
        <v>0</v>
      </c>
      <c r="N196" s="25" t="str">
        <f t="shared" si="24"/>
        <v>ORDER NOW</v>
      </c>
      <c r="O196" s="25" t="str">
        <f t="shared" si="25"/>
        <v>CRITICAL</v>
      </c>
      <c r="P196" s="5"/>
      <c r="Q196" s="5"/>
      <c r="R196" s="5"/>
      <c r="S196" s="90">
        <f>VLOOKUP(C196,[3]Sheet1!$C$3:$P$521,14,0)</f>
        <v>46131.519780092596</v>
      </c>
    </row>
    <row r="197" spans="1:20" ht="18.75" hidden="1" x14ac:dyDescent="0.25">
      <c r="A197" s="41">
        <v>573</v>
      </c>
      <c r="B197" s="41" t="s">
        <v>38</v>
      </c>
      <c r="C197" s="41" t="s">
        <v>536</v>
      </c>
      <c r="D197" s="4" t="s">
        <v>537</v>
      </c>
      <c r="E197" s="31" t="s">
        <v>64</v>
      </c>
      <c r="F197" s="5" t="s">
        <v>49</v>
      </c>
      <c r="G197" s="21">
        <v>1</v>
      </c>
      <c r="H197" s="22">
        <v>1</v>
      </c>
      <c r="I197" s="22">
        <f t="shared" si="21"/>
        <v>1</v>
      </c>
      <c r="J197" s="5">
        <v>14</v>
      </c>
      <c r="K197" s="23">
        <f t="shared" si="22"/>
        <v>0.5</v>
      </c>
      <c r="L197" s="58">
        <f>(IFERROR(VLOOKUP(C197,'Current Stocks July-26'!B:K,9,0),0))</f>
        <v>6</v>
      </c>
      <c r="M197" s="24">
        <f t="shared" si="23"/>
        <v>180</v>
      </c>
      <c r="N197" s="25" t="str">
        <f t="shared" si="24"/>
        <v>IN STOCK</v>
      </c>
      <c r="O197" s="25" t="str">
        <f t="shared" si="25"/>
        <v>FOLLOW UP DELIVERY</v>
      </c>
      <c r="P197" s="5"/>
      <c r="Q197" s="5"/>
      <c r="R197" s="5"/>
      <c r="S197" s="90">
        <f>VLOOKUP(C197,[3]Sheet1!$C$3:$P$521,14,0)</f>
        <v>46113.430925925924</v>
      </c>
    </row>
    <row r="198" spans="1:20" ht="18.75" hidden="1" x14ac:dyDescent="0.25">
      <c r="A198" s="41">
        <v>574</v>
      </c>
      <c r="B198" s="41" t="s">
        <v>38</v>
      </c>
      <c r="C198" s="41" t="s">
        <v>1335</v>
      </c>
      <c r="D198" s="4" t="s">
        <v>1336</v>
      </c>
      <c r="E198" s="31" t="s">
        <v>64</v>
      </c>
      <c r="F198" s="5" t="s">
        <v>49</v>
      </c>
      <c r="G198" s="21">
        <v>1</v>
      </c>
      <c r="H198" s="22">
        <v>3</v>
      </c>
      <c r="I198" s="22">
        <f t="shared" si="21"/>
        <v>3</v>
      </c>
      <c r="J198" s="5">
        <v>14</v>
      </c>
      <c r="K198" s="23">
        <f t="shared" si="22"/>
        <v>1.5</v>
      </c>
      <c r="L198" s="58">
        <f>(IFERROR(VLOOKUP(C198,'Current Stocks July-26'!B:K,9,0),0))</f>
        <v>0</v>
      </c>
      <c r="M198" s="24">
        <f t="shared" si="23"/>
        <v>0</v>
      </c>
      <c r="N198" s="25" t="str">
        <f t="shared" si="24"/>
        <v>ORDER NOW</v>
      </c>
      <c r="O198" s="25" t="str">
        <f t="shared" si="25"/>
        <v>CRITICAL</v>
      </c>
      <c r="P198" s="5"/>
      <c r="Q198" s="5"/>
      <c r="R198" s="5"/>
      <c r="S198" s="90">
        <f>VLOOKUP(C198,[3]Sheet1!$C$3:$P$521,14,0)</f>
        <v>46131.519247685188</v>
      </c>
    </row>
    <row r="199" spans="1:20" ht="18.75" hidden="1" x14ac:dyDescent="0.25">
      <c r="A199" s="41">
        <v>575</v>
      </c>
      <c r="B199" s="41" t="s">
        <v>38</v>
      </c>
      <c r="C199" s="41" t="s">
        <v>538</v>
      </c>
      <c r="D199" s="4" t="s">
        <v>539</v>
      </c>
      <c r="E199" s="31" t="s">
        <v>64</v>
      </c>
      <c r="F199" s="5" t="s">
        <v>49</v>
      </c>
      <c r="G199" s="21">
        <v>1</v>
      </c>
      <c r="H199" s="22">
        <v>4</v>
      </c>
      <c r="I199" s="22">
        <f t="shared" si="21"/>
        <v>4</v>
      </c>
      <c r="J199" s="5">
        <v>14</v>
      </c>
      <c r="K199" s="23">
        <f t="shared" si="22"/>
        <v>2</v>
      </c>
      <c r="L199" s="58">
        <f>(IFERROR(VLOOKUP(C199,'Current Stocks July-26'!B:K,9,0),0))</f>
        <v>10</v>
      </c>
      <c r="M199" s="24">
        <f t="shared" si="23"/>
        <v>75</v>
      </c>
      <c r="N199" s="25" t="str">
        <f t="shared" si="24"/>
        <v>IN STOCK</v>
      </c>
      <c r="O199" s="25" t="str">
        <f t="shared" si="25"/>
        <v>FOLLOW UP DELIVERY</v>
      </c>
      <c r="P199" s="5"/>
      <c r="Q199" s="5"/>
      <c r="R199" s="5"/>
      <c r="S199" s="90">
        <f>VLOOKUP(C199,[3]Sheet1!$C$3:$P$521,14,0)</f>
        <v>46113.430925925924</v>
      </c>
    </row>
    <row r="200" spans="1:20" ht="18.75" hidden="1" x14ac:dyDescent="0.25">
      <c r="A200" s="41">
        <v>577</v>
      </c>
      <c r="B200" s="41" t="s">
        <v>38</v>
      </c>
      <c r="C200" s="41" t="s">
        <v>542</v>
      </c>
      <c r="D200" s="4" t="s">
        <v>543</v>
      </c>
      <c r="E200" s="31" t="s">
        <v>64</v>
      </c>
      <c r="F200" s="5" t="s">
        <v>49</v>
      </c>
      <c r="G200" s="21">
        <v>1</v>
      </c>
      <c r="H200" s="22">
        <v>8</v>
      </c>
      <c r="I200" s="22">
        <f t="shared" si="21"/>
        <v>8</v>
      </c>
      <c r="J200" s="5">
        <v>14</v>
      </c>
      <c r="K200" s="23">
        <f t="shared" si="22"/>
        <v>4</v>
      </c>
      <c r="L200" s="58">
        <f>(IFERROR(VLOOKUP(C200,'Current Stocks July-26'!B:K,9,0),0))</f>
        <v>0</v>
      </c>
      <c r="M200" s="24">
        <f t="shared" si="23"/>
        <v>0</v>
      </c>
      <c r="N200" s="25" t="str">
        <f t="shared" si="24"/>
        <v>ORDER NOW</v>
      </c>
      <c r="O200" s="25" t="str">
        <f t="shared" si="25"/>
        <v>CRITICAL</v>
      </c>
      <c r="P200" s="5"/>
      <c r="Q200" s="5"/>
      <c r="R200" s="5"/>
      <c r="S200" s="90">
        <f>VLOOKUP(C200,[3]Sheet1!$C$3:$P$521,14,0)</f>
        <v>46113.430937500001</v>
      </c>
    </row>
    <row r="201" spans="1:20" ht="18.75" hidden="1" x14ac:dyDescent="0.25">
      <c r="A201" s="41">
        <v>579</v>
      </c>
      <c r="B201" s="49" t="s">
        <v>298</v>
      </c>
      <c r="C201" s="49" t="s">
        <v>546</v>
      </c>
      <c r="D201" s="4" t="s">
        <v>547</v>
      </c>
      <c r="E201" s="4" t="s">
        <v>49</v>
      </c>
      <c r="F201" s="5" t="s">
        <v>49</v>
      </c>
      <c r="G201" s="21">
        <v>1</v>
      </c>
      <c r="H201" s="22">
        <v>49.5</v>
      </c>
      <c r="I201" s="22">
        <f t="shared" si="21"/>
        <v>49.5</v>
      </c>
      <c r="J201" s="5">
        <v>14</v>
      </c>
      <c r="K201" s="23">
        <f t="shared" si="22"/>
        <v>24.75</v>
      </c>
      <c r="L201" s="58">
        <f>(IFERROR(VLOOKUP(C201,'Current Stocks July-26'!B:K,9,0),0))</f>
        <v>0</v>
      </c>
      <c r="M201" s="24">
        <f t="shared" si="23"/>
        <v>0</v>
      </c>
      <c r="N201" s="25" t="str">
        <f t="shared" si="24"/>
        <v>ORDER NOW</v>
      </c>
      <c r="O201" s="25" t="str">
        <f t="shared" si="25"/>
        <v>CRITICAL</v>
      </c>
      <c r="P201" s="5"/>
      <c r="Q201" s="5"/>
      <c r="R201" s="5"/>
      <c r="S201" s="90">
        <f>VLOOKUP(C201,[3]Sheet1!$C$3:$P$521,14,0)</f>
        <v>46131.431956018518</v>
      </c>
    </row>
    <row r="202" spans="1:20" ht="18.75" hidden="1" x14ac:dyDescent="0.25">
      <c r="A202" s="41">
        <v>580</v>
      </c>
      <c r="B202" s="49" t="s">
        <v>298</v>
      </c>
      <c r="C202" s="49" t="s">
        <v>548</v>
      </c>
      <c r="D202" s="4" t="s">
        <v>549</v>
      </c>
      <c r="E202" s="4" t="s">
        <v>49</v>
      </c>
      <c r="F202" s="5" t="s">
        <v>49</v>
      </c>
      <c r="G202" s="21">
        <v>1</v>
      </c>
      <c r="H202" s="22">
        <v>5.5</v>
      </c>
      <c r="I202" s="22">
        <f t="shared" si="21"/>
        <v>5.5</v>
      </c>
      <c r="J202" s="5">
        <v>14</v>
      </c>
      <c r="K202" s="23">
        <f t="shared" si="22"/>
        <v>2.75</v>
      </c>
      <c r="L202" s="58">
        <f>(IFERROR(VLOOKUP(C202,'Current Stocks July-26'!B:K,9,0),0))</f>
        <v>0</v>
      </c>
      <c r="M202" s="24">
        <f t="shared" si="23"/>
        <v>0</v>
      </c>
      <c r="N202" s="25" t="str">
        <f t="shared" si="24"/>
        <v>ORDER NOW</v>
      </c>
      <c r="O202" s="25" t="str">
        <f t="shared" si="25"/>
        <v>CRITICAL</v>
      </c>
      <c r="P202" s="5"/>
      <c r="Q202" s="5"/>
      <c r="R202" s="5"/>
      <c r="S202" s="90">
        <f>VLOOKUP(C202,[3]Sheet1!$C$3:$P$521,14,0)</f>
        <v>46113.430937500001</v>
      </c>
      <c r="T202" t="s">
        <v>1634</v>
      </c>
    </row>
    <row r="203" spans="1:20" ht="18.75" hidden="1" x14ac:dyDescent="0.25">
      <c r="A203" s="41">
        <v>582</v>
      </c>
      <c r="B203" s="49" t="s">
        <v>298</v>
      </c>
      <c r="C203" s="49" t="s">
        <v>550</v>
      </c>
      <c r="D203" s="27" t="s">
        <v>551</v>
      </c>
      <c r="E203" s="27" t="s">
        <v>49</v>
      </c>
      <c r="F203" s="5" t="s">
        <v>49</v>
      </c>
      <c r="G203" s="21">
        <v>1</v>
      </c>
      <c r="H203" s="22">
        <v>22</v>
      </c>
      <c r="I203" s="22">
        <f t="shared" si="21"/>
        <v>22</v>
      </c>
      <c r="J203" s="5">
        <v>14</v>
      </c>
      <c r="K203" s="23">
        <f t="shared" si="22"/>
        <v>11</v>
      </c>
      <c r="L203" s="58">
        <f>(IFERROR(VLOOKUP(C203,'Current Stocks July-26'!B:K,9,0),0))</f>
        <v>0</v>
      </c>
      <c r="M203" s="24">
        <f t="shared" si="23"/>
        <v>0</v>
      </c>
      <c r="N203" s="25" t="str">
        <f t="shared" si="24"/>
        <v>ORDER NOW</v>
      </c>
      <c r="O203" s="25" t="str">
        <f t="shared" si="25"/>
        <v>CRITICAL</v>
      </c>
      <c r="P203" s="5"/>
      <c r="Q203" s="5"/>
      <c r="R203" s="5"/>
      <c r="S203" s="90">
        <f>VLOOKUP(C203,[3]Sheet1!$C$3:$P$521,14,0)</f>
        <v>46113.430937500001</v>
      </c>
    </row>
    <row r="204" spans="1:20" ht="18.75" hidden="1" x14ac:dyDescent="0.25">
      <c r="A204" s="41">
        <v>583</v>
      </c>
      <c r="B204" s="49" t="s">
        <v>242</v>
      </c>
      <c r="C204" s="49" t="s">
        <v>552</v>
      </c>
      <c r="D204" s="27" t="s">
        <v>553</v>
      </c>
      <c r="E204" s="27" t="s">
        <v>49</v>
      </c>
      <c r="F204" s="5" t="s">
        <v>49</v>
      </c>
      <c r="G204" s="21">
        <v>1</v>
      </c>
      <c r="H204" s="22">
        <v>67.5</v>
      </c>
      <c r="I204" s="22">
        <f t="shared" si="21"/>
        <v>67.5</v>
      </c>
      <c r="J204" s="5">
        <v>14</v>
      </c>
      <c r="K204" s="23">
        <f t="shared" si="22"/>
        <v>33.75</v>
      </c>
      <c r="L204" s="58">
        <f>(IFERROR(VLOOKUP(C204,'Current Stocks July-26'!B:K,9,0),0))</f>
        <v>0</v>
      </c>
      <c r="M204" s="24">
        <f t="shared" si="23"/>
        <v>0</v>
      </c>
      <c r="N204" s="25" t="str">
        <f t="shared" si="24"/>
        <v>ORDER NOW</v>
      </c>
      <c r="O204" s="25" t="str">
        <f t="shared" si="25"/>
        <v>CRITICAL</v>
      </c>
      <c r="P204" s="5"/>
      <c r="Q204" s="5"/>
      <c r="R204" s="5"/>
      <c r="S204" s="90">
        <f>VLOOKUP(C204,[3]Sheet1!$C$3:$P$521,14,0)</f>
        <v>46113.430937500001</v>
      </c>
      <c r="T204" t="s">
        <v>1634</v>
      </c>
    </row>
    <row r="205" spans="1:20" ht="18.75" hidden="1" x14ac:dyDescent="0.25">
      <c r="A205" s="41">
        <v>588</v>
      </c>
      <c r="B205" s="49" t="s">
        <v>239</v>
      </c>
      <c r="C205" s="49" t="s">
        <v>556</v>
      </c>
      <c r="D205" s="4" t="s">
        <v>557</v>
      </c>
      <c r="E205" s="4" t="s">
        <v>49</v>
      </c>
      <c r="F205" s="5" t="s">
        <v>49</v>
      </c>
      <c r="G205" s="21">
        <v>1</v>
      </c>
      <c r="H205" s="22">
        <v>54.5</v>
      </c>
      <c r="I205" s="22">
        <f t="shared" si="21"/>
        <v>54.5</v>
      </c>
      <c r="J205" s="5">
        <v>14</v>
      </c>
      <c r="K205" s="23">
        <f t="shared" si="22"/>
        <v>27.25</v>
      </c>
      <c r="L205" s="58">
        <f>(IFERROR(VLOOKUP(C205,'Current Stocks July-26'!B:K,9,0),0))</f>
        <v>0</v>
      </c>
      <c r="M205" s="24">
        <f t="shared" si="23"/>
        <v>0</v>
      </c>
      <c r="N205" s="25" t="str">
        <f t="shared" si="24"/>
        <v>ORDER NOW</v>
      </c>
      <c r="O205" s="25" t="str">
        <f t="shared" si="25"/>
        <v>CRITICAL</v>
      </c>
      <c r="P205" s="5"/>
      <c r="Q205" s="5"/>
      <c r="R205" s="5"/>
      <c r="S205" s="90">
        <f>VLOOKUP(C205,[3]Sheet1!$C$3:$P$521,14,0)</f>
        <v>46113.430937500001</v>
      </c>
    </row>
    <row r="206" spans="1:20" ht="18.75" hidden="1" x14ac:dyDescent="0.25">
      <c r="A206" s="41">
        <v>589</v>
      </c>
      <c r="B206" s="49" t="s">
        <v>239</v>
      </c>
      <c r="C206" s="49" t="s">
        <v>558</v>
      </c>
      <c r="D206" s="4" t="s">
        <v>559</v>
      </c>
      <c r="E206" s="4" t="s">
        <v>49</v>
      </c>
      <c r="F206" s="5" t="s">
        <v>49</v>
      </c>
      <c r="G206" s="21">
        <v>1</v>
      </c>
      <c r="H206" s="22">
        <v>5.5</v>
      </c>
      <c r="I206" s="22">
        <f t="shared" si="21"/>
        <v>5.5</v>
      </c>
      <c r="J206" s="5">
        <v>14</v>
      </c>
      <c r="K206" s="23">
        <f t="shared" si="22"/>
        <v>2.75</v>
      </c>
      <c r="L206" s="58">
        <f>(IFERROR(VLOOKUP(C206,'Current Stocks July-26'!B:K,9,0),0))</f>
        <v>0</v>
      </c>
      <c r="M206" s="24">
        <f t="shared" si="23"/>
        <v>0</v>
      </c>
      <c r="N206" s="25" t="str">
        <f t="shared" si="24"/>
        <v>ORDER NOW</v>
      </c>
      <c r="O206" s="25" t="str">
        <f t="shared" si="25"/>
        <v>CRITICAL</v>
      </c>
      <c r="P206" s="5"/>
      <c r="Q206" s="5"/>
      <c r="R206" s="5"/>
      <c r="S206" s="90">
        <f>VLOOKUP(C206,[3]Sheet1!$C$3:$P$521,14,0)</f>
        <v>46113.430937500001</v>
      </c>
    </row>
    <row r="207" spans="1:20" ht="18.75" hidden="1" x14ac:dyDescent="0.25">
      <c r="A207" s="41">
        <v>591</v>
      </c>
      <c r="B207" s="49" t="s">
        <v>239</v>
      </c>
      <c r="C207" s="49" t="s">
        <v>560</v>
      </c>
      <c r="D207" s="36" t="s">
        <v>561</v>
      </c>
      <c r="E207" s="36" t="s">
        <v>49</v>
      </c>
      <c r="F207" s="5" t="s">
        <v>49</v>
      </c>
      <c r="G207" s="21">
        <v>1</v>
      </c>
      <c r="H207" s="22">
        <v>0</v>
      </c>
      <c r="I207" s="22">
        <f t="shared" si="21"/>
        <v>0</v>
      </c>
      <c r="J207" s="5">
        <v>14</v>
      </c>
      <c r="K207" s="23">
        <f t="shared" si="22"/>
        <v>0</v>
      </c>
      <c r="L207" s="58">
        <f>(IFERROR(VLOOKUP(C207,'Current Stocks July-26'!B:K,9,0),0))</f>
        <v>0</v>
      </c>
      <c r="M207" s="24">
        <f t="shared" si="23"/>
        <v>0</v>
      </c>
      <c r="N207" s="25" t="str">
        <f t="shared" si="24"/>
        <v>ORDER NOW</v>
      </c>
      <c r="O207" s="25" t="str">
        <f t="shared" si="25"/>
        <v>CRITICAL</v>
      </c>
      <c r="P207" s="5"/>
      <c r="Q207" s="5"/>
      <c r="R207" s="5"/>
      <c r="S207" s="90" t="e">
        <f>VLOOKUP(C207,[3]Sheet1!$C$3:$P$521,14,0)</f>
        <v>#N/A</v>
      </c>
    </row>
    <row r="208" spans="1:20" ht="18.75" hidden="1" x14ac:dyDescent="0.25">
      <c r="A208" s="41">
        <v>594</v>
      </c>
      <c r="B208" s="49" t="s">
        <v>242</v>
      </c>
      <c r="C208" s="49" t="s">
        <v>566</v>
      </c>
      <c r="D208" s="37" t="s">
        <v>567</v>
      </c>
      <c r="E208" s="31" t="s">
        <v>49</v>
      </c>
      <c r="F208" s="5" t="s">
        <v>49</v>
      </c>
      <c r="G208" s="21">
        <v>1</v>
      </c>
      <c r="H208" s="22">
        <v>0</v>
      </c>
      <c r="I208" s="22">
        <f t="shared" si="21"/>
        <v>0</v>
      </c>
      <c r="J208" s="5">
        <v>14</v>
      </c>
      <c r="K208" s="23">
        <f t="shared" si="22"/>
        <v>0</v>
      </c>
      <c r="L208" s="58">
        <f>(IFERROR(VLOOKUP(C208,'Current Stocks July-26'!B:K,9,0),0))</f>
        <v>0</v>
      </c>
      <c r="M208" s="24">
        <f t="shared" si="23"/>
        <v>0</v>
      </c>
      <c r="N208" s="25" t="str">
        <f t="shared" si="24"/>
        <v>ORDER NOW</v>
      </c>
      <c r="O208" s="25" t="str">
        <f t="shared" si="25"/>
        <v>CRITICAL</v>
      </c>
      <c r="P208" s="5"/>
      <c r="Q208" s="5"/>
      <c r="R208" s="5"/>
      <c r="S208" s="90" t="e">
        <f>VLOOKUP(C208,[3]Sheet1!$C$3:$P$521,14,0)</f>
        <v>#N/A</v>
      </c>
      <c r="T208" t="s">
        <v>1634</v>
      </c>
    </row>
    <row r="209" spans="1:20" ht="18.75" hidden="1" x14ac:dyDescent="0.25">
      <c r="A209" s="41">
        <v>595</v>
      </c>
      <c r="B209" s="49" t="s">
        <v>239</v>
      </c>
      <c r="C209" s="49" t="s">
        <v>568</v>
      </c>
      <c r="D209" s="37" t="s">
        <v>569</v>
      </c>
      <c r="E209" s="31" t="s">
        <v>49</v>
      </c>
      <c r="F209" s="5" t="s">
        <v>49</v>
      </c>
      <c r="G209" s="21">
        <v>1</v>
      </c>
      <c r="H209" s="22">
        <v>1</v>
      </c>
      <c r="I209" s="22">
        <f t="shared" si="21"/>
        <v>1</v>
      </c>
      <c r="J209" s="5">
        <v>14</v>
      </c>
      <c r="K209" s="23">
        <f t="shared" si="22"/>
        <v>0.5</v>
      </c>
      <c r="L209" s="58">
        <f>(IFERROR(VLOOKUP(C209,'Current Stocks July-26'!B:K,9,0),0))</f>
        <v>0</v>
      </c>
      <c r="M209" s="24">
        <f t="shared" si="23"/>
        <v>0</v>
      </c>
      <c r="N209" s="25" t="str">
        <f t="shared" si="24"/>
        <v>ORDER NOW</v>
      </c>
      <c r="O209" s="25" t="str">
        <f t="shared" si="25"/>
        <v>CRITICAL</v>
      </c>
      <c r="P209" s="5"/>
      <c r="Q209" s="5"/>
      <c r="R209" s="5"/>
      <c r="S209" s="90">
        <f>VLOOKUP(C209,[3]Sheet1!$C$3:$P$521,14,0)</f>
        <v>46113.430937500001</v>
      </c>
      <c r="T209" t="s">
        <v>1634</v>
      </c>
    </row>
    <row r="210" spans="1:20" ht="18.75" hidden="1" x14ac:dyDescent="0.25">
      <c r="A210" s="41">
        <v>596</v>
      </c>
      <c r="B210" s="49" t="s">
        <v>239</v>
      </c>
      <c r="C210" s="49" t="s">
        <v>570</v>
      </c>
      <c r="D210" s="37" t="s">
        <v>571</v>
      </c>
      <c r="E210" s="31" t="s">
        <v>49</v>
      </c>
      <c r="F210" s="5" t="s">
        <v>49</v>
      </c>
      <c r="G210" s="21">
        <v>1</v>
      </c>
      <c r="H210" s="22">
        <v>2</v>
      </c>
      <c r="I210" s="22">
        <f t="shared" si="21"/>
        <v>2</v>
      </c>
      <c r="J210" s="5">
        <v>14</v>
      </c>
      <c r="K210" s="23">
        <f t="shared" si="22"/>
        <v>1</v>
      </c>
      <c r="L210" s="58">
        <f>(IFERROR(VLOOKUP(C210,'Current Stocks July-26'!B:K,9,0),0))</f>
        <v>0</v>
      </c>
      <c r="M210" s="24">
        <f t="shared" si="23"/>
        <v>0</v>
      </c>
      <c r="N210" s="25" t="str">
        <f t="shared" si="24"/>
        <v>ORDER NOW</v>
      </c>
      <c r="O210" s="25" t="str">
        <f t="shared" si="25"/>
        <v>CRITICAL</v>
      </c>
      <c r="P210" s="5"/>
      <c r="Q210" s="5"/>
      <c r="R210" s="5"/>
      <c r="S210" s="90">
        <f>VLOOKUP(C210,[3]Sheet1!$C$3:$P$521,14,0)</f>
        <v>46113.430937500001</v>
      </c>
      <c r="T210" t="s">
        <v>1634</v>
      </c>
    </row>
    <row r="211" spans="1:20" ht="18.75" hidden="1" x14ac:dyDescent="0.25">
      <c r="A211" s="41">
        <v>597</v>
      </c>
      <c r="B211" s="49" t="s">
        <v>239</v>
      </c>
      <c r="C211" s="49" t="s">
        <v>572</v>
      </c>
      <c r="D211" s="37" t="s">
        <v>573</v>
      </c>
      <c r="E211" s="31" t="s">
        <v>49</v>
      </c>
      <c r="F211" s="5" t="s">
        <v>49</v>
      </c>
      <c r="G211" s="21">
        <v>1</v>
      </c>
      <c r="H211" s="22">
        <v>25</v>
      </c>
      <c r="I211" s="22">
        <f t="shared" si="21"/>
        <v>25</v>
      </c>
      <c r="J211" s="5">
        <v>14</v>
      </c>
      <c r="K211" s="23">
        <f t="shared" si="22"/>
        <v>12.5</v>
      </c>
      <c r="L211" s="58">
        <f>(IFERROR(VLOOKUP(C211,'Current Stocks July-26'!B:K,9,0),0))</f>
        <v>0</v>
      </c>
      <c r="M211" s="24">
        <f t="shared" si="23"/>
        <v>0</v>
      </c>
      <c r="N211" s="25" t="str">
        <f t="shared" si="24"/>
        <v>ORDER NOW</v>
      </c>
      <c r="O211" s="25" t="str">
        <f t="shared" si="25"/>
        <v>CRITICAL</v>
      </c>
      <c r="P211" s="5"/>
      <c r="Q211" s="5"/>
      <c r="R211" s="5"/>
      <c r="S211" s="90">
        <f>VLOOKUP(C211,[3]Sheet1!$C$3:$P$521,14,0)</f>
        <v>46113.430937500001</v>
      </c>
    </row>
    <row r="212" spans="1:20" ht="18.75" hidden="1" x14ac:dyDescent="0.25">
      <c r="A212" s="41">
        <v>602</v>
      </c>
      <c r="B212" s="4" t="s">
        <v>85</v>
      </c>
      <c r="C212" s="4" t="s">
        <v>99</v>
      </c>
      <c r="D212" s="27" t="s">
        <v>100</v>
      </c>
      <c r="E212" s="27" t="s">
        <v>101</v>
      </c>
      <c r="F212" s="5" t="s">
        <v>22</v>
      </c>
      <c r="G212" s="21">
        <f>1/6</f>
        <v>0.16666666666666666</v>
      </c>
      <c r="H212" s="22">
        <v>5.5</v>
      </c>
      <c r="I212" s="22">
        <f t="shared" si="21"/>
        <v>33</v>
      </c>
      <c r="J212" s="5">
        <v>14</v>
      </c>
      <c r="K212" s="23">
        <f t="shared" si="22"/>
        <v>16.5</v>
      </c>
      <c r="L212" s="58">
        <f>(IFERROR(VLOOKUP(C212,'Current Stocks July-26'!B:K,9,0),0))</f>
        <v>0</v>
      </c>
      <c r="M212" s="24">
        <f t="shared" si="23"/>
        <v>0</v>
      </c>
      <c r="N212" s="25" t="str">
        <f t="shared" si="24"/>
        <v>ORDER NOW</v>
      </c>
      <c r="O212" s="25" t="str">
        <f t="shared" si="25"/>
        <v>CRITICAL</v>
      </c>
      <c r="P212" s="5"/>
      <c r="Q212" s="5"/>
      <c r="R212" s="5"/>
      <c r="S212" s="90">
        <f>VLOOKUP(C212,[3]Sheet1!$C$3:$P$521,14,0)</f>
        <v>46113.430937500001</v>
      </c>
      <c r="T212" t="s">
        <v>1634</v>
      </c>
    </row>
    <row r="213" spans="1:20" ht="18.75" hidden="1" x14ac:dyDescent="0.25">
      <c r="A213" s="41">
        <v>603</v>
      </c>
      <c r="B213" s="4" t="s">
        <v>85</v>
      </c>
      <c r="C213" s="4" t="s">
        <v>576</v>
      </c>
      <c r="D213" s="27" t="s">
        <v>577</v>
      </c>
      <c r="E213" s="27" t="s">
        <v>101</v>
      </c>
      <c r="F213" s="5" t="s">
        <v>22</v>
      </c>
      <c r="G213" s="21">
        <f>1/6</f>
        <v>0.16666666666666666</v>
      </c>
      <c r="H213" s="22">
        <v>5.5</v>
      </c>
      <c r="I213" s="22">
        <f t="shared" si="21"/>
        <v>33</v>
      </c>
      <c r="J213" s="5">
        <v>14</v>
      </c>
      <c r="K213" s="23">
        <f t="shared" si="22"/>
        <v>16.5</v>
      </c>
      <c r="L213" s="58">
        <f>(IFERROR(VLOOKUP(C213,'Current Stocks July-26'!B:K,9,0),0))</f>
        <v>0</v>
      </c>
      <c r="M213" s="24">
        <f t="shared" si="23"/>
        <v>0</v>
      </c>
      <c r="N213" s="25" t="str">
        <f t="shared" si="24"/>
        <v>ORDER NOW</v>
      </c>
      <c r="O213" s="25" t="str">
        <f t="shared" si="25"/>
        <v>CRITICAL</v>
      </c>
      <c r="P213" s="5"/>
      <c r="Q213" s="5"/>
      <c r="R213" s="5"/>
      <c r="S213" s="90">
        <f>VLOOKUP(C213,[3]Sheet1!$C$3:$P$521,14,0)</f>
        <v>46113.430937500001</v>
      </c>
    </row>
    <row r="214" spans="1:20" ht="18.75" hidden="1" x14ac:dyDescent="0.25">
      <c r="A214" s="41">
        <v>604</v>
      </c>
      <c r="B214" s="4" t="s">
        <v>85</v>
      </c>
      <c r="C214" s="4" t="s">
        <v>578</v>
      </c>
      <c r="D214" s="71" t="s">
        <v>579</v>
      </c>
      <c r="E214" s="31" t="s">
        <v>22</v>
      </c>
      <c r="F214" s="5" t="s">
        <v>22</v>
      </c>
      <c r="G214" s="21">
        <v>1</v>
      </c>
      <c r="H214" s="22">
        <v>25</v>
      </c>
      <c r="I214" s="22">
        <f t="shared" si="21"/>
        <v>25</v>
      </c>
      <c r="J214" s="5">
        <v>14</v>
      </c>
      <c r="K214" s="23">
        <f t="shared" si="22"/>
        <v>12.5</v>
      </c>
      <c r="L214" s="58">
        <f>(IFERROR(VLOOKUP(C214,'Current Stocks July-26'!B:K,9,0),0))</f>
        <v>0</v>
      </c>
      <c r="M214" s="24">
        <f t="shared" si="23"/>
        <v>0</v>
      </c>
      <c r="N214" s="25" t="str">
        <f t="shared" si="24"/>
        <v>ORDER NOW</v>
      </c>
      <c r="O214" s="25" t="str">
        <f t="shared" si="25"/>
        <v>CRITICAL</v>
      </c>
      <c r="P214" s="5"/>
      <c r="Q214" s="5"/>
      <c r="R214" s="5"/>
      <c r="S214" s="90">
        <f>VLOOKUP(C214,[3]Sheet1!$C$3:$P$521,14,0)</f>
        <v>46113.430937500001</v>
      </c>
    </row>
    <row r="215" spans="1:20" ht="18.75" hidden="1" x14ac:dyDescent="0.25">
      <c r="A215" s="41">
        <v>605</v>
      </c>
      <c r="B215" s="4" t="s">
        <v>85</v>
      </c>
      <c r="C215" s="4" t="s">
        <v>580</v>
      </c>
      <c r="D215" s="71" t="s">
        <v>581</v>
      </c>
      <c r="E215" s="31" t="s">
        <v>22</v>
      </c>
      <c r="F215" s="5" t="s">
        <v>22</v>
      </c>
      <c r="G215" s="21">
        <v>1</v>
      </c>
      <c r="H215" s="22">
        <v>25</v>
      </c>
      <c r="I215" s="22">
        <f t="shared" ref="I215:I246" si="26">H215/G215</f>
        <v>25</v>
      </c>
      <c r="J215" s="5">
        <v>14</v>
      </c>
      <c r="K215" s="23">
        <f t="shared" si="22"/>
        <v>12.5</v>
      </c>
      <c r="L215" s="58">
        <f>(IFERROR(VLOOKUP(C215,'Current Stocks July-26'!B:K,9,0),0))</f>
        <v>0</v>
      </c>
      <c r="M215" s="24">
        <f t="shared" si="23"/>
        <v>0</v>
      </c>
      <c r="N215" s="25" t="str">
        <f t="shared" si="24"/>
        <v>ORDER NOW</v>
      </c>
      <c r="O215" s="25" t="str">
        <f t="shared" si="25"/>
        <v>CRITICAL</v>
      </c>
      <c r="P215" s="5"/>
      <c r="Q215" s="5"/>
      <c r="R215" s="5"/>
      <c r="S215" s="90">
        <f>VLOOKUP(C215,[3]Sheet1!$C$3:$P$521,14,0)</f>
        <v>46113.430937500001</v>
      </c>
      <c r="T215" t="s">
        <v>1634</v>
      </c>
    </row>
    <row r="216" spans="1:20" ht="18.75" hidden="1" x14ac:dyDescent="0.25">
      <c r="A216" s="41">
        <v>608</v>
      </c>
      <c r="B216" s="4" t="s">
        <v>133</v>
      </c>
      <c r="C216" s="4" t="s">
        <v>582</v>
      </c>
      <c r="D216" s="27" t="s">
        <v>583</v>
      </c>
      <c r="E216" s="27" t="s">
        <v>64</v>
      </c>
      <c r="F216" s="5" t="s">
        <v>49</v>
      </c>
      <c r="G216" s="21">
        <v>1</v>
      </c>
      <c r="H216" s="22">
        <v>5940</v>
      </c>
      <c r="I216" s="22">
        <f t="shared" si="26"/>
        <v>5940</v>
      </c>
      <c r="J216" s="5">
        <v>14</v>
      </c>
      <c r="K216" s="23">
        <f t="shared" si="22"/>
        <v>2970</v>
      </c>
      <c r="L216" s="58">
        <f>(IFERROR(VLOOKUP(C216,'Current Stocks July-26'!B:K,9,0),0))</f>
        <v>0</v>
      </c>
      <c r="M216" s="24">
        <f t="shared" si="23"/>
        <v>0</v>
      </c>
      <c r="N216" s="25" t="str">
        <f t="shared" si="24"/>
        <v>ORDER NOW</v>
      </c>
      <c r="O216" s="25" t="str">
        <f t="shared" si="25"/>
        <v>CRITICAL</v>
      </c>
      <c r="P216" s="5"/>
      <c r="Q216" s="5"/>
      <c r="R216" s="5"/>
      <c r="S216" s="90">
        <f>VLOOKUP(C216,[3]Sheet1!$C$3:$P$521,14,0)</f>
        <v>46113.430937500001</v>
      </c>
    </row>
    <row r="217" spans="1:20" ht="18.75" hidden="1" x14ac:dyDescent="0.25">
      <c r="A217" s="41">
        <v>609</v>
      </c>
      <c r="B217" s="4" t="s">
        <v>133</v>
      </c>
      <c r="C217" s="4" t="s">
        <v>584</v>
      </c>
      <c r="D217" s="27" t="s">
        <v>585</v>
      </c>
      <c r="E217" s="27" t="s">
        <v>64</v>
      </c>
      <c r="F217" s="5" t="s">
        <v>49</v>
      </c>
      <c r="G217" s="21">
        <v>1</v>
      </c>
      <c r="H217" s="22">
        <v>4870</v>
      </c>
      <c r="I217" s="22">
        <f t="shared" si="26"/>
        <v>4870</v>
      </c>
      <c r="J217" s="5">
        <v>14</v>
      </c>
      <c r="K217" s="23">
        <f t="shared" si="22"/>
        <v>2435</v>
      </c>
      <c r="L217" s="58">
        <f>(IFERROR(VLOOKUP(C217,'Current Stocks July-26'!B:K,9,0),0))</f>
        <v>0</v>
      </c>
      <c r="M217" s="24">
        <f t="shared" si="23"/>
        <v>0</v>
      </c>
      <c r="N217" s="25" t="str">
        <f t="shared" si="24"/>
        <v>ORDER NOW</v>
      </c>
      <c r="O217" s="25" t="str">
        <f t="shared" si="25"/>
        <v>CRITICAL</v>
      </c>
      <c r="P217" s="5"/>
      <c r="Q217" s="5"/>
      <c r="R217" s="5"/>
      <c r="S217" s="90" t="e">
        <f>VLOOKUP(C217,[3]Sheet1!$C$3:$P$521,14,0)</f>
        <v>#N/A</v>
      </c>
    </row>
    <row r="218" spans="1:20" ht="18.75" hidden="1" x14ac:dyDescent="0.25">
      <c r="A218" s="41">
        <v>610</v>
      </c>
      <c r="B218" s="4" t="s">
        <v>133</v>
      </c>
      <c r="C218" s="4" t="s">
        <v>586</v>
      </c>
      <c r="D218" s="27" t="s">
        <v>587</v>
      </c>
      <c r="E218" s="27" t="s">
        <v>64</v>
      </c>
      <c r="F218" s="5" t="s">
        <v>49</v>
      </c>
      <c r="G218" s="21">
        <v>1</v>
      </c>
      <c r="H218" s="22">
        <v>0</v>
      </c>
      <c r="I218" s="22">
        <f t="shared" si="26"/>
        <v>0</v>
      </c>
      <c r="J218" s="5">
        <v>14</v>
      </c>
      <c r="K218" s="23">
        <f t="shared" si="22"/>
        <v>0</v>
      </c>
      <c r="L218" s="58">
        <f>(IFERROR(VLOOKUP(C218,'Current Stocks July-26'!B:K,9,0),0))</f>
        <v>0</v>
      </c>
      <c r="M218" s="24">
        <f t="shared" si="23"/>
        <v>0</v>
      </c>
      <c r="N218" s="25" t="str">
        <f t="shared" si="24"/>
        <v>ORDER NOW</v>
      </c>
      <c r="O218" s="25" t="str">
        <f t="shared" si="25"/>
        <v>CRITICAL</v>
      </c>
      <c r="P218" s="5"/>
      <c r="Q218" s="5"/>
      <c r="R218" s="5"/>
      <c r="S218" s="90" t="e">
        <f>VLOOKUP(C218,[3]Sheet1!$C$3:$P$521,14,0)</f>
        <v>#N/A</v>
      </c>
      <c r="T218" t="s">
        <v>1634</v>
      </c>
    </row>
    <row r="219" spans="1:20" ht="18.75" hidden="1" x14ac:dyDescent="0.25">
      <c r="A219" s="41">
        <v>612</v>
      </c>
      <c r="B219" s="4" t="s">
        <v>133</v>
      </c>
      <c r="C219" s="4" t="s">
        <v>588</v>
      </c>
      <c r="D219" s="4" t="s">
        <v>589</v>
      </c>
      <c r="E219" s="4" t="s">
        <v>64</v>
      </c>
      <c r="F219" s="5" t="s">
        <v>49</v>
      </c>
      <c r="G219" s="21">
        <v>1</v>
      </c>
      <c r="H219" s="22">
        <v>0</v>
      </c>
      <c r="I219" s="22">
        <f t="shared" si="26"/>
        <v>0</v>
      </c>
      <c r="J219" s="5">
        <v>14</v>
      </c>
      <c r="K219" s="23">
        <f t="shared" si="22"/>
        <v>0</v>
      </c>
      <c r="L219" s="58">
        <f>(IFERROR(VLOOKUP(C219,'Current Stocks July-26'!B:K,9,0),0))</f>
        <v>0</v>
      </c>
      <c r="M219" s="24">
        <f t="shared" si="23"/>
        <v>0</v>
      </c>
      <c r="N219" s="25" t="str">
        <f t="shared" si="24"/>
        <v>ORDER NOW</v>
      </c>
      <c r="O219" s="25" t="str">
        <f t="shared" si="25"/>
        <v>CRITICAL</v>
      </c>
      <c r="P219" s="5"/>
      <c r="Q219" s="5"/>
      <c r="R219" s="5"/>
      <c r="S219" s="90" t="e">
        <f>VLOOKUP(C219,[3]Sheet1!$C$3:$P$521,14,0)</f>
        <v>#N/A</v>
      </c>
      <c r="T219" t="s">
        <v>1634</v>
      </c>
    </row>
    <row r="220" spans="1:20" ht="18.75" hidden="1" x14ac:dyDescent="0.25">
      <c r="A220" s="41">
        <v>613</v>
      </c>
      <c r="B220" s="4" t="s">
        <v>133</v>
      </c>
      <c r="C220" s="4" t="s">
        <v>139</v>
      </c>
      <c r="D220" s="27" t="s">
        <v>140</v>
      </c>
      <c r="E220" s="27" t="s">
        <v>64</v>
      </c>
      <c r="F220" s="5" t="s">
        <v>49</v>
      </c>
      <c r="G220" s="21">
        <v>1</v>
      </c>
      <c r="H220" s="22">
        <v>7645</v>
      </c>
      <c r="I220" s="22">
        <f t="shared" si="26"/>
        <v>7645</v>
      </c>
      <c r="J220" s="5">
        <v>14</v>
      </c>
      <c r="K220" s="23">
        <f t="shared" si="22"/>
        <v>3822.5</v>
      </c>
      <c r="L220" s="58">
        <f>(IFERROR(VLOOKUP(C220,'Current Stocks July-26'!B:K,9,0),0))</f>
        <v>0</v>
      </c>
      <c r="M220" s="24">
        <f t="shared" si="23"/>
        <v>0</v>
      </c>
      <c r="N220" s="25" t="str">
        <f t="shared" si="24"/>
        <v>ORDER NOW</v>
      </c>
      <c r="O220" s="25" t="str">
        <f t="shared" si="25"/>
        <v>CRITICAL</v>
      </c>
      <c r="P220" s="5"/>
      <c r="Q220" s="5"/>
      <c r="R220" s="5"/>
      <c r="S220" s="90" t="e">
        <f>VLOOKUP(C220,[3]Sheet1!$C$3:$P$521,14,0)</f>
        <v>#N/A</v>
      </c>
      <c r="T220" t="s">
        <v>1634</v>
      </c>
    </row>
    <row r="221" spans="1:20" ht="18.75" hidden="1" x14ac:dyDescent="0.25">
      <c r="A221" s="41">
        <v>614</v>
      </c>
      <c r="B221" s="4" t="s">
        <v>133</v>
      </c>
      <c r="C221" s="4" t="s">
        <v>590</v>
      </c>
      <c r="D221" s="29" t="s">
        <v>591</v>
      </c>
      <c r="E221" s="29" t="s">
        <v>49</v>
      </c>
      <c r="F221" s="5" t="s">
        <v>49</v>
      </c>
      <c r="G221" s="21">
        <v>1</v>
      </c>
      <c r="H221" s="22">
        <v>0</v>
      </c>
      <c r="I221" s="22">
        <f t="shared" si="26"/>
        <v>0</v>
      </c>
      <c r="J221" s="5">
        <v>14</v>
      </c>
      <c r="K221" s="23">
        <f t="shared" si="22"/>
        <v>0</v>
      </c>
      <c r="L221" s="58">
        <f>(IFERROR(VLOOKUP(C221,'Current Stocks July-26'!B:K,9,0),0))</f>
        <v>0</v>
      </c>
      <c r="M221" s="24">
        <f t="shared" si="23"/>
        <v>0</v>
      </c>
      <c r="N221" s="25" t="str">
        <f t="shared" si="24"/>
        <v>ORDER NOW</v>
      </c>
      <c r="O221" s="25" t="str">
        <f t="shared" si="25"/>
        <v>CRITICAL</v>
      </c>
      <c r="P221" s="5"/>
      <c r="Q221" s="5"/>
      <c r="R221" s="5"/>
      <c r="S221" s="90" t="e">
        <f>VLOOKUP(C221,[3]Sheet1!$C$3:$P$521,14,0)</f>
        <v>#N/A</v>
      </c>
    </row>
    <row r="222" spans="1:20" ht="18.75" hidden="1" x14ac:dyDescent="0.25">
      <c r="A222" s="41">
        <v>615</v>
      </c>
      <c r="B222" s="4" t="s">
        <v>133</v>
      </c>
      <c r="C222" s="4" t="s">
        <v>592</v>
      </c>
      <c r="D222" s="29" t="s">
        <v>593</v>
      </c>
      <c r="E222" s="29" t="s">
        <v>49</v>
      </c>
      <c r="F222" s="5" t="s">
        <v>49</v>
      </c>
      <c r="G222" s="21">
        <v>1</v>
      </c>
      <c r="H222" s="22">
        <v>0</v>
      </c>
      <c r="I222" s="22">
        <f t="shared" si="26"/>
        <v>0</v>
      </c>
      <c r="J222" s="5">
        <v>14</v>
      </c>
      <c r="K222" s="23">
        <f t="shared" si="22"/>
        <v>0</v>
      </c>
      <c r="L222" s="58">
        <f>(IFERROR(VLOOKUP(C222,'Current Stocks July-26'!B:K,9,0),0))</f>
        <v>0</v>
      </c>
      <c r="M222" s="24">
        <f t="shared" si="23"/>
        <v>0</v>
      </c>
      <c r="N222" s="25" t="str">
        <f t="shared" si="24"/>
        <v>ORDER NOW</v>
      </c>
      <c r="O222" s="25" t="str">
        <f t="shared" si="25"/>
        <v>CRITICAL</v>
      </c>
      <c r="P222" s="5"/>
      <c r="Q222" s="5"/>
      <c r="R222" s="5"/>
      <c r="S222" s="90" t="e">
        <f>VLOOKUP(C222,[3]Sheet1!$C$3:$P$521,14,0)</f>
        <v>#N/A</v>
      </c>
    </row>
    <row r="223" spans="1:20" ht="18.75" hidden="1" x14ac:dyDescent="0.25">
      <c r="A223" s="41">
        <v>616</v>
      </c>
      <c r="B223" s="4" t="s">
        <v>18</v>
      </c>
      <c r="C223" s="4"/>
      <c r="D223" s="27" t="s">
        <v>594</v>
      </c>
      <c r="E223" s="27" t="s">
        <v>49</v>
      </c>
      <c r="F223" s="5" t="s">
        <v>49</v>
      </c>
      <c r="G223" s="21">
        <v>1</v>
      </c>
      <c r="H223" s="22">
        <v>0</v>
      </c>
      <c r="I223" s="22">
        <f t="shared" si="26"/>
        <v>0</v>
      </c>
      <c r="J223" s="5">
        <v>14</v>
      </c>
      <c r="K223" s="23">
        <f t="shared" si="22"/>
        <v>0</v>
      </c>
      <c r="L223" s="58">
        <f>(IFERROR(VLOOKUP(C223,'Current Stocks July-26'!B:K,9,0),0))</f>
        <v>0</v>
      </c>
      <c r="M223" s="24">
        <f t="shared" si="23"/>
        <v>0</v>
      </c>
      <c r="N223" s="25" t="str">
        <f t="shared" si="24"/>
        <v>ORDER NOW</v>
      </c>
      <c r="O223" s="25" t="str">
        <f t="shared" si="25"/>
        <v>CRITICAL</v>
      </c>
      <c r="P223" s="5"/>
      <c r="Q223" s="5"/>
      <c r="R223" s="5"/>
      <c r="S223" s="90" t="e">
        <f>VLOOKUP(C223,[3]Sheet1!$C$3:$P$521,14,0)</f>
        <v>#N/A</v>
      </c>
    </row>
    <row r="224" spans="1:20" ht="18.75" hidden="1" x14ac:dyDescent="0.25">
      <c r="A224" s="41">
        <v>617</v>
      </c>
      <c r="B224" s="4" t="s">
        <v>18</v>
      </c>
      <c r="C224" s="4"/>
      <c r="D224" s="27" t="s">
        <v>595</v>
      </c>
      <c r="E224" s="27"/>
      <c r="F224" s="5"/>
      <c r="G224" s="21">
        <v>1</v>
      </c>
      <c r="H224" s="22">
        <v>0</v>
      </c>
      <c r="I224" s="22">
        <f t="shared" si="26"/>
        <v>0</v>
      </c>
      <c r="J224" s="5">
        <v>14</v>
      </c>
      <c r="K224" s="23">
        <f t="shared" si="22"/>
        <v>0</v>
      </c>
      <c r="L224" s="58">
        <f>(IFERROR(VLOOKUP(C224,'Current Stocks July-26'!B:K,9,0),0))</f>
        <v>0</v>
      </c>
      <c r="M224" s="24">
        <f t="shared" si="23"/>
        <v>0</v>
      </c>
      <c r="N224" s="25" t="str">
        <f t="shared" si="24"/>
        <v>ORDER NOW</v>
      </c>
      <c r="O224" s="25" t="str">
        <f t="shared" si="25"/>
        <v>CRITICAL</v>
      </c>
      <c r="P224" s="5"/>
      <c r="Q224" s="5"/>
      <c r="R224" s="5"/>
      <c r="S224" s="90" t="e">
        <f>VLOOKUP(C224,[3]Sheet1!$C$3:$P$521,14,0)</f>
        <v>#N/A</v>
      </c>
    </row>
    <row r="225" spans="1:19" ht="18.75" hidden="1" x14ac:dyDescent="0.25">
      <c r="A225" s="41">
        <v>618</v>
      </c>
      <c r="B225" s="4" t="s">
        <v>18</v>
      </c>
      <c r="C225" s="4"/>
      <c r="D225" s="27" t="s">
        <v>596</v>
      </c>
      <c r="E225" s="27" t="s">
        <v>22</v>
      </c>
      <c r="F225" s="5" t="s">
        <v>22</v>
      </c>
      <c r="G225" s="21">
        <v>1</v>
      </c>
      <c r="H225" s="22">
        <v>0</v>
      </c>
      <c r="I225" s="22">
        <f t="shared" si="26"/>
        <v>0</v>
      </c>
      <c r="J225" s="5">
        <v>14</v>
      </c>
      <c r="K225" s="23">
        <f t="shared" si="22"/>
        <v>0</v>
      </c>
      <c r="L225" s="58">
        <f>(IFERROR(VLOOKUP(C225,'Current Stocks July-26'!B:K,9,0),0))</f>
        <v>0</v>
      </c>
      <c r="M225" s="24">
        <f t="shared" si="23"/>
        <v>0</v>
      </c>
      <c r="N225" s="25" t="str">
        <f t="shared" si="24"/>
        <v>ORDER NOW</v>
      </c>
      <c r="O225" s="25" t="str">
        <f t="shared" si="25"/>
        <v>CRITICAL</v>
      </c>
      <c r="P225" s="5"/>
      <c r="Q225" s="5"/>
      <c r="R225" s="5"/>
      <c r="S225" s="90" t="e">
        <f>VLOOKUP(C225,[3]Sheet1!$C$3:$P$521,14,0)</f>
        <v>#N/A</v>
      </c>
    </row>
    <row r="226" spans="1:19" ht="18.75" hidden="1" x14ac:dyDescent="0.25">
      <c r="A226" s="41">
        <v>619</v>
      </c>
      <c r="B226" s="4" t="s">
        <v>18</v>
      </c>
      <c r="C226" s="4"/>
      <c r="D226" s="27" t="s">
        <v>597</v>
      </c>
      <c r="E226" s="27" t="s">
        <v>598</v>
      </c>
      <c r="F226" s="5" t="s">
        <v>49</v>
      </c>
      <c r="G226" s="21">
        <v>1</v>
      </c>
      <c r="H226" s="22">
        <v>0</v>
      </c>
      <c r="I226" s="22">
        <f t="shared" si="26"/>
        <v>0</v>
      </c>
      <c r="J226" s="5">
        <v>14</v>
      </c>
      <c r="K226" s="23">
        <f t="shared" si="22"/>
        <v>0</v>
      </c>
      <c r="L226" s="58">
        <f>(IFERROR(VLOOKUP(C226,'Current Stocks July-26'!B:K,9,0),0))</f>
        <v>0</v>
      </c>
      <c r="M226" s="24">
        <f t="shared" si="23"/>
        <v>0</v>
      </c>
      <c r="N226" s="25" t="str">
        <f t="shared" si="24"/>
        <v>ORDER NOW</v>
      </c>
      <c r="O226" s="25" t="str">
        <f t="shared" si="25"/>
        <v>CRITICAL</v>
      </c>
      <c r="P226" s="5"/>
      <c r="Q226" s="5"/>
      <c r="R226" s="5"/>
      <c r="S226" s="90" t="e">
        <f>VLOOKUP(C226,[3]Sheet1!$C$3:$P$521,14,0)</f>
        <v>#N/A</v>
      </c>
    </row>
    <row r="227" spans="1:19" ht="18.75" hidden="1" x14ac:dyDescent="0.25">
      <c r="A227" s="41">
        <v>620</v>
      </c>
      <c r="B227" s="4" t="s">
        <v>18</v>
      </c>
      <c r="C227" s="4"/>
      <c r="D227" s="27" t="s">
        <v>599</v>
      </c>
      <c r="E227" s="31" t="s">
        <v>49</v>
      </c>
      <c r="F227" s="5" t="s">
        <v>49</v>
      </c>
      <c r="G227" s="21">
        <v>1</v>
      </c>
      <c r="H227" s="22">
        <v>0</v>
      </c>
      <c r="I227" s="22">
        <f t="shared" si="26"/>
        <v>0</v>
      </c>
      <c r="J227" s="5">
        <v>14</v>
      </c>
      <c r="K227" s="23">
        <f t="shared" si="22"/>
        <v>0</v>
      </c>
      <c r="L227" s="58">
        <f>(IFERROR(VLOOKUP(C227,'Current Stocks July-26'!B:K,9,0),0))</f>
        <v>0</v>
      </c>
      <c r="M227" s="24">
        <f t="shared" si="23"/>
        <v>0</v>
      </c>
      <c r="N227" s="25" t="str">
        <f t="shared" si="24"/>
        <v>ORDER NOW</v>
      </c>
      <c r="O227" s="25" t="str">
        <f t="shared" si="25"/>
        <v>CRITICAL</v>
      </c>
      <c r="P227" s="5"/>
      <c r="Q227" s="5"/>
      <c r="R227" s="5"/>
      <c r="S227" s="90" t="e">
        <f>VLOOKUP(C227,[3]Sheet1!$C$3:$P$521,14,0)</f>
        <v>#N/A</v>
      </c>
    </row>
    <row r="228" spans="1:19" ht="18.75" hidden="1" x14ac:dyDescent="0.25">
      <c r="A228" s="41">
        <v>621</v>
      </c>
      <c r="B228" s="4" t="s">
        <v>18</v>
      </c>
      <c r="C228" s="4"/>
      <c r="D228" s="27" t="s">
        <v>600</v>
      </c>
      <c r="E228" s="31" t="s">
        <v>49</v>
      </c>
      <c r="F228" s="5" t="s">
        <v>49</v>
      </c>
      <c r="G228" s="21">
        <v>1</v>
      </c>
      <c r="H228" s="22">
        <v>0</v>
      </c>
      <c r="I228" s="22">
        <f t="shared" si="26"/>
        <v>0</v>
      </c>
      <c r="J228" s="5">
        <v>14</v>
      </c>
      <c r="K228" s="23">
        <f t="shared" si="22"/>
        <v>0</v>
      </c>
      <c r="L228" s="58">
        <f>(IFERROR(VLOOKUP(C228,'Current Stocks July-26'!B:K,9,0),0))</f>
        <v>0</v>
      </c>
      <c r="M228" s="24">
        <f t="shared" si="23"/>
        <v>0</v>
      </c>
      <c r="N228" s="25" t="str">
        <f t="shared" si="24"/>
        <v>ORDER NOW</v>
      </c>
      <c r="O228" s="25" t="str">
        <f t="shared" si="25"/>
        <v>CRITICAL</v>
      </c>
      <c r="P228" s="5"/>
      <c r="Q228" s="5"/>
      <c r="R228" s="5"/>
      <c r="S228" s="90" t="e">
        <f>VLOOKUP(C228,[3]Sheet1!$C$3:$P$521,14,0)</f>
        <v>#N/A</v>
      </c>
    </row>
    <row r="229" spans="1:19" ht="18.75" hidden="1" x14ac:dyDescent="0.25">
      <c r="A229" s="41">
        <v>622</v>
      </c>
      <c r="B229" s="4" t="s">
        <v>18</v>
      </c>
      <c r="C229" s="4"/>
      <c r="D229" s="27" t="s">
        <v>601</v>
      </c>
      <c r="E229" s="31" t="s">
        <v>49</v>
      </c>
      <c r="F229" s="5" t="s">
        <v>49</v>
      </c>
      <c r="G229" s="21">
        <v>1</v>
      </c>
      <c r="H229" s="22">
        <v>0</v>
      </c>
      <c r="I229" s="22">
        <f t="shared" si="26"/>
        <v>0</v>
      </c>
      <c r="J229" s="5">
        <v>14</v>
      </c>
      <c r="K229" s="23">
        <f t="shared" si="22"/>
        <v>0</v>
      </c>
      <c r="L229" s="58">
        <f>(IFERROR(VLOOKUP(C229,'Current Stocks July-26'!B:K,9,0),0))</f>
        <v>0</v>
      </c>
      <c r="M229" s="24">
        <f t="shared" si="23"/>
        <v>0</v>
      </c>
      <c r="N229" s="25" t="str">
        <f t="shared" si="24"/>
        <v>ORDER NOW</v>
      </c>
      <c r="O229" s="25" t="str">
        <f t="shared" si="25"/>
        <v>CRITICAL</v>
      </c>
      <c r="P229" s="5"/>
      <c r="Q229" s="5"/>
      <c r="R229" s="5"/>
      <c r="S229" s="90" t="e">
        <f>VLOOKUP(C229,[3]Sheet1!$C$3:$P$521,14,0)</f>
        <v>#N/A</v>
      </c>
    </row>
    <row r="230" spans="1:19" ht="18.75" hidden="1" x14ac:dyDescent="0.25">
      <c r="A230" s="41">
        <v>623</v>
      </c>
      <c r="B230" s="4" t="s">
        <v>18</v>
      </c>
      <c r="C230" s="4"/>
      <c r="D230" s="27" t="s">
        <v>602</v>
      </c>
      <c r="E230" s="31" t="s">
        <v>49</v>
      </c>
      <c r="F230" s="5" t="s">
        <v>49</v>
      </c>
      <c r="G230" s="21">
        <v>1</v>
      </c>
      <c r="H230" s="22">
        <v>0</v>
      </c>
      <c r="I230" s="22">
        <f t="shared" si="26"/>
        <v>0</v>
      </c>
      <c r="J230" s="5">
        <v>14</v>
      </c>
      <c r="K230" s="23">
        <f t="shared" si="22"/>
        <v>0</v>
      </c>
      <c r="L230" s="58">
        <f>(IFERROR(VLOOKUP(C230,'Current Stocks July-26'!B:K,9,0),0))</f>
        <v>0</v>
      </c>
      <c r="M230" s="24">
        <f t="shared" si="23"/>
        <v>0</v>
      </c>
      <c r="N230" s="25" t="str">
        <f t="shared" si="24"/>
        <v>ORDER NOW</v>
      </c>
      <c r="O230" s="25" t="str">
        <f t="shared" si="25"/>
        <v>CRITICAL</v>
      </c>
      <c r="P230" s="5"/>
      <c r="Q230" s="5"/>
      <c r="R230" s="5"/>
      <c r="S230" s="90" t="e">
        <f>VLOOKUP(C230,[3]Sheet1!$C$3:$P$521,14,0)</f>
        <v>#N/A</v>
      </c>
    </row>
    <row r="231" spans="1:19" ht="18.75" hidden="1" x14ac:dyDescent="0.25">
      <c r="A231" s="41">
        <v>624</v>
      </c>
      <c r="B231" s="4" t="s">
        <v>61</v>
      </c>
      <c r="C231" s="4"/>
      <c r="D231" s="37" t="s">
        <v>603</v>
      </c>
      <c r="E231" s="31" t="s">
        <v>604</v>
      </c>
      <c r="F231" s="5" t="s">
        <v>49</v>
      </c>
      <c r="G231" s="21">
        <v>1</v>
      </c>
      <c r="H231" s="22">
        <v>0</v>
      </c>
      <c r="I231" s="22">
        <f t="shared" si="26"/>
        <v>0</v>
      </c>
      <c r="J231" s="5">
        <v>14</v>
      </c>
      <c r="K231" s="23">
        <f t="shared" si="22"/>
        <v>0</v>
      </c>
      <c r="L231" s="58">
        <f>(IFERROR(VLOOKUP(C231,'Current Stocks July-26'!B:K,9,0),0))</f>
        <v>0</v>
      </c>
      <c r="M231" s="24">
        <f t="shared" si="23"/>
        <v>0</v>
      </c>
      <c r="N231" s="25" t="str">
        <f t="shared" si="24"/>
        <v>ORDER NOW</v>
      </c>
      <c r="O231" s="25" t="str">
        <f t="shared" si="25"/>
        <v>CRITICAL</v>
      </c>
      <c r="P231" s="5"/>
      <c r="Q231" s="5"/>
      <c r="R231" s="5"/>
      <c r="S231" s="90" t="e">
        <f>VLOOKUP(C231,[3]Sheet1!$C$3:$P$521,14,0)</f>
        <v>#N/A</v>
      </c>
    </row>
    <row r="232" spans="1:19" ht="18.75" hidden="1" x14ac:dyDescent="0.25">
      <c r="A232" s="41">
        <v>625</v>
      </c>
      <c r="B232" s="4" t="s">
        <v>38</v>
      </c>
      <c r="C232" s="4"/>
      <c r="D232" s="37" t="s">
        <v>605</v>
      </c>
      <c r="E232" s="31" t="s">
        <v>606</v>
      </c>
      <c r="F232" s="5" t="s">
        <v>22</v>
      </c>
      <c r="G232" s="21">
        <v>1</v>
      </c>
      <c r="H232" s="22">
        <v>0</v>
      </c>
      <c r="I232" s="22">
        <f t="shared" si="26"/>
        <v>0</v>
      </c>
      <c r="J232" s="5">
        <v>14</v>
      </c>
      <c r="K232" s="23">
        <f t="shared" si="22"/>
        <v>0</v>
      </c>
      <c r="L232" s="58">
        <f>(IFERROR(VLOOKUP(C232,'Current Stocks July-26'!B:K,9,0),0))</f>
        <v>0</v>
      </c>
      <c r="M232" s="24">
        <f t="shared" si="23"/>
        <v>0</v>
      </c>
      <c r="N232" s="25" t="str">
        <f t="shared" si="24"/>
        <v>ORDER NOW</v>
      </c>
      <c r="O232" s="25" t="str">
        <f t="shared" si="25"/>
        <v>CRITICAL</v>
      </c>
      <c r="P232" s="5"/>
      <c r="Q232" s="5"/>
      <c r="R232" s="5"/>
      <c r="S232" s="90" t="e">
        <f>VLOOKUP(C232,[3]Sheet1!$C$3:$P$521,14,0)</f>
        <v>#N/A</v>
      </c>
    </row>
    <row r="233" spans="1:19" ht="18.75" hidden="1" x14ac:dyDescent="0.25">
      <c r="A233" s="41">
        <v>626</v>
      </c>
      <c r="B233" s="4" t="s">
        <v>38</v>
      </c>
      <c r="C233" s="4"/>
      <c r="D233" s="27" t="s">
        <v>607</v>
      </c>
      <c r="E233" s="31" t="s">
        <v>22</v>
      </c>
      <c r="F233" s="5" t="s">
        <v>22</v>
      </c>
      <c r="G233" s="21">
        <v>1</v>
      </c>
      <c r="H233" s="22">
        <v>0</v>
      </c>
      <c r="I233" s="22">
        <f t="shared" si="26"/>
        <v>0</v>
      </c>
      <c r="J233" s="5">
        <v>14</v>
      </c>
      <c r="K233" s="23">
        <f t="shared" si="22"/>
        <v>0</v>
      </c>
      <c r="L233" s="58">
        <f>(IFERROR(VLOOKUP(C233,'Current Stocks July-26'!B:K,9,0),0))</f>
        <v>0</v>
      </c>
      <c r="M233" s="24">
        <f t="shared" si="23"/>
        <v>0</v>
      </c>
      <c r="N233" s="25" t="str">
        <f t="shared" si="24"/>
        <v>ORDER NOW</v>
      </c>
      <c r="O233" s="25" t="str">
        <f t="shared" si="25"/>
        <v>CRITICAL</v>
      </c>
      <c r="P233" s="5"/>
      <c r="Q233" s="5"/>
      <c r="R233" s="5"/>
      <c r="S233" s="90" t="e">
        <f>VLOOKUP(C233,[3]Sheet1!$C$3:$P$521,14,0)</f>
        <v>#N/A</v>
      </c>
    </row>
    <row r="234" spans="1:19" ht="18.75" hidden="1" x14ac:dyDescent="0.25">
      <c r="A234" s="41">
        <v>627</v>
      </c>
      <c r="B234" s="4" t="s">
        <v>157</v>
      </c>
      <c r="C234" s="4"/>
      <c r="D234" s="37" t="s">
        <v>608</v>
      </c>
      <c r="E234" s="31" t="s">
        <v>49</v>
      </c>
      <c r="F234" s="5" t="s">
        <v>49</v>
      </c>
      <c r="G234" s="21">
        <v>1</v>
      </c>
      <c r="H234" s="22">
        <v>0</v>
      </c>
      <c r="I234" s="22">
        <f t="shared" si="26"/>
        <v>0</v>
      </c>
      <c r="J234" s="5">
        <v>14</v>
      </c>
      <c r="K234" s="23">
        <f t="shared" si="22"/>
        <v>0</v>
      </c>
      <c r="L234" s="58">
        <f>(IFERROR(VLOOKUP(C234,'Current Stocks July-26'!B:K,9,0),0))</f>
        <v>0</v>
      </c>
      <c r="M234" s="24">
        <f t="shared" si="23"/>
        <v>0</v>
      </c>
      <c r="N234" s="25" t="str">
        <f t="shared" si="24"/>
        <v>ORDER NOW</v>
      </c>
      <c r="O234" s="25" t="str">
        <f t="shared" si="25"/>
        <v>CRITICAL</v>
      </c>
      <c r="P234" s="5"/>
      <c r="Q234" s="5"/>
      <c r="R234" s="5"/>
      <c r="S234" s="90" t="e">
        <f>VLOOKUP(C234,[3]Sheet1!$C$3:$P$521,14,0)</f>
        <v>#N/A</v>
      </c>
    </row>
    <row r="235" spans="1:19" ht="18.75" hidden="1" x14ac:dyDescent="0.25">
      <c r="A235" s="41">
        <v>628</v>
      </c>
      <c r="B235" s="4" t="s">
        <v>157</v>
      </c>
      <c r="C235" s="4"/>
      <c r="D235" s="37" t="s">
        <v>609</v>
      </c>
      <c r="E235" s="31" t="s">
        <v>49</v>
      </c>
      <c r="F235" s="5" t="s">
        <v>49</v>
      </c>
      <c r="G235" s="21">
        <v>1</v>
      </c>
      <c r="H235" s="22">
        <v>0</v>
      </c>
      <c r="I235" s="22">
        <f t="shared" si="26"/>
        <v>0</v>
      </c>
      <c r="J235" s="5">
        <v>14</v>
      </c>
      <c r="K235" s="23">
        <f t="shared" si="22"/>
        <v>0</v>
      </c>
      <c r="L235" s="58">
        <f>(IFERROR(VLOOKUP(C235,'Current Stocks July-26'!B:K,9,0),0))</f>
        <v>0</v>
      </c>
      <c r="M235" s="24">
        <f t="shared" si="23"/>
        <v>0</v>
      </c>
      <c r="N235" s="25" t="str">
        <f t="shared" si="24"/>
        <v>ORDER NOW</v>
      </c>
      <c r="O235" s="25" t="str">
        <f t="shared" si="25"/>
        <v>CRITICAL</v>
      </c>
      <c r="P235" s="5"/>
      <c r="Q235" s="5"/>
      <c r="R235" s="5"/>
      <c r="S235" s="90" t="e">
        <f>VLOOKUP(C235,[3]Sheet1!$C$3:$P$521,14,0)</f>
        <v>#N/A</v>
      </c>
    </row>
    <row r="236" spans="1:19" ht="18.75" hidden="1" x14ac:dyDescent="0.25">
      <c r="A236" s="41">
        <v>629</v>
      </c>
      <c r="B236" s="4"/>
      <c r="C236" s="37"/>
      <c r="D236" s="37" t="s">
        <v>610</v>
      </c>
      <c r="E236" s="31" t="s">
        <v>49</v>
      </c>
      <c r="F236" s="5" t="s">
        <v>49</v>
      </c>
      <c r="G236" s="21">
        <v>1</v>
      </c>
      <c r="H236" s="22">
        <v>0</v>
      </c>
      <c r="I236" s="22">
        <f t="shared" si="26"/>
        <v>0</v>
      </c>
      <c r="J236" s="5">
        <v>14</v>
      </c>
      <c r="K236" s="23">
        <f t="shared" si="22"/>
        <v>0</v>
      </c>
      <c r="L236" s="58">
        <f>(IFERROR(VLOOKUP(C236,'Current Stocks July-26'!B:K,9,0),0))</f>
        <v>0</v>
      </c>
      <c r="M236" s="24">
        <f t="shared" si="23"/>
        <v>0</v>
      </c>
      <c r="N236" s="25" t="str">
        <f t="shared" si="24"/>
        <v>ORDER NOW</v>
      </c>
      <c r="O236" s="25" t="str">
        <f t="shared" si="25"/>
        <v>CRITICAL</v>
      </c>
      <c r="P236" s="5"/>
      <c r="Q236" s="5"/>
      <c r="R236" s="5"/>
      <c r="S236" s="90" t="e">
        <f>VLOOKUP(C236,[3]Sheet1!$C$3:$P$521,14,0)</f>
        <v>#N/A</v>
      </c>
    </row>
    <row r="237" spans="1:19" ht="18.75" hidden="1" x14ac:dyDescent="0.25">
      <c r="A237" s="41">
        <v>630</v>
      </c>
      <c r="B237" s="4"/>
      <c r="C237" s="37"/>
      <c r="D237" s="37" t="s">
        <v>611</v>
      </c>
      <c r="E237" s="31" t="s">
        <v>606</v>
      </c>
      <c r="F237" s="5" t="s">
        <v>22</v>
      </c>
      <c r="G237" s="21">
        <v>1</v>
      </c>
      <c r="H237" s="22">
        <v>0</v>
      </c>
      <c r="I237" s="22">
        <f t="shared" si="26"/>
        <v>0</v>
      </c>
      <c r="J237" s="5">
        <v>14</v>
      </c>
      <c r="K237" s="23">
        <f t="shared" si="22"/>
        <v>0</v>
      </c>
      <c r="L237" s="58">
        <f>(IFERROR(VLOOKUP(C237,'Current Stocks July-26'!B:K,9,0),0))</f>
        <v>0</v>
      </c>
      <c r="M237" s="24">
        <f t="shared" si="23"/>
        <v>0</v>
      </c>
      <c r="N237" s="25" t="str">
        <f t="shared" si="24"/>
        <v>ORDER NOW</v>
      </c>
      <c r="O237" s="25" t="str">
        <f t="shared" si="25"/>
        <v>CRITICAL</v>
      </c>
      <c r="P237" s="5"/>
      <c r="Q237" s="5"/>
      <c r="R237" s="5"/>
      <c r="S237" s="90" t="e">
        <f>VLOOKUP(C237,[3]Sheet1!$C$3:$P$521,14,0)</f>
        <v>#N/A</v>
      </c>
    </row>
    <row r="238" spans="1:19" ht="18.75" hidden="1" x14ac:dyDescent="0.25">
      <c r="A238" s="41">
        <v>631</v>
      </c>
      <c r="B238" s="4" t="s">
        <v>157</v>
      </c>
      <c r="C238" s="37"/>
      <c r="D238" s="37" t="s">
        <v>612</v>
      </c>
      <c r="E238" s="31" t="s">
        <v>613</v>
      </c>
      <c r="F238" s="5" t="s">
        <v>49</v>
      </c>
      <c r="G238" s="21">
        <v>1</v>
      </c>
      <c r="H238" s="22">
        <v>0</v>
      </c>
      <c r="I238" s="22">
        <f t="shared" si="26"/>
        <v>0</v>
      </c>
      <c r="J238" s="5">
        <v>14</v>
      </c>
      <c r="K238" s="23">
        <f t="shared" si="22"/>
        <v>0</v>
      </c>
      <c r="L238" s="58">
        <f>(IFERROR(VLOOKUP(C238,'Current Stocks July-26'!B:K,9,0),0))</f>
        <v>0</v>
      </c>
      <c r="M238" s="24">
        <f t="shared" si="23"/>
        <v>0</v>
      </c>
      <c r="N238" s="25" t="str">
        <f t="shared" si="24"/>
        <v>ORDER NOW</v>
      </c>
      <c r="O238" s="25" t="str">
        <f t="shared" si="25"/>
        <v>CRITICAL</v>
      </c>
      <c r="P238" s="5"/>
      <c r="Q238" s="5"/>
      <c r="R238" s="5"/>
      <c r="S238" s="90" t="e">
        <f>VLOOKUP(C238,[3]Sheet1!$C$3:$P$521,14,0)</f>
        <v>#N/A</v>
      </c>
    </row>
    <row r="239" spans="1:19" ht="18.75" hidden="1" x14ac:dyDescent="0.25">
      <c r="A239" s="41">
        <v>632</v>
      </c>
      <c r="B239" s="4"/>
      <c r="C239" s="37"/>
      <c r="D239" s="37" t="s">
        <v>614</v>
      </c>
      <c r="E239" s="31"/>
      <c r="F239" s="5"/>
      <c r="G239" s="21">
        <v>1</v>
      </c>
      <c r="H239" s="22">
        <v>0</v>
      </c>
      <c r="I239" s="22">
        <f t="shared" si="26"/>
        <v>0</v>
      </c>
      <c r="J239" s="5">
        <v>14</v>
      </c>
      <c r="K239" s="23">
        <f t="shared" si="22"/>
        <v>0</v>
      </c>
      <c r="L239" s="58">
        <f>(IFERROR(VLOOKUP(C239,'Current Stocks July-26'!B:K,9,0),0))</f>
        <v>0</v>
      </c>
      <c r="M239" s="24">
        <f t="shared" si="23"/>
        <v>0</v>
      </c>
      <c r="N239" s="25" t="str">
        <f t="shared" si="24"/>
        <v>ORDER NOW</v>
      </c>
      <c r="O239" s="25" t="str">
        <f t="shared" si="25"/>
        <v>CRITICAL</v>
      </c>
      <c r="P239" s="5"/>
      <c r="Q239" s="5"/>
      <c r="R239" s="5"/>
      <c r="S239" s="90" t="e">
        <f>VLOOKUP(C239,[3]Sheet1!$C$3:$P$521,14,0)</f>
        <v>#N/A</v>
      </c>
    </row>
    <row r="240" spans="1:19" ht="18.75" hidden="1" x14ac:dyDescent="0.25">
      <c r="A240" s="41">
        <v>633</v>
      </c>
      <c r="B240" s="4"/>
      <c r="C240" s="71"/>
      <c r="D240" s="37" t="s">
        <v>615</v>
      </c>
      <c r="E240" s="31" t="s">
        <v>49</v>
      </c>
      <c r="F240" s="5" t="s">
        <v>49</v>
      </c>
      <c r="G240" s="21">
        <v>1</v>
      </c>
      <c r="H240" s="22">
        <v>0</v>
      </c>
      <c r="I240" s="22">
        <f t="shared" si="26"/>
        <v>0</v>
      </c>
      <c r="J240" s="5">
        <v>14</v>
      </c>
      <c r="K240" s="23">
        <f t="shared" si="22"/>
        <v>0</v>
      </c>
      <c r="L240" s="58">
        <f>(IFERROR(VLOOKUP(C240,'Current Stocks July-26'!B:K,9,0),0))</f>
        <v>0</v>
      </c>
      <c r="M240" s="24">
        <f t="shared" si="23"/>
        <v>0</v>
      </c>
      <c r="N240" s="25" t="str">
        <f t="shared" si="24"/>
        <v>ORDER NOW</v>
      </c>
      <c r="O240" s="25" t="str">
        <f t="shared" si="25"/>
        <v>CRITICAL</v>
      </c>
      <c r="P240" s="5"/>
      <c r="Q240" s="5"/>
      <c r="R240" s="5"/>
      <c r="S240" s="90" t="e">
        <f>VLOOKUP(C240,[3]Sheet1!$C$3:$P$521,14,0)</f>
        <v>#N/A</v>
      </c>
    </row>
    <row r="241" spans="1:19" ht="18.75" hidden="1" x14ac:dyDescent="0.25">
      <c r="A241" s="41">
        <v>634</v>
      </c>
      <c r="B241" s="4"/>
      <c r="C241" s="71"/>
      <c r="D241" s="37" t="s">
        <v>616</v>
      </c>
      <c r="E241" s="31" t="s">
        <v>22</v>
      </c>
      <c r="F241" s="5" t="s">
        <v>22</v>
      </c>
      <c r="G241" s="21">
        <v>1</v>
      </c>
      <c r="H241" s="22">
        <v>0</v>
      </c>
      <c r="I241" s="22">
        <f t="shared" si="26"/>
        <v>0</v>
      </c>
      <c r="J241" s="5">
        <v>14</v>
      </c>
      <c r="K241" s="23">
        <f t="shared" si="22"/>
        <v>0</v>
      </c>
      <c r="L241" s="58">
        <f>(IFERROR(VLOOKUP(C241,'Current Stocks July-26'!B:K,9,0),0))</f>
        <v>0</v>
      </c>
      <c r="M241" s="24">
        <f t="shared" si="23"/>
        <v>0</v>
      </c>
      <c r="N241" s="25" t="str">
        <f t="shared" si="24"/>
        <v>ORDER NOW</v>
      </c>
      <c r="O241" s="25" t="str">
        <f t="shared" si="25"/>
        <v>CRITICAL</v>
      </c>
      <c r="P241" s="5"/>
      <c r="Q241" s="5"/>
      <c r="R241" s="5"/>
      <c r="S241" s="90" t="e">
        <f>VLOOKUP(C241,[3]Sheet1!$C$3:$P$521,14,0)</f>
        <v>#N/A</v>
      </c>
    </row>
    <row r="242" spans="1:19" ht="18.75" hidden="1" x14ac:dyDescent="0.25">
      <c r="A242" s="41">
        <v>635</v>
      </c>
      <c r="B242" s="4" t="s">
        <v>157</v>
      </c>
      <c r="C242" s="71"/>
      <c r="D242" s="37" t="s">
        <v>617</v>
      </c>
      <c r="E242" s="31" t="s">
        <v>22</v>
      </c>
      <c r="F242" s="5" t="s">
        <v>22</v>
      </c>
      <c r="G242" s="21">
        <v>1</v>
      </c>
      <c r="H242" s="22">
        <v>0</v>
      </c>
      <c r="I242" s="22">
        <f t="shared" si="26"/>
        <v>0</v>
      </c>
      <c r="J242" s="5">
        <v>14</v>
      </c>
      <c r="K242" s="23">
        <f t="shared" si="22"/>
        <v>0</v>
      </c>
      <c r="L242" s="58">
        <f>(IFERROR(VLOOKUP(C242,'Current Stocks July-26'!B:K,9,0),0))</f>
        <v>0</v>
      </c>
      <c r="M242" s="24">
        <f t="shared" si="23"/>
        <v>0</v>
      </c>
      <c r="N242" s="25" t="str">
        <f t="shared" si="24"/>
        <v>ORDER NOW</v>
      </c>
      <c r="O242" s="25" t="str">
        <f t="shared" si="25"/>
        <v>CRITICAL</v>
      </c>
      <c r="P242" s="5"/>
      <c r="Q242" s="5"/>
      <c r="R242" s="5"/>
      <c r="S242" s="90" t="e">
        <f>VLOOKUP(C242,[3]Sheet1!$C$3:$P$521,14,0)</f>
        <v>#N/A</v>
      </c>
    </row>
    <row r="243" spans="1:19" ht="18.75" hidden="1" x14ac:dyDescent="0.25">
      <c r="A243" s="41">
        <v>636</v>
      </c>
      <c r="B243" s="4" t="s">
        <v>157</v>
      </c>
      <c r="C243" s="71"/>
      <c r="D243" s="37" t="s">
        <v>618</v>
      </c>
      <c r="E243" s="31" t="s">
        <v>22</v>
      </c>
      <c r="F243" s="5" t="s">
        <v>22</v>
      </c>
      <c r="G243" s="21">
        <v>1</v>
      </c>
      <c r="H243" s="22">
        <v>0</v>
      </c>
      <c r="I243" s="22">
        <f t="shared" si="26"/>
        <v>0</v>
      </c>
      <c r="J243" s="5">
        <v>14</v>
      </c>
      <c r="K243" s="23">
        <f t="shared" si="22"/>
        <v>0</v>
      </c>
      <c r="L243" s="58">
        <f>(IFERROR(VLOOKUP(C243,'Current Stocks July-26'!B:K,9,0),0))</f>
        <v>0</v>
      </c>
      <c r="M243" s="24">
        <f t="shared" si="23"/>
        <v>0</v>
      </c>
      <c r="N243" s="25" t="str">
        <f t="shared" si="24"/>
        <v>ORDER NOW</v>
      </c>
      <c r="O243" s="25" t="str">
        <f t="shared" si="25"/>
        <v>CRITICAL</v>
      </c>
      <c r="P243" s="5"/>
      <c r="Q243" s="5"/>
      <c r="R243" s="5"/>
      <c r="S243" s="90" t="e">
        <f>VLOOKUP(C243,[3]Sheet1!$C$3:$P$521,14,0)</f>
        <v>#N/A</v>
      </c>
    </row>
    <row r="244" spans="1:19" ht="18.75" hidden="1" x14ac:dyDescent="0.25">
      <c r="A244" s="41">
        <v>637</v>
      </c>
      <c r="B244" s="4" t="s">
        <v>157</v>
      </c>
      <c r="C244" s="71"/>
      <c r="D244" s="37" t="s">
        <v>619</v>
      </c>
      <c r="E244" s="31" t="s">
        <v>22</v>
      </c>
      <c r="F244" s="5" t="s">
        <v>22</v>
      </c>
      <c r="G244" s="21">
        <v>1</v>
      </c>
      <c r="H244" s="22">
        <v>0</v>
      </c>
      <c r="I244" s="22">
        <f t="shared" si="26"/>
        <v>0</v>
      </c>
      <c r="J244" s="5">
        <v>14</v>
      </c>
      <c r="K244" s="23">
        <f t="shared" si="22"/>
        <v>0</v>
      </c>
      <c r="L244" s="58">
        <f>(IFERROR(VLOOKUP(C244,'Current Stocks July-26'!B:K,9,0),0))</f>
        <v>0</v>
      </c>
      <c r="M244" s="24">
        <f t="shared" si="23"/>
        <v>0</v>
      </c>
      <c r="N244" s="25" t="str">
        <f t="shared" si="24"/>
        <v>ORDER NOW</v>
      </c>
      <c r="O244" s="25" t="str">
        <f t="shared" si="25"/>
        <v>CRITICAL</v>
      </c>
      <c r="P244" s="5"/>
      <c r="Q244" s="5"/>
      <c r="R244" s="5"/>
      <c r="S244" s="90" t="e">
        <f>VLOOKUP(C244,[3]Sheet1!$C$3:$P$521,14,0)</f>
        <v>#N/A</v>
      </c>
    </row>
    <row r="245" spans="1:19" ht="18.75" hidden="1" x14ac:dyDescent="0.25">
      <c r="A245" s="41">
        <v>638</v>
      </c>
      <c r="B245" s="4" t="s">
        <v>157</v>
      </c>
      <c r="C245" s="71"/>
      <c r="D245" s="37" t="s">
        <v>620</v>
      </c>
      <c r="E245" s="31" t="s">
        <v>22</v>
      </c>
      <c r="F245" s="5" t="s">
        <v>22</v>
      </c>
      <c r="G245" s="21">
        <v>1</v>
      </c>
      <c r="H245" s="22">
        <v>0</v>
      </c>
      <c r="I245" s="22">
        <f t="shared" si="26"/>
        <v>0</v>
      </c>
      <c r="J245" s="5">
        <v>14</v>
      </c>
      <c r="K245" s="23">
        <f t="shared" si="22"/>
        <v>0</v>
      </c>
      <c r="L245" s="58">
        <f>(IFERROR(VLOOKUP(C245,'Current Stocks July-26'!B:K,9,0),0))</f>
        <v>0</v>
      </c>
      <c r="M245" s="24">
        <f t="shared" si="23"/>
        <v>0</v>
      </c>
      <c r="N245" s="25" t="str">
        <f t="shared" si="24"/>
        <v>ORDER NOW</v>
      </c>
      <c r="O245" s="25" t="str">
        <f t="shared" si="25"/>
        <v>CRITICAL</v>
      </c>
      <c r="P245" s="5"/>
      <c r="Q245" s="5"/>
      <c r="R245" s="5"/>
      <c r="S245" s="90" t="e">
        <f>VLOOKUP(C245,[3]Sheet1!$C$3:$P$521,14,0)</f>
        <v>#N/A</v>
      </c>
    </row>
    <row r="246" spans="1:19" ht="18.75" hidden="1" x14ac:dyDescent="0.25">
      <c r="A246" s="41">
        <v>639</v>
      </c>
      <c r="B246" s="4" t="s">
        <v>239</v>
      </c>
      <c r="C246" s="71"/>
      <c r="D246" s="37" t="s">
        <v>621</v>
      </c>
      <c r="E246" s="31" t="s">
        <v>49</v>
      </c>
      <c r="F246" s="5" t="s">
        <v>49</v>
      </c>
      <c r="G246" s="21">
        <v>1</v>
      </c>
      <c r="H246" s="22">
        <v>0</v>
      </c>
      <c r="I246" s="22">
        <f t="shared" si="26"/>
        <v>0</v>
      </c>
      <c r="J246" s="5">
        <v>14</v>
      </c>
      <c r="K246" s="23">
        <f t="shared" si="22"/>
        <v>0</v>
      </c>
      <c r="L246" s="58">
        <f>(IFERROR(VLOOKUP(C246,'Current Stocks July-26'!B:K,9,0),0))</f>
        <v>0</v>
      </c>
      <c r="M246" s="24">
        <f t="shared" si="23"/>
        <v>0</v>
      </c>
      <c r="N246" s="25" t="str">
        <f t="shared" si="24"/>
        <v>ORDER NOW</v>
      </c>
      <c r="O246" s="25" t="str">
        <f t="shared" si="25"/>
        <v>CRITICAL</v>
      </c>
      <c r="P246" s="5"/>
      <c r="Q246" s="5"/>
      <c r="R246" s="5"/>
      <c r="S246" s="90" t="e">
        <f>VLOOKUP(C246,[3]Sheet1!$C$3:$P$521,14,0)</f>
        <v>#N/A</v>
      </c>
    </row>
    <row r="247" spans="1:19" ht="18.75" hidden="1" x14ac:dyDescent="0.25">
      <c r="A247" s="41">
        <v>640</v>
      </c>
      <c r="B247" s="4" t="s">
        <v>239</v>
      </c>
      <c r="C247" s="71"/>
      <c r="D247" s="37" t="s">
        <v>622</v>
      </c>
      <c r="E247" s="31" t="s">
        <v>49</v>
      </c>
      <c r="F247" s="5" t="s">
        <v>49</v>
      </c>
      <c r="G247" s="21">
        <v>1</v>
      </c>
      <c r="H247" s="22">
        <v>0</v>
      </c>
      <c r="I247" s="22">
        <f t="shared" ref="I247:I260" si="27">H247/G247</f>
        <v>0</v>
      </c>
      <c r="J247" s="5">
        <v>14</v>
      </c>
      <c r="K247" s="23">
        <f t="shared" si="22"/>
        <v>0</v>
      </c>
      <c r="L247" s="58">
        <f>(IFERROR(VLOOKUP(C247,'Current Stocks July-26'!B:K,9,0),0))</f>
        <v>0</v>
      </c>
      <c r="M247" s="24">
        <f t="shared" si="23"/>
        <v>0</v>
      </c>
      <c r="N247" s="25" t="str">
        <f t="shared" si="24"/>
        <v>ORDER NOW</v>
      </c>
      <c r="O247" s="25" t="str">
        <f t="shared" si="25"/>
        <v>CRITICAL</v>
      </c>
      <c r="P247" s="5"/>
      <c r="Q247" s="5"/>
      <c r="R247" s="5"/>
      <c r="S247" s="90" t="e">
        <f>VLOOKUP(C247,[3]Sheet1!$C$3:$P$521,14,0)</f>
        <v>#N/A</v>
      </c>
    </row>
    <row r="248" spans="1:19" ht="18.75" hidden="1" x14ac:dyDescent="0.25">
      <c r="A248" s="41">
        <v>641</v>
      </c>
      <c r="B248" s="4" t="s">
        <v>239</v>
      </c>
      <c r="C248" s="71"/>
      <c r="D248" s="37" t="s">
        <v>623</v>
      </c>
      <c r="E248" s="31" t="s">
        <v>49</v>
      </c>
      <c r="F248" s="5" t="s">
        <v>49</v>
      </c>
      <c r="G248" s="21">
        <v>1</v>
      </c>
      <c r="H248" s="22">
        <v>0</v>
      </c>
      <c r="I248" s="22">
        <f t="shared" si="27"/>
        <v>0</v>
      </c>
      <c r="J248" s="5">
        <v>14</v>
      </c>
      <c r="K248" s="23">
        <f t="shared" si="22"/>
        <v>0</v>
      </c>
      <c r="L248" s="58">
        <f>(IFERROR(VLOOKUP(C248,'Current Stocks July-26'!B:K,9,0),0))</f>
        <v>0</v>
      </c>
      <c r="M248" s="24">
        <f t="shared" si="23"/>
        <v>0</v>
      </c>
      <c r="N248" s="25" t="str">
        <f t="shared" si="24"/>
        <v>ORDER NOW</v>
      </c>
      <c r="O248" s="25" t="str">
        <f t="shared" si="25"/>
        <v>CRITICAL</v>
      </c>
      <c r="P248" s="5"/>
      <c r="Q248" s="5"/>
      <c r="R248" s="5"/>
      <c r="S248" s="90" t="e">
        <f>VLOOKUP(C248,[3]Sheet1!$C$3:$P$521,14,0)</f>
        <v>#N/A</v>
      </c>
    </row>
    <row r="249" spans="1:19" ht="18.75" hidden="1" x14ac:dyDescent="0.25">
      <c r="A249" s="41">
        <v>642</v>
      </c>
      <c r="B249" s="4" t="s">
        <v>239</v>
      </c>
      <c r="C249" s="71"/>
      <c r="D249" s="37" t="s">
        <v>624</v>
      </c>
      <c r="E249" s="31" t="s">
        <v>49</v>
      </c>
      <c r="F249" s="5" t="s">
        <v>49</v>
      </c>
      <c r="G249" s="21">
        <v>1</v>
      </c>
      <c r="H249" s="22">
        <v>0</v>
      </c>
      <c r="I249" s="22">
        <f t="shared" si="27"/>
        <v>0</v>
      </c>
      <c r="J249" s="5">
        <v>14</v>
      </c>
      <c r="K249" s="23">
        <f t="shared" si="22"/>
        <v>0</v>
      </c>
      <c r="L249" s="58">
        <f>(IFERROR(VLOOKUP(C249,'Current Stocks July-26'!B:K,9,0),0))</f>
        <v>0</v>
      </c>
      <c r="M249" s="24">
        <f t="shared" si="23"/>
        <v>0</v>
      </c>
      <c r="N249" s="25" t="str">
        <f t="shared" si="24"/>
        <v>ORDER NOW</v>
      </c>
      <c r="O249" s="25" t="str">
        <f t="shared" si="25"/>
        <v>CRITICAL</v>
      </c>
      <c r="P249" s="5"/>
      <c r="Q249" s="5"/>
      <c r="R249" s="5"/>
      <c r="S249" s="90" t="e">
        <f>VLOOKUP(C249,[3]Sheet1!$C$3:$P$521,14,0)</f>
        <v>#N/A</v>
      </c>
    </row>
    <row r="250" spans="1:19" ht="18.75" hidden="1" x14ac:dyDescent="0.25">
      <c r="A250" s="41">
        <v>643</v>
      </c>
      <c r="B250" s="4" t="s">
        <v>38</v>
      </c>
      <c r="C250" s="4"/>
      <c r="D250" s="4" t="s">
        <v>625</v>
      </c>
      <c r="E250" s="31" t="s">
        <v>49</v>
      </c>
      <c r="F250" s="5" t="s">
        <v>49</v>
      </c>
      <c r="G250" s="21">
        <v>1</v>
      </c>
      <c r="H250" s="22">
        <v>0</v>
      </c>
      <c r="I250" s="22">
        <f t="shared" si="27"/>
        <v>0</v>
      </c>
      <c r="J250" s="5">
        <v>14</v>
      </c>
      <c r="K250" s="23">
        <f t="shared" si="22"/>
        <v>0</v>
      </c>
      <c r="L250" s="58">
        <f>(IFERROR(VLOOKUP(C250,'Current Stocks July-26'!B:K,9,0),0))</f>
        <v>0</v>
      </c>
      <c r="M250" s="24">
        <f t="shared" si="23"/>
        <v>0</v>
      </c>
      <c r="N250" s="25" t="str">
        <f t="shared" si="24"/>
        <v>ORDER NOW</v>
      </c>
      <c r="O250" s="25" t="str">
        <f t="shared" si="25"/>
        <v>CRITICAL</v>
      </c>
      <c r="P250" s="5"/>
      <c r="Q250" s="5"/>
      <c r="R250" s="5"/>
      <c r="S250" s="90" t="e">
        <f>VLOOKUP(C250,[3]Sheet1!$C$3:$P$521,14,0)</f>
        <v>#N/A</v>
      </c>
    </row>
    <row r="251" spans="1:19" ht="18.75" hidden="1" x14ac:dyDescent="0.25">
      <c r="A251" s="41">
        <v>644</v>
      </c>
      <c r="B251" s="4" t="s">
        <v>38</v>
      </c>
      <c r="C251" s="4"/>
      <c r="D251" s="4" t="s">
        <v>626</v>
      </c>
      <c r="E251" s="31" t="s">
        <v>49</v>
      </c>
      <c r="F251" s="5" t="s">
        <v>49</v>
      </c>
      <c r="G251" s="21">
        <v>1</v>
      </c>
      <c r="H251" s="22">
        <v>0</v>
      </c>
      <c r="I251" s="22">
        <f t="shared" si="27"/>
        <v>0</v>
      </c>
      <c r="J251" s="5">
        <v>14</v>
      </c>
      <c r="K251" s="23">
        <f t="shared" si="22"/>
        <v>0</v>
      </c>
      <c r="L251" s="58">
        <f>(IFERROR(VLOOKUP(C251,'Current Stocks July-26'!B:K,9,0),0))</f>
        <v>0</v>
      </c>
      <c r="M251" s="24">
        <f t="shared" si="23"/>
        <v>0</v>
      </c>
      <c r="N251" s="25" t="str">
        <f t="shared" si="24"/>
        <v>ORDER NOW</v>
      </c>
      <c r="O251" s="25" t="str">
        <f t="shared" si="25"/>
        <v>CRITICAL</v>
      </c>
      <c r="P251" s="5"/>
      <c r="Q251" s="5"/>
      <c r="R251" s="5"/>
      <c r="S251" s="90" t="e">
        <f>VLOOKUP(C251,[3]Sheet1!$C$3:$P$521,14,0)</f>
        <v>#N/A</v>
      </c>
    </row>
    <row r="252" spans="1:19" ht="18.75" hidden="1" x14ac:dyDescent="0.25">
      <c r="A252" s="41">
        <v>645</v>
      </c>
      <c r="B252" s="4" t="s">
        <v>38</v>
      </c>
      <c r="C252" s="4"/>
      <c r="D252" s="4" t="s">
        <v>627</v>
      </c>
      <c r="E252" s="31" t="s">
        <v>49</v>
      </c>
      <c r="F252" s="5" t="s">
        <v>49</v>
      </c>
      <c r="G252" s="21">
        <v>1</v>
      </c>
      <c r="H252" s="22">
        <v>0</v>
      </c>
      <c r="I252" s="22">
        <f t="shared" si="27"/>
        <v>0</v>
      </c>
      <c r="J252" s="5">
        <v>14</v>
      </c>
      <c r="K252" s="23">
        <f t="shared" si="22"/>
        <v>0</v>
      </c>
      <c r="L252" s="58">
        <f>(IFERROR(VLOOKUP(C252,'Current Stocks July-26'!B:K,9,0),0))</f>
        <v>0</v>
      </c>
      <c r="M252" s="24">
        <f t="shared" si="23"/>
        <v>0</v>
      </c>
      <c r="N252" s="25" t="str">
        <f t="shared" si="24"/>
        <v>ORDER NOW</v>
      </c>
      <c r="O252" s="25" t="str">
        <f t="shared" si="25"/>
        <v>CRITICAL</v>
      </c>
      <c r="P252" s="5"/>
      <c r="Q252" s="5"/>
      <c r="R252" s="5"/>
      <c r="S252" s="90" t="e">
        <f>VLOOKUP(C252,[3]Sheet1!$C$3:$P$521,14,0)</f>
        <v>#N/A</v>
      </c>
    </row>
    <row r="253" spans="1:19" ht="18.75" hidden="1" x14ac:dyDescent="0.25">
      <c r="A253" s="41">
        <v>646</v>
      </c>
      <c r="B253" s="4" t="s">
        <v>38</v>
      </c>
      <c r="C253" s="4"/>
      <c r="D253" s="4" t="s">
        <v>628</v>
      </c>
      <c r="E253" s="31" t="s">
        <v>49</v>
      </c>
      <c r="F253" s="5" t="s">
        <v>49</v>
      </c>
      <c r="G253" s="21">
        <v>1</v>
      </c>
      <c r="H253" s="22">
        <v>0</v>
      </c>
      <c r="I253" s="22">
        <f t="shared" si="27"/>
        <v>0</v>
      </c>
      <c r="J253" s="5">
        <v>14</v>
      </c>
      <c r="K253" s="23">
        <f t="shared" si="22"/>
        <v>0</v>
      </c>
      <c r="L253" s="58">
        <f>(IFERROR(VLOOKUP(C253,'Current Stocks July-26'!B:K,9,0),0))</f>
        <v>0</v>
      </c>
      <c r="M253" s="24">
        <f t="shared" si="23"/>
        <v>0</v>
      </c>
      <c r="N253" s="25" t="str">
        <f t="shared" si="24"/>
        <v>ORDER NOW</v>
      </c>
      <c r="O253" s="25" t="str">
        <f t="shared" si="25"/>
        <v>CRITICAL</v>
      </c>
      <c r="P253" s="5"/>
      <c r="Q253" s="5"/>
      <c r="R253" s="5"/>
      <c r="S253" s="90" t="e">
        <f>VLOOKUP(C253,[3]Sheet1!$C$3:$P$521,14,0)</f>
        <v>#N/A</v>
      </c>
    </row>
    <row r="254" spans="1:19" ht="18.75" hidden="1" x14ac:dyDescent="0.25">
      <c r="A254" s="41">
        <v>647</v>
      </c>
      <c r="B254" s="4" t="s">
        <v>38</v>
      </c>
      <c r="C254" s="4"/>
      <c r="D254" s="4" t="s">
        <v>629</v>
      </c>
      <c r="E254" s="31" t="s">
        <v>49</v>
      </c>
      <c r="F254" s="5" t="s">
        <v>49</v>
      </c>
      <c r="G254" s="21">
        <v>1</v>
      </c>
      <c r="H254" s="22">
        <v>0</v>
      </c>
      <c r="I254" s="22">
        <f t="shared" si="27"/>
        <v>0</v>
      </c>
      <c r="J254" s="5">
        <v>14</v>
      </c>
      <c r="K254" s="23">
        <f t="shared" si="22"/>
        <v>0</v>
      </c>
      <c r="L254" s="58">
        <f>(IFERROR(VLOOKUP(C254,'Current Stocks July-26'!B:K,9,0),0))</f>
        <v>0</v>
      </c>
      <c r="M254" s="24">
        <f t="shared" si="23"/>
        <v>0</v>
      </c>
      <c r="N254" s="25" t="str">
        <f t="shared" si="24"/>
        <v>ORDER NOW</v>
      </c>
      <c r="O254" s="25" t="str">
        <f t="shared" si="25"/>
        <v>CRITICAL</v>
      </c>
      <c r="P254" s="5"/>
      <c r="Q254" s="5"/>
      <c r="R254" s="5"/>
      <c r="S254" s="90" t="e">
        <f>VLOOKUP(C254,[3]Sheet1!$C$3:$P$521,14,0)</f>
        <v>#N/A</v>
      </c>
    </row>
    <row r="255" spans="1:19" ht="18.75" hidden="1" x14ac:dyDescent="0.25">
      <c r="A255" s="41">
        <v>648</v>
      </c>
      <c r="B255" s="4" t="s">
        <v>38</v>
      </c>
      <c r="C255" s="4"/>
      <c r="D255" s="4" t="s">
        <v>630</v>
      </c>
      <c r="E255" s="31" t="s">
        <v>49</v>
      </c>
      <c r="F255" s="5" t="s">
        <v>49</v>
      </c>
      <c r="G255" s="21">
        <v>1</v>
      </c>
      <c r="H255" s="22">
        <v>0</v>
      </c>
      <c r="I255" s="22">
        <f t="shared" si="27"/>
        <v>0</v>
      </c>
      <c r="J255" s="5">
        <v>14</v>
      </c>
      <c r="K255" s="23">
        <f t="shared" si="22"/>
        <v>0</v>
      </c>
      <c r="L255" s="58">
        <f>(IFERROR(VLOOKUP(C255,'Current Stocks July-26'!B:K,9,0),0))</f>
        <v>0</v>
      </c>
      <c r="M255" s="24">
        <f t="shared" si="23"/>
        <v>0</v>
      </c>
      <c r="N255" s="25" t="str">
        <f t="shared" si="24"/>
        <v>ORDER NOW</v>
      </c>
      <c r="O255" s="25" t="str">
        <f t="shared" si="25"/>
        <v>CRITICAL</v>
      </c>
      <c r="P255" s="5"/>
      <c r="Q255" s="5"/>
      <c r="R255" s="5"/>
      <c r="S255" s="90" t="e">
        <f>VLOOKUP(C255,[3]Sheet1!$C$3:$P$521,14,0)</f>
        <v>#N/A</v>
      </c>
    </row>
    <row r="256" spans="1:19" ht="18.75" hidden="1" x14ac:dyDescent="0.25">
      <c r="A256" s="41">
        <v>649</v>
      </c>
      <c r="B256" s="4" t="s">
        <v>61</v>
      </c>
      <c r="C256" s="51"/>
      <c r="D256" s="51" t="s">
        <v>631</v>
      </c>
      <c r="E256" s="31" t="s">
        <v>49</v>
      </c>
      <c r="F256" s="5" t="s">
        <v>49</v>
      </c>
      <c r="G256" s="21">
        <v>1</v>
      </c>
      <c r="H256" s="22">
        <v>0</v>
      </c>
      <c r="I256" s="22">
        <f t="shared" si="27"/>
        <v>0</v>
      </c>
      <c r="J256" s="5">
        <v>14</v>
      </c>
      <c r="K256" s="23">
        <f t="shared" si="22"/>
        <v>0</v>
      </c>
      <c r="L256" s="58">
        <f>(IFERROR(VLOOKUP(C256,'Current Stocks July-26'!B:K,9,0),0))</f>
        <v>0</v>
      </c>
      <c r="M256" s="24">
        <f t="shared" si="23"/>
        <v>0</v>
      </c>
      <c r="N256" s="25" t="str">
        <f t="shared" si="24"/>
        <v>ORDER NOW</v>
      </c>
      <c r="O256" s="25" t="str">
        <f t="shared" si="25"/>
        <v>CRITICAL</v>
      </c>
      <c r="P256" s="5"/>
      <c r="Q256" s="5"/>
      <c r="R256" s="5"/>
      <c r="S256" s="90" t="e">
        <f>VLOOKUP(C256,[3]Sheet1!$C$3:$P$521,14,0)</f>
        <v>#N/A</v>
      </c>
    </row>
    <row r="257" spans="1:19" ht="18.75" hidden="1" x14ac:dyDescent="0.25">
      <c r="A257" s="41">
        <v>650</v>
      </c>
      <c r="B257" s="4" t="s">
        <v>61</v>
      </c>
      <c r="C257" s="4"/>
      <c r="D257" s="4" t="s">
        <v>632</v>
      </c>
      <c r="E257" s="31" t="s">
        <v>49</v>
      </c>
      <c r="F257" s="5" t="s">
        <v>49</v>
      </c>
      <c r="G257" s="21">
        <v>1</v>
      </c>
      <c r="H257" s="22">
        <v>0</v>
      </c>
      <c r="I257" s="22">
        <f t="shared" si="27"/>
        <v>0</v>
      </c>
      <c r="J257" s="5">
        <v>14</v>
      </c>
      <c r="K257" s="23">
        <f t="shared" si="22"/>
        <v>0</v>
      </c>
      <c r="L257" s="58">
        <f>(IFERROR(VLOOKUP(C257,'Current Stocks July-26'!B:K,9,0),0))</f>
        <v>0</v>
      </c>
      <c r="M257" s="24">
        <f t="shared" si="23"/>
        <v>0</v>
      </c>
      <c r="N257" s="25" t="str">
        <f t="shared" si="24"/>
        <v>ORDER NOW</v>
      </c>
      <c r="O257" s="25" t="str">
        <f t="shared" si="25"/>
        <v>CRITICAL</v>
      </c>
      <c r="P257" s="5"/>
      <c r="Q257" s="5"/>
      <c r="R257" s="5"/>
      <c r="S257" s="90" t="e">
        <f>VLOOKUP(C257,[3]Sheet1!$C$3:$P$521,14,0)</f>
        <v>#N/A</v>
      </c>
    </row>
    <row r="258" spans="1:19" ht="18.75" hidden="1" x14ac:dyDescent="0.25">
      <c r="A258" s="41">
        <v>651</v>
      </c>
      <c r="B258" s="4" t="s">
        <v>61</v>
      </c>
      <c r="C258" s="52"/>
      <c r="D258" s="52" t="s">
        <v>633</v>
      </c>
      <c r="E258" s="31" t="s">
        <v>49</v>
      </c>
      <c r="F258" s="5" t="s">
        <v>49</v>
      </c>
      <c r="G258" s="21">
        <v>1</v>
      </c>
      <c r="H258" s="22">
        <v>0</v>
      </c>
      <c r="I258" s="22">
        <f t="shared" si="27"/>
        <v>0</v>
      </c>
      <c r="J258" s="5">
        <v>14</v>
      </c>
      <c r="K258" s="23">
        <f t="shared" si="22"/>
        <v>0</v>
      </c>
      <c r="L258" s="58">
        <f>(IFERROR(VLOOKUP(C258,'Current Stocks July-26'!B:K,9,0),0))</f>
        <v>0</v>
      </c>
      <c r="M258" s="24">
        <f t="shared" si="23"/>
        <v>0</v>
      </c>
      <c r="N258" s="25" t="str">
        <f t="shared" si="24"/>
        <v>ORDER NOW</v>
      </c>
      <c r="O258" s="25" t="str">
        <f t="shared" si="25"/>
        <v>CRITICAL</v>
      </c>
      <c r="P258" s="5"/>
      <c r="Q258" s="5"/>
      <c r="R258" s="5"/>
      <c r="S258" s="90" t="e">
        <f>VLOOKUP(C258,[3]Sheet1!$C$3:$P$521,14,0)</f>
        <v>#N/A</v>
      </c>
    </row>
    <row r="259" spans="1:19" ht="18.75" hidden="1" x14ac:dyDescent="0.25">
      <c r="A259" s="41">
        <v>578</v>
      </c>
      <c r="B259" s="41" t="s">
        <v>38</v>
      </c>
      <c r="C259" s="41" t="s">
        <v>544</v>
      </c>
      <c r="D259" s="4" t="s">
        <v>545</v>
      </c>
      <c r="E259" s="31" t="s">
        <v>64</v>
      </c>
      <c r="F259" s="5" t="s">
        <v>49</v>
      </c>
      <c r="G259" s="21">
        <v>1</v>
      </c>
      <c r="H259" s="22">
        <v>3</v>
      </c>
      <c r="I259" s="22">
        <f t="shared" si="27"/>
        <v>3</v>
      </c>
      <c r="J259" s="5">
        <v>14</v>
      </c>
      <c r="K259" s="23">
        <f t="shared" ref="K259:K322" si="28">I259*(J259/28)</f>
        <v>1.5</v>
      </c>
      <c r="L259" s="58">
        <f>(IFERROR(VLOOKUP(C259,'Current Stocks July-26'!B:K,9,0),0))</f>
        <v>0</v>
      </c>
      <c r="M259" s="24">
        <f t="shared" ref="M259:M322" si="29">IFERROR((L259/I259*30),0)</f>
        <v>0</v>
      </c>
      <c r="N259" s="25" t="str">
        <f t="shared" ref="N259:N322" si="30">IF(M259&lt;J259,"ORDER NOW","IN STOCK")</f>
        <v>ORDER NOW</v>
      </c>
      <c r="O259" s="25" t="str">
        <f t="shared" ref="O259:O322" si="31">IF(M259&lt;J259,"CRITICAL","FOLLOW UP DELIVERY")</f>
        <v>CRITICAL</v>
      </c>
      <c r="P259" s="5"/>
      <c r="Q259" s="5"/>
      <c r="R259" s="5"/>
      <c r="S259" s="90">
        <f>VLOOKUP(C259,[3]Sheet1!$C$3:$P$521,14,0)</f>
        <v>46113.430937500001</v>
      </c>
    </row>
    <row r="260" spans="1:19" ht="18.75" hidden="1" x14ac:dyDescent="0.25">
      <c r="A260" s="41">
        <v>652</v>
      </c>
      <c r="B260" s="5"/>
      <c r="C260" s="41" t="s">
        <v>511</v>
      </c>
      <c r="D260" s="52" t="s">
        <v>512</v>
      </c>
      <c r="E260" s="6" t="s">
        <v>634</v>
      </c>
      <c r="F260" s="5" t="s">
        <v>64</v>
      </c>
      <c r="G260" s="21">
        <f>1/12</f>
        <v>8.3333333333333329E-2</v>
      </c>
      <c r="H260" s="22">
        <v>1</v>
      </c>
      <c r="I260" s="22">
        <f t="shared" si="27"/>
        <v>12</v>
      </c>
      <c r="J260" s="5">
        <v>14</v>
      </c>
      <c r="K260" s="23">
        <f t="shared" si="28"/>
        <v>6</v>
      </c>
      <c r="L260" s="58">
        <f>(IFERROR(VLOOKUP(C260,'Current Stocks July-26'!B:K,9,0),0))</f>
        <v>0</v>
      </c>
      <c r="M260" s="24">
        <f t="shared" si="29"/>
        <v>0</v>
      </c>
      <c r="N260" s="25" t="str">
        <f t="shared" si="30"/>
        <v>ORDER NOW</v>
      </c>
      <c r="O260" s="25" t="str">
        <f t="shared" si="31"/>
        <v>CRITICAL</v>
      </c>
      <c r="P260" s="5"/>
      <c r="Q260" s="5"/>
      <c r="R260" s="5"/>
      <c r="S260" s="90" t="e">
        <f>VLOOKUP(C260,[3]Sheet1!$C$3:$P$521,14,0)</f>
        <v>#N/A</v>
      </c>
    </row>
    <row r="261" spans="1:19" ht="18.75" hidden="1" x14ac:dyDescent="0.25">
      <c r="A261" s="41">
        <v>654</v>
      </c>
      <c r="B261" s="5"/>
      <c r="C261" s="41" t="s">
        <v>638</v>
      </c>
      <c r="D261" s="52" t="s">
        <v>639</v>
      </c>
      <c r="E261" s="31" t="s">
        <v>49</v>
      </c>
      <c r="F261" s="5"/>
      <c r="G261" s="21">
        <v>1</v>
      </c>
      <c r="H261" s="22"/>
      <c r="I261" s="22">
        <v>2</v>
      </c>
      <c r="J261" s="5">
        <v>14</v>
      </c>
      <c r="K261" s="23">
        <f t="shared" si="28"/>
        <v>1</v>
      </c>
      <c r="L261" s="58">
        <f>(IFERROR(VLOOKUP(C261,'Current Stocks July-26'!B:K,9,0),0))</f>
        <v>0</v>
      </c>
      <c r="M261" s="24">
        <f t="shared" si="29"/>
        <v>0</v>
      </c>
      <c r="N261" s="25" t="str">
        <f t="shared" si="30"/>
        <v>ORDER NOW</v>
      </c>
      <c r="O261" s="25" t="str">
        <f t="shared" si="31"/>
        <v>CRITICAL</v>
      </c>
      <c r="P261" s="5"/>
      <c r="Q261" s="5"/>
      <c r="R261" s="5"/>
      <c r="S261" s="90" t="e">
        <f>VLOOKUP(C261,[3]Sheet1!$C$3:$P$521,14,0)</f>
        <v>#N/A</v>
      </c>
    </row>
    <row r="262" spans="1:19" ht="18.75" hidden="1" x14ac:dyDescent="0.25">
      <c r="A262" s="41">
        <v>655</v>
      </c>
      <c r="B262" s="5"/>
      <c r="C262" s="41" t="s">
        <v>640</v>
      </c>
      <c r="D262" s="52" t="s">
        <v>641</v>
      </c>
      <c r="E262" s="31" t="s">
        <v>49</v>
      </c>
      <c r="F262" s="5"/>
      <c r="G262" s="21">
        <v>1</v>
      </c>
      <c r="H262" s="22"/>
      <c r="I262" s="22">
        <v>30</v>
      </c>
      <c r="J262" s="5">
        <v>14</v>
      </c>
      <c r="K262" s="23">
        <f t="shared" si="28"/>
        <v>15</v>
      </c>
      <c r="L262" s="58">
        <f>(IFERROR(VLOOKUP(C262,'Current Stocks July-26'!B:K,9,0),0))</f>
        <v>0</v>
      </c>
      <c r="M262" s="24">
        <f t="shared" si="29"/>
        <v>0</v>
      </c>
      <c r="N262" s="25" t="str">
        <f t="shared" si="30"/>
        <v>ORDER NOW</v>
      </c>
      <c r="O262" s="25" t="str">
        <f t="shared" si="31"/>
        <v>CRITICAL</v>
      </c>
      <c r="P262" s="5"/>
      <c r="Q262" s="5"/>
      <c r="R262" s="5"/>
      <c r="S262" s="90" t="e">
        <f>VLOOKUP(C262,[3]Sheet1!$C$3:$P$521,14,0)</f>
        <v>#N/A</v>
      </c>
    </row>
    <row r="263" spans="1:19" ht="18.75" hidden="1" x14ac:dyDescent="0.25">
      <c r="A263" s="41">
        <v>656</v>
      </c>
      <c r="B263" s="5"/>
      <c r="C263" s="41" t="s">
        <v>642</v>
      </c>
      <c r="D263" s="52" t="s">
        <v>643</v>
      </c>
      <c r="E263" s="31" t="s">
        <v>49</v>
      </c>
      <c r="F263" s="5"/>
      <c r="G263" s="21">
        <v>1</v>
      </c>
      <c r="H263" s="22"/>
      <c r="I263" s="22">
        <v>20</v>
      </c>
      <c r="J263" s="5">
        <v>14</v>
      </c>
      <c r="K263" s="23">
        <f t="shared" si="28"/>
        <v>10</v>
      </c>
      <c r="L263" s="58">
        <f>(IFERROR(VLOOKUP(C263,'Current Stocks July-26'!B:K,9,0),0))</f>
        <v>0</v>
      </c>
      <c r="M263" s="24">
        <f t="shared" si="29"/>
        <v>0</v>
      </c>
      <c r="N263" s="25" t="str">
        <f t="shared" si="30"/>
        <v>ORDER NOW</v>
      </c>
      <c r="O263" s="25" t="str">
        <f t="shared" si="31"/>
        <v>CRITICAL</v>
      </c>
      <c r="P263" s="5"/>
      <c r="Q263" s="5"/>
      <c r="R263" s="5"/>
      <c r="S263" s="90" t="e">
        <f>VLOOKUP(C263,[3]Sheet1!$C$3:$P$521,14,0)</f>
        <v>#N/A</v>
      </c>
    </row>
    <row r="264" spans="1:19" ht="18.75" hidden="1" x14ac:dyDescent="0.25">
      <c r="A264" s="41">
        <v>657</v>
      </c>
      <c r="B264" s="5"/>
      <c r="C264" s="41" t="s">
        <v>644</v>
      </c>
      <c r="D264" s="52" t="s">
        <v>645</v>
      </c>
      <c r="E264" s="31" t="s">
        <v>49</v>
      </c>
      <c r="F264" s="5"/>
      <c r="G264" s="21">
        <v>1</v>
      </c>
      <c r="H264" s="22"/>
      <c r="I264" s="22">
        <v>60</v>
      </c>
      <c r="J264" s="5">
        <v>14</v>
      </c>
      <c r="K264" s="23">
        <f t="shared" si="28"/>
        <v>30</v>
      </c>
      <c r="L264" s="58">
        <f>(IFERROR(VLOOKUP(C264,'Current Stocks July-26'!B:K,9,0),0))</f>
        <v>0</v>
      </c>
      <c r="M264" s="24">
        <f t="shared" si="29"/>
        <v>0</v>
      </c>
      <c r="N264" s="25" t="str">
        <f t="shared" si="30"/>
        <v>ORDER NOW</v>
      </c>
      <c r="O264" s="25" t="str">
        <f t="shared" si="31"/>
        <v>CRITICAL</v>
      </c>
      <c r="P264" s="5"/>
      <c r="Q264" s="5"/>
      <c r="R264" s="5"/>
      <c r="S264" s="90" t="e">
        <f>VLOOKUP(C264,[3]Sheet1!$C$3:$P$521,14,0)</f>
        <v>#N/A</v>
      </c>
    </row>
    <row r="265" spans="1:19" ht="18.75" hidden="1" x14ac:dyDescent="0.25">
      <c r="A265" s="41">
        <v>658</v>
      </c>
      <c r="B265" s="5"/>
      <c r="C265" s="41" t="s">
        <v>646</v>
      </c>
      <c r="D265" s="52" t="s">
        <v>647</v>
      </c>
      <c r="E265" s="31" t="s">
        <v>49</v>
      </c>
      <c r="F265" s="5"/>
      <c r="G265" s="21">
        <v>1</v>
      </c>
      <c r="H265" s="22"/>
      <c r="I265" s="22">
        <v>10</v>
      </c>
      <c r="J265" s="5">
        <v>14</v>
      </c>
      <c r="K265" s="23">
        <f t="shared" si="28"/>
        <v>5</v>
      </c>
      <c r="L265" s="58">
        <f>(IFERROR(VLOOKUP(C265,'Current Stocks July-26'!B:K,9,0),0))</f>
        <v>0</v>
      </c>
      <c r="M265" s="24">
        <f t="shared" si="29"/>
        <v>0</v>
      </c>
      <c r="N265" s="25" t="str">
        <f t="shared" si="30"/>
        <v>ORDER NOW</v>
      </c>
      <c r="O265" s="25" t="str">
        <f t="shared" si="31"/>
        <v>CRITICAL</v>
      </c>
      <c r="P265" s="5"/>
      <c r="Q265" s="5"/>
      <c r="R265" s="5"/>
      <c r="S265" s="90" t="e">
        <f>VLOOKUP(C265,[3]Sheet1!$C$3:$P$521,14,0)</f>
        <v>#N/A</v>
      </c>
    </row>
    <row r="266" spans="1:19" ht="18.75" hidden="1" x14ac:dyDescent="0.25">
      <c r="A266" s="41">
        <v>659</v>
      </c>
      <c r="B266" s="5"/>
      <c r="C266" s="41" t="s">
        <v>648</v>
      </c>
      <c r="D266" s="52" t="s">
        <v>649</v>
      </c>
      <c r="E266" s="31" t="s">
        <v>49</v>
      </c>
      <c r="F266" s="5"/>
      <c r="G266" s="21">
        <v>1</v>
      </c>
      <c r="H266" s="22"/>
      <c r="I266" s="22">
        <v>10</v>
      </c>
      <c r="J266" s="5">
        <v>14</v>
      </c>
      <c r="K266" s="23">
        <f t="shared" si="28"/>
        <v>5</v>
      </c>
      <c r="L266" s="58">
        <f>(IFERROR(VLOOKUP(C266,'Current Stocks July-26'!B:K,9,0),0))</f>
        <v>0</v>
      </c>
      <c r="M266" s="24">
        <f t="shared" si="29"/>
        <v>0</v>
      </c>
      <c r="N266" s="25" t="str">
        <f t="shared" si="30"/>
        <v>ORDER NOW</v>
      </c>
      <c r="O266" s="25" t="str">
        <f t="shared" si="31"/>
        <v>CRITICAL</v>
      </c>
      <c r="P266" s="5"/>
      <c r="Q266" s="5"/>
      <c r="R266" s="5"/>
      <c r="S266" s="90" t="e">
        <f>VLOOKUP(C266,[3]Sheet1!$C$3:$P$521,14,0)</f>
        <v>#N/A</v>
      </c>
    </row>
    <row r="267" spans="1:19" ht="18.75" hidden="1" x14ac:dyDescent="0.25">
      <c r="A267" s="41">
        <v>660</v>
      </c>
      <c r="B267" s="5"/>
      <c r="C267" s="41" t="s">
        <v>650</v>
      </c>
      <c r="D267" s="52" t="s">
        <v>651</v>
      </c>
      <c r="E267" s="31" t="s">
        <v>49</v>
      </c>
      <c r="F267" s="5"/>
      <c r="G267" s="21">
        <v>1</v>
      </c>
      <c r="H267" s="22"/>
      <c r="I267" s="22">
        <v>10</v>
      </c>
      <c r="J267" s="5">
        <v>14</v>
      </c>
      <c r="K267" s="23">
        <f t="shared" si="28"/>
        <v>5</v>
      </c>
      <c r="L267" s="58">
        <f>(IFERROR(VLOOKUP(C267,'Current Stocks July-26'!B:K,9,0),0))</f>
        <v>0</v>
      </c>
      <c r="M267" s="24">
        <f t="shared" si="29"/>
        <v>0</v>
      </c>
      <c r="N267" s="25" t="str">
        <f t="shared" si="30"/>
        <v>ORDER NOW</v>
      </c>
      <c r="O267" s="25" t="str">
        <f t="shared" si="31"/>
        <v>CRITICAL</v>
      </c>
      <c r="P267" s="5"/>
      <c r="Q267" s="5"/>
      <c r="R267" s="5"/>
      <c r="S267" s="90" t="e">
        <f>VLOOKUP(C267,[3]Sheet1!$C$3:$P$521,14,0)</f>
        <v>#N/A</v>
      </c>
    </row>
    <row r="268" spans="1:19" ht="18.75" hidden="1" x14ac:dyDescent="0.25">
      <c r="A268" s="41">
        <v>661</v>
      </c>
      <c r="B268" s="5"/>
      <c r="C268" s="41" t="s">
        <v>652</v>
      </c>
      <c r="D268" s="52" t="s">
        <v>653</v>
      </c>
      <c r="E268" s="31" t="s">
        <v>49</v>
      </c>
      <c r="F268" s="5"/>
      <c r="G268" s="21">
        <v>1</v>
      </c>
      <c r="H268" s="22"/>
      <c r="I268" s="22">
        <v>10</v>
      </c>
      <c r="J268" s="5">
        <v>14</v>
      </c>
      <c r="K268" s="23">
        <f t="shared" si="28"/>
        <v>5</v>
      </c>
      <c r="L268" s="58">
        <f>(IFERROR(VLOOKUP(C268,'Current Stocks July-26'!B:K,9,0),0))</f>
        <v>3.1999999999999997</v>
      </c>
      <c r="M268" s="24">
        <f t="shared" si="29"/>
        <v>9.5999999999999979</v>
      </c>
      <c r="N268" s="25" t="str">
        <f t="shared" si="30"/>
        <v>ORDER NOW</v>
      </c>
      <c r="O268" s="25" t="str">
        <f t="shared" si="31"/>
        <v>CRITICAL</v>
      </c>
      <c r="P268" s="5"/>
      <c r="Q268" s="5"/>
      <c r="R268" s="5"/>
      <c r="S268" s="90" t="e">
        <f>VLOOKUP(C268,[3]Sheet1!$C$3:$P$521,14,0)</f>
        <v>#N/A</v>
      </c>
    </row>
    <row r="269" spans="1:19" ht="18.75" hidden="1" x14ac:dyDescent="0.25">
      <c r="A269" s="41">
        <v>662</v>
      </c>
      <c r="B269" s="5"/>
      <c r="C269" s="41" t="s">
        <v>654</v>
      </c>
      <c r="D269" s="52" t="s">
        <v>655</v>
      </c>
      <c r="E269" s="31" t="s">
        <v>49</v>
      </c>
      <c r="F269" s="5"/>
      <c r="G269" s="21">
        <v>1</v>
      </c>
      <c r="H269" s="22"/>
      <c r="I269" s="22">
        <v>10</v>
      </c>
      <c r="J269" s="5">
        <v>14</v>
      </c>
      <c r="K269" s="23">
        <f t="shared" si="28"/>
        <v>5</v>
      </c>
      <c r="L269" s="58">
        <f>(IFERROR(VLOOKUP(C269,'Current Stocks July-26'!B:K,9,0),0))</f>
        <v>0</v>
      </c>
      <c r="M269" s="24">
        <f t="shared" si="29"/>
        <v>0</v>
      </c>
      <c r="N269" s="25" t="str">
        <f t="shared" si="30"/>
        <v>ORDER NOW</v>
      </c>
      <c r="O269" s="25" t="str">
        <f t="shared" si="31"/>
        <v>CRITICAL</v>
      </c>
      <c r="P269" s="5"/>
      <c r="Q269" s="5"/>
      <c r="R269" s="5"/>
      <c r="S269" s="90" t="e">
        <f>VLOOKUP(C269,[3]Sheet1!$C$3:$P$521,14,0)</f>
        <v>#N/A</v>
      </c>
    </row>
    <row r="270" spans="1:19" ht="18.75" hidden="1" x14ac:dyDescent="0.25">
      <c r="A270" s="41">
        <v>663</v>
      </c>
      <c r="B270" s="5"/>
      <c r="C270" s="41" t="s">
        <v>656</v>
      </c>
      <c r="D270" s="52" t="s">
        <v>657</v>
      </c>
      <c r="E270" s="31" t="s">
        <v>49</v>
      </c>
      <c r="F270" s="5"/>
      <c r="G270" s="21">
        <v>1</v>
      </c>
      <c r="H270" s="22"/>
      <c r="I270" s="22">
        <v>5</v>
      </c>
      <c r="J270" s="5">
        <v>14</v>
      </c>
      <c r="K270" s="23">
        <f t="shared" si="28"/>
        <v>2.5</v>
      </c>
      <c r="L270" s="58">
        <f>(IFERROR(VLOOKUP(C270,'Current Stocks July-26'!B:K,9,0),0))</f>
        <v>0</v>
      </c>
      <c r="M270" s="24">
        <f t="shared" si="29"/>
        <v>0</v>
      </c>
      <c r="N270" s="25" t="str">
        <f t="shared" si="30"/>
        <v>ORDER NOW</v>
      </c>
      <c r="O270" s="25" t="str">
        <f t="shared" si="31"/>
        <v>CRITICAL</v>
      </c>
      <c r="P270" s="5"/>
      <c r="Q270" s="5"/>
      <c r="R270" s="5"/>
      <c r="S270" s="90" t="e">
        <f>VLOOKUP(C270,[3]Sheet1!$C$3:$P$521,14,0)</f>
        <v>#N/A</v>
      </c>
    </row>
    <row r="271" spans="1:19" ht="18.75" hidden="1" x14ac:dyDescent="0.25">
      <c r="A271" s="41">
        <v>664</v>
      </c>
      <c r="B271" s="5"/>
      <c r="C271" s="41" t="s">
        <v>658</v>
      </c>
      <c r="D271" s="52" t="s">
        <v>659</v>
      </c>
      <c r="E271" s="31" t="s">
        <v>49</v>
      </c>
      <c r="F271" s="5"/>
      <c r="G271" s="21">
        <v>1</v>
      </c>
      <c r="H271" s="22"/>
      <c r="I271" s="22">
        <v>5</v>
      </c>
      <c r="J271" s="5">
        <v>14</v>
      </c>
      <c r="K271" s="23">
        <f t="shared" si="28"/>
        <v>2.5</v>
      </c>
      <c r="L271" s="58">
        <f>(IFERROR(VLOOKUP(C271,'Current Stocks July-26'!B:K,9,0),0))</f>
        <v>0</v>
      </c>
      <c r="M271" s="24">
        <f t="shared" si="29"/>
        <v>0</v>
      </c>
      <c r="N271" s="25" t="str">
        <f t="shared" si="30"/>
        <v>ORDER NOW</v>
      </c>
      <c r="O271" s="25" t="str">
        <f t="shared" si="31"/>
        <v>CRITICAL</v>
      </c>
      <c r="P271" s="5"/>
      <c r="Q271" s="5"/>
      <c r="R271" s="5"/>
      <c r="S271" s="90" t="e">
        <f>VLOOKUP(C271,[3]Sheet1!$C$3:$P$521,14,0)</f>
        <v>#N/A</v>
      </c>
    </row>
    <row r="272" spans="1:19" ht="18.75" hidden="1" x14ac:dyDescent="0.25">
      <c r="A272" s="4">
        <v>666</v>
      </c>
      <c r="B272" s="5"/>
      <c r="C272" s="41"/>
      <c r="D272" s="52" t="s">
        <v>662</v>
      </c>
      <c r="E272" s="31" t="s">
        <v>49</v>
      </c>
      <c r="F272" s="5"/>
      <c r="G272" s="21">
        <v>1</v>
      </c>
      <c r="H272" s="22"/>
      <c r="I272" s="22">
        <v>5</v>
      </c>
      <c r="J272" s="5">
        <v>14</v>
      </c>
      <c r="K272" s="23">
        <f t="shared" si="28"/>
        <v>2.5</v>
      </c>
      <c r="L272" s="58">
        <f>(IFERROR(VLOOKUP(C272,'Current Stocks July-26'!B:K,9,0),0))</f>
        <v>0</v>
      </c>
      <c r="M272" s="24">
        <f t="shared" si="29"/>
        <v>0</v>
      </c>
      <c r="N272" s="25" t="str">
        <f t="shared" si="30"/>
        <v>ORDER NOW</v>
      </c>
      <c r="O272" s="25" t="str">
        <f t="shared" si="31"/>
        <v>CRITICAL</v>
      </c>
      <c r="P272" s="5"/>
      <c r="Q272" s="5"/>
      <c r="R272" s="5"/>
      <c r="S272" s="90" t="e">
        <f>VLOOKUP(C272,[3]Sheet1!$C$3:$P$521,14,0)</f>
        <v>#N/A</v>
      </c>
    </row>
    <row r="273" spans="1:19" ht="18.75" hidden="1" x14ac:dyDescent="0.25">
      <c r="A273" s="4">
        <v>667</v>
      </c>
      <c r="B273" s="5"/>
      <c r="C273" s="41"/>
      <c r="D273" s="52" t="s">
        <v>663</v>
      </c>
      <c r="E273" s="31" t="s">
        <v>49</v>
      </c>
      <c r="F273" s="5"/>
      <c r="G273" s="21">
        <v>1</v>
      </c>
      <c r="H273" s="22"/>
      <c r="I273" s="22">
        <v>5</v>
      </c>
      <c r="J273" s="5">
        <v>14</v>
      </c>
      <c r="K273" s="23">
        <f t="shared" si="28"/>
        <v>2.5</v>
      </c>
      <c r="L273" s="58">
        <f>(IFERROR(VLOOKUP(C273,'Current Stocks July-26'!B:K,9,0),0))</f>
        <v>0</v>
      </c>
      <c r="M273" s="24">
        <f t="shared" si="29"/>
        <v>0</v>
      </c>
      <c r="N273" s="25" t="str">
        <f t="shared" si="30"/>
        <v>ORDER NOW</v>
      </c>
      <c r="O273" s="25" t="str">
        <f t="shared" si="31"/>
        <v>CRITICAL</v>
      </c>
      <c r="P273" s="5"/>
      <c r="Q273" s="5"/>
      <c r="R273" s="5"/>
      <c r="S273" s="90" t="e">
        <f>VLOOKUP(C273,[3]Sheet1!$C$3:$P$521,14,0)</f>
        <v>#N/A</v>
      </c>
    </row>
    <row r="274" spans="1:19" ht="18.75" hidden="1" x14ac:dyDescent="0.25">
      <c r="A274" s="4">
        <v>668</v>
      </c>
      <c r="B274" s="5"/>
      <c r="C274" s="41"/>
      <c r="D274" s="52" t="s">
        <v>664</v>
      </c>
      <c r="E274" s="31" t="s">
        <v>49</v>
      </c>
      <c r="F274" s="5"/>
      <c r="G274" s="21">
        <v>1</v>
      </c>
      <c r="H274" s="22"/>
      <c r="I274" s="22">
        <v>2.9999999999999996</v>
      </c>
      <c r="J274" s="5">
        <v>14</v>
      </c>
      <c r="K274" s="23">
        <f t="shared" si="28"/>
        <v>1.4999999999999998</v>
      </c>
      <c r="L274" s="58">
        <f>(IFERROR(VLOOKUP(C274,'Current Stocks July-26'!B:K,9,0),0))</f>
        <v>0</v>
      </c>
      <c r="M274" s="24">
        <f t="shared" si="29"/>
        <v>0</v>
      </c>
      <c r="N274" s="25" t="str">
        <f t="shared" si="30"/>
        <v>ORDER NOW</v>
      </c>
      <c r="O274" s="25" t="str">
        <f t="shared" si="31"/>
        <v>CRITICAL</v>
      </c>
      <c r="P274" s="5"/>
      <c r="Q274" s="5"/>
      <c r="R274" s="5"/>
      <c r="S274" s="90" t="e">
        <f>VLOOKUP(C274,[3]Sheet1!$C$3:$P$521,14,0)</f>
        <v>#N/A</v>
      </c>
    </row>
    <row r="275" spans="1:19" ht="18.75" hidden="1" x14ac:dyDescent="0.25">
      <c r="A275" s="19"/>
      <c r="B275" s="19"/>
      <c r="C275" s="19" t="s">
        <v>1621</v>
      </c>
      <c r="D275" s="4" t="s">
        <v>1622</v>
      </c>
      <c r="E275" s="6" t="s">
        <v>1638</v>
      </c>
      <c r="F275" s="5" t="s">
        <v>49</v>
      </c>
      <c r="G275" s="21">
        <f>1/600</f>
        <v>1.6666666666666668E-3</v>
      </c>
      <c r="H275" s="22">
        <v>10</v>
      </c>
      <c r="I275" s="22">
        <f>H275/G275</f>
        <v>6000</v>
      </c>
      <c r="J275" s="5">
        <v>60</v>
      </c>
      <c r="K275" s="23">
        <f t="shared" si="28"/>
        <v>12857.142857142857</v>
      </c>
      <c r="L275" s="58">
        <f>(IFERROR(VLOOKUP(C275,'Current Stocks July-26'!B:K,9,0),0))</f>
        <v>0</v>
      </c>
      <c r="M275" s="24">
        <f t="shared" si="29"/>
        <v>0</v>
      </c>
      <c r="N275" s="25" t="str">
        <f t="shared" si="30"/>
        <v>ORDER NOW</v>
      </c>
      <c r="O275" s="25" t="str">
        <f t="shared" si="31"/>
        <v>CRITICAL</v>
      </c>
      <c r="P275" s="5"/>
      <c r="Q275" s="5"/>
      <c r="R275" s="5"/>
      <c r="S275" s="90" t="e">
        <f>VLOOKUP(C275,[3]Sheet1!$C$3:$P$521,14,0)</f>
        <v>#N/A</v>
      </c>
    </row>
    <row r="276" spans="1:19" ht="18.75" hidden="1" x14ac:dyDescent="0.25">
      <c r="A276" s="19"/>
      <c r="B276" s="19"/>
      <c r="C276" s="19" t="s">
        <v>1626</v>
      </c>
      <c r="D276" s="4" t="s">
        <v>1627</v>
      </c>
      <c r="E276" s="6" t="s">
        <v>1639</v>
      </c>
      <c r="F276" s="5" t="s">
        <v>49</v>
      </c>
      <c r="G276" s="21">
        <f>1/500</f>
        <v>2E-3</v>
      </c>
      <c r="H276" s="22">
        <v>80</v>
      </c>
      <c r="I276" s="22">
        <f>H276/G276</f>
        <v>40000</v>
      </c>
      <c r="J276" s="5">
        <v>60</v>
      </c>
      <c r="K276" s="23">
        <f t="shared" si="28"/>
        <v>85714.28571428571</v>
      </c>
      <c r="L276" s="58">
        <f>(IFERROR(VLOOKUP(C276,'Current Stocks July-26'!B:K,9,0),0))</f>
        <v>0</v>
      </c>
      <c r="M276" s="24">
        <f t="shared" si="29"/>
        <v>0</v>
      </c>
      <c r="N276" s="25" t="str">
        <f t="shared" si="30"/>
        <v>ORDER NOW</v>
      </c>
      <c r="O276" s="25" t="str">
        <f t="shared" si="31"/>
        <v>CRITICAL</v>
      </c>
      <c r="P276" s="5"/>
      <c r="Q276" s="5"/>
      <c r="R276" s="5"/>
      <c r="S276" s="90" t="e">
        <f>VLOOKUP(C276,[3]Sheet1!$C$3:$P$521,14,0)</f>
        <v>#N/A</v>
      </c>
    </row>
    <row r="277" spans="1:19" ht="18.75" hidden="1" x14ac:dyDescent="0.25">
      <c r="A277" s="19"/>
      <c r="B277" s="19"/>
      <c r="C277" s="19" t="s">
        <v>1619</v>
      </c>
      <c r="D277" s="4" t="s">
        <v>1620</v>
      </c>
      <c r="E277" s="31" t="s">
        <v>1640</v>
      </c>
      <c r="F277" s="5" t="s">
        <v>49</v>
      </c>
      <c r="G277" s="21">
        <f>1/800</f>
        <v>1.25E-3</v>
      </c>
      <c r="H277" s="22">
        <v>70</v>
      </c>
      <c r="I277" s="22">
        <f>H277/G277</f>
        <v>56000</v>
      </c>
      <c r="J277" s="5">
        <v>60</v>
      </c>
      <c r="K277" s="23">
        <f t="shared" si="28"/>
        <v>120000</v>
      </c>
      <c r="L277" s="58">
        <f>(IFERROR(VLOOKUP(C277,'Current Stocks July-26'!B:K,9,0),0))</f>
        <v>16000</v>
      </c>
      <c r="M277" s="24">
        <f t="shared" si="29"/>
        <v>8.5714285714285712</v>
      </c>
      <c r="N277" s="25" t="str">
        <f t="shared" si="30"/>
        <v>ORDER NOW</v>
      </c>
      <c r="O277" s="25" t="str">
        <f t="shared" si="31"/>
        <v>CRITICAL</v>
      </c>
      <c r="P277" s="5"/>
      <c r="Q277" s="5"/>
      <c r="R277" s="5"/>
      <c r="S277" s="90" t="e">
        <f>VLOOKUP(C277,[3]Sheet1!$C$3:$P$521,14,0)</f>
        <v>#N/A</v>
      </c>
    </row>
    <row r="278" spans="1:19" ht="18.75" hidden="1" x14ac:dyDescent="0.25">
      <c r="A278" s="19">
        <v>51</v>
      </c>
      <c r="B278" s="19" t="s">
        <v>157</v>
      </c>
      <c r="C278" s="19" t="s">
        <v>777</v>
      </c>
      <c r="D278" s="27" t="s">
        <v>778</v>
      </c>
      <c r="E278" s="27" t="s">
        <v>779</v>
      </c>
      <c r="F278" s="5" t="s">
        <v>22</v>
      </c>
      <c r="G278" s="21">
        <f>1/50</f>
        <v>0.02</v>
      </c>
      <c r="H278" s="22">
        <v>79.5</v>
      </c>
      <c r="I278" s="22">
        <f>H278/G278</f>
        <v>3975</v>
      </c>
      <c r="J278" s="5">
        <v>14</v>
      </c>
      <c r="K278" s="23">
        <f t="shared" si="28"/>
        <v>1987.5</v>
      </c>
      <c r="L278" s="58">
        <f>(IFERROR(VLOOKUP(C278,'Current Stocks July-26'!B:K,9,0),0))</f>
        <v>503</v>
      </c>
      <c r="M278" s="24">
        <f t="shared" si="29"/>
        <v>3.7962264150943397</v>
      </c>
      <c r="N278" s="25" t="str">
        <f t="shared" si="30"/>
        <v>ORDER NOW</v>
      </c>
      <c r="O278" s="25" t="str">
        <f t="shared" si="31"/>
        <v>CRITICAL</v>
      </c>
      <c r="P278" s="5"/>
      <c r="Q278" s="5"/>
      <c r="R278" s="5" t="s">
        <v>30</v>
      </c>
      <c r="S278" s="90">
        <f>VLOOKUP(C278,[3]Sheet1!$C$3:$P$521,14,0)</f>
        <v>46128.687743055554</v>
      </c>
    </row>
    <row r="279" spans="1:19" ht="18.75" hidden="1" x14ac:dyDescent="0.25">
      <c r="A279" s="41">
        <v>665</v>
      </c>
      <c r="B279" s="5"/>
      <c r="C279" s="41" t="s">
        <v>660</v>
      </c>
      <c r="D279" s="52" t="s">
        <v>661</v>
      </c>
      <c r="E279" s="31" t="s">
        <v>49</v>
      </c>
      <c r="F279" s="5"/>
      <c r="G279" s="21">
        <v>1</v>
      </c>
      <c r="H279" s="22"/>
      <c r="I279" s="22">
        <v>10</v>
      </c>
      <c r="J279" s="5">
        <v>14</v>
      </c>
      <c r="K279" s="23">
        <f t="shared" si="28"/>
        <v>5</v>
      </c>
      <c r="L279" s="58">
        <f>(IFERROR(VLOOKUP(C279,'Current Stocks July-26'!B:K,9,0),0))</f>
        <v>0</v>
      </c>
      <c r="M279" s="24">
        <f t="shared" si="29"/>
        <v>0</v>
      </c>
      <c r="N279" s="25" t="str">
        <f t="shared" si="30"/>
        <v>ORDER NOW</v>
      </c>
      <c r="O279" s="25" t="str">
        <f t="shared" si="31"/>
        <v>CRITICAL</v>
      </c>
      <c r="P279" s="5"/>
      <c r="Q279" s="5"/>
      <c r="R279" s="5"/>
      <c r="S279" s="90" t="e">
        <f>VLOOKUP(C279,[3]Sheet1!$C$3:$P$521,14,0)</f>
        <v>#N/A</v>
      </c>
    </row>
    <row r="280" spans="1:19" ht="18.75" hidden="1" x14ac:dyDescent="0.25">
      <c r="A280" s="41">
        <v>478</v>
      </c>
      <c r="B280" s="41" t="s">
        <v>38</v>
      </c>
      <c r="C280" s="41" t="s">
        <v>978</v>
      </c>
      <c r="D280" s="27" t="s">
        <v>979</v>
      </c>
      <c r="E280" s="27" t="s">
        <v>980</v>
      </c>
      <c r="F280" s="5" t="s">
        <v>22</v>
      </c>
      <c r="G280" s="21">
        <v>0.53333333333333333</v>
      </c>
      <c r="H280" s="22">
        <v>300</v>
      </c>
      <c r="I280" s="22">
        <f t="shared" ref="I280:I303" si="32">H280/G280</f>
        <v>562.5</v>
      </c>
      <c r="J280" s="5">
        <v>14</v>
      </c>
      <c r="K280" s="23">
        <f t="shared" si="28"/>
        <v>281.25</v>
      </c>
      <c r="L280" s="58">
        <f>(IFERROR(VLOOKUP(C280,'Current Stocks July-26'!B:K,9,0),0))</f>
        <v>0</v>
      </c>
      <c r="M280" s="24">
        <f t="shared" si="29"/>
        <v>0</v>
      </c>
      <c r="N280" s="25" t="str">
        <f t="shared" si="30"/>
        <v>ORDER NOW</v>
      </c>
      <c r="O280" s="25" t="str">
        <f t="shared" si="31"/>
        <v>CRITICAL</v>
      </c>
      <c r="P280" s="5"/>
      <c r="Q280" s="5"/>
      <c r="R280" s="5"/>
      <c r="S280" s="90">
        <f>VLOOKUP(C280,[3]Sheet1!$C$3:$P$521,14,0)</f>
        <v>46138.481516203705</v>
      </c>
    </row>
    <row r="281" spans="1:19" ht="18.75" hidden="1" x14ac:dyDescent="0.25">
      <c r="A281" s="41">
        <v>465</v>
      </c>
      <c r="B281" s="41" t="s">
        <v>38</v>
      </c>
      <c r="C281" s="41" t="s">
        <v>1015</v>
      </c>
      <c r="D281" s="27" t="s">
        <v>1016</v>
      </c>
      <c r="E281" s="27" t="s">
        <v>1017</v>
      </c>
      <c r="F281" s="5" t="s">
        <v>22</v>
      </c>
      <c r="G281" s="21">
        <v>0.1</v>
      </c>
      <c r="H281" s="22">
        <v>80</v>
      </c>
      <c r="I281" s="22">
        <f t="shared" si="32"/>
        <v>800</v>
      </c>
      <c r="J281" s="5">
        <v>14</v>
      </c>
      <c r="K281" s="23">
        <f t="shared" si="28"/>
        <v>400</v>
      </c>
      <c r="L281" s="58">
        <f>(IFERROR(VLOOKUP(C281,'Current Stocks July-26'!B:K,9,0),0))</f>
        <v>0</v>
      </c>
      <c r="M281" s="24">
        <f t="shared" si="29"/>
        <v>0</v>
      </c>
      <c r="N281" s="25" t="str">
        <f t="shared" si="30"/>
        <v>ORDER NOW</v>
      </c>
      <c r="O281" s="25" t="str">
        <f t="shared" si="31"/>
        <v>CRITICAL</v>
      </c>
      <c r="P281" s="5"/>
      <c r="Q281" s="5"/>
      <c r="R281" s="5"/>
      <c r="S281" s="90">
        <f>VLOOKUP(C281,[3]Sheet1!$C$3:$P$521,14,0)</f>
        <v>46141.525891203702</v>
      </c>
    </row>
    <row r="282" spans="1:19" ht="18.75" hidden="1" x14ac:dyDescent="0.25">
      <c r="A282" s="39">
        <v>211</v>
      </c>
      <c r="B282" s="39" t="s">
        <v>123</v>
      </c>
      <c r="C282" s="39" t="s">
        <v>733</v>
      </c>
      <c r="D282" s="27" t="s">
        <v>734</v>
      </c>
      <c r="E282" s="27" t="s">
        <v>160</v>
      </c>
      <c r="F282" s="5" t="s">
        <v>49</v>
      </c>
      <c r="G282" s="21">
        <v>2.2222222222222223</v>
      </c>
      <c r="H282" s="22">
        <v>155.5</v>
      </c>
      <c r="I282" s="22">
        <f t="shared" si="32"/>
        <v>69.974999999999994</v>
      </c>
      <c r="J282" s="5">
        <v>14</v>
      </c>
      <c r="K282" s="23">
        <f t="shared" si="28"/>
        <v>34.987499999999997</v>
      </c>
      <c r="L282" s="58">
        <f>(IFERROR(VLOOKUP(C282,'Current Stocks July-26'!B:K,9,0),0))</f>
        <v>0</v>
      </c>
      <c r="M282" s="24">
        <f t="shared" si="29"/>
        <v>0</v>
      </c>
      <c r="N282" s="25" t="str">
        <f t="shared" si="30"/>
        <v>ORDER NOW</v>
      </c>
      <c r="O282" s="25" t="str">
        <f t="shared" si="31"/>
        <v>CRITICAL</v>
      </c>
      <c r="P282" s="5"/>
      <c r="Q282" s="5"/>
      <c r="R282" s="5"/>
      <c r="S282" s="90">
        <f>VLOOKUP(C282,[3]Sheet1!$C$3:$P$521,14,0)</f>
        <v>46134.446250000001</v>
      </c>
    </row>
    <row r="283" spans="1:19" ht="18.75" hidden="1" x14ac:dyDescent="0.25">
      <c r="A283" s="19"/>
      <c r="B283" s="19"/>
      <c r="C283" s="19" t="s">
        <v>1623</v>
      </c>
      <c r="D283" s="4" t="s">
        <v>1624</v>
      </c>
      <c r="E283" s="31" t="s">
        <v>1641</v>
      </c>
      <c r="F283" s="5" t="s">
        <v>49</v>
      </c>
      <c r="G283" s="21">
        <f>1/1000</f>
        <v>1E-3</v>
      </c>
      <c r="H283" s="22">
        <v>1</v>
      </c>
      <c r="I283" s="22">
        <f t="shared" si="32"/>
        <v>1000</v>
      </c>
      <c r="J283" s="5">
        <v>60</v>
      </c>
      <c r="K283" s="23">
        <f t="shared" si="28"/>
        <v>2142.8571428571427</v>
      </c>
      <c r="L283" s="58">
        <f>(IFERROR(VLOOKUP(C283,'Current Stocks July-26'!B:K,9,0),0))</f>
        <v>5000</v>
      </c>
      <c r="M283" s="24">
        <f t="shared" si="29"/>
        <v>150</v>
      </c>
      <c r="N283" s="25" t="str">
        <f t="shared" si="30"/>
        <v>IN STOCK</v>
      </c>
      <c r="O283" s="25" t="str">
        <f t="shared" si="31"/>
        <v>FOLLOW UP DELIVERY</v>
      </c>
      <c r="P283" s="5"/>
      <c r="Q283" s="5"/>
      <c r="R283" s="5"/>
      <c r="S283" s="90" t="e">
        <f>VLOOKUP(C283,[3]Sheet1!$C$3:$P$521,14,0)</f>
        <v>#N/A</v>
      </c>
    </row>
    <row r="284" spans="1:19" ht="18.75" hidden="1" x14ac:dyDescent="0.25">
      <c r="A284" s="19">
        <v>128</v>
      </c>
      <c r="B284" s="19" t="s">
        <v>18</v>
      </c>
      <c r="C284" s="19" t="s">
        <v>1013</v>
      </c>
      <c r="D284" s="27" t="s">
        <v>1014</v>
      </c>
      <c r="E284" s="27" t="s">
        <v>186</v>
      </c>
      <c r="F284" s="5" t="s">
        <v>22</v>
      </c>
      <c r="G284" s="21">
        <f>1/500</f>
        <v>2E-3</v>
      </c>
      <c r="H284" s="22">
        <v>40</v>
      </c>
      <c r="I284" s="22">
        <f t="shared" si="32"/>
        <v>20000</v>
      </c>
      <c r="J284" s="5">
        <v>14</v>
      </c>
      <c r="K284" s="23">
        <f t="shared" si="28"/>
        <v>10000</v>
      </c>
      <c r="L284" s="58">
        <f>(IFERROR(VLOOKUP(C284,'Current Stocks July-26'!B:K,9,0),0))</f>
        <v>0</v>
      </c>
      <c r="M284" s="24">
        <f t="shared" si="29"/>
        <v>0</v>
      </c>
      <c r="N284" s="25" t="str">
        <f t="shared" si="30"/>
        <v>ORDER NOW</v>
      </c>
      <c r="O284" s="25" t="str">
        <f t="shared" si="31"/>
        <v>CRITICAL</v>
      </c>
      <c r="P284" s="5"/>
      <c r="Q284" s="5"/>
      <c r="R284" s="5" t="s">
        <v>30</v>
      </c>
      <c r="S284" s="90" t="e">
        <f>VLOOKUP(C284,[3]Sheet1!$C$3:$P$521,14,0)</f>
        <v>#N/A</v>
      </c>
    </row>
    <row r="285" spans="1:19" ht="18.75" hidden="1" x14ac:dyDescent="0.25">
      <c r="A285" s="41">
        <v>351</v>
      </c>
      <c r="B285" s="41" t="s">
        <v>38</v>
      </c>
      <c r="C285" s="41" t="s">
        <v>827</v>
      </c>
      <c r="D285" s="27" t="s">
        <v>828</v>
      </c>
      <c r="E285" s="27" t="s">
        <v>829</v>
      </c>
      <c r="F285" s="5" t="s">
        <v>22</v>
      </c>
      <c r="G285" s="21">
        <f>1/(20*0.4)</f>
        <v>0.125</v>
      </c>
      <c r="H285" s="22">
        <v>27.5</v>
      </c>
      <c r="I285" s="22">
        <f t="shared" si="32"/>
        <v>220</v>
      </c>
      <c r="J285" s="5">
        <v>14</v>
      </c>
      <c r="K285" s="23">
        <f t="shared" si="28"/>
        <v>110</v>
      </c>
      <c r="L285" s="58">
        <f>(IFERROR(VLOOKUP(C285,'Current Stocks July-26'!B:K,9,0),0))</f>
        <v>0</v>
      </c>
      <c r="M285" s="24">
        <f t="shared" si="29"/>
        <v>0</v>
      </c>
      <c r="N285" s="25" t="str">
        <f t="shared" si="30"/>
        <v>ORDER NOW</v>
      </c>
      <c r="O285" s="25" t="str">
        <f t="shared" si="31"/>
        <v>CRITICAL</v>
      </c>
      <c r="P285" s="5"/>
      <c r="Q285" s="5"/>
      <c r="R285" s="5"/>
      <c r="S285" s="90">
        <f>VLOOKUP(C285,[3]Sheet1!$C$3:$P$521,14,0)</f>
        <v>46141.525578703702</v>
      </c>
    </row>
    <row r="286" spans="1:19" ht="18.75" hidden="1" x14ac:dyDescent="0.25">
      <c r="A286" s="41">
        <v>522</v>
      </c>
      <c r="B286" s="41" t="s">
        <v>38</v>
      </c>
      <c r="C286" s="41" t="s">
        <v>508</v>
      </c>
      <c r="D286" s="29" t="s">
        <v>509</v>
      </c>
      <c r="E286" s="27" t="s">
        <v>510</v>
      </c>
      <c r="F286" s="5" t="s">
        <v>22</v>
      </c>
      <c r="G286" s="21">
        <f>1/4</f>
        <v>0.25</v>
      </c>
      <c r="H286" s="22">
        <v>0</v>
      </c>
      <c r="I286" s="22">
        <f t="shared" si="32"/>
        <v>0</v>
      </c>
      <c r="J286" s="5">
        <v>14</v>
      </c>
      <c r="K286" s="23">
        <f t="shared" si="28"/>
        <v>0</v>
      </c>
      <c r="L286" s="58">
        <f>(IFERROR(VLOOKUP(C286,'Current Stocks July-26'!B:K,9,0),0))</f>
        <v>1</v>
      </c>
      <c r="M286" s="24">
        <f t="shared" si="29"/>
        <v>0</v>
      </c>
      <c r="N286" s="25" t="str">
        <f t="shared" si="30"/>
        <v>ORDER NOW</v>
      </c>
      <c r="O286" s="25" t="str">
        <f t="shared" si="31"/>
        <v>CRITICAL</v>
      </c>
      <c r="P286" s="5"/>
      <c r="Q286" s="5"/>
      <c r="R286" s="5"/>
      <c r="S286" s="90" t="e">
        <f>VLOOKUP(C286,[3]Sheet1!$C$3:$P$521,14,0)</f>
        <v>#N/A</v>
      </c>
    </row>
    <row r="287" spans="1:19" ht="18.75" hidden="1" x14ac:dyDescent="0.25">
      <c r="A287" s="41">
        <v>593</v>
      </c>
      <c r="B287" s="49" t="s">
        <v>298</v>
      </c>
      <c r="C287" s="49" t="s">
        <v>564</v>
      </c>
      <c r="D287" s="27" t="s">
        <v>565</v>
      </c>
      <c r="E287" s="27" t="s">
        <v>49</v>
      </c>
      <c r="F287" s="5" t="s">
        <v>49</v>
      </c>
      <c r="G287" s="21">
        <v>1</v>
      </c>
      <c r="H287" s="22">
        <v>0</v>
      </c>
      <c r="I287" s="22">
        <f t="shared" si="32"/>
        <v>0</v>
      </c>
      <c r="J287" s="5">
        <v>14</v>
      </c>
      <c r="K287" s="23">
        <f t="shared" si="28"/>
        <v>0</v>
      </c>
      <c r="L287" s="58">
        <f>(IFERROR(VLOOKUP(C287,'Current Stocks July-26'!B:K,9,0),0))</f>
        <v>0</v>
      </c>
      <c r="M287" s="24">
        <f t="shared" si="29"/>
        <v>0</v>
      </c>
      <c r="N287" s="25" t="str">
        <f t="shared" si="30"/>
        <v>ORDER NOW</v>
      </c>
      <c r="O287" s="25" t="str">
        <f t="shared" si="31"/>
        <v>CRITICAL</v>
      </c>
      <c r="P287" s="5"/>
      <c r="Q287" s="5"/>
      <c r="R287" s="5"/>
      <c r="S287" s="90" t="e">
        <f>VLOOKUP(C287,[3]Sheet1!$C$3:$P$521,14,0)</f>
        <v>#N/A</v>
      </c>
    </row>
    <row r="288" spans="1:19" ht="18.75" hidden="1" x14ac:dyDescent="0.25">
      <c r="A288" s="41">
        <v>592</v>
      </c>
      <c r="B288" s="49" t="s">
        <v>239</v>
      </c>
      <c r="C288" s="49" t="s">
        <v>562</v>
      </c>
      <c r="D288" s="72" t="s">
        <v>563</v>
      </c>
      <c r="E288" s="27" t="s">
        <v>49</v>
      </c>
      <c r="F288" s="5" t="s">
        <v>49</v>
      </c>
      <c r="G288" s="21">
        <v>1</v>
      </c>
      <c r="H288" s="22">
        <v>0</v>
      </c>
      <c r="I288" s="22">
        <f t="shared" si="32"/>
        <v>0</v>
      </c>
      <c r="J288" s="5">
        <v>14</v>
      </c>
      <c r="K288" s="23">
        <f t="shared" si="28"/>
        <v>0</v>
      </c>
      <c r="L288" s="58">
        <f>(IFERROR(VLOOKUP(C288,'Current Stocks July-26'!B:K,9,0),0))</f>
        <v>0</v>
      </c>
      <c r="M288" s="24">
        <f t="shared" si="29"/>
        <v>0</v>
      </c>
      <c r="N288" s="25" t="str">
        <f t="shared" si="30"/>
        <v>ORDER NOW</v>
      </c>
      <c r="O288" s="25" t="str">
        <f t="shared" si="31"/>
        <v>CRITICAL</v>
      </c>
      <c r="P288" s="5"/>
      <c r="Q288" s="5"/>
      <c r="R288" s="5"/>
      <c r="S288" s="90" t="e">
        <f>VLOOKUP(C288,[3]Sheet1!$C$3:$P$521,14,0)</f>
        <v>#N/A</v>
      </c>
    </row>
    <row r="289" spans="1:19" ht="18.75" hidden="1" x14ac:dyDescent="0.25">
      <c r="A289" s="41">
        <v>505</v>
      </c>
      <c r="B289" s="41" t="s">
        <v>38</v>
      </c>
      <c r="C289" s="41" t="s">
        <v>491</v>
      </c>
      <c r="D289" s="27" t="s">
        <v>492</v>
      </c>
      <c r="E289" s="27" t="s">
        <v>493</v>
      </c>
      <c r="F289" s="5" t="s">
        <v>49</v>
      </c>
      <c r="G289" s="21">
        <v>1</v>
      </c>
      <c r="H289" s="22">
        <v>0</v>
      </c>
      <c r="I289" s="22">
        <f t="shared" si="32"/>
        <v>0</v>
      </c>
      <c r="J289" s="5">
        <v>14</v>
      </c>
      <c r="K289" s="23">
        <f t="shared" si="28"/>
        <v>0</v>
      </c>
      <c r="L289" s="58">
        <f>(IFERROR(VLOOKUP(C289,'Current Stocks July-26'!B:K,9,0),0))</f>
        <v>0</v>
      </c>
      <c r="M289" s="24">
        <f t="shared" si="29"/>
        <v>0</v>
      </c>
      <c r="N289" s="25" t="str">
        <f t="shared" si="30"/>
        <v>ORDER NOW</v>
      </c>
      <c r="O289" s="25" t="str">
        <f t="shared" si="31"/>
        <v>CRITICAL</v>
      </c>
      <c r="P289" s="5"/>
      <c r="Q289" s="5"/>
      <c r="R289" s="5"/>
      <c r="S289" s="90" t="e">
        <f>VLOOKUP(C289,[3]Sheet1!$C$3:$P$521,14,0)</f>
        <v>#N/A</v>
      </c>
    </row>
    <row r="290" spans="1:19" ht="18.75" hidden="1" x14ac:dyDescent="0.25">
      <c r="A290" s="41">
        <v>444</v>
      </c>
      <c r="B290" s="41" t="s">
        <v>61</v>
      </c>
      <c r="C290" s="41" t="s">
        <v>425</v>
      </c>
      <c r="D290" s="27" t="s">
        <v>426</v>
      </c>
      <c r="E290" s="27" t="s">
        <v>64</v>
      </c>
      <c r="F290" s="5" t="s">
        <v>49</v>
      </c>
      <c r="G290" s="21">
        <v>1</v>
      </c>
      <c r="H290" s="22">
        <v>0</v>
      </c>
      <c r="I290" s="22">
        <f t="shared" si="32"/>
        <v>0</v>
      </c>
      <c r="J290" s="5">
        <v>14</v>
      </c>
      <c r="K290" s="23">
        <f t="shared" si="28"/>
        <v>0</v>
      </c>
      <c r="L290" s="58">
        <f>(IFERROR(VLOOKUP(C290,'Current Stocks July-26'!B:K,9,0),0))</f>
        <v>0</v>
      </c>
      <c r="M290" s="24">
        <f t="shared" si="29"/>
        <v>0</v>
      </c>
      <c r="N290" s="25" t="str">
        <f t="shared" si="30"/>
        <v>ORDER NOW</v>
      </c>
      <c r="O290" s="25" t="str">
        <f t="shared" si="31"/>
        <v>CRITICAL</v>
      </c>
      <c r="P290" s="5"/>
      <c r="Q290" s="5"/>
      <c r="R290" s="5"/>
      <c r="S290" s="90" t="e">
        <f>VLOOKUP(C290,[3]Sheet1!$C$3:$P$521,14,0)</f>
        <v>#N/A</v>
      </c>
    </row>
    <row r="291" spans="1:19" ht="18.75" hidden="1" x14ac:dyDescent="0.25">
      <c r="A291" s="41">
        <v>587</v>
      </c>
      <c r="B291" s="49" t="s">
        <v>298</v>
      </c>
      <c r="C291" s="49" t="s">
        <v>554</v>
      </c>
      <c r="D291" s="27" t="s">
        <v>555</v>
      </c>
      <c r="E291" s="27" t="s">
        <v>49</v>
      </c>
      <c r="F291" s="5" t="s">
        <v>49</v>
      </c>
      <c r="G291" s="21">
        <v>1</v>
      </c>
      <c r="H291" s="22">
        <v>0</v>
      </c>
      <c r="I291" s="22">
        <f t="shared" si="32"/>
        <v>0</v>
      </c>
      <c r="J291" s="5">
        <v>14</v>
      </c>
      <c r="K291" s="23">
        <f t="shared" si="28"/>
        <v>0</v>
      </c>
      <c r="L291" s="58">
        <f>(IFERROR(VLOOKUP(C291,'Current Stocks July-26'!B:K,9,0),0))</f>
        <v>0</v>
      </c>
      <c r="M291" s="24">
        <f t="shared" si="29"/>
        <v>0</v>
      </c>
      <c r="N291" s="25" t="str">
        <f t="shared" si="30"/>
        <v>ORDER NOW</v>
      </c>
      <c r="O291" s="25" t="str">
        <f t="shared" si="31"/>
        <v>CRITICAL</v>
      </c>
      <c r="P291" s="5"/>
      <c r="Q291" s="5"/>
      <c r="R291" s="5"/>
      <c r="S291" s="90" t="e">
        <f>VLOOKUP(C291,[3]Sheet1!$C$3:$P$521,14,0)</f>
        <v>#N/A</v>
      </c>
    </row>
    <row r="292" spans="1:19" ht="18.75" hidden="1" x14ac:dyDescent="0.25">
      <c r="A292" s="41">
        <v>378</v>
      </c>
      <c r="B292" s="41" t="s">
        <v>85</v>
      </c>
      <c r="C292" s="41" t="s">
        <v>377</v>
      </c>
      <c r="D292" s="27" t="s">
        <v>378</v>
      </c>
      <c r="E292" s="27" t="s">
        <v>101</v>
      </c>
      <c r="F292" s="5" t="s">
        <v>22</v>
      </c>
      <c r="G292" s="21">
        <v>0.16666666666666666</v>
      </c>
      <c r="H292" s="22">
        <v>0</v>
      </c>
      <c r="I292" s="22">
        <f t="shared" si="32"/>
        <v>0</v>
      </c>
      <c r="J292" s="5">
        <v>14</v>
      </c>
      <c r="K292" s="23">
        <f t="shared" si="28"/>
        <v>0</v>
      </c>
      <c r="L292" s="58">
        <f>(IFERROR(VLOOKUP(C292,'Current Stocks July-26'!B:K,9,0),0))</f>
        <v>0</v>
      </c>
      <c r="M292" s="24">
        <f t="shared" si="29"/>
        <v>0</v>
      </c>
      <c r="N292" s="25" t="str">
        <f t="shared" si="30"/>
        <v>ORDER NOW</v>
      </c>
      <c r="O292" s="25" t="str">
        <f t="shared" si="31"/>
        <v>CRITICAL</v>
      </c>
      <c r="P292" s="5"/>
      <c r="Q292" s="5"/>
      <c r="R292" s="5"/>
      <c r="S292" s="90" t="e">
        <f>VLOOKUP(C292,[3]Sheet1!$C$3:$P$521,14,0)</f>
        <v>#N/A</v>
      </c>
    </row>
    <row r="293" spans="1:19" ht="18.75" hidden="1" x14ac:dyDescent="0.25">
      <c r="A293" s="39">
        <v>265</v>
      </c>
      <c r="B293" s="39" t="s">
        <v>157</v>
      </c>
      <c r="C293" s="39" t="s">
        <v>269</v>
      </c>
      <c r="D293" s="27" t="s">
        <v>270</v>
      </c>
      <c r="E293" s="27" t="s">
        <v>160</v>
      </c>
      <c r="F293" s="5" t="s">
        <v>49</v>
      </c>
      <c r="G293" s="21">
        <v>1</v>
      </c>
      <c r="H293" s="22">
        <v>0</v>
      </c>
      <c r="I293" s="22">
        <f t="shared" si="32"/>
        <v>0</v>
      </c>
      <c r="J293" s="5">
        <v>14</v>
      </c>
      <c r="K293" s="23">
        <f t="shared" si="28"/>
        <v>0</v>
      </c>
      <c r="L293" s="58">
        <f>(IFERROR(VLOOKUP(C293,'Current Stocks July-26'!B:K,9,0),0))</f>
        <v>0</v>
      </c>
      <c r="M293" s="24">
        <f t="shared" si="29"/>
        <v>0</v>
      </c>
      <c r="N293" s="25" t="str">
        <f t="shared" si="30"/>
        <v>ORDER NOW</v>
      </c>
      <c r="O293" s="25" t="str">
        <f t="shared" si="31"/>
        <v>CRITICAL</v>
      </c>
      <c r="P293" s="5"/>
      <c r="Q293" s="5"/>
      <c r="R293" s="5"/>
      <c r="S293" s="90" t="e">
        <f>VLOOKUP(C293,[3]Sheet1!$C$3:$P$521,14,0)</f>
        <v>#N/A</v>
      </c>
    </row>
    <row r="294" spans="1:19" ht="18.75" hidden="1" x14ac:dyDescent="0.25">
      <c r="A294" s="39">
        <v>268</v>
      </c>
      <c r="B294" s="39" t="s">
        <v>239</v>
      </c>
      <c r="C294" s="39" t="s">
        <v>275</v>
      </c>
      <c r="D294" s="27" t="s">
        <v>276</v>
      </c>
      <c r="E294" s="27" t="s">
        <v>78</v>
      </c>
      <c r="F294" s="5" t="s">
        <v>49</v>
      </c>
      <c r="G294" s="21">
        <v>1</v>
      </c>
      <c r="H294" s="22">
        <v>0</v>
      </c>
      <c r="I294" s="22">
        <f t="shared" si="32"/>
        <v>0</v>
      </c>
      <c r="J294" s="5">
        <v>14</v>
      </c>
      <c r="K294" s="23">
        <f t="shared" si="28"/>
        <v>0</v>
      </c>
      <c r="L294" s="58">
        <f>(IFERROR(VLOOKUP(C294,'Current Stocks July-26'!B:K,9,0),0))</f>
        <v>1</v>
      </c>
      <c r="M294" s="24">
        <f t="shared" si="29"/>
        <v>0</v>
      </c>
      <c r="N294" s="25" t="str">
        <f t="shared" si="30"/>
        <v>ORDER NOW</v>
      </c>
      <c r="O294" s="25" t="str">
        <f t="shared" si="31"/>
        <v>CRITICAL</v>
      </c>
      <c r="P294" s="5"/>
      <c r="Q294" s="5"/>
      <c r="R294" s="5"/>
      <c r="S294" s="90" t="e">
        <f>VLOOKUP(C294,[3]Sheet1!$C$3:$P$521,14,0)</f>
        <v>#N/A</v>
      </c>
    </row>
    <row r="295" spans="1:19" ht="18.75" hidden="1" x14ac:dyDescent="0.25">
      <c r="A295" s="39">
        <v>267</v>
      </c>
      <c r="B295" s="39" t="s">
        <v>239</v>
      </c>
      <c r="C295" s="39" t="s">
        <v>273</v>
      </c>
      <c r="D295" s="27" t="s">
        <v>274</v>
      </c>
      <c r="E295" s="27" t="s">
        <v>78</v>
      </c>
      <c r="F295" s="5" t="s">
        <v>49</v>
      </c>
      <c r="G295" s="21">
        <v>1</v>
      </c>
      <c r="H295" s="22">
        <v>0</v>
      </c>
      <c r="I295" s="22">
        <f t="shared" si="32"/>
        <v>0</v>
      </c>
      <c r="J295" s="5">
        <v>14</v>
      </c>
      <c r="K295" s="23">
        <f t="shared" si="28"/>
        <v>0</v>
      </c>
      <c r="L295" s="58">
        <f>(IFERROR(VLOOKUP(C295,'Current Stocks July-26'!B:K,9,0),0))</f>
        <v>1</v>
      </c>
      <c r="M295" s="24">
        <f t="shared" si="29"/>
        <v>0</v>
      </c>
      <c r="N295" s="25" t="str">
        <f t="shared" si="30"/>
        <v>ORDER NOW</v>
      </c>
      <c r="O295" s="25" t="str">
        <f t="shared" si="31"/>
        <v>CRITICAL</v>
      </c>
      <c r="P295" s="5"/>
      <c r="Q295" s="5"/>
      <c r="R295" s="5"/>
      <c r="S295" s="90" t="e">
        <f>VLOOKUP(C295,[3]Sheet1!$C$3:$P$521,14,0)</f>
        <v>#N/A</v>
      </c>
    </row>
    <row r="296" spans="1:19" ht="18.75" hidden="1" x14ac:dyDescent="0.25">
      <c r="A296" s="41">
        <v>498</v>
      </c>
      <c r="B296" s="41" t="s">
        <v>38</v>
      </c>
      <c r="C296" s="41" t="s">
        <v>483</v>
      </c>
      <c r="D296" s="27" t="s">
        <v>484</v>
      </c>
      <c r="E296" s="27" t="s">
        <v>64</v>
      </c>
      <c r="F296" s="5" t="s">
        <v>49</v>
      </c>
      <c r="G296" s="21">
        <v>1</v>
      </c>
      <c r="H296" s="22">
        <v>0</v>
      </c>
      <c r="I296" s="22">
        <f t="shared" si="32"/>
        <v>0</v>
      </c>
      <c r="J296" s="5">
        <v>14</v>
      </c>
      <c r="K296" s="23">
        <f t="shared" si="28"/>
        <v>0</v>
      </c>
      <c r="L296" s="58">
        <f>(IFERROR(VLOOKUP(C296,'Current Stocks July-26'!B:K,9,0),0))</f>
        <v>0</v>
      </c>
      <c r="M296" s="24">
        <f t="shared" si="29"/>
        <v>0</v>
      </c>
      <c r="N296" s="25" t="str">
        <f t="shared" si="30"/>
        <v>ORDER NOW</v>
      </c>
      <c r="O296" s="25" t="str">
        <f t="shared" si="31"/>
        <v>CRITICAL</v>
      </c>
      <c r="P296" s="5"/>
      <c r="Q296" s="5"/>
      <c r="R296" s="5"/>
      <c r="S296" s="90" t="e">
        <f>VLOOKUP(C296,[3]Sheet1!$C$3:$P$521,14,0)</f>
        <v>#N/A</v>
      </c>
    </row>
    <row r="297" spans="1:19" ht="18.75" hidden="1" x14ac:dyDescent="0.25">
      <c r="A297" s="41">
        <v>499</v>
      </c>
      <c r="B297" s="41" t="s">
        <v>38</v>
      </c>
      <c r="C297" s="41" t="s">
        <v>485</v>
      </c>
      <c r="D297" s="27" t="s">
        <v>486</v>
      </c>
      <c r="E297" s="27" t="s">
        <v>487</v>
      </c>
      <c r="F297" s="5" t="s">
        <v>22</v>
      </c>
      <c r="G297" s="21">
        <v>0.05</v>
      </c>
      <c r="H297" s="22">
        <v>0</v>
      </c>
      <c r="I297" s="22">
        <f t="shared" si="32"/>
        <v>0</v>
      </c>
      <c r="J297" s="5">
        <v>14</v>
      </c>
      <c r="K297" s="23">
        <f t="shared" si="28"/>
        <v>0</v>
      </c>
      <c r="L297" s="58">
        <f>(IFERROR(VLOOKUP(C297,'Current Stocks July-26'!B:K,9,0),0))</f>
        <v>0</v>
      </c>
      <c r="M297" s="24">
        <f t="shared" si="29"/>
        <v>0</v>
      </c>
      <c r="N297" s="25" t="str">
        <f t="shared" si="30"/>
        <v>ORDER NOW</v>
      </c>
      <c r="O297" s="25" t="str">
        <f t="shared" si="31"/>
        <v>CRITICAL</v>
      </c>
      <c r="P297" s="5"/>
      <c r="Q297" s="5"/>
      <c r="R297" s="5"/>
      <c r="S297" s="90">
        <f>VLOOKUP(C297,[3]Sheet1!$C$3:$P$521,14,0)</f>
        <v>46113.430925925924</v>
      </c>
    </row>
    <row r="298" spans="1:19" ht="18.75" hidden="1" x14ac:dyDescent="0.25">
      <c r="A298" s="41">
        <v>501</v>
      </c>
      <c r="B298" s="41" t="s">
        <v>38</v>
      </c>
      <c r="C298" s="41" t="s">
        <v>488</v>
      </c>
      <c r="D298" s="27" t="s">
        <v>489</v>
      </c>
      <c r="E298" s="27" t="s">
        <v>490</v>
      </c>
      <c r="F298" s="5" t="s">
        <v>54</v>
      </c>
      <c r="G298" s="21">
        <v>0.2</v>
      </c>
      <c r="H298" s="22">
        <v>0</v>
      </c>
      <c r="I298" s="22">
        <f t="shared" si="32"/>
        <v>0</v>
      </c>
      <c r="J298" s="5">
        <v>14</v>
      </c>
      <c r="K298" s="23">
        <f t="shared" si="28"/>
        <v>0</v>
      </c>
      <c r="L298" s="58">
        <f>(IFERROR(VLOOKUP(C298,'Current Stocks July-26'!B:K,9,0),0))</f>
        <v>10</v>
      </c>
      <c r="M298" s="24">
        <f t="shared" si="29"/>
        <v>0</v>
      </c>
      <c r="N298" s="25" t="str">
        <f t="shared" si="30"/>
        <v>ORDER NOW</v>
      </c>
      <c r="O298" s="25" t="str">
        <f t="shared" si="31"/>
        <v>CRITICAL</v>
      </c>
      <c r="P298" s="5"/>
      <c r="Q298" s="5"/>
      <c r="R298" s="5"/>
      <c r="S298" s="90">
        <f>VLOOKUP(C298,[3]Sheet1!$C$3:$P$521,14,0)</f>
        <v>46128.694664351853</v>
      </c>
    </row>
    <row r="299" spans="1:19" ht="18.75" hidden="1" x14ac:dyDescent="0.25">
      <c r="A299" s="39">
        <v>281</v>
      </c>
      <c r="B299" s="39" t="s">
        <v>239</v>
      </c>
      <c r="C299" s="39" t="s">
        <v>950</v>
      </c>
      <c r="D299" s="27" t="s">
        <v>951</v>
      </c>
      <c r="E299" s="27" t="s">
        <v>952</v>
      </c>
      <c r="F299" s="5" t="s">
        <v>46</v>
      </c>
      <c r="G299" s="21">
        <v>0.16666666666666666</v>
      </c>
      <c r="H299" s="22">
        <v>570</v>
      </c>
      <c r="I299" s="22">
        <f t="shared" si="32"/>
        <v>3420</v>
      </c>
      <c r="J299" s="5">
        <v>14</v>
      </c>
      <c r="K299" s="23">
        <f t="shared" si="28"/>
        <v>1710</v>
      </c>
      <c r="L299" s="58">
        <f>(IFERROR(VLOOKUP(C299,'Current Stocks July-26'!B:K,9,0),0))</f>
        <v>12</v>
      </c>
      <c r="M299" s="24">
        <f t="shared" si="29"/>
        <v>0.10526315789473685</v>
      </c>
      <c r="N299" s="25" t="str">
        <f t="shared" si="30"/>
        <v>ORDER NOW</v>
      </c>
      <c r="O299" s="25" t="str">
        <f t="shared" si="31"/>
        <v>CRITICAL</v>
      </c>
      <c r="P299" s="5"/>
      <c r="Q299" s="5"/>
      <c r="R299" s="5"/>
      <c r="S299" s="90">
        <f>VLOOKUP(C299,[3]Sheet1!$C$3:$P$521,14,0)</f>
        <v>46140.606400462966</v>
      </c>
    </row>
    <row r="300" spans="1:19" ht="18.75" hidden="1" x14ac:dyDescent="0.25">
      <c r="A300" s="39">
        <v>266</v>
      </c>
      <c r="B300" s="39" t="s">
        <v>239</v>
      </c>
      <c r="C300" s="39" t="s">
        <v>271</v>
      </c>
      <c r="D300" s="27" t="s">
        <v>272</v>
      </c>
      <c r="E300" s="27" t="s">
        <v>78</v>
      </c>
      <c r="F300" s="5" t="s">
        <v>49</v>
      </c>
      <c r="G300" s="21">
        <v>1</v>
      </c>
      <c r="H300" s="22">
        <v>0</v>
      </c>
      <c r="I300" s="22">
        <f t="shared" si="32"/>
        <v>0</v>
      </c>
      <c r="J300" s="5">
        <v>14</v>
      </c>
      <c r="K300" s="23">
        <f t="shared" si="28"/>
        <v>0</v>
      </c>
      <c r="L300" s="58">
        <f>(IFERROR(VLOOKUP(C300,'Current Stocks July-26'!B:K,9,0),0))</f>
        <v>0</v>
      </c>
      <c r="M300" s="24">
        <f t="shared" si="29"/>
        <v>0</v>
      </c>
      <c r="N300" s="25" t="str">
        <f t="shared" si="30"/>
        <v>ORDER NOW</v>
      </c>
      <c r="O300" s="25" t="str">
        <f t="shared" si="31"/>
        <v>CRITICAL</v>
      </c>
      <c r="P300" s="5"/>
      <c r="Q300" s="5"/>
      <c r="R300" s="5"/>
      <c r="S300" s="90" t="e">
        <f>VLOOKUP(C300,[3]Sheet1!$C$3:$P$521,14,0)</f>
        <v>#N/A</v>
      </c>
    </row>
    <row r="301" spans="1:19" ht="18.75" hidden="1" x14ac:dyDescent="0.25">
      <c r="A301" s="41">
        <v>519</v>
      </c>
      <c r="B301" s="41" t="s">
        <v>38</v>
      </c>
      <c r="C301" s="41" t="s">
        <v>502</v>
      </c>
      <c r="D301" s="27" t="s">
        <v>503</v>
      </c>
      <c r="E301" s="43" t="s">
        <v>504</v>
      </c>
      <c r="F301" s="5" t="s">
        <v>49</v>
      </c>
      <c r="G301" s="21">
        <v>1</v>
      </c>
      <c r="H301" s="22">
        <v>0</v>
      </c>
      <c r="I301" s="22">
        <f t="shared" si="32"/>
        <v>0</v>
      </c>
      <c r="J301" s="5">
        <v>14</v>
      </c>
      <c r="K301" s="23">
        <f t="shared" si="28"/>
        <v>0</v>
      </c>
      <c r="L301" s="58">
        <f>(IFERROR(VLOOKUP(C301,'Current Stocks July-26'!B:K,9,0),0))</f>
        <v>0</v>
      </c>
      <c r="M301" s="24">
        <f t="shared" si="29"/>
        <v>0</v>
      </c>
      <c r="N301" s="25" t="str">
        <f t="shared" si="30"/>
        <v>ORDER NOW</v>
      </c>
      <c r="O301" s="25" t="str">
        <f t="shared" si="31"/>
        <v>CRITICAL</v>
      </c>
      <c r="P301" s="5"/>
      <c r="Q301" s="5"/>
      <c r="R301" s="5"/>
      <c r="S301" s="90" t="e">
        <f>VLOOKUP(C301,[3]Sheet1!$C$3:$P$521,14,0)</f>
        <v>#N/A</v>
      </c>
    </row>
    <row r="302" spans="1:19" ht="18.75" hidden="1" x14ac:dyDescent="0.25">
      <c r="A302" s="41">
        <v>483</v>
      </c>
      <c r="B302" s="41" t="s">
        <v>61</v>
      </c>
      <c r="C302" s="41" t="s">
        <v>474</v>
      </c>
      <c r="D302" s="27" t="s">
        <v>475</v>
      </c>
      <c r="E302" s="27" t="s">
        <v>476</v>
      </c>
      <c r="F302" s="5" t="s">
        <v>22</v>
      </c>
      <c r="G302" s="21">
        <v>0.1811594202898551</v>
      </c>
      <c r="H302" s="22">
        <v>0</v>
      </c>
      <c r="I302" s="22">
        <f t="shared" si="32"/>
        <v>0</v>
      </c>
      <c r="J302" s="5">
        <v>14</v>
      </c>
      <c r="K302" s="23">
        <f t="shared" si="28"/>
        <v>0</v>
      </c>
      <c r="L302" s="58">
        <f>(IFERROR(VLOOKUP(C302,'Current Stocks July-26'!B:K,9,0),0))</f>
        <v>0</v>
      </c>
      <c r="M302" s="24">
        <f t="shared" si="29"/>
        <v>0</v>
      </c>
      <c r="N302" s="25" t="str">
        <f t="shared" si="30"/>
        <v>ORDER NOW</v>
      </c>
      <c r="O302" s="25" t="str">
        <f t="shared" si="31"/>
        <v>CRITICAL</v>
      </c>
      <c r="P302" s="5"/>
      <c r="Q302" s="5"/>
      <c r="R302" s="5"/>
      <c r="S302" s="90" t="e">
        <f>VLOOKUP(C302,[3]Sheet1!$C$3:$P$521,14,0)</f>
        <v>#N/A</v>
      </c>
    </row>
    <row r="303" spans="1:19" ht="18.75" hidden="1" x14ac:dyDescent="0.25">
      <c r="A303" s="41">
        <v>514</v>
      </c>
      <c r="B303" s="41" t="s">
        <v>38</v>
      </c>
      <c r="C303" s="41" t="s">
        <v>497</v>
      </c>
      <c r="D303" s="27" t="s">
        <v>498</v>
      </c>
      <c r="E303" s="27" t="s">
        <v>496</v>
      </c>
      <c r="F303" s="5" t="s">
        <v>22</v>
      </c>
      <c r="G303" s="21">
        <v>0.125</v>
      </c>
      <c r="H303" s="22">
        <v>0</v>
      </c>
      <c r="I303" s="22">
        <f t="shared" si="32"/>
        <v>0</v>
      </c>
      <c r="J303" s="5">
        <v>14</v>
      </c>
      <c r="K303" s="23">
        <f t="shared" si="28"/>
        <v>0</v>
      </c>
      <c r="L303" s="58">
        <f>(IFERROR(VLOOKUP(C303,'Current Stocks July-26'!B:K,9,0),0))</f>
        <v>0</v>
      </c>
      <c r="M303" s="24">
        <f t="shared" si="29"/>
        <v>0</v>
      </c>
      <c r="N303" s="25" t="str">
        <f t="shared" si="30"/>
        <v>ORDER NOW</v>
      </c>
      <c r="O303" s="25" t="str">
        <f t="shared" si="31"/>
        <v>CRITICAL</v>
      </c>
      <c r="P303" s="5"/>
      <c r="Q303" s="5"/>
      <c r="R303" s="5"/>
      <c r="S303" s="90">
        <f>VLOOKUP(C303,[3]Sheet1!$C$3:$P$521,14,0)</f>
        <v>46118.497812499998</v>
      </c>
    </row>
    <row r="304" spans="1:19" ht="18.75" hidden="1" x14ac:dyDescent="0.25">
      <c r="A304" s="19">
        <v>159</v>
      </c>
      <c r="B304" s="19" t="s">
        <v>18</v>
      </c>
      <c r="C304" s="19" t="s">
        <v>219</v>
      </c>
      <c r="D304" s="29" t="s">
        <v>220</v>
      </c>
      <c r="E304" s="27" t="s">
        <v>49</v>
      </c>
      <c r="F304" s="5" t="s">
        <v>49</v>
      </c>
      <c r="G304" s="21">
        <v>1</v>
      </c>
      <c r="H304" s="22">
        <v>3</v>
      </c>
      <c r="I304" s="22"/>
      <c r="J304" s="5">
        <v>14</v>
      </c>
      <c r="K304" s="23">
        <f t="shared" si="28"/>
        <v>0</v>
      </c>
      <c r="L304" s="58">
        <f>(IFERROR(VLOOKUP(C304,'Current Stocks July-26'!B:K,9,0),0))</f>
        <v>0</v>
      </c>
      <c r="M304" s="24">
        <f t="shared" si="29"/>
        <v>0</v>
      </c>
      <c r="N304" s="25" t="str">
        <f t="shared" si="30"/>
        <v>ORDER NOW</v>
      </c>
      <c r="O304" s="25" t="str">
        <f t="shared" si="31"/>
        <v>CRITICAL</v>
      </c>
      <c r="P304" s="5"/>
      <c r="Q304" s="5"/>
      <c r="R304" s="5"/>
      <c r="S304" s="90" t="e">
        <f>VLOOKUP(C304,[3]Sheet1!$C$3:$P$521,14,0)</f>
        <v>#N/A</v>
      </c>
    </row>
    <row r="305" spans="1:19" ht="18.75" hidden="1" x14ac:dyDescent="0.25">
      <c r="A305" s="41">
        <v>463</v>
      </c>
      <c r="B305" s="41" t="s">
        <v>38</v>
      </c>
      <c r="C305" s="41" t="s">
        <v>458</v>
      </c>
      <c r="D305" s="32" t="s">
        <v>459</v>
      </c>
      <c r="E305" s="27" t="s">
        <v>460</v>
      </c>
      <c r="F305" s="5" t="s">
        <v>49</v>
      </c>
      <c r="G305" s="21">
        <v>6.6666666666666666E-2</v>
      </c>
      <c r="H305" s="22">
        <v>0</v>
      </c>
      <c r="I305" s="22">
        <f t="shared" ref="I305:I336" si="33">H305/G305</f>
        <v>0</v>
      </c>
      <c r="J305" s="5">
        <v>14</v>
      </c>
      <c r="K305" s="23">
        <f t="shared" si="28"/>
        <v>0</v>
      </c>
      <c r="L305" s="58">
        <f>(IFERROR(VLOOKUP(C305,'Current Stocks July-26'!B:K,9,0),0))</f>
        <v>0</v>
      </c>
      <c r="M305" s="24">
        <f t="shared" si="29"/>
        <v>0</v>
      </c>
      <c r="N305" s="25" t="str">
        <f t="shared" si="30"/>
        <v>ORDER NOW</v>
      </c>
      <c r="O305" s="25" t="str">
        <f t="shared" si="31"/>
        <v>CRITICAL</v>
      </c>
      <c r="P305" s="5"/>
      <c r="Q305" s="5"/>
      <c r="R305" s="5"/>
      <c r="S305" s="90" t="e">
        <f>VLOOKUP(C305,[3]Sheet1!$C$3:$P$521,14,0)</f>
        <v>#N/A</v>
      </c>
    </row>
    <row r="306" spans="1:19" ht="18.75" hidden="1" x14ac:dyDescent="0.25">
      <c r="A306" s="19">
        <v>178</v>
      </c>
      <c r="B306" s="19" t="s">
        <v>18</v>
      </c>
      <c r="C306" s="19" t="s">
        <v>31</v>
      </c>
      <c r="D306" s="29" t="s">
        <v>32</v>
      </c>
      <c r="E306" s="31" t="s">
        <v>1642</v>
      </c>
      <c r="F306" s="5" t="s">
        <v>22</v>
      </c>
      <c r="G306" s="21">
        <f>1/480</f>
        <v>2.0833333333333333E-3</v>
      </c>
      <c r="H306" s="22">
        <v>8</v>
      </c>
      <c r="I306" s="22">
        <f t="shared" si="33"/>
        <v>3840</v>
      </c>
      <c r="J306" s="5">
        <v>14</v>
      </c>
      <c r="K306" s="23">
        <f t="shared" si="28"/>
        <v>1920</v>
      </c>
      <c r="L306" s="58">
        <f>(IFERROR(VLOOKUP(C306,'Current Stocks July-26'!B:K,9,0),0))</f>
        <v>0</v>
      </c>
      <c r="M306" s="24">
        <f t="shared" si="29"/>
        <v>0</v>
      </c>
      <c r="N306" s="25" t="str">
        <f t="shared" si="30"/>
        <v>ORDER NOW</v>
      </c>
      <c r="O306" s="25" t="str">
        <f t="shared" si="31"/>
        <v>CRITICAL</v>
      </c>
      <c r="P306" s="5"/>
      <c r="Q306" s="5"/>
      <c r="R306" s="5"/>
      <c r="S306" s="90">
        <f>VLOOKUP(C306,[3]Sheet1!$C$3:$P$521,14,0)</f>
        <v>46134.446620370371</v>
      </c>
    </row>
    <row r="307" spans="1:19" ht="18.75" hidden="1" x14ac:dyDescent="0.25">
      <c r="A307" s="19">
        <v>49</v>
      </c>
      <c r="B307" s="19" t="s">
        <v>18</v>
      </c>
      <c r="C307" s="19" t="s">
        <v>154</v>
      </c>
      <c r="D307" s="68" t="s">
        <v>155</v>
      </c>
      <c r="E307" s="27" t="s">
        <v>156</v>
      </c>
      <c r="F307" s="5" t="s">
        <v>22</v>
      </c>
      <c r="G307" s="21">
        <f>1/8000</f>
        <v>1.25E-4</v>
      </c>
      <c r="H307" s="22">
        <v>0</v>
      </c>
      <c r="I307" s="22">
        <f t="shared" si="33"/>
        <v>0</v>
      </c>
      <c r="J307" s="5">
        <v>14</v>
      </c>
      <c r="K307" s="23">
        <f t="shared" si="28"/>
        <v>0</v>
      </c>
      <c r="L307" s="58">
        <f>(IFERROR(VLOOKUP(C307,'Current Stocks July-26'!B:K,9,0),0))</f>
        <v>8000</v>
      </c>
      <c r="M307" s="24">
        <f t="shared" si="29"/>
        <v>0</v>
      </c>
      <c r="N307" s="25" t="str">
        <f t="shared" si="30"/>
        <v>ORDER NOW</v>
      </c>
      <c r="O307" s="25" t="str">
        <f t="shared" si="31"/>
        <v>CRITICAL</v>
      </c>
      <c r="P307" s="5"/>
      <c r="Q307" s="5"/>
      <c r="R307" s="5" t="s">
        <v>30</v>
      </c>
      <c r="S307" s="90" t="e">
        <f>VLOOKUP(C307,[3]Sheet1!$C$3:$P$521,14,0)</f>
        <v>#N/A</v>
      </c>
    </row>
    <row r="308" spans="1:19" ht="18.75" hidden="1" x14ac:dyDescent="0.25">
      <c r="A308" s="19">
        <v>7</v>
      </c>
      <c r="B308" s="19"/>
      <c r="C308" s="19" t="s">
        <v>1256</v>
      </c>
      <c r="D308" s="4" t="s">
        <v>1257</v>
      </c>
      <c r="E308" s="31" t="s">
        <v>1258</v>
      </c>
      <c r="F308" s="5" t="s">
        <v>49</v>
      </c>
      <c r="G308" s="21">
        <f>1/1500</f>
        <v>6.6666666666666664E-4</v>
      </c>
      <c r="H308" s="22">
        <v>6</v>
      </c>
      <c r="I308" s="22">
        <f t="shared" si="33"/>
        <v>9000</v>
      </c>
      <c r="J308" s="5">
        <v>60</v>
      </c>
      <c r="K308" s="23">
        <f t="shared" si="28"/>
        <v>19285.714285714286</v>
      </c>
      <c r="L308" s="58">
        <f>(IFERROR(VLOOKUP(C308,'Current Stocks July-26'!B:K,9,0),0))</f>
        <v>0</v>
      </c>
      <c r="M308" s="24">
        <f t="shared" si="29"/>
        <v>0</v>
      </c>
      <c r="N308" s="25" t="str">
        <f t="shared" si="30"/>
        <v>ORDER NOW</v>
      </c>
      <c r="O308" s="25" t="str">
        <f t="shared" si="31"/>
        <v>CRITICAL</v>
      </c>
      <c r="P308" s="5"/>
      <c r="Q308" s="5"/>
      <c r="R308" s="5" t="s">
        <v>30</v>
      </c>
      <c r="S308" s="90">
        <f>VLOOKUP(C308,[3]Sheet1!$C$3:$P$521,14,0)</f>
        <v>46134.446701388886</v>
      </c>
    </row>
    <row r="309" spans="1:19" ht="18.75" hidden="1" x14ac:dyDescent="0.25">
      <c r="A309" s="39">
        <v>316</v>
      </c>
      <c r="B309" s="39" t="s">
        <v>157</v>
      </c>
      <c r="C309" s="39" t="s">
        <v>347</v>
      </c>
      <c r="D309" s="27" t="s">
        <v>348</v>
      </c>
      <c r="E309" s="27" t="s">
        <v>349</v>
      </c>
      <c r="F309" s="5" t="s">
        <v>22</v>
      </c>
      <c r="G309" s="21">
        <f>1/36</f>
        <v>2.7777777777777776E-2</v>
      </c>
      <c r="H309" s="22">
        <v>0</v>
      </c>
      <c r="I309" s="22">
        <f t="shared" si="33"/>
        <v>0</v>
      </c>
      <c r="J309" s="5">
        <v>14</v>
      </c>
      <c r="K309" s="23">
        <f t="shared" si="28"/>
        <v>0</v>
      </c>
      <c r="L309" s="58">
        <f>(IFERROR(VLOOKUP(C309,'Current Stocks July-26'!B:K,9,0),0))</f>
        <v>0</v>
      </c>
      <c r="M309" s="24">
        <f t="shared" si="29"/>
        <v>0</v>
      </c>
      <c r="N309" s="25" t="str">
        <f t="shared" si="30"/>
        <v>ORDER NOW</v>
      </c>
      <c r="O309" s="25" t="str">
        <f t="shared" si="31"/>
        <v>CRITICAL</v>
      </c>
      <c r="P309" s="5"/>
      <c r="Q309" s="5"/>
      <c r="R309" s="5"/>
      <c r="S309" s="90" t="e">
        <f>VLOOKUP(C309,[3]Sheet1!$C$3:$P$521,14,0)</f>
        <v>#N/A</v>
      </c>
    </row>
    <row r="310" spans="1:19" ht="18.75" hidden="1" x14ac:dyDescent="0.25">
      <c r="A310" s="19">
        <v>29</v>
      </c>
      <c r="B310" s="19" t="s">
        <v>18</v>
      </c>
      <c r="C310" s="19" t="s">
        <v>149</v>
      </c>
      <c r="D310" s="68" t="s">
        <v>150</v>
      </c>
      <c r="E310" s="27" t="s">
        <v>151</v>
      </c>
      <c r="F310" s="5" t="s">
        <v>22</v>
      </c>
      <c r="G310" s="21">
        <f>1/1000</f>
        <v>1E-3</v>
      </c>
      <c r="H310" s="22">
        <v>0</v>
      </c>
      <c r="I310" s="22">
        <f t="shared" si="33"/>
        <v>0</v>
      </c>
      <c r="J310" s="5">
        <v>60</v>
      </c>
      <c r="K310" s="23">
        <f t="shared" si="28"/>
        <v>0</v>
      </c>
      <c r="L310" s="58">
        <f>(IFERROR(VLOOKUP(C310,'Current Stocks July-26'!B:K,9,0),0))</f>
        <v>0</v>
      </c>
      <c r="M310" s="24">
        <f t="shared" si="29"/>
        <v>0</v>
      </c>
      <c r="N310" s="25" t="str">
        <f t="shared" si="30"/>
        <v>ORDER NOW</v>
      </c>
      <c r="O310" s="25" t="str">
        <f t="shared" si="31"/>
        <v>CRITICAL</v>
      </c>
      <c r="P310" s="5"/>
      <c r="Q310" s="5"/>
      <c r="R310" s="5" t="s">
        <v>26</v>
      </c>
      <c r="S310" s="90" t="e">
        <f>VLOOKUP(C310,[3]Sheet1!$C$3:$P$521,14,0)</f>
        <v>#N/A</v>
      </c>
    </row>
    <row r="311" spans="1:19" ht="18.75" hidden="1" x14ac:dyDescent="0.25">
      <c r="A311" s="39">
        <v>306</v>
      </c>
      <c r="B311" s="39" t="s">
        <v>18</v>
      </c>
      <c r="C311" s="39" t="s">
        <v>329</v>
      </c>
      <c r="D311" s="27" t="s">
        <v>330</v>
      </c>
      <c r="E311" s="27" t="s">
        <v>78</v>
      </c>
      <c r="F311" s="5" t="s">
        <v>49</v>
      </c>
      <c r="G311" s="21">
        <v>1</v>
      </c>
      <c r="H311" s="22">
        <v>0</v>
      </c>
      <c r="I311" s="22">
        <f t="shared" si="33"/>
        <v>0</v>
      </c>
      <c r="J311" s="5">
        <v>14</v>
      </c>
      <c r="K311" s="23">
        <f t="shared" si="28"/>
        <v>0</v>
      </c>
      <c r="L311" s="58">
        <f>(IFERROR(VLOOKUP(C311,'Current Stocks July-26'!B:K,9,0),0))</f>
        <v>0</v>
      </c>
      <c r="M311" s="24">
        <f t="shared" si="29"/>
        <v>0</v>
      </c>
      <c r="N311" s="25" t="str">
        <f t="shared" si="30"/>
        <v>ORDER NOW</v>
      </c>
      <c r="O311" s="25" t="str">
        <f t="shared" si="31"/>
        <v>CRITICAL</v>
      </c>
      <c r="P311" s="5"/>
      <c r="Q311" s="5"/>
      <c r="R311" s="5"/>
      <c r="S311" s="90" t="e">
        <f>VLOOKUP(C311,[3]Sheet1!$C$3:$P$521,14,0)</f>
        <v>#N/A</v>
      </c>
    </row>
    <row r="312" spans="1:19" ht="18.75" hidden="1" x14ac:dyDescent="0.25">
      <c r="A312" s="41">
        <v>395</v>
      </c>
      <c r="B312" s="41" t="s">
        <v>38</v>
      </c>
      <c r="C312" s="41" t="s">
        <v>82</v>
      </c>
      <c r="D312" s="27" t="s">
        <v>83</v>
      </c>
      <c r="E312" s="27" t="s">
        <v>84</v>
      </c>
      <c r="F312" s="5" t="s">
        <v>64</v>
      </c>
      <c r="G312" s="21">
        <f>1/3.8</f>
        <v>0.26315789473684209</v>
      </c>
      <c r="H312" s="22">
        <v>16</v>
      </c>
      <c r="I312" s="22">
        <f t="shared" si="33"/>
        <v>60.800000000000004</v>
      </c>
      <c r="J312" s="5">
        <v>14</v>
      </c>
      <c r="K312" s="23">
        <f t="shared" si="28"/>
        <v>30.400000000000002</v>
      </c>
      <c r="L312" s="58">
        <f>(IFERROR(VLOOKUP(C312,'Current Stocks July-26'!B:K,9,0),0))</f>
        <v>0</v>
      </c>
      <c r="M312" s="24">
        <f t="shared" si="29"/>
        <v>0</v>
      </c>
      <c r="N312" s="25" t="str">
        <f t="shared" si="30"/>
        <v>ORDER NOW</v>
      </c>
      <c r="O312" s="25" t="str">
        <f t="shared" si="31"/>
        <v>CRITICAL</v>
      </c>
      <c r="P312" s="5"/>
      <c r="Q312" s="5"/>
      <c r="R312" s="5"/>
      <c r="S312" s="90">
        <f>VLOOKUP(C312,[3]Sheet1!$C$3:$P$521,14,0)</f>
        <v>46138.48133101852</v>
      </c>
    </row>
    <row r="313" spans="1:19" ht="18.75" hidden="1" x14ac:dyDescent="0.25">
      <c r="A313" s="41">
        <v>468</v>
      </c>
      <c r="B313" s="41" t="s">
        <v>38</v>
      </c>
      <c r="C313" s="41" t="s">
        <v>467</v>
      </c>
      <c r="D313" s="27" t="s">
        <v>468</v>
      </c>
      <c r="E313" s="27" t="s">
        <v>469</v>
      </c>
      <c r="F313" s="5" t="s">
        <v>54</v>
      </c>
      <c r="G313" s="21">
        <v>6.6666666666666666E-2</v>
      </c>
      <c r="H313" s="22">
        <v>120</v>
      </c>
      <c r="I313" s="22">
        <f t="shared" si="33"/>
        <v>1800</v>
      </c>
      <c r="J313" s="5">
        <v>14</v>
      </c>
      <c r="K313" s="23">
        <f t="shared" si="28"/>
        <v>900</v>
      </c>
      <c r="L313" s="58">
        <f>(IFERROR(VLOOKUP(C313,'Current Stocks July-26'!B:K,9,0),0))</f>
        <v>0</v>
      </c>
      <c r="M313" s="24">
        <f t="shared" si="29"/>
        <v>0</v>
      </c>
      <c r="N313" s="25" t="str">
        <f t="shared" si="30"/>
        <v>ORDER NOW</v>
      </c>
      <c r="O313" s="25" t="str">
        <f t="shared" si="31"/>
        <v>CRITICAL</v>
      </c>
      <c r="P313" s="5"/>
      <c r="Q313" s="5"/>
      <c r="R313" s="5"/>
      <c r="S313" s="90">
        <f>VLOOKUP(C313,[3]Sheet1!$C$3:$P$521,14,0)</f>
        <v>46113.430925925924</v>
      </c>
    </row>
    <row r="314" spans="1:19" ht="18.75" hidden="1" x14ac:dyDescent="0.25">
      <c r="A314" s="19">
        <v>9</v>
      </c>
      <c r="B314" s="19" t="s">
        <v>18</v>
      </c>
      <c r="C314" s="19" t="s">
        <v>1232</v>
      </c>
      <c r="D314" s="27" t="s">
        <v>1233</v>
      </c>
      <c r="E314" s="27" t="s">
        <v>186</v>
      </c>
      <c r="F314" s="5" t="s">
        <v>22</v>
      </c>
      <c r="G314" s="21">
        <v>2E-3</v>
      </c>
      <c r="H314" s="22">
        <v>627</v>
      </c>
      <c r="I314" s="22">
        <f t="shared" si="33"/>
        <v>313500</v>
      </c>
      <c r="J314" s="5">
        <v>60</v>
      </c>
      <c r="K314" s="23">
        <f t="shared" si="28"/>
        <v>671785.71428571432</v>
      </c>
      <c r="L314" s="58">
        <f>(IFERROR(VLOOKUP(C314,'Current Stocks July-26'!B:K,9,0),0))</f>
        <v>0</v>
      </c>
      <c r="M314" s="24">
        <f t="shared" si="29"/>
        <v>0</v>
      </c>
      <c r="N314" s="25" t="str">
        <f t="shared" si="30"/>
        <v>ORDER NOW</v>
      </c>
      <c r="O314" s="25" t="str">
        <f t="shared" si="31"/>
        <v>CRITICAL</v>
      </c>
      <c r="P314" s="5"/>
      <c r="Q314" s="5"/>
      <c r="R314" s="5" t="s">
        <v>30</v>
      </c>
      <c r="S314" s="90">
        <f>VLOOKUP(C314,[3]Sheet1!$C$3:$P$521,14,0)</f>
        <v>46138.481736111113</v>
      </c>
    </row>
    <row r="315" spans="1:19" ht="18.75" hidden="1" x14ac:dyDescent="0.25">
      <c r="A315" s="41">
        <v>554</v>
      </c>
      <c r="B315" s="41" t="s">
        <v>38</v>
      </c>
      <c r="C315" s="41" t="s">
        <v>1169</v>
      </c>
      <c r="D315" s="37" t="s">
        <v>1170</v>
      </c>
      <c r="E315" s="31" t="s">
        <v>22</v>
      </c>
      <c r="F315" s="5" t="s">
        <v>22</v>
      </c>
      <c r="G315" s="21">
        <v>1</v>
      </c>
      <c r="H315" s="22">
        <v>5</v>
      </c>
      <c r="I315" s="22">
        <f t="shared" si="33"/>
        <v>5</v>
      </c>
      <c r="J315" s="5">
        <v>14</v>
      </c>
      <c r="K315" s="23">
        <f t="shared" si="28"/>
        <v>2.5</v>
      </c>
      <c r="L315" s="58">
        <f>(IFERROR(VLOOKUP(C315,'Current Stocks July-26'!B:K,9,0),0))</f>
        <v>0</v>
      </c>
      <c r="M315" s="24">
        <f t="shared" si="29"/>
        <v>0</v>
      </c>
      <c r="N315" s="25" t="str">
        <f t="shared" si="30"/>
        <v>ORDER NOW</v>
      </c>
      <c r="O315" s="25" t="str">
        <f t="shared" si="31"/>
        <v>CRITICAL</v>
      </c>
      <c r="P315" s="5"/>
      <c r="Q315" s="5"/>
      <c r="R315" s="5"/>
      <c r="S315" s="90">
        <f>VLOOKUP(C315,[3]Sheet1!$C$3:$P$521,14,0)</f>
        <v>46131.518333333333</v>
      </c>
    </row>
    <row r="316" spans="1:19" ht="18.75" hidden="1" x14ac:dyDescent="0.25">
      <c r="A316" s="41">
        <v>516</v>
      </c>
      <c r="B316" s="41" t="s">
        <v>38</v>
      </c>
      <c r="C316" s="41" t="s">
        <v>55</v>
      </c>
      <c r="D316" s="32" t="s">
        <v>56</v>
      </c>
      <c r="E316" s="27" t="s">
        <v>57</v>
      </c>
      <c r="F316" s="5" t="s">
        <v>54</v>
      </c>
      <c r="G316" s="21">
        <v>0.14285714285714285</v>
      </c>
      <c r="H316" s="22">
        <v>43</v>
      </c>
      <c r="I316" s="22">
        <f t="shared" si="33"/>
        <v>301</v>
      </c>
      <c r="J316" s="5">
        <v>14</v>
      </c>
      <c r="K316" s="23">
        <f t="shared" si="28"/>
        <v>150.5</v>
      </c>
      <c r="L316" s="58">
        <f>(IFERROR(VLOOKUP(C316,'Current Stocks July-26'!B:K,9,0),0))</f>
        <v>0</v>
      </c>
      <c r="M316" s="24">
        <f t="shared" si="29"/>
        <v>0</v>
      </c>
      <c r="N316" s="25" t="str">
        <f t="shared" si="30"/>
        <v>ORDER NOW</v>
      </c>
      <c r="O316" s="25" t="str">
        <f t="shared" si="31"/>
        <v>CRITICAL</v>
      </c>
      <c r="P316" s="5"/>
      <c r="Q316" s="5"/>
      <c r="R316" s="5"/>
      <c r="S316" s="90">
        <f>VLOOKUP(C316,[3]Sheet1!$C$3:$P$521,14,0)</f>
        <v>46113.430925925924</v>
      </c>
    </row>
    <row r="317" spans="1:19" ht="18.75" hidden="1" x14ac:dyDescent="0.25">
      <c r="A317" s="41">
        <v>421</v>
      </c>
      <c r="B317" s="41" t="s">
        <v>38</v>
      </c>
      <c r="C317" s="41" t="s">
        <v>399</v>
      </c>
      <c r="D317" s="27" t="s">
        <v>400</v>
      </c>
      <c r="E317" s="27" t="s">
        <v>401</v>
      </c>
      <c r="F317" s="5" t="s">
        <v>54</v>
      </c>
      <c r="G317" s="21">
        <v>0.04</v>
      </c>
      <c r="H317" s="22">
        <v>4</v>
      </c>
      <c r="I317" s="22">
        <f t="shared" si="33"/>
        <v>100</v>
      </c>
      <c r="J317" s="5">
        <v>14</v>
      </c>
      <c r="K317" s="23">
        <f t="shared" si="28"/>
        <v>50</v>
      </c>
      <c r="L317" s="58">
        <f>(IFERROR(VLOOKUP(C317,'Current Stocks July-26'!B:K,9,0),0))</f>
        <v>0</v>
      </c>
      <c r="M317" s="24">
        <f t="shared" si="29"/>
        <v>0</v>
      </c>
      <c r="N317" s="25" t="str">
        <f t="shared" si="30"/>
        <v>ORDER NOW</v>
      </c>
      <c r="O317" s="25" t="str">
        <f t="shared" si="31"/>
        <v>CRITICAL</v>
      </c>
      <c r="P317" s="5"/>
      <c r="Q317" s="5"/>
      <c r="R317" s="5"/>
      <c r="S317" s="90">
        <f>VLOOKUP(C317,[3]Sheet1!$C$3:$P$521,14,0)</f>
        <v>46131.517870370371</v>
      </c>
    </row>
    <row r="318" spans="1:19" ht="18.75" hidden="1" x14ac:dyDescent="0.25">
      <c r="A318" s="19">
        <v>16</v>
      </c>
      <c r="B318" s="19" t="s">
        <v>18</v>
      </c>
      <c r="C318" s="19" t="s">
        <v>1450</v>
      </c>
      <c r="D318" s="29" t="s">
        <v>1451</v>
      </c>
      <c r="E318" s="29" t="s">
        <v>1452</v>
      </c>
      <c r="F318" s="5" t="s">
        <v>22</v>
      </c>
      <c r="G318" s="21">
        <v>5.0000000000000001E-3</v>
      </c>
      <c r="H318" s="22">
        <v>170.5</v>
      </c>
      <c r="I318" s="22">
        <f t="shared" si="33"/>
        <v>34100</v>
      </c>
      <c r="J318" s="5">
        <v>14</v>
      </c>
      <c r="K318" s="23">
        <f t="shared" si="28"/>
        <v>17050</v>
      </c>
      <c r="L318" s="58">
        <f>(IFERROR(VLOOKUP(C318,'Current Stocks July-26'!B:K,9,0),0))</f>
        <v>0</v>
      </c>
      <c r="M318" s="24">
        <f t="shared" si="29"/>
        <v>0</v>
      </c>
      <c r="N318" s="25" t="str">
        <f t="shared" si="30"/>
        <v>ORDER NOW</v>
      </c>
      <c r="O318" s="25" t="str">
        <f t="shared" si="31"/>
        <v>CRITICAL</v>
      </c>
      <c r="P318" s="5"/>
      <c r="Q318" s="5"/>
      <c r="R318" s="5" t="s">
        <v>30</v>
      </c>
      <c r="S318" s="90" t="str">
        <f>VLOOKUP(C318,[3]Sheet1!$C$3:$P$521,14,0)</f>
        <v/>
      </c>
    </row>
    <row r="319" spans="1:19" ht="18.75" hidden="1" x14ac:dyDescent="0.25">
      <c r="A319" s="41">
        <v>496</v>
      </c>
      <c r="B319" s="41" t="s">
        <v>38</v>
      </c>
      <c r="C319" s="41" t="s">
        <v>1094</v>
      </c>
      <c r="D319" s="72" t="s">
        <v>1095</v>
      </c>
      <c r="E319" s="27" t="s">
        <v>64</v>
      </c>
      <c r="F319" s="5" t="s">
        <v>49</v>
      </c>
      <c r="G319" s="21">
        <v>1</v>
      </c>
      <c r="H319" s="22">
        <v>10</v>
      </c>
      <c r="I319" s="22">
        <f t="shared" si="33"/>
        <v>10</v>
      </c>
      <c r="J319" s="5">
        <v>14</v>
      </c>
      <c r="K319" s="23">
        <f t="shared" si="28"/>
        <v>5</v>
      </c>
      <c r="L319" s="58">
        <f>(IFERROR(VLOOKUP(C319,'Current Stocks July-26'!B:K,9,0),0))</f>
        <v>0</v>
      </c>
      <c r="M319" s="24">
        <f t="shared" si="29"/>
        <v>0</v>
      </c>
      <c r="N319" s="25" t="str">
        <f t="shared" si="30"/>
        <v>ORDER NOW</v>
      </c>
      <c r="O319" s="25" t="str">
        <f t="shared" si="31"/>
        <v>CRITICAL</v>
      </c>
      <c r="P319" s="5"/>
      <c r="Q319" s="5"/>
      <c r="R319" s="5"/>
      <c r="S319" s="90">
        <f>VLOOKUP(C319,[3]Sheet1!$C$3:$P$521,14,0)</f>
        <v>46141.52548611111</v>
      </c>
    </row>
    <row r="320" spans="1:19" ht="18.75" hidden="1" x14ac:dyDescent="0.25">
      <c r="A320" s="41">
        <v>542</v>
      </c>
      <c r="B320" s="41" t="s">
        <v>61</v>
      </c>
      <c r="C320" s="41" t="s">
        <v>817</v>
      </c>
      <c r="D320" s="37" t="s">
        <v>818</v>
      </c>
      <c r="E320" s="31" t="s">
        <v>64</v>
      </c>
      <c r="F320" s="5" t="s">
        <v>49</v>
      </c>
      <c r="G320" s="21">
        <v>1</v>
      </c>
      <c r="H320" s="22">
        <v>15</v>
      </c>
      <c r="I320" s="22">
        <f t="shared" si="33"/>
        <v>15</v>
      </c>
      <c r="J320" s="5">
        <v>14</v>
      </c>
      <c r="K320" s="23">
        <f t="shared" si="28"/>
        <v>7.5</v>
      </c>
      <c r="L320" s="58">
        <f>(IFERROR(VLOOKUP(C320,'Current Stocks July-26'!B:K,9,0),0))</f>
        <v>0</v>
      </c>
      <c r="M320" s="24">
        <f t="shared" si="29"/>
        <v>0</v>
      </c>
      <c r="N320" s="25" t="str">
        <f t="shared" si="30"/>
        <v>ORDER NOW</v>
      </c>
      <c r="O320" s="25" t="str">
        <f t="shared" si="31"/>
        <v>CRITICAL</v>
      </c>
      <c r="P320" s="5"/>
      <c r="Q320" s="5"/>
      <c r="R320" s="5"/>
      <c r="S320" s="90">
        <f>VLOOKUP(C320,[3]Sheet1!$C$3:$P$521,14,0)</f>
        <v>46131.432025462964</v>
      </c>
    </row>
    <row r="321" spans="1:19" ht="18.75" hidden="1" x14ac:dyDescent="0.25">
      <c r="A321" s="41">
        <v>531</v>
      </c>
      <c r="B321" s="41" t="s">
        <v>38</v>
      </c>
      <c r="C321" s="41" t="s">
        <v>1134</v>
      </c>
      <c r="D321" s="37" t="s">
        <v>1135</v>
      </c>
      <c r="E321" s="31" t="s">
        <v>64</v>
      </c>
      <c r="F321" s="5" t="s">
        <v>22</v>
      </c>
      <c r="G321" s="21">
        <v>1</v>
      </c>
      <c r="H321" s="22">
        <v>5</v>
      </c>
      <c r="I321" s="22">
        <f t="shared" si="33"/>
        <v>5</v>
      </c>
      <c r="J321" s="5">
        <v>14</v>
      </c>
      <c r="K321" s="23">
        <f t="shared" si="28"/>
        <v>2.5</v>
      </c>
      <c r="L321" s="58">
        <f>(IFERROR(VLOOKUP(C321,'Current Stocks July-26'!B:K,9,0),0))</f>
        <v>0</v>
      </c>
      <c r="M321" s="24">
        <f t="shared" si="29"/>
        <v>0</v>
      </c>
      <c r="N321" s="25" t="str">
        <f t="shared" si="30"/>
        <v>ORDER NOW</v>
      </c>
      <c r="O321" s="25" t="str">
        <f t="shared" si="31"/>
        <v>CRITICAL</v>
      </c>
      <c r="P321" s="5"/>
      <c r="Q321" s="5"/>
      <c r="R321" s="5"/>
      <c r="S321" s="90">
        <f>VLOOKUP(C321,[3]Sheet1!$C$3:$P$521,14,0)</f>
        <v>46131.518113425926</v>
      </c>
    </row>
    <row r="322" spans="1:19" ht="18.75" hidden="1" x14ac:dyDescent="0.25">
      <c r="A322" s="41">
        <v>486</v>
      </c>
      <c r="B322" s="41" t="s">
        <v>38</v>
      </c>
      <c r="C322" s="41" t="s">
        <v>1282</v>
      </c>
      <c r="D322" s="27" t="s">
        <v>1283</v>
      </c>
      <c r="E322" s="27" t="s">
        <v>1284</v>
      </c>
      <c r="F322" s="5" t="s">
        <v>89</v>
      </c>
      <c r="G322" s="21">
        <f>1/12*0.98</f>
        <v>8.1666666666666665E-2</v>
      </c>
      <c r="H322" s="22">
        <v>1</v>
      </c>
      <c r="I322" s="22">
        <f t="shared" si="33"/>
        <v>12.244897959183673</v>
      </c>
      <c r="J322" s="5">
        <v>14</v>
      </c>
      <c r="K322" s="23">
        <f t="shared" si="28"/>
        <v>6.1224489795918364</v>
      </c>
      <c r="L322" s="58">
        <f>(IFERROR(VLOOKUP(C322,'Current Stocks July-26'!B:K,9,0),0))</f>
        <v>0</v>
      </c>
      <c r="M322" s="24">
        <f t="shared" si="29"/>
        <v>0</v>
      </c>
      <c r="N322" s="25" t="str">
        <f t="shared" si="30"/>
        <v>ORDER NOW</v>
      </c>
      <c r="O322" s="25" t="str">
        <f t="shared" si="31"/>
        <v>CRITICAL</v>
      </c>
      <c r="P322" s="5"/>
      <c r="Q322" s="5"/>
      <c r="R322" s="5"/>
      <c r="S322" s="90">
        <f>VLOOKUP(C322,[3]Sheet1!$C$3:$P$521,14,0)</f>
        <v>46131.519016203703</v>
      </c>
    </row>
    <row r="323" spans="1:19" ht="18.75" hidden="1" x14ac:dyDescent="0.25">
      <c r="A323" s="41">
        <v>504</v>
      </c>
      <c r="B323" s="41" t="s">
        <v>38</v>
      </c>
      <c r="C323" s="41" t="s">
        <v>1555</v>
      </c>
      <c r="D323" s="27" t="s">
        <v>1556</v>
      </c>
      <c r="E323" s="27" t="s">
        <v>1557</v>
      </c>
      <c r="F323" s="5" t="s">
        <v>54</v>
      </c>
      <c r="G323" s="21">
        <v>0.1</v>
      </c>
      <c r="H323" s="22">
        <v>1</v>
      </c>
      <c r="I323" s="22">
        <f t="shared" si="33"/>
        <v>10</v>
      </c>
      <c r="J323" s="5">
        <v>14</v>
      </c>
      <c r="K323" s="23">
        <f t="shared" ref="K323:K360" si="34">I323*(J323/28)</f>
        <v>5</v>
      </c>
      <c r="L323" s="58">
        <f>(IFERROR(VLOOKUP(C323,'Current Stocks July-26'!B:K,9,0),0))</f>
        <v>0</v>
      </c>
      <c r="M323" s="24">
        <f t="shared" ref="M323:M386" si="35">IFERROR((L323/I323*30),0)</f>
        <v>0</v>
      </c>
      <c r="N323" s="25" t="str">
        <f t="shared" ref="N323:N386" si="36">IF(M323&lt;J323,"ORDER NOW","IN STOCK")</f>
        <v>ORDER NOW</v>
      </c>
      <c r="O323" s="25" t="str">
        <f t="shared" ref="O323:O386" si="37">IF(M323&lt;J323,"CRITICAL","FOLLOW UP DELIVERY")</f>
        <v>CRITICAL</v>
      </c>
      <c r="P323" s="5"/>
      <c r="Q323" s="5"/>
      <c r="R323" s="5"/>
      <c r="S323" s="90">
        <f>VLOOKUP(C323,[3]Sheet1!$C$3:$P$521,14,0)</f>
        <v>46131.520439814813</v>
      </c>
    </row>
    <row r="324" spans="1:19" ht="18.75" hidden="1" x14ac:dyDescent="0.25">
      <c r="A324" s="41">
        <v>423</v>
      </c>
      <c r="B324" s="41" t="s">
        <v>38</v>
      </c>
      <c r="C324" s="41" t="s">
        <v>1057</v>
      </c>
      <c r="D324" s="27" t="s">
        <v>1058</v>
      </c>
      <c r="E324" s="27" t="s">
        <v>1059</v>
      </c>
      <c r="F324" s="5" t="s">
        <v>54</v>
      </c>
      <c r="G324" s="21">
        <v>0.04</v>
      </c>
      <c r="H324" s="22">
        <v>40</v>
      </c>
      <c r="I324" s="22">
        <f t="shared" si="33"/>
        <v>1000</v>
      </c>
      <c r="J324" s="5">
        <v>14</v>
      </c>
      <c r="K324" s="23">
        <f t="shared" si="34"/>
        <v>500</v>
      </c>
      <c r="L324" s="58">
        <f>(IFERROR(VLOOKUP(C324,'Current Stocks July-26'!B:K,9,0),0))</f>
        <v>0</v>
      </c>
      <c r="M324" s="24">
        <f t="shared" si="35"/>
        <v>0</v>
      </c>
      <c r="N324" s="25" t="str">
        <f t="shared" si="36"/>
        <v>ORDER NOW</v>
      </c>
      <c r="O324" s="25" t="str">
        <f t="shared" si="37"/>
        <v>CRITICAL</v>
      </c>
      <c r="P324" s="5"/>
      <c r="Q324" s="5"/>
      <c r="R324" s="5"/>
      <c r="S324" s="90">
        <f>VLOOKUP(C324,[3]Sheet1!$C$3:$P$521,14,0)</f>
        <v>46141.525694444441</v>
      </c>
    </row>
    <row r="325" spans="1:19" ht="18.75" hidden="1" x14ac:dyDescent="0.25">
      <c r="A325" s="41">
        <v>408</v>
      </c>
      <c r="B325" s="41" t="s">
        <v>38</v>
      </c>
      <c r="C325" s="41" t="s">
        <v>1411</v>
      </c>
      <c r="D325" s="27" t="s">
        <v>1412</v>
      </c>
      <c r="E325" s="27" t="s">
        <v>826</v>
      </c>
      <c r="F325" s="5" t="s">
        <v>49</v>
      </c>
      <c r="G325" s="21">
        <v>1</v>
      </c>
      <c r="H325" s="22">
        <v>8</v>
      </c>
      <c r="I325" s="22">
        <f t="shared" si="33"/>
        <v>8</v>
      </c>
      <c r="J325" s="5">
        <v>14</v>
      </c>
      <c r="K325" s="23">
        <f t="shared" si="34"/>
        <v>4</v>
      </c>
      <c r="L325" s="58">
        <f>(IFERROR(VLOOKUP(C325,'Current Stocks July-26'!B:K,9,0),0))</f>
        <v>0</v>
      </c>
      <c r="M325" s="24">
        <f t="shared" si="35"/>
        <v>0</v>
      </c>
      <c r="N325" s="25" t="str">
        <f t="shared" si="36"/>
        <v>ORDER NOW</v>
      </c>
      <c r="O325" s="25" t="str">
        <f t="shared" si="37"/>
        <v>CRITICAL</v>
      </c>
      <c r="P325" s="5"/>
      <c r="Q325" s="5"/>
      <c r="R325" s="5"/>
      <c r="S325" s="90">
        <f>VLOOKUP(C325,[3]Sheet1!$C$3:$P$521,14,0)</f>
        <v>46131.519699074073</v>
      </c>
    </row>
    <row r="326" spans="1:19" ht="18.75" hidden="1" x14ac:dyDescent="0.25">
      <c r="A326" s="41">
        <v>411</v>
      </c>
      <c r="B326" s="41" t="s">
        <v>38</v>
      </c>
      <c r="C326" s="41" t="s">
        <v>1443</v>
      </c>
      <c r="D326" s="27" t="s">
        <v>1444</v>
      </c>
      <c r="E326" s="27" t="s">
        <v>1445</v>
      </c>
      <c r="F326" s="5" t="s">
        <v>49</v>
      </c>
      <c r="G326" s="21">
        <v>0.37037037037037035</v>
      </c>
      <c r="H326" s="22">
        <v>11</v>
      </c>
      <c r="I326" s="22">
        <f t="shared" si="33"/>
        <v>29.700000000000003</v>
      </c>
      <c r="J326" s="5">
        <v>14</v>
      </c>
      <c r="K326" s="23">
        <f t="shared" si="34"/>
        <v>14.850000000000001</v>
      </c>
      <c r="L326" s="58">
        <f>(IFERROR(VLOOKUP(C326,'Current Stocks July-26'!B:K,9,0),0))</f>
        <v>0</v>
      </c>
      <c r="M326" s="24">
        <f t="shared" si="35"/>
        <v>0</v>
      </c>
      <c r="N326" s="25" t="str">
        <f t="shared" si="36"/>
        <v>ORDER NOW</v>
      </c>
      <c r="O326" s="25" t="str">
        <f t="shared" si="37"/>
        <v>CRITICAL</v>
      </c>
      <c r="P326" s="5"/>
      <c r="Q326" s="5"/>
      <c r="R326" s="5"/>
      <c r="S326" s="90">
        <f>VLOOKUP(C326,[3]Sheet1!$C$3:$P$521,14,0)</f>
        <v>46131.519837962966</v>
      </c>
    </row>
    <row r="327" spans="1:19" ht="18.75" hidden="1" x14ac:dyDescent="0.25">
      <c r="A327" s="41">
        <v>462</v>
      </c>
      <c r="B327" s="41" t="s">
        <v>38</v>
      </c>
      <c r="C327" s="41" t="s">
        <v>961</v>
      </c>
      <c r="D327" s="27" t="s">
        <v>962</v>
      </c>
      <c r="E327" s="27" t="s">
        <v>963</v>
      </c>
      <c r="F327" s="5" t="s">
        <v>22</v>
      </c>
      <c r="G327" s="21">
        <v>4.1666666666666664E-2</v>
      </c>
      <c r="H327" s="22">
        <v>12</v>
      </c>
      <c r="I327" s="22">
        <f t="shared" si="33"/>
        <v>288</v>
      </c>
      <c r="J327" s="5">
        <v>14</v>
      </c>
      <c r="K327" s="23">
        <f t="shared" si="34"/>
        <v>144</v>
      </c>
      <c r="L327" s="58">
        <f>(IFERROR(VLOOKUP(C327,'Current Stocks July-26'!B:K,9,0),0))</f>
        <v>0</v>
      </c>
      <c r="M327" s="24">
        <f t="shared" si="35"/>
        <v>0</v>
      </c>
      <c r="N327" s="25" t="str">
        <f t="shared" si="36"/>
        <v>ORDER NOW</v>
      </c>
      <c r="O327" s="25" t="str">
        <f t="shared" si="37"/>
        <v>CRITICAL</v>
      </c>
      <c r="P327" s="5"/>
      <c r="Q327" s="5"/>
      <c r="R327" s="5"/>
      <c r="S327" s="90">
        <f>VLOOKUP(C327,[3]Sheet1!$C$3:$P$521,14,0)</f>
        <v>46138.62327546296</v>
      </c>
    </row>
    <row r="328" spans="1:19" ht="18.75" hidden="1" x14ac:dyDescent="0.25">
      <c r="A328" s="41">
        <v>576</v>
      </c>
      <c r="B328" s="41" t="s">
        <v>38</v>
      </c>
      <c r="C328" s="41" t="s">
        <v>540</v>
      </c>
      <c r="D328" s="4" t="s">
        <v>541</v>
      </c>
      <c r="E328" s="31" t="s">
        <v>64</v>
      </c>
      <c r="F328" s="5" t="s">
        <v>49</v>
      </c>
      <c r="G328" s="21">
        <v>1</v>
      </c>
      <c r="H328" s="22">
        <v>1</v>
      </c>
      <c r="I328" s="22">
        <f t="shared" si="33"/>
        <v>1</v>
      </c>
      <c r="J328" s="5">
        <v>14</v>
      </c>
      <c r="K328" s="23">
        <f t="shared" si="34"/>
        <v>0.5</v>
      </c>
      <c r="L328" s="58">
        <f>(IFERROR(VLOOKUP(C328,'Current Stocks July-26'!B:K,9,0),0))</f>
        <v>0</v>
      </c>
      <c r="M328" s="24">
        <f t="shared" si="35"/>
        <v>0</v>
      </c>
      <c r="N328" s="25" t="str">
        <f t="shared" si="36"/>
        <v>ORDER NOW</v>
      </c>
      <c r="O328" s="25" t="str">
        <f t="shared" si="37"/>
        <v>CRITICAL</v>
      </c>
      <c r="P328" s="5"/>
      <c r="Q328" s="5"/>
      <c r="R328" s="5"/>
      <c r="S328" s="90">
        <f>VLOOKUP(C328,[3]Sheet1!$C$3:$P$521,14,0)</f>
        <v>46131.515243055554</v>
      </c>
    </row>
    <row r="329" spans="1:19" ht="18.75" hidden="1" x14ac:dyDescent="0.25">
      <c r="A329" s="41">
        <v>428</v>
      </c>
      <c r="B329" s="41" t="s">
        <v>38</v>
      </c>
      <c r="C329" s="41" t="s">
        <v>1149</v>
      </c>
      <c r="D329" s="27" t="s">
        <v>1150</v>
      </c>
      <c r="E329" s="27" t="s">
        <v>70</v>
      </c>
      <c r="F329" s="5" t="s">
        <v>54</v>
      </c>
      <c r="G329" s="21">
        <v>0.1</v>
      </c>
      <c r="H329" s="22">
        <v>105.5</v>
      </c>
      <c r="I329" s="22">
        <f t="shared" si="33"/>
        <v>1055</v>
      </c>
      <c r="J329" s="5">
        <v>14</v>
      </c>
      <c r="K329" s="23">
        <f t="shared" si="34"/>
        <v>527.5</v>
      </c>
      <c r="L329" s="58">
        <f>(IFERROR(VLOOKUP(C329,'Current Stocks July-26'!B:K,9,0),0))</f>
        <v>300</v>
      </c>
      <c r="M329" s="24">
        <f t="shared" si="35"/>
        <v>8.5308056872037916</v>
      </c>
      <c r="N329" s="25" t="str">
        <f t="shared" si="36"/>
        <v>ORDER NOW</v>
      </c>
      <c r="O329" s="25" t="str">
        <f t="shared" si="37"/>
        <v>CRITICAL</v>
      </c>
      <c r="P329" s="5"/>
      <c r="Q329" s="5"/>
      <c r="R329" s="5"/>
      <c r="S329" s="90">
        <f>VLOOKUP(C329,[3]Sheet1!$C$3:$P$521,14,0)</f>
        <v>46138.481608796297</v>
      </c>
    </row>
    <row r="330" spans="1:19" ht="18.75" hidden="1" x14ac:dyDescent="0.25">
      <c r="A330" s="41">
        <v>527</v>
      </c>
      <c r="B330" s="41" t="s">
        <v>104</v>
      </c>
      <c r="C330" s="41" t="s">
        <v>719</v>
      </c>
      <c r="D330" s="37" t="s">
        <v>720</v>
      </c>
      <c r="E330" s="31" t="s">
        <v>22</v>
      </c>
      <c r="F330" s="5" t="s">
        <v>22</v>
      </c>
      <c r="G330" s="21">
        <v>3.3333333333333333E-2</v>
      </c>
      <c r="H330" s="22">
        <v>10</v>
      </c>
      <c r="I330" s="22">
        <f t="shared" si="33"/>
        <v>300</v>
      </c>
      <c r="J330" s="5">
        <v>14</v>
      </c>
      <c r="K330" s="23">
        <f t="shared" si="34"/>
        <v>150</v>
      </c>
      <c r="L330" s="58">
        <f>(IFERROR(VLOOKUP(C330,'Current Stocks July-26'!B:K,9,0),0))</f>
        <v>120</v>
      </c>
      <c r="M330" s="24">
        <f t="shared" si="35"/>
        <v>12</v>
      </c>
      <c r="N330" s="25" t="str">
        <f t="shared" si="36"/>
        <v>ORDER NOW</v>
      </c>
      <c r="O330" s="25" t="str">
        <f t="shared" si="37"/>
        <v>CRITICAL</v>
      </c>
      <c r="P330" s="5"/>
      <c r="Q330" s="5"/>
      <c r="R330" s="5"/>
      <c r="S330" s="90">
        <f>VLOOKUP(C330,[3]Sheet1!$C$3:$P$521,14,0)</f>
        <v>46127.531122685185</v>
      </c>
    </row>
    <row r="331" spans="1:19" ht="18.75" hidden="1" x14ac:dyDescent="0.25">
      <c r="A331" s="41">
        <v>464</v>
      </c>
      <c r="B331" s="41" t="s">
        <v>38</v>
      </c>
      <c r="C331" s="41" t="s">
        <v>1138</v>
      </c>
      <c r="D331" s="27" t="s">
        <v>1139</v>
      </c>
      <c r="E331" s="27" t="s">
        <v>466</v>
      </c>
      <c r="F331" s="5" t="s">
        <v>49</v>
      </c>
      <c r="G331" s="21">
        <v>0.04</v>
      </c>
      <c r="H331" s="22">
        <v>90</v>
      </c>
      <c r="I331" s="22">
        <f t="shared" si="33"/>
        <v>2250</v>
      </c>
      <c r="J331" s="5">
        <v>14</v>
      </c>
      <c r="K331" s="23">
        <f t="shared" si="34"/>
        <v>1125</v>
      </c>
      <c r="L331" s="58">
        <f>(IFERROR(VLOOKUP(C331,'Current Stocks July-26'!B:K,9,0),0))</f>
        <v>0</v>
      </c>
      <c r="M331" s="24">
        <f t="shared" si="35"/>
        <v>0</v>
      </c>
      <c r="N331" s="25" t="str">
        <f t="shared" si="36"/>
        <v>ORDER NOW</v>
      </c>
      <c r="O331" s="25" t="str">
        <f t="shared" si="37"/>
        <v>CRITICAL</v>
      </c>
      <c r="P331" s="5"/>
      <c r="Q331" s="5"/>
      <c r="R331" s="5"/>
      <c r="S331" s="90">
        <f>VLOOKUP(C331,[3]Sheet1!$C$3:$P$521,14,0)</f>
        <v>46131.519259259258</v>
      </c>
    </row>
    <row r="332" spans="1:19" ht="18.75" hidden="1" x14ac:dyDescent="0.25">
      <c r="A332" s="41">
        <v>473</v>
      </c>
      <c r="B332" s="41" t="s">
        <v>38</v>
      </c>
      <c r="C332" s="41" t="s">
        <v>851</v>
      </c>
      <c r="D332" s="27" t="s">
        <v>852</v>
      </c>
      <c r="E332" s="27" t="s">
        <v>853</v>
      </c>
      <c r="F332" s="5" t="s">
        <v>22</v>
      </c>
      <c r="G332" s="21">
        <v>0.14285714285714285</v>
      </c>
      <c r="H332" s="22">
        <v>150</v>
      </c>
      <c r="I332" s="22">
        <f t="shared" si="33"/>
        <v>1050</v>
      </c>
      <c r="J332" s="5">
        <v>14</v>
      </c>
      <c r="K332" s="23">
        <f t="shared" si="34"/>
        <v>525</v>
      </c>
      <c r="L332" s="58">
        <f>(IFERROR(VLOOKUP(C332,'Current Stocks July-26'!B:K,9,0),0))</f>
        <v>0</v>
      </c>
      <c r="M332" s="24">
        <f t="shared" si="35"/>
        <v>0</v>
      </c>
      <c r="N332" s="25" t="str">
        <f t="shared" si="36"/>
        <v>ORDER NOW</v>
      </c>
      <c r="O332" s="25" t="str">
        <f t="shared" si="37"/>
        <v>CRITICAL</v>
      </c>
      <c r="P332" s="5"/>
      <c r="Q332" s="5"/>
      <c r="R332" s="5"/>
      <c r="S332" s="90">
        <f>VLOOKUP(C332,[3]Sheet1!$C$3:$P$521,14,0)</f>
        <v>46141.525416666664</v>
      </c>
    </row>
    <row r="333" spans="1:19" ht="18.75" hidden="1" x14ac:dyDescent="0.25">
      <c r="A333" s="19">
        <v>36</v>
      </c>
      <c r="B333" s="19" t="s">
        <v>18</v>
      </c>
      <c r="C333" s="19" t="s">
        <v>762</v>
      </c>
      <c r="D333" s="27" t="s">
        <v>763</v>
      </c>
      <c r="E333" s="27" t="s">
        <v>764</v>
      </c>
      <c r="F333" s="5" t="s">
        <v>22</v>
      </c>
      <c r="G333" s="21">
        <v>3.6363636363636361E-4</v>
      </c>
      <c r="H333" s="22">
        <v>92.5</v>
      </c>
      <c r="I333" s="22">
        <f t="shared" si="33"/>
        <v>254375.00000000003</v>
      </c>
      <c r="J333" s="5">
        <v>14</v>
      </c>
      <c r="K333" s="23">
        <f t="shared" si="34"/>
        <v>127187.50000000001</v>
      </c>
      <c r="L333" s="58">
        <f>(IFERROR(VLOOKUP(C333,'Current Stocks July-26'!B:K,9,0),0))</f>
        <v>75500</v>
      </c>
      <c r="M333" s="24">
        <f t="shared" si="35"/>
        <v>8.9041769041769019</v>
      </c>
      <c r="N333" s="25" t="str">
        <f t="shared" si="36"/>
        <v>ORDER NOW</v>
      </c>
      <c r="O333" s="25" t="str">
        <f t="shared" si="37"/>
        <v>CRITICAL</v>
      </c>
      <c r="P333" s="5"/>
      <c r="Q333" s="5"/>
      <c r="R333" s="5" t="s">
        <v>30</v>
      </c>
      <c r="S333" s="90">
        <f>VLOOKUP(C333,[3]Sheet1!$C$3:$P$521,14,0)</f>
        <v>46128.694988425923</v>
      </c>
    </row>
    <row r="334" spans="1:19" ht="18.75" hidden="1" x14ac:dyDescent="0.25">
      <c r="A334" s="41">
        <v>456</v>
      </c>
      <c r="B334" s="41" t="s">
        <v>85</v>
      </c>
      <c r="C334" s="41" t="s">
        <v>1360</v>
      </c>
      <c r="D334" s="27" t="s">
        <v>1361</v>
      </c>
      <c r="E334" s="27" t="s">
        <v>1362</v>
      </c>
      <c r="F334" s="5" t="s">
        <v>49</v>
      </c>
      <c r="G334" s="21">
        <v>6.6666666666666666E-2</v>
      </c>
      <c r="H334" s="22">
        <v>125</v>
      </c>
      <c r="I334" s="22">
        <f t="shared" si="33"/>
        <v>1875</v>
      </c>
      <c r="J334" s="5">
        <v>14</v>
      </c>
      <c r="K334" s="23">
        <f t="shared" si="34"/>
        <v>937.5</v>
      </c>
      <c r="L334" s="58">
        <f>(IFERROR(VLOOKUP(C334,'Current Stocks July-26'!B:K,9,0),0))</f>
        <v>0</v>
      </c>
      <c r="M334" s="24">
        <f t="shared" si="35"/>
        <v>0</v>
      </c>
      <c r="N334" s="25" t="str">
        <f t="shared" si="36"/>
        <v>ORDER NOW</v>
      </c>
      <c r="O334" s="25" t="str">
        <f t="shared" si="37"/>
        <v>CRITICAL</v>
      </c>
      <c r="P334" s="5"/>
      <c r="Q334" s="5"/>
      <c r="R334" s="5"/>
      <c r="S334" s="90">
        <f>VLOOKUP(C334,[3]Sheet1!$C$3:$P$521,14,0)</f>
        <v>46131.517361111109</v>
      </c>
    </row>
    <row r="335" spans="1:19" ht="18.75" hidden="1" x14ac:dyDescent="0.25">
      <c r="A335" s="41">
        <v>416</v>
      </c>
      <c r="B335" s="41" t="s">
        <v>61</v>
      </c>
      <c r="C335" s="41" t="s">
        <v>1490</v>
      </c>
      <c r="D335" s="27" t="s">
        <v>1491</v>
      </c>
      <c r="E335" s="27" t="s">
        <v>1492</v>
      </c>
      <c r="F335" s="5" t="s">
        <v>49</v>
      </c>
      <c r="G335" s="21">
        <v>6.6666666666666666E-2</v>
      </c>
      <c r="H335" s="22">
        <v>1</v>
      </c>
      <c r="I335" s="22">
        <f t="shared" si="33"/>
        <v>15</v>
      </c>
      <c r="J335" s="5">
        <v>14</v>
      </c>
      <c r="K335" s="23">
        <f t="shared" si="34"/>
        <v>7.5</v>
      </c>
      <c r="L335" s="58">
        <f>(IFERROR(VLOOKUP(C335,'Current Stocks July-26'!B:K,9,0),0))</f>
        <v>0</v>
      </c>
      <c r="M335" s="24">
        <f t="shared" si="35"/>
        <v>0</v>
      </c>
      <c r="N335" s="25" t="str">
        <f t="shared" si="36"/>
        <v>ORDER NOW</v>
      </c>
      <c r="O335" s="25" t="str">
        <f t="shared" si="37"/>
        <v>CRITICAL</v>
      </c>
      <c r="P335" s="5"/>
      <c r="Q335" s="5"/>
      <c r="R335" s="5"/>
      <c r="S335" s="90">
        <f>VLOOKUP(C335,[3]Sheet1!$C$3:$P$521,14,0)</f>
        <v>46131.520162037035</v>
      </c>
    </row>
    <row r="336" spans="1:19" ht="18.75" hidden="1" x14ac:dyDescent="0.25">
      <c r="A336" s="19">
        <v>106</v>
      </c>
      <c r="B336" s="19" t="s">
        <v>18</v>
      </c>
      <c r="C336" s="19" t="s">
        <v>1075</v>
      </c>
      <c r="D336" s="29" t="s">
        <v>1076</v>
      </c>
      <c r="E336" s="6" t="s">
        <v>1077</v>
      </c>
      <c r="F336" s="5"/>
      <c r="G336" s="21">
        <f>1/20</f>
        <v>0.05</v>
      </c>
      <c r="H336" s="22">
        <v>24</v>
      </c>
      <c r="I336" s="22">
        <f t="shared" si="33"/>
        <v>480</v>
      </c>
      <c r="J336" s="5">
        <v>14</v>
      </c>
      <c r="K336" s="23">
        <f t="shared" si="34"/>
        <v>240</v>
      </c>
      <c r="L336" s="58">
        <f>(IFERROR(VLOOKUP(C336,'Current Stocks July-26'!B:K,9,0),0))</f>
        <v>0</v>
      </c>
      <c r="M336" s="24">
        <f t="shared" si="35"/>
        <v>0</v>
      </c>
      <c r="N336" s="25" t="str">
        <f t="shared" si="36"/>
        <v>ORDER NOW</v>
      </c>
      <c r="O336" s="25" t="str">
        <f t="shared" si="37"/>
        <v>CRITICAL</v>
      </c>
      <c r="P336" s="5"/>
      <c r="Q336" s="5"/>
      <c r="R336" s="5" t="s">
        <v>30</v>
      </c>
      <c r="S336" s="90">
        <f>VLOOKUP(C336,[3]Sheet1!$C$3:$P$521,14,0)</f>
        <v>46141.525972222225</v>
      </c>
    </row>
    <row r="337" spans="1:19" ht="18.75" hidden="1" x14ac:dyDescent="0.25">
      <c r="A337" s="19">
        <v>115</v>
      </c>
      <c r="B337" s="19" t="s">
        <v>18</v>
      </c>
      <c r="C337" s="19" t="s">
        <v>1115</v>
      </c>
      <c r="D337" s="27" t="s">
        <v>1116</v>
      </c>
      <c r="E337" s="27" t="s">
        <v>191</v>
      </c>
      <c r="F337" s="5" t="s">
        <v>22</v>
      </c>
      <c r="G337" s="21">
        <v>1E-3</v>
      </c>
      <c r="H337" s="22">
        <v>15</v>
      </c>
      <c r="I337" s="22">
        <f t="shared" ref="I337:I368" si="38">H337/G337</f>
        <v>15000</v>
      </c>
      <c r="J337" s="5">
        <v>14</v>
      </c>
      <c r="K337" s="23">
        <f t="shared" si="34"/>
        <v>7500</v>
      </c>
      <c r="L337" s="58">
        <f>(IFERROR(VLOOKUP(C337,'Current Stocks July-26'!B:K,9,0),0))</f>
        <v>0</v>
      </c>
      <c r="M337" s="24">
        <f t="shared" si="35"/>
        <v>0</v>
      </c>
      <c r="N337" s="25" t="str">
        <f t="shared" si="36"/>
        <v>ORDER NOW</v>
      </c>
      <c r="O337" s="25" t="str">
        <f t="shared" si="37"/>
        <v>CRITICAL</v>
      </c>
      <c r="P337" s="5"/>
      <c r="Q337" s="5"/>
      <c r="R337" s="5" t="s">
        <v>30</v>
      </c>
      <c r="S337" s="90">
        <f>VLOOKUP(C337,[3]Sheet1!$C$3:$P$521,14,0)</f>
        <v>46141.525833333333</v>
      </c>
    </row>
    <row r="338" spans="1:19" ht="18.75" hidden="1" x14ac:dyDescent="0.25">
      <c r="A338" s="39">
        <v>280</v>
      </c>
      <c r="B338" s="39" t="s">
        <v>830</v>
      </c>
      <c r="C338" s="39" t="s">
        <v>831</v>
      </c>
      <c r="D338" s="27" t="s">
        <v>832</v>
      </c>
      <c r="E338" s="27" t="s">
        <v>78</v>
      </c>
      <c r="F338" s="5" t="s">
        <v>49</v>
      </c>
      <c r="G338" s="21">
        <v>1</v>
      </c>
      <c r="H338" s="22">
        <v>279</v>
      </c>
      <c r="I338" s="22">
        <f t="shared" si="38"/>
        <v>279</v>
      </c>
      <c r="J338" s="5">
        <v>14</v>
      </c>
      <c r="K338" s="23">
        <f t="shared" si="34"/>
        <v>139.5</v>
      </c>
      <c r="L338" s="58">
        <f>(IFERROR(VLOOKUP(C338,'Current Stocks July-26'!B:K,9,0),0))</f>
        <v>6</v>
      </c>
      <c r="M338" s="24">
        <f t="shared" si="35"/>
        <v>0.64516129032258074</v>
      </c>
      <c r="N338" s="25" t="str">
        <f t="shared" si="36"/>
        <v>ORDER NOW</v>
      </c>
      <c r="O338" s="25" t="str">
        <f t="shared" si="37"/>
        <v>CRITICAL</v>
      </c>
      <c r="P338" s="5"/>
      <c r="Q338" s="5"/>
      <c r="R338" s="5"/>
      <c r="S338" s="90">
        <f>VLOOKUP(C338,[3]Sheet1!$C$3:$P$521,14,0)</f>
        <v>46134.446377314816</v>
      </c>
    </row>
    <row r="339" spans="1:19" ht="18.75" hidden="1" x14ac:dyDescent="0.25">
      <c r="A339" s="19">
        <v>70</v>
      </c>
      <c r="B339" s="19" t="s">
        <v>18</v>
      </c>
      <c r="C339" s="19" t="s">
        <v>93</v>
      </c>
      <c r="D339" s="27" t="s">
        <v>94</v>
      </c>
      <c r="E339" s="27" t="s">
        <v>95</v>
      </c>
      <c r="F339" s="5" t="s">
        <v>22</v>
      </c>
      <c r="G339" s="21">
        <v>2E-3</v>
      </c>
      <c r="H339" s="22">
        <v>100</v>
      </c>
      <c r="I339" s="22">
        <f t="shared" si="38"/>
        <v>50000</v>
      </c>
      <c r="J339" s="5">
        <v>14</v>
      </c>
      <c r="K339" s="23">
        <f t="shared" si="34"/>
        <v>25000</v>
      </c>
      <c r="L339" s="58">
        <f>(IFERROR(VLOOKUP(C339,'Current Stocks July-26'!B:K,9,0),0))</f>
        <v>44000</v>
      </c>
      <c r="M339" s="24">
        <f t="shared" si="35"/>
        <v>26.4</v>
      </c>
      <c r="N339" s="25" t="str">
        <f t="shared" si="36"/>
        <v>IN STOCK</v>
      </c>
      <c r="O339" s="25" t="str">
        <f t="shared" si="37"/>
        <v>FOLLOW UP DELIVERY</v>
      </c>
      <c r="P339" s="5"/>
      <c r="Q339" s="5"/>
      <c r="R339" s="5" t="s">
        <v>30</v>
      </c>
      <c r="S339" s="90">
        <f>VLOOKUP(C339,[3]Sheet1!$C$3:$P$521,14,0)</f>
        <v>46131.518379629626</v>
      </c>
    </row>
    <row r="340" spans="1:19" ht="18.75" hidden="1" x14ac:dyDescent="0.25">
      <c r="A340" s="41">
        <v>512</v>
      </c>
      <c r="B340" s="41" t="s">
        <v>38</v>
      </c>
      <c r="C340" s="41" t="s">
        <v>494</v>
      </c>
      <c r="D340" s="27" t="s">
        <v>495</v>
      </c>
      <c r="E340" s="27" t="s">
        <v>496</v>
      </c>
      <c r="F340" s="5" t="s">
        <v>22</v>
      </c>
      <c r="G340" s="21">
        <f>1/8</f>
        <v>0.125</v>
      </c>
      <c r="H340" s="22">
        <v>3</v>
      </c>
      <c r="I340" s="22">
        <f t="shared" si="38"/>
        <v>24</v>
      </c>
      <c r="J340" s="5">
        <v>14</v>
      </c>
      <c r="K340" s="23">
        <f t="shared" si="34"/>
        <v>12</v>
      </c>
      <c r="L340" s="58">
        <f>(IFERROR(VLOOKUP(C340,'Current Stocks July-26'!B:K,9,0),0))</f>
        <v>0</v>
      </c>
      <c r="M340" s="24">
        <f t="shared" si="35"/>
        <v>0</v>
      </c>
      <c r="N340" s="25" t="str">
        <f t="shared" si="36"/>
        <v>ORDER NOW</v>
      </c>
      <c r="O340" s="25" t="str">
        <f t="shared" si="37"/>
        <v>CRITICAL</v>
      </c>
      <c r="P340" s="5"/>
      <c r="Q340" s="5"/>
      <c r="R340" s="5"/>
      <c r="S340" s="90">
        <f>VLOOKUP(C340,[3]Sheet1!$C$3:$P$521,14,0)</f>
        <v>46141.525312500002</v>
      </c>
    </row>
    <row r="341" spans="1:19" ht="18.75" hidden="1" x14ac:dyDescent="0.25">
      <c r="A341" s="41">
        <v>493</v>
      </c>
      <c r="B341" s="41" t="s">
        <v>38</v>
      </c>
      <c r="C341" s="41" t="s">
        <v>480</v>
      </c>
      <c r="D341" s="27" t="s">
        <v>481</v>
      </c>
      <c r="E341" s="27" t="s">
        <v>482</v>
      </c>
      <c r="F341" s="5" t="s">
        <v>54</v>
      </c>
      <c r="G341" s="21">
        <v>6.6666666666666666E-2</v>
      </c>
      <c r="H341" s="22">
        <v>1</v>
      </c>
      <c r="I341" s="22">
        <f t="shared" si="38"/>
        <v>15</v>
      </c>
      <c r="J341" s="5">
        <v>14</v>
      </c>
      <c r="K341" s="23">
        <f t="shared" si="34"/>
        <v>7.5</v>
      </c>
      <c r="L341" s="58">
        <f>(IFERROR(VLOOKUP(C341,'Current Stocks July-26'!B:K,9,0),0))</f>
        <v>0</v>
      </c>
      <c r="M341" s="24">
        <f t="shared" si="35"/>
        <v>0</v>
      </c>
      <c r="N341" s="25" t="str">
        <f t="shared" si="36"/>
        <v>ORDER NOW</v>
      </c>
      <c r="O341" s="25" t="str">
        <f t="shared" si="37"/>
        <v>CRITICAL</v>
      </c>
      <c r="P341" s="5"/>
      <c r="Q341" s="5"/>
      <c r="R341" s="5"/>
      <c r="S341" s="90">
        <f>VLOOKUP(C341,[3]Sheet1!$C$3:$P$521,14,0)</f>
        <v>46134.4921875</v>
      </c>
    </row>
    <row r="342" spans="1:19" ht="18.75" hidden="1" x14ac:dyDescent="0.25">
      <c r="A342" s="41">
        <v>481</v>
      </c>
      <c r="B342" s="41" t="s">
        <v>38</v>
      </c>
      <c r="C342" s="41" t="s">
        <v>1504</v>
      </c>
      <c r="D342" s="27" t="s">
        <v>1505</v>
      </c>
      <c r="E342" s="27" t="s">
        <v>1506</v>
      </c>
      <c r="F342" s="5" t="s">
        <v>22</v>
      </c>
      <c r="G342" s="21">
        <v>0.2</v>
      </c>
      <c r="H342" s="22">
        <v>3</v>
      </c>
      <c r="I342" s="22">
        <f t="shared" si="38"/>
        <v>15</v>
      </c>
      <c r="J342" s="5">
        <v>14</v>
      </c>
      <c r="K342" s="23">
        <f t="shared" si="34"/>
        <v>7.5</v>
      </c>
      <c r="L342" s="58">
        <f>(IFERROR(VLOOKUP(C342,'Current Stocks July-26'!B:K,9,0),0))</f>
        <v>0</v>
      </c>
      <c r="M342" s="24">
        <f t="shared" si="35"/>
        <v>0</v>
      </c>
      <c r="N342" s="25" t="str">
        <f t="shared" si="36"/>
        <v>ORDER NOW</v>
      </c>
      <c r="O342" s="25" t="str">
        <f t="shared" si="37"/>
        <v>CRITICAL</v>
      </c>
      <c r="P342" s="5"/>
      <c r="Q342" s="5"/>
      <c r="R342" s="5"/>
      <c r="S342" s="90">
        <f>VLOOKUP(C342,[3]Sheet1!$C$3:$P$521,14,0)</f>
        <v>46131.520219907405</v>
      </c>
    </row>
    <row r="343" spans="1:19" ht="18.75" hidden="1" x14ac:dyDescent="0.25">
      <c r="A343" s="39">
        <v>277</v>
      </c>
      <c r="B343" s="39" t="s">
        <v>157</v>
      </c>
      <c r="C343" s="39" t="s">
        <v>671</v>
      </c>
      <c r="D343" s="31" t="s">
        <v>672</v>
      </c>
      <c r="E343" s="31" t="s">
        <v>78</v>
      </c>
      <c r="F343" s="5" t="s">
        <v>49</v>
      </c>
      <c r="G343" s="21">
        <v>1</v>
      </c>
      <c r="H343" s="22">
        <v>158.5</v>
      </c>
      <c r="I343" s="22">
        <f t="shared" si="38"/>
        <v>158.5</v>
      </c>
      <c r="J343" s="5">
        <v>14</v>
      </c>
      <c r="K343" s="23">
        <f t="shared" si="34"/>
        <v>79.25</v>
      </c>
      <c r="L343" s="58">
        <f>(IFERROR(VLOOKUP(C343,'Current Stocks July-26'!B:K,9,0),0))</f>
        <v>0</v>
      </c>
      <c r="M343" s="24">
        <f t="shared" si="35"/>
        <v>0</v>
      </c>
      <c r="N343" s="25" t="str">
        <f t="shared" si="36"/>
        <v>ORDER NOW</v>
      </c>
      <c r="O343" s="25" t="str">
        <f t="shared" si="37"/>
        <v>CRITICAL</v>
      </c>
      <c r="P343" s="5"/>
      <c r="Q343" s="5"/>
      <c r="R343" s="5"/>
      <c r="S343" s="90">
        <f>VLOOKUP(C343,[3]Sheet1!$C$3:$P$521,14,0)</f>
        <v>46113.430949074071</v>
      </c>
    </row>
    <row r="344" spans="1:19" ht="18.75" hidden="1" x14ac:dyDescent="0.25">
      <c r="A344" s="41">
        <v>502</v>
      </c>
      <c r="B344" s="41" t="s">
        <v>38</v>
      </c>
      <c r="C344" s="41" t="s">
        <v>1582</v>
      </c>
      <c r="D344" s="27" t="s">
        <v>1583</v>
      </c>
      <c r="E344" s="27" t="s">
        <v>1244</v>
      </c>
      <c r="F344" s="5" t="s">
        <v>22</v>
      </c>
      <c r="G344" s="21">
        <v>0.2</v>
      </c>
      <c r="H344" s="22">
        <v>1</v>
      </c>
      <c r="I344" s="22">
        <f t="shared" si="38"/>
        <v>5</v>
      </c>
      <c r="J344" s="5">
        <v>14</v>
      </c>
      <c r="K344" s="23">
        <f t="shared" si="34"/>
        <v>2.5</v>
      </c>
      <c r="L344" s="58">
        <f>(IFERROR(VLOOKUP(C344,'Current Stocks July-26'!B:K,9,0),0))</f>
        <v>6</v>
      </c>
      <c r="M344" s="24">
        <f t="shared" si="35"/>
        <v>36</v>
      </c>
      <c r="N344" s="25" t="str">
        <f t="shared" si="36"/>
        <v>IN STOCK</v>
      </c>
      <c r="O344" s="25" t="str">
        <f t="shared" si="37"/>
        <v>FOLLOW UP DELIVERY</v>
      </c>
      <c r="P344" s="5"/>
      <c r="Q344" s="5"/>
      <c r="R344" s="5"/>
      <c r="S344" s="90">
        <f>VLOOKUP(C344,[3]Sheet1!$C$3:$P$521,14,0)</f>
        <v>46131.520891203705</v>
      </c>
    </row>
    <row r="345" spans="1:19" ht="18.75" hidden="1" x14ac:dyDescent="0.25">
      <c r="A345" s="39">
        <v>294</v>
      </c>
      <c r="B345" s="39" t="s">
        <v>18</v>
      </c>
      <c r="C345" s="39" t="s">
        <v>822</v>
      </c>
      <c r="D345" s="27" t="s">
        <v>823</v>
      </c>
      <c r="E345" s="27" t="s">
        <v>160</v>
      </c>
      <c r="F345" s="5" t="s">
        <v>49</v>
      </c>
      <c r="G345" s="21">
        <v>1</v>
      </c>
      <c r="H345" s="22">
        <v>93.5</v>
      </c>
      <c r="I345" s="22">
        <f t="shared" si="38"/>
        <v>93.5</v>
      </c>
      <c r="J345" s="5">
        <v>14</v>
      </c>
      <c r="K345" s="23">
        <f t="shared" si="34"/>
        <v>46.75</v>
      </c>
      <c r="L345" s="58">
        <f>(IFERROR(VLOOKUP(C345,'Current Stocks July-26'!B:K,9,0),0))</f>
        <v>0</v>
      </c>
      <c r="M345" s="24">
        <f t="shared" si="35"/>
        <v>0</v>
      </c>
      <c r="N345" s="25" t="str">
        <f t="shared" si="36"/>
        <v>ORDER NOW</v>
      </c>
      <c r="O345" s="25" t="str">
        <f t="shared" si="37"/>
        <v>CRITICAL</v>
      </c>
      <c r="P345" s="5"/>
      <c r="Q345" s="5"/>
      <c r="R345" s="5"/>
      <c r="S345" s="90">
        <f>VLOOKUP(C345,[3]Sheet1!$C$3:$P$521,14,0)</f>
        <v>46128.6952662037</v>
      </c>
    </row>
    <row r="346" spans="1:19" ht="18.75" hidden="1" x14ac:dyDescent="0.25">
      <c r="A346" s="19">
        <v>155</v>
      </c>
      <c r="B346" s="19" t="s">
        <v>18</v>
      </c>
      <c r="C346" s="19" t="s">
        <v>209</v>
      </c>
      <c r="D346" s="29" t="s">
        <v>210</v>
      </c>
      <c r="E346" s="27" t="s">
        <v>211</v>
      </c>
      <c r="F346" s="5" t="s">
        <v>22</v>
      </c>
      <c r="G346" s="21">
        <v>1.3333333333333333E-3</v>
      </c>
      <c r="H346" s="22">
        <v>28</v>
      </c>
      <c r="I346" s="22">
        <f t="shared" si="38"/>
        <v>21000</v>
      </c>
      <c r="J346" s="5">
        <v>14</v>
      </c>
      <c r="K346" s="23">
        <f t="shared" si="34"/>
        <v>10500</v>
      </c>
      <c r="L346" s="58">
        <f>(IFERROR(VLOOKUP(C346,'Current Stocks July-26'!B:K,9,0),0))</f>
        <v>0</v>
      </c>
      <c r="M346" s="24">
        <f t="shared" si="35"/>
        <v>0</v>
      </c>
      <c r="N346" s="25" t="str">
        <f t="shared" si="36"/>
        <v>ORDER NOW</v>
      </c>
      <c r="O346" s="25" t="str">
        <f t="shared" si="37"/>
        <v>CRITICAL</v>
      </c>
      <c r="P346" s="5"/>
      <c r="Q346" s="5"/>
      <c r="R346" s="5"/>
      <c r="S346" s="90">
        <f>VLOOKUP(C346,[3]Sheet1!$C$3:$P$521,14,0)</f>
        <v>46134.765474537038</v>
      </c>
    </row>
    <row r="347" spans="1:19" ht="18.75" hidden="1" x14ac:dyDescent="0.25">
      <c r="A347" s="19">
        <v>103</v>
      </c>
      <c r="B347" s="19" t="s">
        <v>18</v>
      </c>
      <c r="C347" s="19" t="s">
        <v>1392</v>
      </c>
      <c r="D347" s="27" t="s">
        <v>1393</v>
      </c>
      <c r="E347" s="27" t="s">
        <v>1394</v>
      </c>
      <c r="F347" s="5" t="s">
        <v>1395</v>
      </c>
      <c r="G347" s="21">
        <v>5.0000000000000001E-4</v>
      </c>
      <c r="H347" s="22">
        <v>24</v>
      </c>
      <c r="I347" s="22">
        <f t="shared" si="38"/>
        <v>48000</v>
      </c>
      <c r="J347" s="5">
        <v>14</v>
      </c>
      <c r="K347" s="23">
        <f t="shared" si="34"/>
        <v>24000</v>
      </c>
      <c r="L347" s="58">
        <f>(IFERROR(VLOOKUP(C347,'Current Stocks July-26'!B:K,9,0),0))</f>
        <v>20000</v>
      </c>
      <c r="M347" s="24">
        <f t="shared" si="35"/>
        <v>12.5</v>
      </c>
      <c r="N347" s="25" t="str">
        <f t="shared" si="36"/>
        <v>ORDER NOW</v>
      </c>
      <c r="O347" s="25" t="str">
        <f t="shared" si="37"/>
        <v>CRITICAL</v>
      </c>
      <c r="P347" s="5"/>
      <c r="Q347" s="5"/>
      <c r="R347" s="5" t="s">
        <v>30</v>
      </c>
      <c r="S347" s="90">
        <f>VLOOKUP(C347,[3]Sheet1!$C$3:$P$521,14,0)</f>
        <v>46131.51939814815</v>
      </c>
    </row>
    <row r="348" spans="1:19" ht="18.75" x14ac:dyDescent="0.25">
      <c r="A348" s="41">
        <v>394</v>
      </c>
      <c r="B348" s="41" t="s">
        <v>85</v>
      </c>
      <c r="C348" s="41" t="s">
        <v>1471</v>
      </c>
      <c r="D348" s="29" t="s">
        <v>1472</v>
      </c>
      <c r="E348" s="29" t="s">
        <v>1473</v>
      </c>
      <c r="F348" s="5" t="s">
        <v>22</v>
      </c>
      <c r="G348" s="21">
        <f>1/6480</f>
        <v>1.5432098765432098E-4</v>
      </c>
      <c r="H348" s="22">
        <v>55</v>
      </c>
      <c r="I348" s="22">
        <f t="shared" si="38"/>
        <v>356400</v>
      </c>
      <c r="J348" s="5">
        <v>14</v>
      </c>
      <c r="K348" s="23">
        <f t="shared" si="34"/>
        <v>178200</v>
      </c>
      <c r="L348" s="58">
        <f>(IFERROR(VLOOKUP(C348,'Current Stocks July-26'!B:K,9,0),0))</f>
        <v>0</v>
      </c>
      <c r="M348" s="24">
        <f t="shared" si="35"/>
        <v>0</v>
      </c>
      <c r="N348" s="25" t="str">
        <f t="shared" si="36"/>
        <v>ORDER NOW</v>
      </c>
      <c r="O348" s="25" t="str">
        <f t="shared" si="37"/>
        <v>CRITICAL</v>
      </c>
      <c r="P348" s="5"/>
      <c r="Q348" s="5"/>
      <c r="R348" s="5"/>
      <c r="S348" s="90">
        <f>VLOOKUP(C348,[3]Sheet1!$C$3:$P$521,14,0)</f>
        <v>46131.517453703702</v>
      </c>
    </row>
    <row r="349" spans="1:19" ht="18.75" hidden="1" x14ac:dyDescent="0.25">
      <c r="A349" s="39">
        <v>259</v>
      </c>
      <c r="B349" s="39" t="s">
        <v>123</v>
      </c>
      <c r="C349" s="39" t="s">
        <v>969</v>
      </c>
      <c r="D349" s="27" t="s">
        <v>970</v>
      </c>
      <c r="E349" s="27" t="s">
        <v>971</v>
      </c>
      <c r="F349" s="5" t="s">
        <v>264</v>
      </c>
      <c r="G349" s="21">
        <f>1/140</f>
        <v>7.1428571428571426E-3</v>
      </c>
      <c r="H349" s="22">
        <v>46.5</v>
      </c>
      <c r="I349" s="22">
        <f t="shared" si="38"/>
        <v>6510</v>
      </c>
      <c r="J349" s="5">
        <v>14</v>
      </c>
      <c r="K349" s="23">
        <f t="shared" si="34"/>
        <v>3255</v>
      </c>
      <c r="L349" s="58">
        <f>(IFERROR(VLOOKUP(C349,'Current Stocks July-26'!B:K,9,0),0))</f>
        <v>1120</v>
      </c>
      <c r="M349" s="24">
        <f t="shared" si="35"/>
        <v>5.1612903225806459</v>
      </c>
      <c r="N349" s="25" t="str">
        <f t="shared" si="36"/>
        <v>ORDER NOW</v>
      </c>
      <c r="O349" s="25" t="str">
        <f t="shared" si="37"/>
        <v>CRITICAL</v>
      </c>
      <c r="P349" s="5"/>
      <c r="Q349" s="5"/>
      <c r="R349" s="5"/>
      <c r="S349" s="90">
        <f>VLOOKUP(C349,[3]Sheet1!$C$3:$P$521,14,0)</f>
        <v>46140.606377314813</v>
      </c>
    </row>
    <row r="350" spans="1:19" ht="18.75" hidden="1" x14ac:dyDescent="0.25">
      <c r="A350" s="19">
        <v>113</v>
      </c>
      <c r="B350" s="19" t="s">
        <v>18</v>
      </c>
      <c r="C350" s="19" t="s">
        <v>1060</v>
      </c>
      <c r="D350" s="27" t="s">
        <v>1061</v>
      </c>
      <c r="E350" s="27" t="s">
        <v>1062</v>
      </c>
      <c r="F350" s="5" t="s">
        <v>22</v>
      </c>
      <c r="G350" s="21">
        <f>1/500</f>
        <v>2E-3</v>
      </c>
      <c r="H350" s="22">
        <v>20</v>
      </c>
      <c r="I350" s="22">
        <f t="shared" si="38"/>
        <v>10000</v>
      </c>
      <c r="J350" s="5">
        <v>14</v>
      </c>
      <c r="K350" s="23">
        <f t="shared" si="34"/>
        <v>5000</v>
      </c>
      <c r="L350" s="58">
        <f>(IFERROR(VLOOKUP(C350,'Current Stocks July-26'!B:K,9,0),0))</f>
        <v>20000</v>
      </c>
      <c r="M350" s="24">
        <f t="shared" si="35"/>
        <v>60</v>
      </c>
      <c r="N350" s="25" t="str">
        <f t="shared" si="36"/>
        <v>IN STOCK</v>
      </c>
      <c r="O350" s="25" t="str">
        <f t="shared" si="37"/>
        <v>FOLLOW UP DELIVERY</v>
      </c>
      <c r="P350" s="5"/>
      <c r="Q350" s="5"/>
      <c r="R350" s="5" t="s">
        <v>30</v>
      </c>
      <c r="S350" s="90">
        <f>VLOOKUP(C350,[3]Sheet1!$C$3:$P$521,14,0)</f>
        <v>46141.525763888887</v>
      </c>
    </row>
    <row r="351" spans="1:19" ht="18.75" hidden="1" x14ac:dyDescent="0.25">
      <c r="A351" s="19">
        <v>61</v>
      </c>
      <c r="B351" s="19" t="s">
        <v>157</v>
      </c>
      <c r="C351" s="19" t="s">
        <v>1105</v>
      </c>
      <c r="D351" s="29" t="s">
        <v>1106</v>
      </c>
      <c r="E351" s="29" t="s">
        <v>1107</v>
      </c>
      <c r="F351" s="5" t="s">
        <v>22</v>
      </c>
      <c r="G351" s="21">
        <v>2.0000000000000001E-4</v>
      </c>
      <c r="H351" s="22">
        <v>22</v>
      </c>
      <c r="I351" s="22">
        <f t="shared" si="38"/>
        <v>110000</v>
      </c>
      <c r="J351" s="5">
        <v>14</v>
      </c>
      <c r="K351" s="23">
        <f t="shared" si="34"/>
        <v>55000</v>
      </c>
      <c r="L351" s="58">
        <f>(IFERROR(VLOOKUP(C351,'Current Stocks July-26'!B:K,9,0),0))</f>
        <v>0</v>
      </c>
      <c r="M351" s="24">
        <f t="shared" si="35"/>
        <v>0</v>
      </c>
      <c r="N351" s="25" t="str">
        <f t="shared" si="36"/>
        <v>ORDER NOW</v>
      </c>
      <c r="O351" s="25" t="str">
        <f t="shared" si="37"/>
        <v>CRITICAL</v>
      </c>
      <c r="P351" s="5"/>
      <c r="Q351" s="5"/>
      <c r="R351" s="5" t="s">
        <v>30</v>
      </c>
      <c r="S351" s="90">
        <f>VLOOKUP(C351,[3]Sheet1!$C$3:$P$521,14,0)</f>
        <v>46131.517916666664</v>
      </c>
    </row>
    <row r="352" spans="1:19" ht="18.75" hidden="1" x14ac:dyDescent="0.25">
      <c r="A352" s="19">
        <v>54</v>
      </c>
      <c r="B352" s="19" t="s">
        <v>18</v>
      </c>
      <c r="C352" s="19" t="s">
        <v>27</v>
      </c>
      <c r="D352" s="29" t="s">
        <v>28</v>
      </c>
      <c r="E352" s="29" t="s">
        <v>29</v>
      </c>
      <c r="F352" s="5" t="s">
        <v>22</v>
      </c>
      <c r="G352" s="21">
        <f>1/1200</f>
        <v>8.3333333333333339E-4</v>
      </c>
      <c r="H352" s="22">
        <v>10</v>
      </c>
      <c r="I352" s="22">
        <f t="shared" si="38"/>
        <v>12000</v>
      </c>
      <c r="J352" s="5">
        <v>14</v>
      </c>
      <c r="K352" s="23">
        <f t="shared" si="34"/>
        <v>6000</v>
      </c>
      <c r="L352" s="58">
        <f>(IFERROR(VLOOKUP(C352,'Current Stocks July-26'!B:K,9,0),0))</f>
        <v>0</v>
      </c>
      <c r="M352" s="24">
        <f t="shared" si="35"/>
        <v>0</v>
      </c>
      <c r="N352" s="25" t="str">
        <f t="shared" si="36"/>
        <v>ORDER NOW</v>
      </c>
      <c r="O352" s="25" t="str">
        <f t="shared" si="37"/>
        <v>CRITICAL</v>
      </c>
      <c r="P352" s="5"/>
      <c r="Q352" s="5"/>
      <c r="R352" s="5" t="s">
        <v>30</v>
      </c>
      <c r="S352" s="90">
        <f>VLOOKUP(C352,[3]Sheet1!$C$3:$P$521,14,0)</f>
        <v>46113.430949074071</v>
      </c>
    </row>
    <row r="353" spans="1:19" ht="18.75" hidden="1" x14ac:dyDescent="0.25">
      <c r="A353" s="41">
        <v>510</v>
      </c>
      <c r="B353" s="41" t="s">
        <v>38</v>
      </c>
      <c r="C353" s="41" t="s">
        <v>1272</v>
      </c>
      <c r="D353" s="27" t="s">
        <v>1273</v>
      </c>
      <c r="E353" s="27" t="s">
        <v>1274</v>
      </c>
      <c r="F353" s="5" t="s">
        <v>22</v>
      </c>
      <c r="G353" s="21">
        <v>0.11261261261261263</v>
      </c>
      <c r="H353" s="22">
        <v>28</v>
      </c>
      <c r="I353" s="22">
        <f t="shared" si="38"/>
        <v>248.63999999999996</v>
      </c>
      <c r="J353" s="5">
        <v>14</v>
      </c>
      <c r="K353" s="23">
        <f t="shared" si="34"/>
        <v>124.31999999999998</v>
      </c>
      <c r="L353" s="58">
        <f>(IFERROR(VLOOKUP(C353,'Current Stocks July-26'!B:K,9,0),0))</f>
        <v>0</v>
      </c>
      <c r="M353" s="24">
        <f t="shared" si="35"/>
        <v>0</v>
      </c>
      <c r="N353" s="25" t="str">
        <f t="shared" si="36"/>
        <v>ORDER NOW</v>
      </c>
      <c r="O353" s="25" t="str">
        <f t="shared" si="37"/>
        <v>CRITICAL</v>
      </c>
      <c r="P353" s="5"/>
      <c r="Q353" s="5"/>
      <c r="R353" s="5"/>
      <c r="S353" s="90">
        <f>VLOOKUP(C353,[3]Sheet1!$C$3:$P$521,14,0)</f>
        <v>46131.518750000003</v>
      </c>
    </row>
    <row r="354" spans="1:19" ht="18.75" hidden="1" x14ac:dyDescent="0.25">
      <c r="A354" s="19">
        <v>117</v>
      </c>
      <c r="B354" s="19" t="s">
        <v>18</v>
      </c>
      <c r="C354" s="19" t="s">
        <v>1223</v>
      </c>
      <c r="D354" s="27" t="s">
        <v>1224</v>
      </c>
      <c r="E354" s="27" t="s">
        <v>1225</v>
      </c>
      <c r="F354" s="5" t="s">
        <v>22</v>
      </c>
      <c r="G354" s="21">
        <v>2E-3</v>
      </c>
      <c r="H354" s="22">
        <v>10.5</v>
      </c>
      <c r="I354" s="22">
        <f t="shared" si="38"/>
        <v>5250</v>
      </c>
      <c r="J354" s="5">
        <v>14</v>
      </c>
      <c r="K354" s="23">
        <f t="shared" si="34"/>
        <v>2625</v>
      </c>
      <c r="L354" s="58">
        <f>(IFERROR(VLOOKUP(C354,'Current Stocks July-26'!B:K,9,0),0))</f>
        <v>0</v>
      </c>
      <c r="M354" s="24">
        <f t="shared" si="35"/>
        <v>0</v>
      </c>
      <c r="N354" s="25" t="str">
        <f t="shared" si="36"/>
        <v>ORDER NOW</v>
      </c>
      <c r="O354" s="25" t="str">
        <f t="shared" si="37"/>
        <v>CRITICAL</v>
      </c>
      <c r="P354" s="5"/>
      <c r="Q354" s="5"/>
      <c r="R354" s="5" t="s">
        <v>30</v>
      </c>
      <c r="S354" s="90">
        <f>VLOOKUP(C354,[3]Sheet1!$C$3:$P$521,14,0)</f>
        <v>46131.518587962964</v>
      </c>
    </row>
    <row r="355" spans="1:19" ht="18.75" hidden="1" x14ac:dyDescent="0.25">
      <c r="A355" s="19">
        <v>156</v>
      </c>
      <c r="B355" s="19" t="s">
        <v>18</v>
      </c>
      <c r="C355" s="19" t="s">
        <v>212</v>
      </c>
      <c r="D355" s="65" t="s">
        <v>213</v>
      </c>
      <c r="E355" s="27"/>
      <c r="F355" s="5"/>
      <c r="G355" s="21">
        <v>1</v>
      </c>
      <c r="H355" s="22">
        <v>15000</v>
      </c>
      <c r="I355" s="22">
        <f t="shared" si="38"/>
        <v>15000</v>
      </c>
      <c r="J355" s="5">
        <v>14</v>
      </c>
      <c r="K355" s="23">
        <f t="shared" si="34"/>
        <v>7500</v>
      </c>
      <c r="L355" s="58">
        <f>(IFERROR(VLOOKUP(C355,'Current Stocks July-26'!B:K,9,0),0))</f>
        <v>0</v>
      </c>
      <c r="M355" s="24">
        <f t="shared" si="35"/>
        <v>0</v>
      </c>
      <c r="N355" s="25" t="str">
        <f t="shared" si="36"/>
        <v>ORDER NOW</v>
      </c>
      <c r="O355" s="25" t="str">
        <f t="shared" si="37"/>
        <v>CRITICAL</v>
      </c>
      <c r="P355" s="5"/>
      <c r="Q355" s="5"/>
      <c r="R355" s="5"/>
      <c r="S355" s="90">
        <f>VLOOKUP(C355,[3]Sheet1!$C$3:$P$521,14,0)</f>
        <v>46134.446319444447</v>
      </c>
    </row>
    <row r="356" spans="1:19" ht="18.75" hidden="1" x14ac:dyDescent="0.25">
      <c r="A356" s="19">
        <v>151</v>
      </c>
      <c r="B356" s="19" t="s">
        <v>18</v>
      </c>
      <c r="C356" s="19" t="s">
        <v>1587</v>
      </c>
      <c r="D356" s="29" t="s">
        <v>1588</v>
      </c>
      <c r="E356" s="27" t="s">
        <v>1589</v>
      </c>
      <c r="F356" s="5" t="s">
        <v>22</v>
      </c>
      <c r="G356" s="21">
        <f>1/500</f>
        <v>2E-3</v>
      </c>
      <c r="H356" s="22">
        <v>60</v>
      </c>
      <c r="I356" s="22">
        <f t="shared" si="38"/>
        <v>30000</v>
      </c>
      <c r="J356" s="5">
        <v>14</v>
      </c>
      <c r="K356" s="23">
        <f t="shared" si="34"/>
        <v>15000</v>
      </c>
      <c r="L356" s="58">
        <f>(IFERROR(VLOOKUP(C356,'Current Stocks July-26'!B:K,9,0),0))</f>
        <v>5</v>
      </c>
      <c r="M356" s="24">
        <f t="shared" si="35"/>
        <v>5.0000000000000001E-3</v>
      </c>
      <c r="N356" s="25" t="str">
        <f t="shared" si="36"/>
        <v>ORDER NOW</v>
      </c>
      <c r="O356" s="25" t="str">
        <f t="shared" si="37"/>
        <v>CRITICAL</v>
      </c>
      <c r="P356" s="5"/>
      <c r="Q356" s="5"/>
      <c r="R356" s="5" t="s">
        <v>30</v>
      </c>
      <c r="S356" s="90">
        <f>VLOOKUP(C356,[3]Sheet1!$C$3:$P$521,14,0)</f>
        <v>46131.517523148148</v>
      </c>
    </row>
    <row r="357" spans="1:19" ht="18.75" hidden="1" x14ac:dyDescent="0.25">
      <c r="A357" s="39">
        <v>217</v>
      </c>
      <c r="B357" s="39" t="s">
        <v>239</v>
      </c>
      <c r="C357" s="39" t="s">
        <v>886</v>
      </c>
      <c r="D357" s="27" t="s">
        <v>887</v>
      </c>
      <c r="E357" s="27" t="s">
        <v>78</v>
      </c>
      <c r="F357" s="5" t="s">
        <v>49</v>
      </c>
      <c r="G357" s="21">
        <v>1</v>
      </c>
      <c r="H357" s="22">
        <v>66</v>
      </c>
      <c r="I357" s="22">
        <f t="shared" si="38"/>
        <v>66</v>
      </c>
      <c r="J357" s="5">
        <v>14</v>
      </c>
      <c r="K357" s="23">
        <f t="shared" si="34"/>
        <v>33</v>
      </c>
      <c r="L357" s="58">
        <f>(IFERROR(VLOOKUP(C357,'Current Stocks July-26'!B:K,9,0),0))</f>
        <v>0</v>
      </c>
      <c r="M357" s="24">
        <f t="shared" si="35"/>
        <v>0</v>
      </c>
      <c r="N357" s="25" t="str">
        <f t="shared" si="36"/>
        <v>ORDER NOW</v>
      </c>
      <c r="O357" s="25" t="str">
        <f t="shared" si="37"/>
        <v>CRITICAL</v>
      </c>
      <c r="P357" s="5"/>
      <c r="Q357" s="5"/>
      <c r="R357" s="5"/>
      <c r="S357" s="90">
        <f>VLOOKUP(C357,[3]Sheet1!$C$3:$P$521,14,0)</f>
        <v>46113.430960648147</v>
      </c>
    </row>
    <row r="358" spans="1:19" ht="18.75" hidden="1" x14ac:dyDescent="0.25">
      <c r="A358" s="49">
        <v>581</v>
      </c>
      <c r="B358" s="49" t="s">
        <v>157</v>
      </c>
      <c r="C358" s="49" t="s">
        <v>1161</v>
      </c>
      <c r="D358" s="27" t="s">
        <v>1162</v>
      </c>
      <c r="E358" s="27" t="s">
        <v>160</v>
      </c>
      <c r="F358" s="5" t="s">
        <v>49</v>
      </c>
      <c r="G358" s="21">
        <v>1</v>
      </c>
      <c r="H358" s="22">
        <v>235.5</v>
      </c>
      <c r="I358" s="22">
        <f t="shared" si="38"/>
        <v>235.5</v>
      </c>
      <c r="J358" s="5">
        <v>14</v>
      </c>
      <c r="K358" s="23">
        <f t="shared" si="34"/>
        <v>117.75</v>
      </c>
      <c r="L358" s="58">
        <f>(IFERROR(VLOOKUP(C358,'Current Stocks July-26'!B:K,9,0),0))</f>
        <v>0</v>
      </c>
      <c r="M358" s="24">
        <f t="shared" si="35"/>
        <v>0</v>
      </c>
      <c r="N358" s="25" t="str">
        <f t="shared" si="36"/>
        <v>ORDER NOW</v>
      </c>
      <c r="O358" s="25" t="str">
        <f t="shared" si="37"/>
        <v>CRITICAL</v>
      </c>
      <c r="P358" s="5"/>
      <c r="Q358" s="5"/>
      <c r="R358" s="5"/>
      <c r="S358" s="90">
        <f>VLOOKUP(C358,[3]Sheet1!$C$3:$P$521,14,0)</f>
        <v>46131.518217592595</v>
      </c>
    </row>
    <row r="359" spans="1:19" ht="18.75" hidden="1" x14ac:dyDescent="0.25">
      <c r="A359" s="41">
        <v>410</v>
      </c>
      <c r="B359" s="41" t="s">
        <v>85</v>
      </c>
      <c r="C359" s="41" t="s">
        <v>387</v>
      </c>
      <c r="D359" s="27" t="s">
        <v>388</v>
      </c>
      <c r="E359" s="27" t="s">
        <v>389</v>
      </c>
      <c r="F359" s="5" t="s">
        <v>22</v>
      </c>
      <c r="G359" s="21">
        <v>0.16666666666666666</v>
      </c>
      <c r="H359" s="22">
        <v>45</v>
      </c>
      <c r="I359" s="22">
        <f t="shared" si="38"/>
        <v>270</v>
      </c>
      <c r="J359" s="5">
        <v>14</v>
      </c>
      <c r="K359" s="23">
        <f t="shared" si="34"/>
        <v>135</v>
      </c>
      <c r="L359" s="58">
        <f>(IFERROR(VLOOKUP(C359,'Current Stocks July-26'!B:K,9,0),0))</f>
        <v>0</v>
      </c>
      <c r="M359" s="24">
        <f t="shared" si="35"/>
        <v>0</v>
      </c>
      <c r="N359" s="25" t="str">
        <f t="shared" si="36"/>
        <v>ORDER NOW</v>
      </c>
      <c r="O359" s="25" t="str">
        <f t="shared" si="37"/>
        <v>CRITICAL</v>
      </c>
      <c r="P359" s="5"/>
      <c r="Q359" s="5"/>
      <c r="R359" s="5"/>
      <c r="S359" s="90">
        <f>VLOOKUP(C359,[3]Sheet1!$C$3:$P$521,14,0)</f>
        <v>46113.430914351855</v>
      </c>
    </row>
    <row r="360" spans="1:19" ht="18.75" hidden="1" x14ac:dyDescent="0.25">
      <c r="A360" s="41">
        <v>364</v>
      </c>
      <c r="B360" s="41" t="s">
        <v>85</v>
      </c>
      <c r="C360" s="41" t="s">
        <v>1311</v>
      </c>
      <c r="D360" s="31" t="s">
        <v>1312</v>
      </c>
      <c r="E360" s="31" t="s">
        <v>890</v>
      </c>
      <c r="F360" s="5" t="s">
        <v>22</v>
      </c>
      <c r="G360" s="21">
        <v>0.23809523809523814</v>
      </c>
      <c r="H360" s="22">
        <v>23.5</v>
      </c>
      <c r="I360" s="22">
        <f t="shared" si="38"/>
        <v>98.699999999999989</v>
      </c>
      <c r="J360" s="5">
        <v>14</v>
      </c>
      <c r="K360" s="23">
        <f t="shared" si="34"/>
        <v>49.349999999999994</v>
      </c>
      <c r="L360" s="58">
        <f>(IFERROR(VLOOKUP(C360,'Current Stocks July-26'!B:K,9,0),0))</f>
        <v>0</v>
      </c>
      <c r="M360" s="24">
        <f t="shared" si="35"/>
        <v>0</v>
      </c>
      <c r="N360" s="25" t="str">
        <f t="shared" si="36"/>
        <v>ORDER NOW</v>
      </c>
      <c r="O360" s="25" t="str">
        <f t="shared" si="37"/>
        <v>CRITICAL</v>
      </c>
      <c r="P360" s="5"/>
      <c r="Q360" s="5"/>
      <c r="R360" s="5"/>
      <c r="S360" s="90">
        <f>VLOOKUP(C360,[3]Sheet1!$C$3:$P$521,14,0)</f>
        <v>46138.481805555559</v>
      </c>
    </row>
    <row r="361" spans="1:19" ht="18.75" hidden="1" x14ac:dyDescent="0.25">
      <c r="A361" s="19">
        <v>92</v>
      </c>
      <c r="B361" s="19" t="s">
        <v>18</v>
      </c>
      <c r="C361" s="19" t="s">
        <v>1018</v>
      </c>
      <c r="D361" s="27" t="s">
        <v>1019</v>
      </c>
      <c r="E361" s="27" t="s">
        <v>1020</v>
      </c>
      <c r="F361" s="5" t="s">
        <v>22</v>
      </c>
      <c r="G361" s="21">
        <v>2E-3</v>
      </c>
      <c r="H361" s="22">
        <v>600</v>
      </c>
      <c r="I361" s="22">
        <f t="shared" si="38"/>
        <v>300000</v>
      </c>
      <c r="J361" s="5">
        <v>14</v>
      </c>
      <c r="K361" s="23">
        <f>I361*(J361/25)</f>
        <v>168000.00000000003</v>
      </c>
      <c r="L361" s="58">
        <f>(IFERROR(VLOOKUP(C361,'Current Stocks July-26'!B:K,9,0),0))</f>
        <v>62500</v>
      </c>
      <c r="M361" s="24">
        <f t="shared" si="35"/>
        <v>6.25</v>
      </c>
      <c r="N361" s="25" t="str">
        <f t="shared" si="36"/>
        <v>ORDER NOW</v>
      </c>
      <c r="O361" s="25" t="str">
        <f t="shared" si="37"/>
        <v>CRITICAL</v>
      </c>
      <c r="P361" s="5"/>
      <c r="Q361" s="5"/>
      <c r="R361" s="5" t="s">
        <v>30</v>
      </c>
      <c r="S361" s="90">
        <f>VLOOKUP(C361,[3]Sheet1!$C$3:$P$521,14,0)</f>
        <v>46141.525856481479</v>
      </c>
    </row>
    <row r="362" spans="1:19" ht="18.75" hidden="1" x14ac:dyDescent="0.25">
      <c r="A362" s="19">
        <v>14</v>
      </c>
      <c r="B362" s="19" t="s">
        <v>18</v>
      </c>
      <c r="C362" s="19" t="s">
        <v>953</v>
      </c>
      <c r="D362" s="4" t="s">
        <v>954</v>
      </c>
      <c r="E362" s="4" t="s">
        <v>955</v>
      </c>
      <c r="F362" s="5" t="s">
        <v>22</v>
      </c>
      <c r="G362" s="21">
        <v>1.6260162601626016E-3</v>
      </c>
      <c r="H362" s="22">
        <v>544.5</v>
      </c>
      <c r="I362" s="22">
        <f t="shared" si="38"/>
        <v>334867.5</v>
      </c>
      <c r="J362" s="5">
        <v>14</v>
      </c>
      <c r="K362" s="23">
        <f t="shared" ref="K362:K425" si="39">I362*(J362/28)</f>
        <v>167433.75</v>
      </c>
      <c r="L362" s="58">
        <f>(IFERROR(VLOOKUP(C362,'Current Stocks July-26'!B:K,9,0),0))</f>
        <v>73285</v>
      </c>
      <c r="M362" s="24">
        <f t="shared" si="35"/>
        <v>6.5654325964747251</v>
      </c>
      <c r="N362" s="25" t="str">
        <f t="shared" si="36"/>
        <v>ORDER NOW</v>
      </c>
      <c r="O362" s="25" t="str">
        <f t="shared" si="37"/>
        <v>CRITICAL</v>
      </c>
      <c r="P362" s="5"/>
      <c r="Q362" s="5"/>
      <c r="R362" s="5" t="s">
        <v>30</v>
      </c>
      <c r="S362" s="90">
        <f>VLOOKUP(C362,[3]Sheet1!$C$3:$P$521,14,0)</f>
        <v>46140.606435185182</v>
      </c>
    </row>
    <row r="363" spans="1:19" ht="18.75" hidden="1" x14ac:dyDescent="0.25">
      <c r="A363" s="39">
        <v>314</v>
      </c>
      <c r="B363" s="39" t="s">
        <v>123</v>
      </c>
      <c r="C363" s="39" t="s">
        <v>929</v>
      </c>
      <c r="D363" s="29" t="s">
        <v>930</v>
      </c>
      <c r="E363" s="27" t="s">
        <v>931</v>
      </c>
      <c r="F363" s="5" t="s">
        <v>794</v>
      </c>
      <c r="G363" s="21">
        <f>1/5</f>
        <v>0.2</v>
      </c>
      <c r="H363" s="22">
        <v>8</v>
      </c>
      <c r="I363" s="22">
        <f t="shared" si="38"/>
        <v>40</v>
      </c>
      <c r="J363" s="5">
        <v>14</v>
      </c>
      <c r="K363" s="23">
        <f t="shared" si="39"/>
        <v>20</v>
      </c>
      <c r="L363" s="58">
        <f>(IFERROR(VLOOKUP(C363,'Current Stocks July-26'!B:K,9,0),0))</f>
        <v>0</v>
      </c>
      <c r="M363" s="24">
        <f t="shared" si="35"/>
        <v>0</v>
      </c>
      <c r="N363" s="25" t="str">
        <f t="shared" si="36"/>
        <v>ORDER NOW</v>
      </c>
      <c r="O363" s="25" t="str">
        <f t="shared" si="37"/>
        <v>CRITICAL</v>
      </c>
      <c r="P363" s="5"/>
      <c r="Q363" s="5"/>
      <c r="R363" s="5"/>
      <c r="S363" s="90">
        <f>VLOOKUP(C363,[3]Sheet1!$C$3:$P$521,14,0)</f>
        <v>46131.519143518519</v>
      </c>
    </row>
    <row r="364" spans="1:19" ht="18.75" hidden="1" x14ac:dyDescent="0.25">
      <c r="A364" s="19">
        <v>134</v>
      </c>
      <c r="B364" s="19" t="s">
        <v>18</v>
      </c>
      <c r="C364" s="19" t="s">
        <v>1339</v>
      </c>
      <c r="D364" s="27" t="s">
        <v>1340</v>
      </c>
      <c r="E364" s="27" t="s">
        <v>98</v>
      </c>
      <c r="F364" s="5" t="s">
        <v>46</v>
      </c>
      <c r="G364" s="21">
        <v>2E-3</v>
      </c>
      <c r="H364" s="22">
        <v>5</v>
      </c>
      <c r="I364" s="22">
        <f t="shared" si="38"/>
        <v>2500</v>
      </c>
      <c r="J364" s="5">
        <v>14</v>
      </c>
      <c r="K364" s="23">
        <f t="shared" si="39"/>
        <v>1250</v>
      </c>
      <c r="L364" s="58">
        <f>(IFERROR(VLOOKUP(C364,'Current Stocks July-26'!B:K,9,0),0))</f>
        <v>5</v>
      </c>
      <c r="M364" s="24">
        <f t="shared" si="35"/>
        <v>0.06</v>
      </c>
      <c r="N364" s="25" t="str">
        <f t="shared" si="36"/>
        <v>ORDER NOW</v>
      </c>
      <c r="O364" s="25" t="str">
        <f t="shared" si="37"/>
        <v>CRITICAL</v>
      </c>
      <c r="P364" s="5"/>
      <c r="Q364" s="5"/>
      <c r="R364" s="5" t="s">
        <v>30</v>
      </c>
      <c r="S364" s="90">
        <f>VLOOKUP(C364,[3]Sheet1!$C$3:$P$521,14,0)</f>
        <v>46138.481840277775</v>
      </c>
    </row>
    <row r="365" spans="1:19" ht="18.75" hidden="1" x14ac:dyDescent="0.25">
      <c r="A365" s="41">
        <v>528</v>
      </c>
      <c r="B365" s="41" t="s">
        <v>38</v>
      </c>
      <c r="C365" s="41" t="s">
        <v>1254</v>
      </c>
      <c r="D365" s="27" t="s">
        <v>1255</v>
      </c>
      <c r="E365" s="31" t="s">
        <v>606</v>
      </c>
      <c r="F365" s="44" t="s">
        <v>22</v>
      </c>
      <c r="G365" s="21">
        <v>1.1100000000000001</v>
      </c>
      <c r="H365" s="22">
        <v>10</v>
      </c>
      <c r="I365" s="22">
        <f t="shared" si="38"/>
        <v>9.0090090090090076</v>
      </c>
      <c r="J365" s="5">
        <v>14</v>
      </c>
      <c r="K365" s="23">
        <f t="shared" si="39"/>
        <v>4.5045045045045038</v>
      </c>
      <c r="L365" s="58">
        <f>(IFERROR(VLOOKUP(C365,'Current Stocks July-26'!B:K,9,0),0))</f>
        <v>0</v>
      </c>
      <c r="M365" s="24">
        <f t="shared" si="35"/>
        <v>0</v>
      </c>
      <c r="N365" s="25" t="str">
        <f t="shared" si="36"/>
        <v>ORDER NOW</v>
      </c>
      <c r="O365" s="25" t="str">
        <f t="shared" si="37"/>
        <v>CRITICAL</v>
      </c>
      <c r="P365" s="5"/>
      <c r="Q365" s="5"/>
      <c r="R365" s="5"/>
      <c r="S365" s="90">
        <f>VLOOKUP(C365,[3]Sheet1!$C$3:$P$521,14,0)</f>
        <v>46131.518842592595</v>
      </c>
    </row>
    <row r="366" spans="1:19" ht="18.75" hidden="1" x14ac:dyDescent="0.25">
      <c r="A366" s="19">
        <v>93</v>
      </c>
      <c r="B366" s="19" t="s">
        <v>18</v>
      </c>
      <c r="C366" s="19" t="s">
        <v>33</v>
      </c>
      <c r="D366" s="68" t="s">
        <v>34</v>
      </c>
      <c r="E366" s="27" t="s">
        <v>35</v>
      </c>
      <c r="F366" s="5" t="s">
        <v>22</v>
      </c>
      <c r="G366" s="21">
        <v>2E-3</v>
      </c>
      <c r="H366" s="22">
        <v>150</v>
      </c>
      <c r="I366" s="22">
        <f t="shared" si="38"/>
        <v>75000</v>
      </c>
      <c r="J366" s="5">
        <v>14</v>
      </c>
      <c r="K366" s="23">
        <f t="shared" si="39"/>
        <v>37500</v>
      </c>
      <c r="L366" s="58">
        <f>(IFERROR(VLOOKUP(C366,'Current Stocks July-26'!B:K,9,0),0))</f>
        <v>0</v>
      </c>
      <c r="M366" s="24">
        <f t="shared" si="35"/>
        <v>0</v>
      </c>
      <c r="N366" s="25" t="str">
        <f t="shared" si="36"/>
        <v>ORDER NOW</v>
      </c>
      <c r="O366" s="25" t="str">
        <f t="shared" si="37"/>
        <v>CRITICAL</v>
      </c>
      <c r="P366" s="5"/>
      <c r="Q366" s="5"/>
      <c r="R366" s="5" t="s">
        <v>26</v>
      </c>
      <c r="S366" s="90" t="e">
        <f>VLOOKUP(C366,[3]Sheet1!$C$3:$P$521,14,0)</f>
        <v>#N/A</v>
      </c>
    </row>
    <row r="367" spans="1:19" ht="18.75" hidden="1" x14ac:dyDescent="0.25">
      <c r="A367" s="19">
        <v>181</v>
      </c>
      <c r="B367" s="19" t="s">
        <v>18</v>
      </c>
      <c r="C367" s="19" t="s">
        <v>729</v>
      </c>
      <c r="D367" s="112" t="s">
        <v>730</v>
      </c>
      <c r="E367" s="31" t="s">
        <v>49</v>
      </c>
      <c r="F367" s="5" t="s">
        <v>49</v>
      </c>
      <c r="G367" s="21">
        <v>1</v>
      </c>
      <c r="H367" s="22">
        <v>5000</v>
      </c>
      <c r="I367" s="22">
        <f t="shared" si="38"/>
        <v>5000</v>
      </c>
      <c r="J367" s="5">
        <v>14</v>
      </c>
      <c r="K367" s="23">
        <f t="shared" si="39"/>
        <v>2500</v>
      </c>
      <c r="L367" s="58">
        <f>(IFERROR(VLOOKUP(C367,'Current Stocks July-26'!B:K,9,0),0))</f>
        <v>0</v>
      </c>
      <c r="M367" s="24">
        <f t="shared" si="35"/>
        <v>0</v>
      </c>
      <c r="N367" s="25" t="str">
        <f t="shared" si="36"/>
        <v>ORDER NOW</v>
      </c>
      <c r="O367" s="25" t="str">
        <f t="shared" si="37"/>
        <v>CRITICAL</v>
      </c>
      <c r="P367" s="5"/>
      <c r="Q367" s="5"/>
      <c r="R367" s="5"/>
      <c r="S367" s="90">
        <f>VLOOKUP(C367,[3]Sheet1!$C$3:$P$521,14,0)</f>
        <v>46113.430949074071</v>
      </c>
    </row>
    <row r="368" spans="1:19" ht="18.75" hidden="1" x14ac:dyDescent="0.25">
      <c r="A368" s="19">
        <v>182</v>
      </c>
      <c r="B368" s="19" t="s">
        <v>18</v>
      </c>
      <c r="C368" s="19" t="s">
        <v>731</v>
      </c>
      <c r="D368" s="112" t="s">
        <v>732</v>
      </c>
      <c r="E368" s="31" t="s">
        <v>49</v>
      </c>
      <c r="F368" s="5" t="s">
        <v>49</v>
      </c>
      <c r="G368" s="21">
        <v>1</v>
      </c>
      <c r="H368" s="22">
        <v>5000</v>
      </c>
      <c r="I368" s="22">
        <f t="shared" si="38"/>
        <v>5000</v>
      </c>
      <c r="J368" s="5">
        <v>14</v>
      </c>
      <c r="K368" s="23">
        <f t="shared" si="39"/>
        <v>2500</v>
      </c>
      <c r="L368" s="58">
        <f>(IFERROR(VLOOKUP(C368,'Current Stocks July-26'!B:K,9,0),0))</f>
        <v>0</v>
      </c>
      <c r="M368" s="24">
        <f t="shared" si="35"/>
        <v>0</v>
      </c>
      <c r="N368" s="25" t="str">
        <f t="shared" si="36"/>
        <v>ORDER NOW</v>
      </c>
      <c r="O368" s="25" t="str">
        <f t="shared" si="37"/>
        <v>CRITICAL</v>
      </c>
      <c r="P368" s="5"/>
      <c r="Q368" s="5"/>
      <c r="R368" s="5"/>
      <c r="S368" s="90">
        <f>VLOOKUP(C368,[3]Sheet1!$C$3:$P$521,14,0)</f>
        <v>46134.44630787037</v>
      </c>
    </row>
    <row r="369" spans="1:19" ht="18.75" hidden="1" x14ac:dyDescent="0.25">
      <c r="A369" s="19">
        <v>12</v>
      </c>
      <c r="B369" s="19" t="s">
        <v>18</v>
      </c>
      <c r="C369" s="19" t="s">
        <v>802</v>
      </c>
      <c r="D369" s="29" t="s">
        <v>803</v>
      </c>
      <c r="E369" s="29" t="s">
        <v>804</v>
      </c>
      <c r="F369" s="5" t="s">
        <v>22</v>
      </c>
      <c r="G369" s="21">
        <v>3.1250000000000002E-3</v>
      </c>
      <c r="H369" s="22">
        <v>825</v>
      </c>
      <c r="I369" s="22">
        <f t="shared" ref="I369:I400" si="40">H369/G369</f>
        <v>264000</v>
      </c>
      <c r="J369" s="5">
        <v>14</v>
      </c>
      <c r="K369" s="23">
        <f t="shared" si="39"/>
        <v>132000</v>
      </c>
      <c r="L369" s="58">
        <f>(IFERROR(VLOOKUP(C369,'Current Stocks July-26'!B:K,9,0),0))</f>
        <v>64780</v>
      </c>
      <c r="M369" s="24">
        <f t="shared" si="35"/>
        <v>7.3613636363636363</v>
      </c>
      <c r="N369" s="25" t="str">
        <f t="shared" si="36"/>
        <v>ORDER NOW</v>
      </c>
      <c r="O369" s="25" t="str">
        <f t="shared" si="37"/>
        <v>CRITICAL</v>
      </c>
      <c r="P369" s="5"/>
      <c r="Q369" s="5"/>
      <c r="R369" s="5" t="s">
        <v>30</v>
      </c>
      <c r="S369" s="90">
        <f>VLOOKUP(C369,[3]Sheet1!$C$3:$P$521,14,0)</f>
        <v>46128.688379629632</v>
      </c>
    </row>
    <row r="370" spans="1:19" ht="18.75" hidden="1" x14ac:dyDescent="0.25">
      <c r="A370" s="39">
        <v>232</v>
      </c>
      <c r="B370" s="39" t="s">
        <v>123</v>
      </c>
      <c r="C370" s="39" t="s">
        <v>877</v>
      </c>
      <c r="D370" s="27" t="s">
        <v>878</v>
      </c>
      <c r="E370" s="27" t="s">
        <v>160</v>
      </c>
      <c r="F370" s="5" t="s">
        <v>49</v>
      </c>
      <c r="G370" s="21">
        <v>1</v>
      </c>
      <c r="H370" s="22">
        <v>164</v>
      </c>
      <c r="I370" s="22">
        <f t="shared" si="40"/>
        <v>164</v>
      </c>
      <c r="J370" s="5">
        <v>14</v>
      </c>
      <c r="K370" s="23">
        <f t="shared" si="39"/>
        <v>82</v>
      </c>
      <c r="L370" s="58">
        <f>(IFERROR(VLOOKUP(C370,'Current Stocks July-26'!B:K,9,0),0))</f>
        <v>12</v>
      </c>
      <c r="M370" s="24">
        <f t="shared" si="35"/>
        <v>2.1951219512195119</v>
      </c>
      <c r="N370" s="25" t="str">
        <f t="shared" si="36"/>
        <v>ORDER NOW</v>
      </c>
      <c r="O370" s="25" t="str">
        <f t="shared" si="37"/>
        <v>CRITICAL</v>
      </c>
      <c r="P370" s="5"/>
      <c r="Q370" s="5"/>
      <c r="R370" s="5"/>
      <c r="S370" s="90">
        <f>VLOOKUP(C370,[3]Sheet1!$C$3:$P$521,14,0)</f>
        <v>46118.497893518521</v>
      </c>
    </row>
    <row r="371" spans="1:19" ht="18.75" hidden="1" x14ac:dyDescent="0.25">
      <c r="A371" s="19">
        <v>75</v>
      </c>
      <c r="B371" s="19" t="s">
        <v>18</v>
      </c>
      <c r="C371" s="19" t="s">
        <v>1343</v>
      </c>
      <c r="D371" s="32" t="s">
        <v>1344</v>
      </c>
      <c r="E371" s="32" t="s">
        <v>78</v>
      </c>
      <c r="F371" s="5" t="s">
        <v>49</v>
      </c>
      <c r="G371" s="21">
        <f>1/30</f>
        <v>3.3333333333333333E-2</v>
      </c>
      <c r="H371" s="22">
        <v>50</v>
      </c>
      <c r="I371" s="22">
        <f t="shared" si="40"/>
        <v>1500</v>
      </c>
      <c r="J371" s="5">
        <v>60</v>
      </c>
      <c r="K371" s="23">
        <f t="shared" si="39"/>
        <v>3214.2857142857142</v>
      </c>
      <c r="L371" s="58">
        <f>(IFERROR(VLOOKUP(C371,'Current Stocks July-26'!B:K,9,0),0))</f>
        <v>0</v>
      </c>
      <c r="M371" s="24">
        <f t="shared" si="35"/>
        <v>0</v>
      </c>
      <c r="N371" s="25" t="str">
        <f t="shared" si="36"/>
        <v>ORDER NOW</v>
      </c>
      <c r="O371" s="25" t="str">
        <f t="shared" si="37"/>
        <v>CRITICAL</v>
      </c>
      <c r="P371" s="5"/>
      <c r="Q371" s="5"/>
      <c r="R371" s="5" t="s">
        <v>30</v>
      </c>
      <c r="S371" s="90" t="e">
        <f>VLOOKUP(C371,[3]Sheet1!$C$3:$P$521,14,0)</f>
        <v>#N/A</v>
      </c>
    </row>
    <row r="372" spans="1:19" ht="18.75" hidden="1" x14ac:dyDescent="0.25">
      <c r="A372" s="19">
        <v>2</v>
      </c>
      <c r="B372" s="19" t="s">
        <v>18</v>
      </c>
      <c r="C372" s="19" t="s">
        <v>833</v>
      </c>
      <c r="D372" s="4" t="s">
        <v>834</v>
      </c>
      <c r="E372" s="4" t="s">
        <v>186</v>
      </c>
      <c r="F372" s="5" t="s">
        <v>22</v>
      </c>
      <c r="G372" s="21">
        <v>2E-3</v>
      </c>
      <c r="H372" s="22">
        <v>2338.5</v>
      </c>
      <c r="I372" s="22">
        <f t="shared" si="40"/>
        <v>1169250</v>
      </c>
      <c r="J372" s="5">
        <v>14</v>
      </c>
      <c r="K372" s="23">
        <f t="shared" si="39"/>
        <v>584625</v>
      </c>
      <c r="L372" s="58">
        <f>(IFERROR(VLOOKUP(C372,'Current Stocks July-26'!B:K,9,0),0))</f>
        <v>500000</v>
      </c>
      <c r="M372" s="24">
        <f t="shared" si="35"/>
        <v>12.828736369467608</v>
      </c>
      <c r="N372" s="25" t="str">
        <f t="shared" si="36"/>
        <v>ORDER NOW</v>
      </c>
      <c r="O372" s="25" t="str">
        <f t="shared" si="37"/>
        <v>CRITICAL</v>
      </c>
      <c r="P372" s="5"/>
      <c r="Q372" s="5"/>
      <c r="R372" s="92" t="s">
        <v>30</v>
      </c>
      <c r="S372" s="90">
        <f>VLOOKUP(C372,[3]Sheet1!$C$3:$P$521,14,0)</f>
        <v>46140.606099537035</v>
      </c>
    </row>
    <row r="373" spans="1:19" ht="18.75" hidden="1" x14ac:dyDescent="0.25">
      <c r="A373" s="39">
        <v>228</v>
      </c>
      <c r="B373" s="39" t="s">
        <v>123</v>
      </c>
      <c r="C373" s="39" t="s">
        <v>946</v>
      </c>
      <c r="D373" s="27" t="s">
        <v>947</v>
      </c>
      <c r="E373" s="27" t="s">
        <v>160</v>
      </c>
      <c r="F373" s="5" t="s">
        <v>49</v>
      </c>
      <c r="G373" s="21">
        <v>1</v>
      </c>
      <c r="H373" s="22">
        <v>21.5</v>
      </c>
      <c r="I373" s="22">
        <f t="shared" si="40"/>
        <v>21.5</v>
      </c>
      <c r="J373" s="5">
        <v>14</v>
      </c>
      <c r="K373" s="23">
        <f t="shared" si="39"/>
        <v>10.75</v>
      </c>
      <c r="L373" s="58">
        <f>(IFERROR(VLOOKUP(C373,'Current Stocks July-26'!B:K,9,0),0))</f>
        <v>0</v>
      </c>
      <c r="M373" s="24">
        <f t="shared" si="35"/>
        <v>0</v>
      </c>
      <c r="N373" s="25" t="str">
        <f t="shared" si="36"/>
        <v>ORDER NOW</v>
      </c>
      <c r="O373" s="25" t="str">
        <f t="shared" si="37"/>
        <v>CRITICAL</v>
      </c>
      <c r="P373" s="5"/>
      <c r="Q373" s="5"/>
      <c r="R373" s="5"/>
      <c r="S373" s="90">
        <f>VLOOKUP(C373,[3]Sheet1!$C$3:$P$521,14,0)</f>
        <v>46119.481805555559</v>
      </c>
    </row>
    <row r="374" spans="1:19" ht="18.75" hidden="1" x14ac:dyDescent="0.25">
      <c r="A374" s="19">
        <v>99</v>
      </c>
      <c r="B374" s="19" t="s">
        <v>18</v>
      </c>
      <c r="C374" s="19" t="s">
        <v>1188</v>
      </c>
      <c r="D374" s="27" t="s">
        <v>1189</v>
      </c>
      <c r="E374" s="27" t="s">
        <v>850</v>
      </c>
      <c r="F374" s="5" t="s">
        <v>22</v>
      </c>
      <c r="G374" s="21">
        <v>0.01</v>
      </c>
      <c r="H374" s="22">
        <v>140</v>
      </c>
      <c r="I374" s="22">
        <f t="shared" si="40"/>
        <v>14000</v>
      </c>
      <c r="J374" s="5">
        <v>14</v>
      </c>
      <c r="K374" s="23">
        <f t="shared" si="39"/>
        <v>7000</v>
      </c>
      <c r="L374" s="58">
        <f>(IFERROR(VLOOKUP(C374,'Current Stocks July-26'!B:K,9,0),0))</f>
        <v>700</v>
      </c>
      <c r="M374" s="24">
        <f t="shared" si="35"/>
        <v>1.5</v>
      </c>
      <c r="N374" s="25" t="str">
        <f t="shared" si="36"/>
        <v>ORDER NOW</v>
      </c>
      <c r="O374" s="25" t="str">
        <f t="shared" si="37"/>
        <v>CRITICAL</v>
      </c>
      <c r="P374" s="5"/>
      <c r="Q374" s="5"/>
      <c r="R374" s="5" t="s">
        <v>30</v>
      </c>
      <c r="S374" s="90">
        <f>VLOOKUP(C374,[3]Sheet1!$C$3:$P$521,14,0)</f>
        <v>46131.518449074072</v>
      </c>
    </row>
    <row r="375" spans="1:19" ht="18.75" hidden="1" x14ac:dyDescent="0.25">
      <c r="A375" s="41">
        <v>366</v>
      </c>
      <c r="B375" s="41" t="s">
        <v>85</v>
      </c>
      <c r="C375" s="41" t="s">
        <v>1218</v>
      </c>
      <c r="D375" s="27" t="s">
        <v>1219</v>
      </c>
      <c r="E375" s="27" t="s">
        <v>101</v>
      </c>
      <c r="F375" s="5" t="s">
        <v>22</v>
      </c>
      <c r="G375" s="21">
        <v>0.16666666666666666</v>
      </c>
      <c r="H375" s="22">
        <v>99.25</v>
      </c>
      <c r="I375" s="22">
        <f t="shared" si="40"/>
        <v>595.5</v>
      </c>
      <c r="J375" s="5">
        <v>14</v>
      </c>
      <c r="K375" s="23">
        <f t="shared" si="39"/>
        <v>297.75</v>
      </c>
      <c r="L375" s="58">
        <f>(IFERROR(VLOOKUP(C375,'Current Stocks July-26'!B:K,9,0),0))</f>
        <v>462</v>
      </c>
      <c r="M375" s="24">
        <f t="shared" si="35"/>
        <v>23.274559193954659</v>
      </c>
      <c r="N375" s="25" t="str">
        <f t="shared" si="36"/>
        <v>IN STOCK</v>
      </c>
      <c r="O375" s="25" t="str">
        <f t="shared" si="37"/>
        <v>FOLLOW UP DELIVERY</v>
      </c>
      <c r="P375" s="5"/>
      <c r="Q375" s="5"/>
      <c r="R375" s="5"/>
      <c r="S375" s="90">
        <f>VLOOKUP(C375,[3]Sheet1!$C$3:$P$521,14,0)</f>
        <v>46131.518518518518</v>
      </c>
    </row>
    <row r="376" spans="1:19" ht="18.75" hidden="1" x14ac:dyDescent="0.25">
      <c r="A376" s="19">
        <v>45</v>
      </c>
      <c r="B376" s="19" t="s">
        <v>18</v>
      </c>
      <c r="C376" s="19" t="s">
        <v>1024</v>
      </c>
      <c r="D376" s="31" t="s">
        <v>1025</v>
      </c>
      <c r="E376" s="29" t="s">
        <v>1026</v>
      </c>
      <c r="F376" s="5" t="s">
        <v>22</v>
      </c>
      <c r="G376" s="21">
        <f>1/1200</f>
        <v>8.3333333333333339E-4</v>
      </c>
      <c r="H376" s="22">
        <v>38.5</v>
      </c>
      <c r="I376" s="22">
        <f t="shared" si="40"/>
        <v>46200</v>
      </c>
      <c r="J376" s="5">
        <v>14</v>
      </c>
      <c r="K376" s="23">
        <f t="shared" si="39"/>
        <v>23100</v>
      </c>
      <c r="L376" s="58">
        <f>(IFERROR(VLOOKUP(C376,'Current Stocks July-26'!B:K,9,0),0))</f>
        <v>0</v>
      </c>
      <c r="M376" s="24">
        <f t="shared" si="35"/>
        <v>0</v>
      </c>
      <c r="N376" s="25" t="str">
        <f t="shared" si="36"/>
        <v>ORDER NOW</v>
      </c>
      <c r="O376" s="25" t="str">
        <f t="shared" si="37"/>
        <v>CRITICAL</v>
      </c>
      <c r="P376" s="5"/>
      <c r="Q376" s="5"/>
      <c r="R376" s="5" t="s">
        <v>30</v>
      </c>
      <c r="S376" s="90">
        <f>VLOOKUP(C376,[3]Sheet1!$C$3:$P$521,14,0)</f>
        <v>46134.446527777778</v>
      </c>
    </row>
    <row r="377" spans="1:19" ht="18.75" hidden="1" x14ac:dyDescent="0.25">
      <c r="A377" s="19">
        <v>80</v>
      </c>
      <c r="B377" s="19" t="s">
        <v>18</v>
      </c>
      <c r="C377" s="19" t="s">
        <v>922</v>
      </c>
      <c r="D377" s="27" t="s">
        <v>923</v>
      </c>
      <c r="E377" s="27" t="s">
        <v>924</v>
      </c>
      <c r="F377" s="5" t="s">
        <v>22</v>
      </c>
      <c r="G377" s="21">
        <v>4.1666666666666669E-4</v>
      </c>
      <c r="H377" s="22">
        <v>200</v>
      </c>
      <c r="I377" s="22">
        <f t="shared" si="40"/>
        <v>479999.99999999994</v>
      </c>
      <c r="J377" s="5">
        <v>14</v>
      </c>
      <c r="K377" s="23">
        <f t="shared" si="39"/>
        <v>239999.99999999997</v>
      </c>
      <c r="L377" s="58">
        <f>(IFERROR(VLOOKUP(C377,'Current Stocks July-26'!B:K,9,0),0))</f>
        <v>100800</v>
      </c>
      <c r="M377" s="24">
        <f t="shared" si="35"/>
        <v>6.3000000000000007</v>
      </c>
      <c r="N377" s="25" t="str">
        <f t="shared" si="36"/>
        <v>ORDER NOW</v>
      </c>
      <c r="O377" s="25" t="str">
        <f t="shared" si="37"/>
        <v>CRITICAL</v>
      </c>
      <c r="P377" s="5"/>
      <c r="Q377" s="5"/>
      <c r="R377" s="5" t="s">
        <v>30</v>
      </c>
      <c r="S377" s="90">
        <f>VLOOKUP(C377,[3]Sheet1!$C$3:$P$521,14,0)</f>
        <v>46138.48159722222</v>
      </c>
    </row>
    <row r="378" spans="1:19" ht="18.75" hidden="1" x14ac:dyDescent="0.25">
      <c r="A378" s="19">
        <v>74</v>
      </c>
      <c r="B378" s="19" t="s">
        <v>18</v>
      </c>
      <c r="C378" s="19" t="s">
        <v>1446</v>
      </c>
      <c r="D378" s="32" t="s">
        <v>1447</v>
      </c>
      <c r="E378" s="32" t="s">
        <v>78</v>
      </c>
      <c r="F378" s="5" t="s">
        <v>49</v>
      </c>
      <c r="G378" s="21">
        <f>1/30</f>
        <v>3.3333333333333333E-2</v>
      </c>
      <c r="H378" s="22">
        <v>50</v>
      </c>
      <c r="I378" s="22">
        <f t="shared" si="40"/>
        <v>1500</v>
      </c>
      <c r="J378" s="5">
        <v>60</v>
      </c>
      <c r="K378" s="23">
        <f t="shared" si="39"/>
        <v>3214.2857142857142</v>
      </c>
      <c r="L378" s="58">
        <f>(IFERROR(VLOOKUP(C378,'Current Stocks July-26'!B:K,9,0),0))</f>
        <v>0</v>
      </c>
      <c r="M378" s="24">
        <f t="shared" si="35"/>
        <v>0</v>
      </c>
      <c r="N378" s="25" t="str">
        <f t="shared" si="36"/>
        <v>ORDER NOW</v>
      </c>
      <c r="O378" s="25" t="str">
        <f t="shared" si="37"/>
        <v>CRITICAL</v>
      </c>
      <c r="P378" s="5"/>
      <c r="Q378" s="5"/>
      <c r="R378" s="5" t="s">
        <v>30</v>
      </c>
      <c r="S378" s="90" t="e">
        <f>VLOOKUP(C378,[3]Sheet1!$C$3:$P$521,14,0)</f>
        <v>#N/A</v>
      </c>
    </row>
    <row r="379" spans="1:19" ht="18.75" hidden="1" x14ac:dyDescent="0.25">
      <c r="A379" s="39">
        <v>199</v>
      </c>
      <c r="B379" s="39" t="s">
        <v>239</v>
      </c>
      <c r="C379" s="39" t="s">
        <v>1108</v>
      </c>
      <c r="D379" s="27" t="s">
        <v>1109</v>
      </c>
      <c r="E379" s="27" t="s">
        <v>160</v>
      </c>
      <c r="F379" s="5" t="s">
        <v>49</v>
      </c>
      <c r="G379" s="21">
        <v>1</v>
      </c>
      <c r="H379" s="22">
        <v>167</v>
      </c>
      <c r="I379" s="22">
        <f t="shared" si="40"/>
        <v>167</v>
      </c>
      <c r="J379" s="5">
        <v>14</v>
      </c>
      <c r="K379" s="23">
        <f t="shared" si="39"/>
        <v>83.5</v>
      </c>
      <c r="L379" s="58">
        <f>(IFERROR(VLOOKUP(C379,'Current Stocks July-26'!B:K,9,0),0))</f>
        <v>0</v>
      </c>
      <c r="M379" s="24">
        <f t="shared" si="35"/>
        <v>0</v>
      </c>
      <c r="N379" s="25" t="str">
        <f t="shared" si="36"/>
        <v>ORDER NOW</v>
      </c>
      <c r="O379" s="25" t="str">
        <f t="shared" si="37"/>
        <v>CRITICAL</v>
      </c>
      <c r="P379" s="5"/>
      <c r="Q379" s="5"/>
      <c r="R379" s="5"/>
      <c r="S379" s="90">
        <f>VLOOKUP(C379,[3]Sheet1!$C$3:$P$521,14,0)</f>
        <v>46131.518043981479</v>
      </c>
    </row>
    <row r="380" spans="1:19" ht="18.75" hidden="1" x14ac:dyDescent="0.25">
      <c r="A380" s="39">
        <v>273</v>
      </c>
      <c r="B380" s="39" t="s">
        <v>18</v>
      </c>
      <c r="C380" s="39" t="s">
        <v>71</v>
      </c>
      <c r="D380" s="27" t="s">
        <v>72</v>
      </c>
      <c r="E380" s="27" t="s">
        <v>73</v>
      </c>
      <c r="F380" s="5" t="s">
        <v>22</v>
      </c>
      <c r="G380" s="21">
        <v>0.16666666666666666</v>
      </c>
      <c r="H380" s="22">
        <v>22</v>
      </c>
      <c r="I380" s="22">
        <f t="shared" si="40"/>
        <v>132</v>
      </c>
      <c r="J380" s="5">
        <v>14</v>
      </c>
      <c r="K380" s="23">
        <f t="shared" si="39"/>
        <v>66</v>
      </c>
      <c r="L380" s="58">
        <f>(IFERROR(VLOOKUP(C380,'Current Stocks July-26'!B:K,9,0),0))</f>
        <v>36</v>
      </c>
      <c r="M380" s="24">
        <f t="shared" si="35"/>
        <v>8.1818181818181817</v>
      </c>
      <c r="N380" s="25" t="str">
        <f t="shared" si="36"/>
        <v>ORDER NOW</v>
      </c>
      <c r="O380" s="25" t="str">
        <f t="shared" si="37"/>
        <v>CRITICAL</v>
      </c>
      <c r="P380" s="5"/>
      <c r="Q380" s="5"/>
      <c r="R380" s="5"/>
      <c r="S380" s="90">
        <f>VLOOKUP(C380,[3]Sheet1!$C$3:$P$521,14,0)</f>
        <v>46141.525729166664</v>
      </c>
    </row>
    <row r="381" spans="1:19" ht="18.75" hidden="1" x14ac:dyDescent="0.25">
      <c r="A381" s="19">
        <v>26</v>
      </c>
      <c r="B381" s="19" t="s">
        <v>18</v>
      </c>
      <c r="C381" s="19" t="s">
        <v>1140</v>
      </c>
      <c r="D381" s="27" t="s">
        <v>1141</v>
      </c>
      <c r="E381" s="27" t="s">
        <v>1142</v>
      </c>
      <c r="F381" s="5" t="s">
        <v>22</v>
      </c>
      <c r="G381" s="21">
        <v>1E-3</v>
      </c>
      <c r="H381" s="22">
        <v>137</v>
      </c>
      <c r="I381" s="22">
        <f t="shared" si="40"/>
        <v>137000</v>
      </c>
      <c r="J381" s="5">
        <v>60</v>
      </c>
      <c r="K381" s="23">
        <f t="shared" si="39"/>
        <v>293571.42857142858</v>
      </c>
      <c r="L381" s="58">
        <f>(IFERROR(VLOOKUP(C381,'Current Stocks July-26'!B:K,9,0),0))</f>
        <v>26000</v>
      </c>
      <c r="M381" s="24">
        <f t="shared" si="35"/>
        <v>5.6934306569343063</v>
      </c>
      <c r="N381" s="25" t="str">
        <f t="shared" si="36"/>
        <v>ORDER NOW</v>
      </c>
      <c r="O381" s="25" t="str">
        <f t="shared" si="37"/>
        <v>CRITICAL</v>
      </c>
      <c r="P381" s="5"/>
      <c r="Q381" s="5"/>
      <c r="R381" s="5" t="s">
        <v>30</v>
      </c>
      <c r="S381" s="90">
        <f>VLOOKUP(C381,[3]Sheet1!$C$3:$P$521,14,0)</f>
        <v>46138.48170138889</v>
      </c>
    </row>
    <row r="382" spans="1:19" ht="18.75" hidden="1" x14ac:dyDescent="0.25">
      <c r="A382" s="41">
        <v>494</v>
      </c>
      <c r="B382" s="41" t="s">
        <v>38</v>
      </c>
      <c r="C382" s="41" t="s">
        <v>131</v>
      </c>
      <c r="D382" s="32" t="s">
        <v>132</v>
      </c>
      <c r="E382" s="27" t="s">
        <v>116</v>
      </c>
      <c r="F382" s="5" t="s">
        <v>22</v>
      </c>
      <c r="G382" s="21">
        <v>0.1</v>
      </c>
      <c r="H382" s="22">
        <v>200</v>
      </c>
      <c r="I382" s="22">
        <f t="shared" si="40"/>
        <v>2000</v>
      </c>
      <c r="J382" s="5">
        <v>14</v>
      </c>
      <c r="K382" s="23">
        <f t="shared" si="39"/>
        <v>1000</v>
      </c>
      <c r="L382" s="58">
        <f>(IFERROR(VLOOKUP(C382,'Current Stocks July-26'!B:K,9,0),0))</f>
        <v>0</v>
      </c>
      <c r="M382" s="24">
        <f t="shared" si="35"/>
        <v>0</v>
      </c>
      <c r="N382" s="25" t="str">
        <f t="shared" si="36"/>
        <v>ORDER NOW</v>
      </c>
      <c r="O382" s="25" t="str">
        <f t="shared" si="37"/>
        <v>CRITICAL</v>
      </c>
      <c r="P382" s="5"/>
      <c r="Q382" s="5"/>
      <c r="R382" s="5"/>
      <c r="S382" s="90">
        <f>VLOOKUP(C382,[3]Sheet1!$C$3:$P$521,14,0)</f>
        <v>46113.430949074071</v>
      </c>
    </row>
    <row r="383" spans="1:19" ht="18.75" hidden="1" x14ac:dyDescent="0.25">
      <c r="A383" s="19">
        <v>83</v>
      </c>
      <c r="B383" s="19" t="s">
        <v>18</v>
      </c>
      <c r="C383" s="19" t="s">
        <v>798</v>
      </c>
      <c r="D383" s="27" t="s">
        <v>799</v>
      </c>
      <c r="E383" s="27" t="s">
        <v>800</v>
      </c>
      <c r="F383" s="5" t="s">
        <v>801</v>
      </c>
      <c r="G383" s="21">
        <v>1.6666666666666668E-3</v>
      </c>
      <c r="H383" s="22">
        <v>123</v>
      </c>
      <c r="I383" s="22">
        <f t="shared" si="40"/>
        <v>73800</v>
      </c>
      <c r="J383" s="5">
        <v>14</v>
      </c>
      <c r="K383" s="23">
        <f t="shared" si="39"/>
        <v>36900</v>
      </c>
      <c r="L383" s="58">
        <f>(IFERROR(VLOOKUP(C383,'Current Stocks July-26'!B:K,9,0),0))</f>
        <v>15750</v>
      </c>
      <c r="M383" s="24">
        <f t="shared" si="35"/>
        <v>6.4024390243902438</v>
      </c>
      <c r="N383" s="25" t="str">
        <f t="shared" si="36"/>
        <v>ORDER NOW</v>
      </c>
      <c r="O383" s="25" t="str">
        <f t="shared" si="37"/>
        <v>CRITICAL</v>
      </c>
      <c r="P383" s="5"/>
      <c r="Q383" s="5"/>
      <c r="R383" s="5" t="s">
        <v>30</v>
      </c>
      <c r="S383" s="90">
        <f>VLOOKUP(C383,[3]Sheet1!$C$3:$P$521,14,0)</f>
        <v>46138.483726851853</v>
      </c>
    </row>
    <row r="384" spans="1:19" ht="18.75" hidden="1" x14ac:dyDescent="0.25">
      <c r="A384" s="39">
        <v>303</v>
      </c>
      <c r="B384" s="39" t="s">
        <v>18</v>
      </c>
      <c r="C384" s="39" t="s">
        <v>972</v>
      </c>
      <c r="D384" s="31" t="s">
        <v>973</v>
      </c>
      <c r="E384" s="31" t="s">
        <v>78</v>
      </c>
      <c r="F384" s="5" t="s">
        <v>49</v>
      </c>
      <c r="G384" s="21">
        <v>1</v>
      </c>
      <c r="H384" s="22">
        <v>220</v>
      </c>
      <c r="I384" s="22">
        <f t="shared" si="40"/>
        <v>220</v>
      </c>
      <c r="J384" s="5">
        <v>14</v>
      </c>
      <c r="K384" s="23">
        <f t="shared" si="39"/>
        <v>110</v>
      </c>
      <c r="L384" s="58">
        <f>(IFERROR(VLOOKUP(C384,'Current Stocks July-26'!B:K,9,0),0))</f>
        <v>0</v>
      </c>
      <c r="M384" s="24">
        <f t="shared" si="35"/>
        <v>0</v>
      </c>
      <c r="N384" s="25" t="str">
        <f t="shared" si="36"/>
        <v>ORDER NOW</v>
      </c>
      <c r="O384" s="25" t="str">
        <f t="shared" si="37"/>
        <v>CRITICAL</v>
      </c>
      <c r="P384" s="5"/>
      <c r="Q384" s="5"/>
      <c r="R384" s="5"/>
      <c r="S384" s="90">
        <f>VLOOKUP(C384,[3]Sheet1!$C$3:$P$521,14,0)</f>
        <v>46138.481504629628</v>
      </c>
    </row>
    <row r="385" spans="1:19" ht="18.75" hidden="1" x14ac:dyDescent="0.25">
      <c r="A385" s="19">
        <v>76</v>
      </c>
      <c r="B385" s="19" t="s">
        <v>18</v>
      </c>
      <c r="C385" s="19" t="s">
        <v>1297</v>
      </c>
      <c r="D385" s="32" t="s">
        <v>1298</v>
      </c>
      <c r="E385" s="32" t="s">
        <v>78</v>
      </c>
      <c r="F385" s="5" t="s">
        <v>49</v>
      </c>
      <c r="G385" s="21">
        <f>1/30</f>
        <v>3.3333333333333333E-2</v>
      </c>
      <c r="H385" s="22">
        <v>50</v>
      </c>
      <c r="I385" s="22">
        <f t="shared" si="40"/>
        <v>1500</v>
      </c>
      <c r="J385" s="5">
        <v>60</v>
      </c>
      <c r="K385" s="23">
        <f t="shared" si="39"/>
        <v>3214.2857142857142</v>
      </c>
      <c r="L385" s="58">
        <f>(IFERROR(VLOOKUP(C385,'Current Stocks July-26'!B:K,9,0),0))</f>
        <v>0</v>
      </c>
      <c r="M385" s="24">
        <f t="shared" si="35"/>
        <v>0</v>
      </c>
      <c r="N385" s="25" t="str">
        <f t="shared" si="36"/>
        <v>ORDER NOW</v>
      </c>
      <c r="O385" s="25" t="str">
        <f t="shared" si="37"/>
        <v>CRITICAL</v>
      </c>
      <c r="P385" s="5"/>
      <c r="Q385" s="5"/>
      <c r="R385" s="5" t="s">
        <v>30</v>
      </c>
      <c r="S385" s="90" t="e">
        <f>VLOOKUP(C385,[3]Sheet1!$C$3:$P$521,14,0)</f>
        <v>#N/A</v>
      </c>
    </row>
    <row r="386" spans="1:19" ht="18.75" hidden="1" x14ac:dyDescent="0.25">
      <c r="A386" s="41">
        <v>347</v>
      </c>
      <c r="B386" s="41" t="s">
        <v>85</v>
      </c>
      <c r="C386" s="41" t="s">
        <v>865</v>
      </c>
      <c r="D386" s="27" t="s">
        <v>866</v>
      </c>
      <c r="E386" s="27" t="s">
        <v>867</v>
      </c>
      <c r="F386" s="5" t="s">
        <v>22</v>
      </c>
      <c r="G386" s="21">
        <v>8.3333333333333329E-2</v>
      </c>
      <c r="H386" s="22">
        <v>103.5</v>
      </c>
      <c r="I386" s="22">
        <f t="shared" si="40"/>
        <v>1242</v>
      </c>
      <c r="J386" s="5">
        <v>14</v>
      </c>
      <c r="K386" s="23">
        <f t="shared" si="39"/>
        <v>621</v>
      </c>
      <c r="L386" s="58">
        <f>(IFERROR(VLOOKUP(C386,'Current Stocks July-26'!B:K,9,0),0))</f>
        <v>200</v>
      </c>
      <c r="M386" s="24">
        <f t="shared" si="35"/>
        <v>4.8309178743961354</v>
      </c>
      <c r="N386" s="25" t="str">
        <f t="shared" si="36"/>
        <v>ORDER NOW</v>
      </c>
      <c r="O386" s="25" t="str">
        <f t="shared" si="37"/>
        <v>CRITICAL</v>
      </c>
      <c r="P386" s="5"/>
      <c r="Q386" s="5"/>
      <c r="R386" s="5"/>
      <c r="S386" s="90">
        <f>VLOOKUP(C386,[3]Sheet1!$C$3:$P$521,14,0)</f>
        <v>46141.525520833333</v>
      </c>
    </row>
    <row r="387" spans="1:19" ht="18.75" hidden="1" x14ac:dyDescent="0.25">
      <c r="A387" s="19">
        <v>132</v>
      </c>
      <c r="B387" s="19" t="s">
        <v>18</v>
      </c>
      <c r="C387" s="19" t="s">
        <v>956</v>
      </c>
      <c r="D387" s="27" t="s">
        <v>957</v>
      </c>
      <c r="E387" s="27" t="s">
        <v>958</v>
      </c>
      <c r="F387" s="5" t="s">
        <v>22</v>
      </c>
      <c r="G387" s="21">
        <v>4.1666666666666669E-4</v>
      </c>
      <c r="H387" s="22">
        <v>10</v>
      </c>
      <c r="I387" s="22">
        <f t="shared" si="40"/>
        <v>24000</v>
      </c>
      <c r="J387" s="5">
        <v>14</v>
      </c>
      <c r="K387" s="23">
        <f t="shared" si="39"/>
        <v>12000</v>
      </c>
      <c r="L387" s="58">
        <f>(IFERROR(VLOOKUP(C387,'Current Stocks July-26'!B:K,9,0),0))</f>
        <v>5000</v>
      </c>
      <c r="M387" s="24">
        <f t="shared" ref="M387:M450" si="41">IFERROR((L387/I387*30),0)</f>
        <v>6.25</v>
      </c>
      <c r="N387" s="25" t="str">
        <f t="shared" ref="N387:N450" si="42">IF(M387&lt;J387,"ORDER NOW","IN STOCK")</f>
        <v>ORDER NOW</v>
      </c>
      <c r="O387" s="25" t="str">
        <f t="shared" ref="O387:O450" si="43">IF(M387&lt;J387,"CRITICAL","FOLLOW UP DELIVERY")</f>
        <v>CRITICAL</v>
      </c>
      <c r="P387" s="5"/>
      <c r="Q387" s="5"/>
      <c r="R387" s="5" t="s">
        <v>30</v>
      </c>
      <c r="S387" s="90">
        <f>VLOOKUP(C387,[3]Sheet1!$C$3:$P$521,14,0)</f>
        <v>46138.437696759262</v>
      </c>
    </row>
    <row r="388" spans="1:19" ht="18.75" hidden="1" x14ac:dyDescent="0.25">
      <c r="A388" s="41">
        <v>477</v>
      </c>
      <c r="B388" s="41" t="s">
        <v>38</v>
      </c>
      <c r="C388" s="41" t="s">
        <v>835</v>
      </c>
      <c r="D388" s="27" t="s">
        <v>836</v>
      </c>
      <c r="E388" s="27" t="s">
        <v>837</v>
      </c>
      <c r="F388" s="5" t="s">
        <v>22</v>
      </c>
      <c r="G388" s="21">
        <v>0.12254901960784313</v>
      </c>
      <c r="H388" s="22">
        <v>290</v>
      </c>
      <c r="I388" s="22">
        <f t="shared" si="40"/>
        <v>2366.4</v>
      </c>
      <c r="J388" s="5">
        <v>14</v>
      </c>
      <c r="K388" s="23">
        <f t="shared" si="39"/>
        <v>1183.2</v>
      </c>
      <c r="L388" s="58">
        <f>(IFERROR(VLOOKUP(C388,'Current Stocks July-26'!B:K,9,0),0))</f>
        <v>0</v>
      </c>
      <c r="M388" s="24">
        <f t="shared" si="41"/>
        <v>0</v>
      </c>
      <c r="N388" s="25" t="str">
        <f t="shared" si="42"/>
        <v>ORDER NOW</v>
      </c>
      <c r="O388" s="25" t="str">
        <f t="shared" si="43"/>
        <v>CRITICAL</v>
      </c>
      <c r="P388" s="5"/>
      <c r="Q388" s="5"/>
      <c r="R388" s="5"/>
      <c r="S388" s="90">
        <f>VLOOKUP(C388,[3]Sheet1!$C$3:$P$521,14,0)</f>
        <v>46141.525625000002</v>
      </c>
    </row>
    <row r="389" spans="1:19" ht="18.75" hidden="1" x14ac:dyDescent="0.25">
      <c r="A389" s="39">
        <v>249</v>
      </c>
      <c r="B389" s="39" t="s">
        <v>239</v>
      </c>
      <c r="C389" s="39" t="s">
        <v>1000</v>
      </c>
      <c r="D389" s="27" t="s">
        <v>1001</v>
      </c>
      <c r="E389" s="27" t="s">
        <v>78</v>
      </c>
      <c r="F389" s="5" t="s">
        <v>49</v>
      </c>
      <c r="G389" s="21">
        <v>1</v>
      </c>
      <c r="H389" s="22">
        <v>71</v>
      </c>
      <c r="I389" s="22">
        <f t="shared" si="40"/>
        <v>71</v>
      </c>
      <c r="J389" s="5">
        <v>14</v>
      </c>
      <c r="K389" s="23">
        <f t="shared" si="39"/>
        <v>35.5</v>
      </c>
      <c r="L389" s="58">
        <f>(IFERROR(VLOOKUP(C389,'Current Stocks July-26'!B:K,9,0),0))</f>
        <v>5</v>
      </c>
      <c r="M389" s="24">
        <f t="shared" si="41"/>
        <v>2.1126760563380285</v>
      </c>
      <c r="N389" s="25" t="str">
        <f t="shared" si="42"/>
        <v>ORDER NOW</v>
      </c>
      <c r="O389" s="25" t="str">
        <f t="shared" si="43"/>
        <v>CRITICAL</v>
      </c>
      <c r="P389" s="5"/>
      <c r="Q389" s="5"/>
      <c r="R389" s="5"/>
      <c r="S389" s="90">
        <f>VLOOKUP(C389,[3]Sheet1!$C$3:$P$521,14,0)</f>
        <v>46131.517696759256</v>
      </c>
    </row>
    <row r="390" spans="1:19" ht="18.75" hidden="1" x14ac:dyDescent="0.25">
      <c r="A390" s="19">
        <v>63</v>
      </c>
      <c r="B390" s="19" t="s">
        <v>18</v>
      </c>
      <c r="C390" s="19" t="s">
        <v>948</v>
      </c>
      <c r="D390" s="29" t="s">
        <v>949</v>
      </c>
      <c r="E390" s="29" t="s">
        <v>180</v>
      </c>
      <c r="F390" s="5" t="s">
        <v>22</v>
      </c>
      <c r="G390" s="21">
        <f>1/1000</f>
        <v>1E-3</v>
      </c>
      <c r="H390" s="22">
        <v>70</v>
      </c>
      <c r="I390" s="22">
        <f t="shared" si="40"/>
        <v>70000</v>
      </c>
      <c r="J390" s="5">
        <v>14</v>
      </c>
      <c r="K390" s="23">
        <f t="shared" si="39"/>
        <v>35000</v>
      </c>
      <c r="L390" s="58">
        <f>(IFERROR(VLOOKUP(C390,'Current Stocks July-26'!B:K,9,0),0))</f>
        <v>0</v>
      </c>
      <c r="M390" s="24">
        <f t="shared" si="41"/>
        <v>0</v>
      </c>
      <c r="N390" s="25" t="str">
        <f t="shared" si="42"/>
        <v>ORDER NOW</v>
      </c>
      <c r="O390" s="25" t="str">
        <f t="shared" si="43"/>
        <v>CRITICAL</v>
      </c>
      <c r="P390" s="5"/>
      <c r="Q390" s="5"/>
      <c r="R390" s="5" t="s">
        <v>30</v>
      </c>
      <c r="S390" s="90">
        <f>VLOOKUP(C390,[3]Sheet1!$C$3:$P$521,14,0)</f>
        <v>46128.688391203701</v>
      </c>
    </row>
    <row r="391" spans="1:19" ht="18.75" hidden="1" x14ac:dyDescent="0.25">
      <c r="A391" s="41">
        <v>559</v>
      </c>
      <c r="B391" s="41" t="s">
        <v>38</v>
      </c>
      <c r="C391" s="41" t="s">
        <v>1388</v>
      </c>
      <c r="D391" s="93" t="s">
        <v>1389</v>
      </c>
      <c r="E391" s="31" t="s">
        <v>22</v>
      </c>
      <c r="F391" s="5" t="s">
        <v>22</v>
      </c>
      <c r="G391" s="21">
        <v>0.25</v>
      </c>
      <c r="H391" s="22">
        <v>1</v>
      </c>
      <c r="I391" s="22">
        <f t="shared" si="40"/>
        <v>4</v>
      </c>
      <c r="J391" s="5">
        <v>14</v>
      </c>
      <c r="K391" s="23">
        <f t="shared" si="39"/>
        <v>2</v>
      </c>
      <c r="L391" s="58">
        <f>(IFERROR(VLOOKUP(C391,'Current Stocks July-26'!B:K,9,0),0))</f>
        <v>0</v>
      </c>
      <c r="M391" s="24">
        <f t="shared" si="41"/>
        <v>0</v>
      </c>
      <c r="N391" s="25" t="str">
        <f t="shared" si="42"/>
        <v>ORDER NOW</v>
      </c>
      <c r="O391" s="25" t="str">
        <f t="shared" si="43"/>
        <v>CRITICAL</v>
      </c>
      <c r="P391" s="5"/>
      <c r="Q391" s="5"/>
      <c r="R391" s="5"/>
      <c r="S391" s="90">
        <f>VLOOKUP(C391,[3]Sheet1!$C$3:$P$521,14,0)</f>
        <v>46131.519560185188</v>
      </c>
    </row>
    <row r="392" spans="1:19" ht="18.75" hidden="1" x14ac:dyDescent="0.25">
      <c r="A392" s="41">
        <v>391</v>
      </c>
      <c r="B392" s="41" t="s">
        <v>104</v>
      </c>
      <c r="C392" s="41" t="s">
        <v>665</v>
      </c>
      <c r="D392" s="27" t="s">
        <v>666</v>
      </c>
      <c r="E392" s="27" t="s">
        <v>67</v>
      </c>
      <c r="F392" s="5" t="s">
        <v>49</v>
      </c>
      <c r="G392" s="21">
        <v>2</v>
      </c>
      <c r="H392" s="22">
        <v>44</v>
      </c>
      <c r="I392" s="22">
        <f t="shared" si="40"/>
        <v>22</v>
      </c>
      <c r="J392" s="5">
        <v>14</v>
      </c>
      <c r="K392" s="23">
        <f t="shared" si="39"/>
        <v>11</v>
      </c>
      <c r="L392" s="58">
        <f>(IFERROR(VLOOKUP(C392,'Current Stocks July-26'!B:K,9,0),0))</f>
        <v>0</v>
      </c>
      <c r="M392" s="24">
        <f t="shared" si="41"/>
        <v>0</v>
      </c>
      <c r="N392" s="25" t="str">
        <f t="shared" si="42"/>
        <v>ORDER NOW</v>
      </c>
      <c r="O392" s="25" t="str">
        <f t="shared" si="43"/>
        <v>CRITICAL</v>
      </c>
      <c r="P392" s="5"/>
      <c r="Q392" s="5"/>
      <c r="R392" s="5"/>
      <c r="S392" s="90">
        <f>VLOOKUP(C392,[3]Sheet1!$C$3:$P$521,14,0)</f>
        <v>46113.430914351855</v>
      </c>
    </row>
    <row r="393" spans="1:19" ht="18.75" hidden="1" x14ac:dyDescent="0.25">
      <c r="A393" s="41">
        <v>562</v>
      </c>
      <c r="B393" s="41" t="s">
        <v>38</v>
      </c>
      <c r="C393" s="41" t="s">
        <v>1526</v>
      </c>
      <c r="D393" s="37" t="s">
        <v>1527</v>
      </c>
      <c r="E393" s="31" t="s">
        <v>22</v>
      </c>
      <c r="F393" s="5" t="s">
        <v>22</v>
      </c>
      <c r="G393" s="21">
        <v>1</v>
      </c>
      <c r="H393" s="22">
        <v>5</v>
      </c>
      <c r="I393" s="22">
        <f t="shared" si="40"/>
        <v>5</v>
      </c>
      <c r="J393" s="5">
        <v>14</v>
      </c>
      <c r="K393" s="23">
        <f t="shared" si="39"/>
        <v>2.5</v>
      </c>
      <c r="L393" s="58">
        <f>(IFERROR(VLOOKUP(C393,'Current Stocks July-26'!B:K,9,0),0))</f>
        <v>0.46700000000000003</v>
      </c>
      <c r="M393" s="24">
        <f t="shared" si="41"/>
        <v>2.8020000000000005</v>
      </c>
      <c r="N393" s="25" t="str">
        <f t="shared" si="42"/>
        <v>ORDER NOW</v>
      </c>
      <c r="O393" s="25" t="str">
        <f t="shared" si="43"/>
        <v>CRITICAL</v>
      </c>
      <c r="P393" s="5"/>
      <c r="Q393" s="5"/>
      <c r="R393" s="5"/>
      <c r="S393" s="90">
        <f>VLOOKUP(C393,[3]Sheet1!$C$3:$P$521,14,0)</f>
        <v>46131.520324074074</v>
      </c>
    </row>
    <row r="394" spans="1:19" ht="18.75" hidden="1" x14ac:dyDescent="0.25">
      <c r="A394" s="41">
        <v>434</v>
      </c>
      <c r="B394" s="41" t="s">
        <v>38</v>
      </c>
      <c r="C394" s="41" t="s">
        <v>1165</v>
      </c>
      <c r="D394" s="27" t="s">
        <v>1166</v>
      </c>
      <c r="E394" s="27" t="s">
        <v>70</v>
      </c>
      <c r="F394" s="5" t="s">
        <v>54</v>
      </c>
      <c r="G394" s="21">
        <v>0.1388888888888889</v>
      </c>
      <c r="H394" s="22">
        <v>70</v>
      </c>
      <c r="I394" s="22">
        <f t="shared" si="40"/>
        <v>504</v>
      </c>
      <c r="J394" s="5">
        <v>14</v>
      </c>
      <c r="K394" s="23">
        <f t="shared" si="39"/>
        <v>252</v>
      </c>
      <c r="L394" s="58">
        <f>(IFERROR(VLOOKUP(C394,'Current Stocks July-26'!B:K,9,0),0))</f>
        <v>0</v>
      </c>
      <c r="M394" s="24">
        <f t="shared" si="41"/>
        <v>0</v>
      </c>
      <c r="N394" s="25" t="str">
        <f t="shared" si="42"/>
        <v>ORDER NOW</v>
      </c>
      <c r="O394" s="25" t="str">
        <f t="shared" si="43"/>
        <v>CRITICAL</v>
      </c>
      <c r="P394" s="5"/>
      <c r="Q394" s="5"/>
      <c r="R394" s="5"/>
      <c r="S394" s="90">
        <f>VLOOKUP(C394,[3]Sheet1!$C$3:$P$521,14,0)</f>
        <v>46131.518310185187</v>
      </c>
    </row>
    <row r="395" spans="1:19" ht="18.75" hidden="1" x14ac:dyDescent="0.25">
      <c r="A395" s="39">
        <v>250</v>
      </c>
      <c r="B395" s="39" t="s">
        <v>123</v>
      </c>
      <c r="C395" s="39" t="s">
        <v>964</v>
      </c>
      <c r="D395" s="27" t="s">
        <v>965</v>
      </c>
      <c r="E395" s="27" t="s">
        <v>966</v>
      </c>
      <c r="F395" s="5" t="s">
        <v>264</v>
      </c>
      <c r="G395" s="21">
        <v>0.1</v>
      </c>
      <c r="H395" s="22">
        <v>663</v>
      </c>
      <c r="I395" s="22">
        <f t="shared" si="40"/>
        <v>6630</v>
      </c>
      <c r="J395" s="5">
        <v>14</v>
      </c>
      <c r="K395" s="23">
        <f t="shared" si="39"/>
        <v>3315</v>
      </c>
      <c r="L395" s="58">
        <f>(IFERROR(VLOOKUP(C395,'Current Stocks July-26'!B:K,9,0),0))</f>
        <v>1428</v>
      </c>
      <c r="M395" s="24">
        <f t="shared" si="41"/>
        <v>6.4615384615384617</v>
      </c>
      <c r="N395" s="25" t="str">
        <f t="shared" si="42"/>
        <v>ORDER NOW</v>
      </c>
      <c r="O395" s="25" t="str">
        <f t="shared" si="43"/>
        <v>CRITICAL</v>
      </c>
      <c r="P395" s="5"/>
      <c r="Q395" s="5"/>
      <c r="R395" s="5"/>
      <c r="S395" s="90">
        <f>VLOOKUP(C395,[3]Sheet1!$C$3:$P$521,14,0)</f>
        <v>46140.605787037035</v>
      </c>
    </row>
    <row r="396" spans="1:19" ht="18.75" hidden="1" x14ac:dyDescent="0.25">
      <c r="A396" s="39">
        <v>248</v>
      </c>
      <c r="B396" s="39" t="s">
        <v>157</v>
      </c>
      <c r="C396" s="39" t="s">
        <v>925</v>
      </c>
      <c r="D396" s="31" t="s">
        <v>926</v>
      </c>
      <c r="E396" s="31" t="s">
        <v>160</v>
      </c>
      <c r="F396" s="5" t="s">
        <v>49</v>
      </c>
      <c r="G396" s="21">
        <v>1</v>
      </c>
      <c r="H396" s="22">
        <v>8</v>
      </c>
      <c r="I396" s="22">
        <f t="shared" si="40"/>
        <v>8</v>
      </c>
      <c r="J396" s="5">
        <v>14</v>
      </c>
      <c r="K396" s="23">
        <f t="shared" si="39"/>
        <v>4</v>
      </c>
      <c r="L396" s="58">
        <f>(IFERROR(VLOOKUP(C396,'Current Stocks July-26'!B:K,9,0),0))</f>
        <v>0</v>
      </c>
      <c r="M396" s="24">
        <f t="shared" si="41"/>
        <v>0</v>
      </c>
      <c r="N396" s="25" t="str">
        <f t="shared" si="42"/>
        <v>ORDER NOW</v>
      </c>
      <c r="O396" s="25" t="str">
        <f t="shared" si="43"/>
        <v>CRITICAL</v>
      </c>
      <c r="P396" s="5"/>
      <c r="Q396" s="5"/>
      <c r="R396" s="5"/>
      <c r="S396" s="90">
        <f>VLOOKUP(C396,[3]Sheet1!$C$3:$P$521,14,0)</f>
        <v>46128.695613425924</v>
      </c>
    </row>
    <row r="397" spans="1:19" ht="18.75" hidden="1" x14ac:dyDescent="0.25">
      <c r="A397" s="49">
        <v>586</v>
      </c>
      <c r="B397" s="49" t="s">
        <v>298</v>
      </c>
      <c r="C397" s="49" t="s">
        <v>1063</v>
      </c>
      <c r="D397" s="27" t="s">
        <v>1064</v>
      </c>
      <c r="E397" s="27" t="s">
        <v>49</v>
      </c>
      <c r="F397" s="5" t="s">
        <v>49</v>
      </c>
      <c r="G397" s="21">
        <v>1</v>
      </c>
      <c r="H397" s="22">
        <v>8</v>
      </c>
      <c r="I397" s="22">
        <f t="shared" si="40"/>
        <v>8</v>
      </c>
      <c r="J397" s="5">
        <v>14</v>
      </c>
      <c r="K397" s="23">
        <f t="shared" si="39"/>
        <v>4</v>
      </c>
      <c r="L397" s="58">
        <f>(IFERROR(VLOOKUP(C397,'Current Stocks July-26'!B:K,9,0),0))</f>
        <v>0</v>
      </c>
      <c r="M397" s="24">
        <f t="shared" si="41"/>
        <v>0</v>
      </c>
      <c r="N397" s="25" t="str">
        <f t="shared" si="42"/>
        <v>ORDER NOW</v>
      </c>
      <c r="O397" s="25" t="str">
        <f t="shared" si="43"/>
        <v>CRITICAL</v>
      </c>
      <c r="P397" s="5"/>
      <c r="Q397" s="5"/>
      <c r="R397" s="5"/>
      <c r="S397" s="90">
        <f>VLOOKUP(C397,[3]Sheet1!$C$3:$P$521,14,0)</f>
        <v>46131.517881944441</v>
      </c>
    </row>
    <row r="398" spans="1:19" ht="18.75" hidden="1" x14ac:dyDescent="0.25">
      <c r="A398" s="41">
        <v>342</v>
      </c>
      <c r="B398" s="41" t="s">
        <v>38</v>
      </c>
      <c r="C398" s="41" t="s">
        <v>1313</v>
      </c>
      <c r="D398" s="27" t="s">
        <v>1314</v>
      </c>
      <c r="E398" s="27" t="s">
        <v>1315</v>
      </c>
      <c r="F398" s="5" t="s">
        <v>22</v>
      </c>
      <c r="G398" s="21">
        <v>6.9444444444444397E-3</v>
      </c>
      <c r="H398" s="22">
        <v>60.5</v>
      </c>
      <c r="I398" s="22">
        <f t="shared" si="40"/>
        <v>8712.0000000000055</v>
      </c>
      <c r="J398" s="5">
        <v>14</v>
      </c>
      <c r="K398" s="23">
        <f t="shared" si="39"/>
        <v>4356.0000000000027</v>
      </c>
      <c r="L398" s="58">
        <f>(IFERROR(VLOOKUP(C398,'Current Stocks July-26'!B:K,9,0),0))</f>
        <v>28.704000000000001</v>
      </c>
      <c r="M398" s="24">
        <f t="shared" si="41"/>
        <v>9.8842975206611505E-2</v>
      </c>
      <c r="N398" s="25" t="str">
        <f t="shared" si="42"/>
        <v>ORDER NOW</v>
      </c>
      <c r="O398" s="25" t="str">
        <f t="shared" si="43"/>
        <v>CRITICAL</v>
      </c>
      <c r="P398" s="5"/>
      <c r="Q398" s="5"/>
      <c r="R398" s="5"/>
      <c r="S398" s="90">
        <f>VLOOKUP(C398,[3]Sheet1!$C$3:$P$521,14,0)</f>
        <v>46131.519062500003</v>
      </c>
    </row>
    <row r="399" spans="1:19" ht="18.75" hidden="1" x14ac:dyDescent="0.25">
      <c r="A399" s="39">
        <v>193</v>
      </c>
      <c r="B399" s="39" t="s">
        <v>298</v>
      </c>
      <c r="C399" s="39" t="s">
        <v>678</v>
      </c>
      <c r="D399" s="32" t="s">
        <v>679</v>
      </c>
      <c r="E399" s="27" t="s">
        <v>160</v>
      </c>
      <c r="F399" s="5" t="s">
        <v>49</v>
      </c>
      <c r="G399" s="21">
        <v>1</v>
      </c>
      <c r="H399" s="22">
        <v>55</v>
      </c>
      <c r="I399" s="22">
        <f t="shared" si="40"/>
        <v>55</v>
      </c>
      <c r="J399" s="5">
        <v>14</v>
      </c>
      <c r="K399" s="23">
        <f t="shared" si="39"/>
        <v>27.5</v>
      </c>
      <c r="L399" s="58">
        <f>(IFERROR(VLOOKUP(C399,'Current Stocks July-26'!B:K,9,0),0))</f>
        <v>4</v>
      </c>
      <c r="M399" s="24">
        <f t="shared" si="41"/>
        <v>2.1818181818181817</v>
      </c>
      <c r="N399" s="25" t="str">
        <f t="shared" si="42"/>
        <v>ORDER NOW</v>
      </c>
      <c r="O399" s="25" t="str">
        <f t="shared" si="43"/>
        <v>CRITICAL</v>
      </c>
      <c r="P399" s="5"/>
      <c r="Q399" s="5"/>
      <c r="R399" s="5"/>
      <c r="S399" s="90">
        <f>VLOOKUP(C399,[3]Sheet1!$C$3:$P$521,14,0)</f>
        <v>46113.430949074071</v>
      </c>
    </row>
    <row r="400" spans="1:19" ht="18.75" hidden="1" x14ac:dyDescent="0.25">
      <c r="A400" s="19">
        <v>78</v>
      </c>
      <c r="B400" s="19" t="s">
        <v>157</v>
      </c>
      <c r="C400" s="19" t="s">
        <v>1081</v>
      </c>
      <c r="D400" s="27" t="s">
        <v>1082</v>
      </c>
      <c r="E400" s="27" t="s">
        <v>1643</v>
      </c>
      <c r="F400" s="5" t="s">
        <v>22</v>
      </c>
      <c r="G400" s="21">
        <f>1/36/1000</f>
        <v>2.7777777777777776E-5</v>
      </c>
      <c r="H400" s="22">
        <v>280</v>
      </c>
      <c r="I400" s="22">
        <f t="shared" si="40"/>
        <v>10080000</v>
      </c>
      <c r="J400" s="5">
        <v>14</v>
      </c>
      <c r="K400" s="23">
        <f t="shared" si="39"/>
        <v>5040000</v>
      </c>
      <c r="L400" s="58">
        <f>(IFERROR(VLOOKUP(C400,'Current Stocks July-26'!B:K,9,0),0))</f>
        <v>181</v>
      </c>
      <c r="M400" s="24">
        <f t="shared" si="41"/>
        <v>5.3869047619047625E-4</v>
      </c>
      <c r="N400" s="25" t="str">
        <f t="shared" si="42"/>
        <v>ORDER NOW</v>
      </c>
      <c r="O400" s="25" t="str">
        <f t="shared" si="43"/>
        <v>CRITICAL</v>
      </c>
      <c r="P400" s="5"/>
      <c r="Q400" s="5"/>
      <c r="R400" s="5" t="s">
        <v>30</v>
      </c>
      <c r="S400" s="90">
        <f>VLOOKUP(C400,[3]Sheet1!$C$3:$P$521,14,0)</f>
        <v>46141.525937500002</v>
      </c>
    </row>
    <row r="401" spans="1:19" ht="18.75" hidden="1" x14ac:dyDescent="0.25">
      <c r="A401" s="19">
        <v>10</v>
      </c>
      <c r="B401" s="19" t="s">
        <v>18</v>
      </c>
      <c r="C401" s="19" t="s">
        <v>1263</v>
      </c>
      <c r="D401" s="29" t="s">
        <v>1264</v>
      </c>
      <c r="E401" s="29" t="s">
        <v>1265</v>
      </c>
      <c r="F401" s="5" t="s">
        <v>22</v>
      </c>
      <c r="G401" s="21">
        <v>1E-3</v>
      </c>
      <c r="H401" s="22">
        <v>330</v>
      </c>
      <c r="I401" s="22">
        <f t="shared" ref="I401:I428" si="44">H401/G401</f>
        <v>330000</v>
      </c>
      <c r="J401" s="5">
        <v>60</v>
      </c>
      <c r="K401" s="23">
        <f t="shared" si="39"/>
        <v>707142.85714285716</v>
      </c>
      <c r="L401" s="58">
        <f>(IFERROR(VLOOKUP(C401,'Current Stocks July-26'!B:K,9,0),0))</f>
        <v>52500</v>
      </c>
      <c r="M401" s="24">
        <f t="shared" si="41"/>
        <v>4.7727272727272725</v>
      </c>
      <c r="N401" s="25" t="str">
        <f t="shared" si="42"/>
        <v>ORDER NOW</v>
      </c>
      <c r="O401" s="25" t="str">
        <f t="shared" si="43"/>
        <v>CRITICAL</v>
      </c>
      <c r="P401" s="5"/>
      <c r="Q401" s="5"/>
      <c r="R401" s="5" t="s">
        <v>30</v>
      </c>
      <c r="S401" s="90">
        <f>VLOOKUP(C401,[3]Sheet1!$C$3:$P$521,14,0)</f>
        <v>46140.60696759259</v>
      </c>
    </row>
    <row r="402" spans="1:19" ht="18.75" hidden="1" x14ac:dyDescent="0.25">
      <c r="A402" s="4">
        <v>607</v>
      </c>
      <c r="B402" s="4" t="s">
        <v>133</v>
      </c>
      <c r="C402" s="4" t="s">
        <v>134</v>
      </c>
      <c r="D402" s="27" t="s">
        <v>135</v>
      </c>
      <c r="E402" s="27" t="s">
        <v>64</v>
      </c>
      <c r="F402" s="5" t="s">
        <v>49</v>
      </c>
      <c r="G402" s="21">
        <v>1</v>
      </c>
      <c r="H402" s="22">
        <v>3410</v>
      </c>
      <c r="I402" s="22">
        <f t="shared" si="44"/>
        <v>3410</v>
      </c>
      <c r="J402" s="5">
        <v>14</v>
      </c>
      <c r="K402" s="23">
        <f t="shared" si="39"/>
        <v>1705</v>
      </c>
      <c r="L402" s="58">
        <f>(IFERROR(VLOOKUP(C402,'Current Stocks July-26'!B:K,9,0),0))</f>
        <v>0</v>
      </c>
      <c r="M402" s="24">
        <f t="shared" si="41"/>
        <v>0</v>
      </c>
      <c r="N402" s="25" t="str">
        <f t="shared" si="42"/>
        <v>ORDER NOW</v>
      </c>
      <c r="O402" s="25" t="str">
        <f t="shared" si="43"/>
        <v>CRITICAL</v>
      </c>
      <c r="P402" s="5"/>
      <c r="Q402" s="5"/>
      <c r="R402" s="5"/>
      <c r="S402" s="90">
        <f>VLOOKUP(C402,[3]Sheet1!$C$3:$P$521,14,0)</f>
        <v>46128.695023148146</v>
      </c>
    </row>
    <row r="403" spans="1:19" ht="18.75" hidden="1" x14ac:dyDescent="0.25">
      <c r="A403" s="19">
        <v>73</v>
      </c>
      <c r="B403" s="19" t="s">
        <v>18</v>
      </c>
      <c r="C403" s="19" t="s">
        <v>1458</v>
      </c>
      <c r="D403" s="32" t="s">
        <v>1459</v>
      </c>
      <c r="E403" s="32" t="s">
        <v>78</v>
      </c>
      <c r="F403" s="5" t="s">
        <v>49</v>
      </c>
      <c r="G403" s="21">
        <f>1/30</f>
        <v>3.3333333333333333E-2</v>
      </c>
      <c r="H403" s="22">
        <v>50</v>
      </c>
      <c r="I403" s="22">
        <f t="shared" si="44"/>
        <v>1500</v>
      </c>
      <c r="J403" s="5">
        <v>60</v>
      </c>
      <c r="K403" s="23">
        <f t="shared" si="39"/>
        <v>3214.2857142857142</v>
      </c>
      <c r="L403" s="58">
        <f>(IFERROR(VLOOKUP(C403,'Current Stocks July-26'!B:K,9,0),0))</f>
        <v>0</v>
      </c>
      <c r="M403" s="24">
        <f t="shared" si="41"/>
        <v>0</v>
      </c>
      <c r="N403" s="25" t="str">
        <f t="shared" si="42"/>
        <v>ORDER NOW</v>
      </c>
      <c r="O403" s="25" t="str">
        <f t="shared" si="43"/>
        <v>CRITICAL</v>
      </c>
      <c r="P403" s="5"/>
      <c r="Q403" s="5"/>
      <c r="R403" s="5" t="s">
        <v>30</v>
      </c>
      <c r="S403" s="90" t="e">
        <f>VLOOKUP(C403,[3]Sheet1!$C$3:$P$521,14,0)</f>
        <v>#N/A</v>
      </c>
    </row>
    <row r="404" spans="1:19" ht="18.75" hidden="1" x14ac:dyDescent="0.25">
      <c r="A404" s="19">
        <v>183</v>
      </c>
      <c r="B404" s="19" t="s">
        <v>18</v>
      </c>
      <c r="C404" s="19" t="s">
        <v>226</v>
      </c>
      <c r="D404" s="4" t="s">
        <v>227</v>
      </c>
      <c r="E404" s="31" t="s">
        <v>49</v>
      </c>
      <c r="F404" s="5" t="s">
        <v>49</v>
      </c>
      <c r="G404" s="21">
        <v>1</v>
      </c>
      <c r="H404" s="22">
        <v>5000</v>
      </c>
      <c r="I404" s="22">
        <f t="shared" si="44"/>
        <v>5000</v>
      </c>
      <c r="J404" s="5">
        <v>14</v>
      </c>
      <c r="K404" s="23">
        <f t="shared" si="39"/>
        <v>2500</v>
      </c>
      <c r="L404" s="58">
        <f>(IFERROR(VLOOKUP(C404,'Current Stocks July-26'!B:K,9,0),0))</f>
        <v>0</v>
      </c>
      <c r="M404" s="24">
        <f t="shared" si="41"/>
        <v>0</v>
      </c>
      <c r="N404" s="25" t="str">
        <f t="shared" si="42"/>
        <v>ORDER NOW</v>
      </c>
      <c r="O404" s="25" t="str">
        <f t="shared" si="43"/>
        <v>CRITICAL</v>
      </c>
      <c r="P404" s="5"/>
      <c r="Q404" s="5"/>
      <c r="R404" s="5"/>
      <c r="S404" s="90">
        <f>VLOOKUP(C404,[3]Sheet1!$C$3:$P$521,14,0)</f>
        <v>46113.430902777778</v>
      </c>
    </row>
    <row r="405" spans="1:19" ht="18.75" hidden="1" x14ac:dyDescent="0.25">
      <c r="A405" s="19">
        <v>184</v>
      </c>
      <c r="B405" s="19" t="s">
        <v>18</v>
      </c>
      <c r="C405" s="19" t="s">
        <v>228</v>
      </c>
      <c r="D405" s="4" t="s">
        <v>229</v>
      </c>
      <c r="E405" s="31" t="s">
        <v>49</v>
      </c>
      <c r="F405" s="5" t="s">
        <v>49</v>
      </c>
      <c r="G405" s="21">
        <v>1</v>
      </c>
      <c r="H405" s="22">
        <v>5000</v>
      </c>
      <c r="I405" s="22">
        <f t="shared" si="44"/>
        <v>5000</v>
      </c>
      <c r="J405" s="5">
        <v>14</v>
      </c>
      <c r="K405" s="23">
        <f t="shared" si="39"/>
        <v>2500</v>
      </c>
      <c r="L405" s="58">
        <f>(IFERROR(VLOOKUP(C405,'Current Stocks July-26'!B:K,9,0),0))</f>
        <v>0</v>
      </c>
      <c r="M405" s="24">
        <f t="shared" si="41"/>
        <v>0</v>
      </c>
      <c r="N405" s="25" t="str">
        <f t="shared" si="42"/>
        <v>ORDER NOW</v>
      </c>
      <c r="O405" s="25" t="str">
        <f t="shared" si="43"/>
        <v>CRITICAL</v>
      </c>
      <c r="P405" s="5"/>
      <c r="Q405" s="5"/>
      <c r="R405" s="5"/>
      <c r="S405" s="90">
        <f>VLOOKUP(C405,[3]Sheet1!$C$3:$P$521,14,0)</f>
        <v>46113.430902777778</v>
      </c>
    </row>
    <row r="406" spans="1:19" ht="18.75" hidden="1" x14ac:dyDescent="0.25">
      <c r="A406" s="19">
        <v>114</v>
      </c>
      <c r="B406" s="19" t="s">
        <v>18</v>
      </c>
      <c r="C406" s="19" t="s">
        <v>1002</v>
      </c>
      <c r="D406" s="27" t="s">
        <v>1003</v>
      </c>
      <c r="E406" s="27" t="s">
        <v>180</v>
      </c>
      <c r="F406" s="5" t="s">
        <v>22</v>
      </c>
      <c r="G406" s="21">
        <f>1/1000</f>
        <v>1E-3</v>
      </c>
      <c r="H406" s="22">
        <v>10</v>
      </c>
      <c r="I406" s="22">
        <f t="shared" si="44"/>
        <v>10000</v>
      </c>
      <c r="J406" s="5">
        <v>14</v>
      </c>
      <c r="K406" s="23">
        <f t="shared" si="39"/>
        <v>5000</v>
      </c>
      <c r="L406" s="58">
        <f>(IFERROR(VLOOKUP(C406,'Current Stocks July-26'!B:K,9,0),0))</f>
        <v>0</v>
      </c>
      <c r="M406" s="24">
        <f t="shared" si="41"/>
        <v>0</v>
      </c>
      <c r="N406" s="25" t="str">
        <f t="shared" si="42"/>
        <v>ORDER NOW</v>
      </c>
      <c r="O406" s="25" t="str">
        <f t="shared" si="43"/>
        <v>CRITICAL</v>
      </c>
      <c r="P406" s="5"/>
      <c r="Q406" s="5"/>
      <c r="R406" s="5" t="s">
        <v>30</v>
      </c>
      <c r="S406" s="90">
        <f>VLOOKUP(C406,[3]Sheet1!$C$3:$P$521,14,0)</f>
        <v>46134.446504629632</v>
      </c>
    </row>
    <row r="407" spans="1:19" ht="18.75" hidden="1" x14ac:dyDescent="0.25">
      <c r="A407" s="39">
        <v>230</v>
      </c>
      <c r="B407" s="39" t="s">
        <v>123</v>
      </c>
      <c r="C407" s="39" t="s">
        <v>857</v>
      </c>
      <c r="D407" s="107" t="s">
        <v>858</v>
      </c>
      <c r="E407" s="27" t="s">
        <v>859</v>
      </c>
      <c r="F407" s="5" t="s">
        <v>22</v>
      </c>
      <c r="G407" s="21">
        <v>0.16666666666666666</v>
      </c>
      <c r="H407" s="22">
        <v>2036.5</v>
      </c>
      <c r="I407" s="22">
        <f t="shared" si="44"/>
        <v>12219</v>
      </c>
      <c r="J407" s="5">
        <v>14</v>
      </c>
      <c r="K407" s="23">
        <f t="shared" si="39"/>
        <v>6109.5</v>
      </c>
      <c r="L407" s="58">
        <f>(IFERROR(VLOOKUP(C407,'Current Stocks July-26'!B:K,9,0),0))</f>
        <v>3618</v>
      </c>
      <c r="M407" s="24">
        <f t="shared" si="41"/>
        <v>8.8828873066535721</v>
      </c>
      <c r="N407" s="25" t="str">
        <f t="shared" si="42"/>
        <v>ORDER NOW</v>
      </c>
      <c r="O407" s="25" t="str">
        <f t="shared" si="43"/>
        <v>CRITICAL</v>
      </c>
      <c r="P407" s="5"/>
      <c r="Q407" s="5"/>
      <c r="R407" s="5"/>
      <c r="S407" s="90">
        <f>VLOOKUP(C407,[3]Sheet1!$C$3:$P$521,14,0)</f>
        <v>46140.604803240742</v>
      </c>
    </row>
    <row r="408" spans="1:19" ht="18.75" hidden="1" x14ac:dyDescent="0.25">
      <c r="A408" s="41">
        <v>441</v>
      </c>
      <c r="B408" s="41" t="s">
        <v>61</v>
      </c>
      <c r="C408" s="41" t="s">
        <v>897</v>
      </c>
      <c r="D408" s="27" t="s">
        <v>898</v>
      </c>
      <c r="E408" s="27" t="s">
        <v>899</v>
      </c>
      <c r="F408" s="5" t="s">
        <v>22</v>
      </c>
      <c r="G408" s="21">
        <f>1/(4*1.65)</f>
        <v>0.15151515151515152</v>
      </c>
      <c r="H408" s="22">
        <v>1700</v>
      </c>
      <c r="I408" s="22">
        <f t="shared" si="44"/>
        <v>11220</v>
      </c>
      <c r="J408" s="5">
        <v>14</v>
      </c>
      <c r="K408" s="23">
        <f t="shared" si="39"/>
        <v>5610</v>
      </c>
      <c r="L408" s="58">
        <f>(IFERROR(VLOOKUP(C408,'Current Stocks July-26'!B:K,9,0),0))</f>
        <v>3320</v>
      </c>
      <c r="M408" s="24">
        <f t="shared" si="41"/>
        <v>8.8770053475935828</v>
      </c>
      <c r="N408" s="25" t="str">
        <f t="shared" si="42"/>
        <v>ORDER NOW</v>
      </c>
      <c r="O408" s="25" t="str">
        <f t="shared" si="43"/>
        <v>CRITICAL</v>
      </c>
      <c r="P408" s="5"/>
      <c r="Q408" s="5"/>
      <c r="R408" s="5"/>
      <c r="S408" s="90">
        <f>VLOOKUP(C408,[3]Sheet1!$C$3:$P$521,14,0)</f>
        <v>46128.695462962962</v>
      </c>
    </row>
    <row r="409" spans="1:19" ht="18.75" hidden="1" x14ac:dyDescent="0.25">
      <c r="A409" s="19">
        <v>18</v>
      </c>
      <c r="B409" s="19" t="s">
        <v>18</v>
      </c>
      <c r="C409" s="19" t="s">
        <v>1266</v>
      </c>
      <c r="D409" s="27" t="s">
        <v>1267</v>
      </c>
      <c r="E409" s="27" t="s">
        <v>1268</v>
      </c>
      <c r="F409" s="5" t="s">
        <v>22</v>
      </c>
      <c r="G409" s="21">
        <v>5.0000000000000001E-3</v>
      </c>
      <c r="H409" s="22">
        <v>248</v>
      </c>
      <c r="I409" s="22">
        <f t="shared" si="44"/>
        <v>49600</v>
      </c>
      <c r="J409" s="5">
        <v>14</v>
      </c>
      <c r="K409" s="23">
        <f t="shared" si="39"/>
        <v>24800</v>
      </c>
      <c r="L409" s="58">
        <f>(IFERROR(VLOOKUP(C409,'Current Stocks July-26'!B:K,9,0),0))</f>
        <v>7900</v>
      </c>
      <c r="M409" s="24">
        <f t="shared" si="41"/>
        <v>4.778225806451613</v>
      </c>
      <c r="N409" s="25" t="str">
        <f t="shared" si="42"/>
        <v>ORDER NOW</v>
      </c>
      <c r="O409" s="25" t="str">
        <f t="shared" si="43"/>
        <v>CRITICAL</v>
      </c>
      <c r="P409" s="5"/>
      <c r="Q409" s="5"/>
      <c r="R409" s="5" t="s">
        <v>30</v>
      </c>
      <c r="S409" s="90">
        <f>VLOOKUP(C409,[3]Sheet1!$C$3:$P$521,14,0)</f>
        <v>46131.517314814817</v>
      </c>
    </row>
    <row r="410" spans="1:19" ht="18.75" hidden="1" x14ac:dyDescent="0.25">
      <c r="A410" s="39">
        <v>247</v>
      </c>
      <c r="B410" s="39" t="s">
        <v>123</v>
      </c>
      <c r="C410" s="39" t="s">
        <v>1073</v>
      </c>
      <c r="D410" s="27" t="s">
        <v>1074</v>
      </c>
      <c r="E410" s="27" t="s">
        <v>78</v>
      </c>
      <c r="F410" s="5" t="s">
        <v>49</v>
      </c>
      <c r="G410" s="21">
        <v>1</v>
      </c>
      <c r="H410" s="22">
        <v>63</v>
      </c>
      <c r="I410" s="22">
        <f t="shared" si="44"/>
        <v>63</v>
      </c>
      <c r="J410" s="5">
        <v>14</v>
      </c>
      <c r="K410" s="23">
        <f t="shared" si="39"/>
        <v>31.5</v>
      </c>
      <c r="L410" s="58">
        <f>(IFERROR(VLOOKUP(C410,'Current Stocks July-26'!B:K,9,0),0))</f>
        <v>0</v>
      </c>
      <c r="M410" s="24">
        <f t="shared" si="41"/>
        <v>0</v>
      </c>
      <c r="N410" s="25" t="str">
        <f t="shared" si="42"/>
        <v>ORDER NOW</v>
      </c>
      <c r="O410" s="25" t="str">
        <f t="shared" si="43"/>
        <v>CRITICAL</v>
      </c>
      <c r="P410" s="5"/>
      <c r="Q410" s="5"/>
      <c r="R410" s="5"/>
      <c r="S410" s="90">
        <f>VLOOKUP(C410,[3]Sheet1!$C$3:$P$521,14,0)</f>
        <v>46131.517905092594</v>
      </c>
    </row>
    <row r="411" spans="1:19" ht="18.75" hidden="1" x14ac:dyDescent="0.25">
      <c r="A411" s="39">
        <v>187</v>
      </c>
      <c r="B411" s="39" t="s">
        <v>361</v>
      </c>
      <c r="C411" s="39" t="s">
        <v>1037</v>
      </c>
      <c r="D411" s="27" t="s">
        <v>1038</v>
      </c>
      <c r="E411" s="27" t="s">
        <v>78</v>
      </c>
      <c r="F411" s="5" t="s">
        <v>49</v>
      </c>
      <c r="G411" s="21">
        <v>1</v>
      </c>
      <c r="H411" s="22">
        <v>62.5</v>
      </c>
      <c r="I411" s="22">
        <f t="shared" si="44"/>
        <v>62.5</v>
      </c>
      <c r="J411" s="5">
        <v>14</v>
      </c>
      <c r="K411" s="23">
        <f t="shared" si="39"/>
        <v>31.25</v>
      </c>
      <c r="L411" s="58">
        <f>(IFERROR(VLOOKUP(C411,'Current Stocks July-26'!B:K,9,0),0))</f>
        <v>0</v>
      </c>
      <c r="M411" s="24">
        <f t="shared" si="41"/>
        <v>0</v>
      </c>
      <c r="N411" s="25" t="str">
        <f t="shared" si="42"/>
        <v>ORDER NOW</v>
      </c>
      <c r="O411" s="25" t="str">
        <f t="shared" si="43"/>
        <v>CRITICAL</v>
      </c>
      <c r="P411" s="5"/>
      <c r="Q411" s="5"/>
      <c r="R411" s="5"/>
      <c r="S411" s="90">
        <f>VLOOKUP(C411,[3]Sheet1!$C$3:$P$521,14,0)</f>
        <v>46131.517800925925</v>
      </c>
    </row>
    <row r="412" spans="1:19" ht="18.75" hidden="1" x14ac:dyDescent="0.25">
      <c r="A412" s="41">
        <v>453</v>
      </c>
      <c r="B412" s="41" t="s">
        <v>38</v>
      </c>
      <c r="C412" s="41" t="s">
        <v>136</v>
      </c>
      <c r="D412" s="27" t="s">
        <v>137</v>
      </c>
      <c r="E412" s="27" t="s">
        <v>138</v>
      </c>
      <c r="F412" s="5" t="s">
        <v>22</v>
      </c>
      <c r="G412" s="21">
        <v>8.3333333333333329E-2</v>
      </c>
      <c r="H412" s="22">
        <v>250</v>
      </c>
      <c r="I412" s="22">
        <f t="shared" si="44"/>
        <v>3000</v>
      </c>
      <c r="J412" s="5">
        <v>14</v>
      </c>
      <c r="K412" s="23">
        <f t="shared" si="39"/>
        <v>1500</v>
      </c>
      <c r="L412" s="58">
        <f>(IFERROR(VLOOKUP(C412,'Current Stocks July-26'!B:K,9,0),0))</f>
        <v>0</v>
      </c>
      <c r="M412" s="24">
        <f t="shared" si="41"/>
        <v>0</v>
      </c>
      <c r="N412" s="25" t="str">
        <f t="shared" si="42"/>
        <v>ORDER NOW</v>
      </c>
      <c r="O412" s="25" t="str">
        <f t="shared" si="43"/>
        <v>CRITICAL</v>
      </c>
      <c r="P412" s="5"/>
      <c r="Q412" s="5"/>
      <c r="R412" s="5"/>
      <c r="S412" s="90" t="str">
        <f>VLOOKUP(C412,[3]Sheet1!$C$3:$P$521,14,0)</f>
        <v/>
      </c>
    </row>
    <row r="413" spans="1:19" ht="18.75" hidden="1" x14ac:dyDescent="0.25">
      <c r="A413" s="19">
        <v>131</v>
      </c>
      <c r="B413" s="19" t="s">
        <v>18</v>
      </c>
      <c r="C413" s="19" t="s">
        <v>774</v>
      </c>
      <c r="D413" s="27" t="s">
        <v>775</v>
      </c>
      <c r="E413" s="27" t="s">
        <v>776</v>
      </c>
      <c r="F413" s="5" t="s">
        <v>46</v>
      </c>
      <c r="G413" s="21">
        <v>2E-3</v>
      </c>
      <c r="H413" s="22">
        <v>40</v>
      </c>
      <c r="I413" s="22">
        <f t="shared" si="44"/>
        <v>20000</v>
      </c>
      <c r="J413" s="5">
        <v>14</v>
      </c>
      <c r="K413" s="23">
        <f t="shared" si="39"/>
        <v>10000</v>
      </c>
      <c r="L413" s="58">
        <f>(IFERROR(VLOOKUP(C413,'Current Stocks July-26'!B:K,9,0),0))</f>
        <v>8000</v>
      </c>
      <c r="M413" s="24">
        <f t="shared" si="41"/>
        <v>12</v>
      </c>
      <c r="N413" s="25" t="str">
        <f t="shared" si="42"/>
        <v>ORDER NOW</v>
      </c>
      <c r="O413" s="25" t="str">
        <f t="shared" si="43"/>
        <v>CRITICAL</v>
      </c>
      <c r="P413" s="5"/>
      <c r="Q413" s="5"/>
      <c r="R413" s="5" t="s">
        <v>30</v>
      </c>
      <c r="S413" s="90">
        <f>VLOOKUP(C413,[3]Sheet1!$C$3:$P$521,14,0)</f>
        <v>46138.437719907408</v>
      </c>
    </row>
    <row r="414" spans="1:19" ht="18.75" hidden="1" x14ac:dyDescent="0.25">
      <c r="A414" s="41">
        <v>497</v>
      </c>
      <c r="B414" s="41" t="s">
        <v>38</v>
      </c>
      <c r="C414" s="41" t="s">
        <v>749</v>
      </c>
      <c r="D414" s="27" t="s">
        <v>750</v>
      </c>
      <c r="E414" s="27" t="s">
        <v>751</v>
      </c>
      <c r="F414" s="5" t="s">
        <v>49</v>
      </c>
      <c r="G414" s="21">
        <v>0.05</v>
      </c>
      <c r="H414" s="22">
        <v>60</v>
      </c>
      <c r="I414" s="22">
        <f t="shared" si="44"/>
        <v>1200</v>
      </c>
      <c r="J414" s="5">
        <v>14</v>
      </c>
      <c r="K414" s="23">
        <f t="shared" si="39"/>
        <v>600</v>
      </c>
      <c r="L414" s="58">
        <f>(IFERROR(VLOOKUP(C414,'Current Stocks July-26'!B:K,9,0),0))</f>
        <v>0</v>
      </c>
      <c r="M414" s="24">
        <f t="shared" si="41"/>
        <v>0</v>
      </c>
      <c r="N414" s="25" t="str">
        <f t="shared" si="42"/>
        <v>ORDER NOW</v>
      </c>
      <c r="O414" s="25" t="str">
        <f t="shared" si="43"/>
        <v>CRITICAL</v>
      </c>
      <c r="P414" s="5"/>
      <c r="Q414" s="5"/>
      <c r="R414" s="5"/>
      <c r="S414" s="90">
        <f>VLOOKUP(C414,[3]Sheet1!$C$3:$P$521,14,0)</f>
        <v>46128.694976851853</v>
      </c>
    </row>
    <row r="415" spans="1:19" ht="18.75" hidden="1" x14ac:dyDescent="0.25">
      <c r="A415" s="41">
        <v>385</v>
      </c>
      <c r="B415" s="41" t="s">
        <v>85</v>
      </c>
      <c r="C415" s="41" t="s">
        <v>111</v>
      </c>
      <c r="D415" s="27" t="s">
        <v>112</v>
      </c>
      <c r="E415" s="27" t="s">
        <v>113</v>
      </c>
      <c r="F415" s="5" t="s">
        <v>22</v>
      </c>
      <c r="G415" s="21">
        <v>0.33333333333333331</v>
      </c>
      <c r="H415" s="22">
        <v>135</v>
      </c>
      <c r="I415" s="22">
        <f t="shared" si="44"/>
        <v>405</v>
      </c>
      <c r="J415" s="5">
        <v>14</v>
      </c>
      <c r="K415" s="23">
        <f t="shared" si="39"/>
        <v>202.5</v>
      </c>
      <c r="L415" s="58">
        <f>(IFERROR(VLOOKUP(C415,'Current Stocks July-26'!B:K,9,0),0))</f>
        <v>1050</v>
      </c>
      <c r="M415" s="24">
        <f t="shared" si="41"/>
        <v>77.777777777777771</v>
      </c>
      <c r="N415" s="25" t="str">
        <f t="shared" si="42"/>
        <v>IN STOCK</v>
      </c>
      <c r="O415" s="25" t="str">
        <f t="shared" si="43"/>
        <v>FOLLOW UP DELIVERY</v>
      </c>
      <c r="P415" s="5"/>
      <c r="Q415" s="5"/>
      <c r="R415" s="5"/>
      <c r="S415" s="90">
        <f>VLOOKUP(C415,[3]Sheet1!$C$3:$P$521,14,0)</f>
        <v>46138.437754629631</v>
      </c>
    </row>
    <row r="416" spans="1:19" ht="18.75" hidden="1" x14ac:dyDescent="0.25">
      <c r="A416" s="41">
        <v>491</v>
      </c>
      <c r="B416" s="41" t="s">
        <v>38</v>
      </c>
      <c r="C416" s="41" t="s">
        <v>58</v>
      </c>
      <c r="D416" s="27" t="s">
        <v>59</v>
      </c>
      <c r="E416" s="27" t="s">
        <v>60</v>
      </c>
      <c r="F416" s="5" t="s">
        <v>22</v>
      </c>
      <c r="G416" s="21">
        <v>0.17543859649122809</v>
      </c>
      <c r="H416" s="22">
        <v>4</v>
      </c>
      <c r="I416" s="22">
        <f t="shared" si="44"/>
        <v>22.799999999999997</v>
      </c>
      <c r="J416" s="5">
        <v>14</v>
      </c>
      <c r="K416" s="23">
        <f t="shared" si="39"/>
        <v>11.399999999999999</v>
      </c>
      <c r="L416" s="58">
        <f>(IFERROR(VLOOKUP(C416,'Current Stocks July-26'!B:K,9,0),0))</f>
        <v>23.94</v>
      </c>
      <c r="M416" s="24">
        <f t="shared" si="41"/>
        <v>31.500000000000007</v>
      </c>
      <c r="N416" s="25" t="str">
        <f t="shared" si="42"/>
        <v>IN STOCK</v>
      </c>
      <c r="O416" s="25" t="str">
        <f t="shared" si="43"/>
        <v>FOLLOW UP DELIVERY</v>
      </c>
      <c r="P416" s="5"/>
      <c r="Q416" s="5"/>
      <c r="R416" s="5"/>
      <c r="S416" s="90">
        <f>VLOOKUP(C416,[3]Sheet1!$C$3:$P$521,14,0)</f>
        <v>46141.525219907409</v>
      </c>
    </row>
    <row r="417" spans="1:19" ht="18.75" hidden="1" x14ac:dyDescent="0.25">
      <c r="A417" s="19">
        <v>8</v>
      </c>
      <c r="B417" s="19" t="s">
        <v>18</v>
      </c>
      <c r="C417" s="19" t="s">
        <v>1240</v>
      </c>
      <c r="D417" s="27" t="s">
        <v>1241</v>
      </c>
      <c r="E417" s="27" t="s">
        <v>186</v>
      </c>
      <c r="F417" s="5" t="s">
        <v>22</v>
      </c>
      <c r="G417" s="21">
        <v>2E-3</v>
      </c>
      <c r="H417" s="22">
        <v>627</v>
      </c>
      <c r="I417" s="22">
        <f t="shared" si="44"/>
        <v>313500</v>
      </c>
      <c r="J417" s="5">
        <v>60</v>
      </c>
      <c r="K417" s="23">
        <f t="shared" si="39"/>
        <v>671785.71428571432</v>
      </c>
      <c r="L417" s="58">
        <f>(IFERROR(VLOOKUP(C417,'Current Stocks July-26'!B:K,9,0),0))</f>
        <v>135500</v>
      </c>
      <c r="M417" s="24">
        <f t="shared" si="41"/>
        <v>12.966507177033494</v>
      </c>
      <c r="N417" s="25" t="str">
        <f t="shared" si="42"/>
        <v>ORDER NOW</v>
      </c>
      <c r="O417" s="25" t="str">
        <f t="shared" si="43"/>
        <v>CRITICAL</v>
      </c>
      <c r="P417" s="5"/>
      <c r="Q417" s="5"/>
      <c r="R417" s="5" t="s">
        <v>30</v>
      </c>
      <c r="S417" s="90">
        <f>VLOOKUP(C417,[3]Sheet1!$C$3:$P$521,14,0)</f>
        <v>46138.481747685182</v>
      </c>
    </row>
    <row r="418" spans="1:19" ht="18.75" hidden="1" x14ac:dyDescent="0.25">
      <c r="A418" s="19">
        <v>77</v>
      </c>
      <c r="B418" s="19" t="s">
        <v>18</v>
      </c>
      <c r="C418" s="19" t="s">
        <v>1500</v>
      </c>
      <c r="D418" s="32" t="s">
        <v>1501</v>
      </c>
      <c r="E418" s="32" t="s">
        <v>78</v>
      </c>
      <c r="F418" s="5" t="s">
        <v>49</v>
      </c>
      <c r="G418" s="21">
        <f>1/30</f>
        <v>3.3333333333333333E-2</v>
      </c>
      <c r="H418" s="22">
        <v>50</v>
      </c>
      <c r="I418" s="22">
        <f t="shared" si="44"/>
        <v>1500</v>
      </c>
      <c r="J418" s="5">
        <v>60</v>
      </c>
      <c r="K418" s="23">
        <f t="shared" si="39"/>
        <v>3214.2857142857142</v>
      </c>
      <c r="L418" s="58">
        <f>(IFERROR(VLOOKUP(C418,'Current Stocks July-26'!B:K,9,0),0))</f>
        <v>0</v>
      </c>
      <c r="M418" s="24">
        <f t="shared" si="41"/>
        <v>0</v>
      </c>
      <c r="N418" s="25" t="str">
        <f t="shared" si="42"/>
        <v>ORDER NOW</v>
      </c>
      <c r="O418" s="25" t="str">
        <f t="shared" si="43"/>
        <v>CRITICAL</v>
      </c>
      <c r="P418" s="5"/>
      <c r="Q418" s="5"/>
      <c r="R418" s="5" t="s">
        <v>30</v>
      </c>
      <c r="S418" s="90" t="e">
        <f>VLOOKUP(C418,[3]Sheet1!$C$3:$P$521,14,0)</f>
        <v>#N/A</v>
      </c>
    </row>
    <row r="419" spans="1:19" ht="18.75" hidden="1" x14ac:dyDescent="0.25">
      <c r="A419" s="19">
        <v>142</v>
      </c>
      <c r="B419" s="19" t="s">
        <v>18</v>
      </c>
      <c r="C419" s="19" t="s">
        <v>1158</v>
      </c>
      <c r="D419" s="29" t="s">
        <v>1159</v>
      </c>
      <c r="E419" s="27" t="s">
        <v>1160</v>
      </c>
      <c r="F419" s="5" t="s">
        <v>22</v>
      </c>
      <c r="G419" s="21">
        <v>5.5555555555555556E-4</v>
      </c>
      <c r="H419" s="22">
        <v>14</v>
      </c>
      <c r="I419" s="22">
        <f t="shared" si="44"/>
        <v>25200</v>
      </c>
      <c r="J419" s="5">
        <v>14</v>
      </c>
      <c r="K419" s="23">
        <f t="shared" si="39"/>
        <v>12600</v>
      </c>
      <c r="L419" s="58">
        <f>(IFERROR(VLOOKUP(C419,'Current Stocks July-26'!B:K,9,0),0))</f>
        <v>5</v>
      </c>
      <c r="M419" s="24">
        <f t="shared" si="41"/>
        <v>5.9523809523809521E-3</v>
      </c>
      <c r="N419" s="25" t="str">
        <f t="shared" si="42"/>
        <v>ORDER NOW</v>
      </c>
      <c r="O419" s="25" t="str">
        <f t="shared" si="43"/>
        <v>CRITICAL</v>
      </c>
      <c r="P419" s="5"/>
      <c r="Q419" s="5"/>
      <c r="R419" s="5" t="s">
        <v>30</v>
      </c>
      <c r="S419" s="90">
        <f>VLOOKUP(C419,[3]Sheet1!$C$3:$P$521,14,0)</f>
        <v>46134.446608796294</v>
      </c>
    </row>
    <row r="420" spans="1:19" ht="18.75" hidden="1" x14ac:dyDescent="0.25">
      <c r="A420" s="41">
        <v>406</v>
      </c>
      <c r="B420" s="41" t="s">
        <v>38</v>
      </c>
      <c r="C420" s="41" t="s">
        <v>1027</v>
      </c>
      <c r="D420" s="27" t="s">
        <v>1028</v>
      </c>
      <c r="E420" s="27" t="s">
        <v>1029</v>
      </c>
      <c r="F420" s="5" t="s">
        <v>22</v>
      </c>
      <c r="G420" s="21">
        <v>1E-3</v>
      </c>
      <c r="H420" s="22">
        <v>24</v>
      </c>
      <c r="I420" s="22">
        <f t="shared" si="44"/>
        <v>24000</v>
      </c>
      <c r="J420" s="5">
        <v>14</v>
      </c>
      <c r="K420" s="23">
        <f t="shared" si="39"/>
        <v>12000</v>
      </c>
      <c r="L420" s="58">
        <f>(IFERROR(VLOOKUP(C420,'Current Stocks July-26'!B:K,9,0),0))</f>
        <v>0</v>
      </c>
      <c r="M420" s="24">
        <f t="shared" si="41"/>
        <v>0</v>
      </c>
      <c r="N420" s="25" t="str">
        <f t="shared" si="42"/>
        <v>ORDER NOW</v>
      </c>
      <c r="O420" s="25" t="str">
        <f t="shared" si="43"/>
        <v>CRITICAL</v>
      </c>
      <c r="P420" s="5"/>
      <c r="Q420" s="5"/>
      <c r="R420" s="5"/>
      <c r="S420" s="90">
        <f>VLOOKUP(C420,[3]Sheet1!$C$3:$P$521,14,0)</f>
        <v>46131.517812500002</v>
      </c>
    </row>
    <row r="421" spans="1:19" ht="18.75" hidden="1" x14ac:dyDescent="0.25">
      <c r="A421" s="19">
        <v>62</v>
      </c>
      <c r="B421" s="19" t="s">
        <v>157</v>
      </c>
      <c r="C421" s="19" t="s">
        <v>695</v>
      </c>
      <c r="D421" s="27" t="s">
        <v>696</v>
      </c>
      <c r="E421" s="27" t="s">
        <v>697</v>
      </c>
      <c r="F421" s="5" t="s">
        <v>22</v>
      </c>
      <c r="G421" s="21">
        <v>1E-3</v>
      </c>
      <c r="H421" s="22">
        <v>92</v>
      </c>
      <c r="I421" s="22">
        <f t="shared" si="44"/>
        <v>92000</v>
      </c>
      <c r="J421" s="5">
        <v>14</v>
      </c>
      <c r="K421" s="23">
        <f t="shared" si="39"/>
        <v>46000</v>
      </c>
      <c r="L421" s="58">
        <f>(IFERROR(VLOOKUP(C421,'Current Stocks July-26'!B:K,9,0),0))</f>
        <v>655</v>
      </c>
      <c r="M421" s="24">
        <f t="shared" si="41"/>
        <v>0.21358695652173912</v>
      </c>
      <c r="N421" s="25" t="str">
        <f t="shared" si="42"/>
        <v>ORDER NOW</v>
      </c>
      <c r="O421" s="25" t="str">
        <f t="shared" si="43"/>
        <v>CRITICAL</v>
      </c>
      <c r="P421" s="5"/>
      <c r="Q421" s="5"/>
      <c r="R421" s="5" t="s">
        <v>30</v>
      </c>
      <c r="S421" s="90">
        <f>VLOOKUP(C421,[3]Sheet1!$C$3:$P$521,14,0)</f>
        <v>46113.430949074071</v>
      </c>
    </row>
    <row r="422" spans="1:19" ht="18.75" hidden="1" x14ac:dyDescent="0.25">
      <c r="A422" s="19">
        <v>23</v>
      </c>
      <c r="B422" s="19" t="s">
        <v>18</v>
      </c>
      <c r="C422" s="19" t="s">
        <v>1101</v>
      </c>
      <c r="D422" s="27" t="s">
        <v>1102</v>
      </c>
      <c r="E422" s="27" t="s">
        <v>92</v>
      </c>
      <c r="F422" s="5" t="s">
        <v>22</v>
      </c>
      <c r="G422" s="21">
        <v>5.0000000000000001E-4</v>
      </c>
      <c r="H422" s="22">
        <v>145.5</v>
      </c>
      <c r="I422" s="22">
        <f t="shared" si="44"/>
        <v>291000</v>
      </c>
      <c r="J422" s="5">
        <v>14</v>
      </c>
      <c r="K422" s="23">
        <f t="shared" si="39"/>
        <v>145500</v>
      </c>
      <c r="L422" s="58">
        <f>(IFERROR(VLOOKUP(C422,'Current Stocks July-26'!B:K,9,0),0))</f>
        <v>53500</v>
      </c>
      <c r="M422" s="24">
        <f t="shared" si="41"/>
        <v>5.5154639175257731</v>
      </c>
      <c r="N422" s="25" t="str">
        <f t="shared" si="42"/>
        <v>ORDER NOW</v>
      </c>
      <c r="O422" s="25" t="str">
        <f t="shared" si="43"/>
        <v>CRITICAL</v>
      </c>
      <c r="P422" s="5"/>
      <c r="Q422" s="5"/>
      <c r="R422" s="5" t="s">
        <v>30</v>
      </c>
      <c r="S422" s="90">
        <f>VLOOKUP(C422,[3]Sheet1!$C$3:$P$521,14,0)</f>
        <v>46138.481689814813</v>
      </c>
    </row>
    <row r="423" spans="1:19" ht="18.75" hidden="1" x14ac:dyDescent="0.25">
      <c r="A423" s="41">
        <v>460</v>
      </c>
      <c r="B423" s="41" t="s">
        <v>38</v>
      </c>
      <c r="C423" s="41" t="s">
        <v>1096</v>
      </c>
      <c r="D423" s="27" t="s">
        <v>1097</v>
      </c>
      <c r="E423" s="27" t="s">
        <v>1098</v>
      </c>
      <c r="F423" s="5" t="s">
        <v>22</v>
      </c>
      <c r="G423" s="21">
        <v>0.1</v>
      </c>
      <c r="H423" s="22">
        <v>210</v>
      </c>
      <c r="I423" s="22">
        <f t="shared" si="44"/>
        <v>2100</v>
      </c>
      <c r="J423" s="5">
        <v>14</v>
      </c>
      <c r="K423" s="23">
        <f t="shared" si="39"/>
        <v>1050</v>
      </c>
      <c r="L423" s="58">
        <f>(IFERROR(VLOOKUP(C423,'Current Stocks July-26'!B:K,9,0),0))</f>
        <v>0</v>
      </c>
      <c r="M423" s="24">
        <f t="shared" si="41"/>
        <v>0</v>
      </c>
      <c r="N423" s="25" t="str">
        <f t="shared" si="42"/>
        <v>ORDER NOW</v>
      </c>
      <c r="O423" s="25" t="str">
        <f t="shared" si="43"/>
        <v>CRITICAL</v>
      </c>
      <c r="P423" s="5"/>
      <c r="Q423" s="5"/>
      <c r="R423" s="5"/>
      <c r="S423" s="90">
        <f>VLOOKUP(C423,[3]Sheet1!$C$3:$P$521,14,0)</f>
        <v>46131.518020833333</v>
      </c>
    </row>
    <row r="424" spans="1:19" ht="18.75" hidden="1" x14ac:dyDescent="0.25">
      <c r="A424" s="41">
        <v>413</v>
      </c>
      <c r="B424" s="41" t="s">
        <v>38</v>
      </c>
      <c r="C424" s="41" t="s">
        <v>1175</v>
      </c>
      <c r="D424" s="27" t="s">
        <v>1176</v>
      </c>
      <c r="E424" s="27" t="s">
        <v>1177</v>
      </c>
      <c r="F424" s="5" t="s">
        <v>49</v>
      </c>
      <c r="G424" s="21">
        <v>6.6666666666666666E-2</v>
      </c>
      <c r="H424" s="22">
        <v>110</v>
      </c>
      <c r="I424" s="22">
        <f t="shared" si="44"/>
        <v>1650</v>
      </c>
      <c r="J424" s="5">
        <v>14</v>
      </c>
      <c r="K424" s="23">
        <f t="shared" si="39"/>
        <v>825</v>
      </c>
      <c r="L424" s="58">
        <f>(IFERROR(VLOOKUP(C424,'Current Stocks July-26'!B:K,9,0),0))</f>
        <v>570</v>
      </c>
      <c r="M424" s="24">
        <f t="shared" si="41"/>
        <v>10.363636363636363</v>
      </c>
      <c r="N424" s="25" t="str">
        <f t="shared" si="42"/>
        <v>ORDER NOW</v>
      </c>
      <c r="O424" s="25" t="str">
        <f t="shared" si="43"/>
        <v>CRITICAL</v>
      </c>
      <c r="P424" s="5"/>
      <c r="Q424" s="5"/>
      <c r="R424" s="5"/>
      <c r="S424" s="90">
        <f>VLOOKUP(C424,[3]Sheet1!$C$3:$P$521,14,0)</f>
        <v>46131.518425925926</v>
      </c>
    </row>
    <row r="425" spans="1:19" ht="18.75" hidden="1" x14ac:dyDescent="0.25">
      <c r="A425" s="19">
        <v>21</v>
      </c>
      <c r="B425" s="19" t="s">
        <v>18</v>
      </c>
      <c r="C425" s="19" t="s">
        <v>1226</v>
      </c>
      <c r="D425" s="27" t="s">
        <v>1227</v>
      </c>
      <c r="E425" s="27" t="s">
        <v>92</v>
      </c>
      <c r="F425" s="5" t="s">
        <v>22</v>
      </c>
      <c r="G425" s="21">
        <v>5.0000000000000001E-4</v>
      </c>
      <c r="H425" s="22">
        <v>84.5</v>
      </c>
      <c r="I425" s="22">
        <f t="shared" si="44"/>
        <v>169000</v>
      </c>
      <c r="J425" s="5">
        <v>14</v>
      </c>
      <c r="K425" s="23">
        <f t="shared" si="39"/>
        <v>84500</v>
      </c>
      <c r="L425" s="58">
        <f>(IFERROR(VLOOKUP(C425,'Current Stocks July-26'!B:K,9,0),0))</f>
        <v>21000</v>
      </c>
      <c r="M425" s="24">
        <f t="shared" si="41"/>
        <v>3.7278106508875739</v>
      </c>
      <c r="N425" s="25" t="str">
        <f t="shared" si="42"/>
        <v>ORDER NOW</v>
      </c>
      <c r="O425" s="25" t="str">
        <f t="shared" si="43"/>
        <v>CRITICAL</v>
      </c>
      <c r="P425" s="5"/>
      <c r="Q425" s="5"/>
      <c r="R425" s="5" t="s">
        <v>30</v>
      </c>
      <c r="S425" s="90">
        <f>VLOOKUP(C425,[3]Sheet1!$C$3:$P$521,14,0)</f>
        <v>46131.518611111111</v>
      </c>
    </row>
    <row r="426" spans="1:19" ht="18.75" hidden="1" x14ac:dyDescent="0.25">
      <c r="A426" s="41">
        <v>361</v>
      </c>
      <c r="B426" s="41" t="s">
        <v>85</v>
      </c>
      <c r="C426" s="41" t="s">
        <v>786</v>
      </c>
      <c r="D426" s="27" t="s">
        <v>787</v>
      </c>
      <c r="E426" s="27" t="s">
        <v>101</v>
      </c>
      <c r="F426" s="5" t="s">
        <v>22</v>
      </c>
      <c r="G426" s="21">
        <v>0.16666666666666666</v>
      </c>
      <c r="H426" s="22">
        <v>55</v>
      </c>
      <c r="I426" s="22">
        <f t="shared" si="44"/>
        <v>330</v>
      </c>
      <c r="J426" s="5">
        <v>14</v>
      </c>
      <c r="K426" s="23">
        <f t="shared" ref="K426:K489" si="45">I426*(J426/28)</f>
        <v>165</v>
      </c>
      <c r="L426" s="58">
        <f>(IFERROR(VLOOKUP(C426,'Current Stocks July-26'!B:K,9,0),0))</f>
        <v>48</v>
      </c>
      <c r="M426" s="24">
        <f t="shared" si="41"/>
        <v>4.3636363636363633</v>
      </c>
      <c r="N426" s="25" t="str">
        <f t="shared" si="42"/>
        <v>ORDER NOW</v>
      </c>
      <c r="O426" s="25" t="str">
        <f t="shared" si="43"/>
        <v>CRITICAL</v>
      </c>
      <c r="P426" s="5"/>
      <c r="Q426" s="5"/>
      <c r="R426" s="5"/>
      <c r="S426" s="90">
        <f>VLOOKUP(C426,[3]Sheet1!$C$3:$P$521,14,0)</f>
        <v>46128.695138888892</v>
      </c>
    </row>
    <row r="427" spans="1:19" ht="18.75" hidden="1" x14ac:dyDescent="0.25">
      <c r="A427" s="19">
        <v>17</v>
      </c>
      <c r="B427" s="19" t="s">
        <v>18</v>
      </c>
      <c r="C427" s="19" t="s">
        <v>1368</v>
      </c>
      <c r="D427" s="29" t="s">
        <v>1369</v>
      </c>
      <c r="E427" s="29" t="s">
        <v>1370</v>
      </c>
      <c r="F427" s="5" t="s">
        <v>22</v>
      </c>
      <c r="G427" s="21">
        <f>1/100</f>
        <v>0.01</v>
      </c>
      <c r="H427" s="22">
        <v>495</v>
      </c>
      <c r="I427" s="22">
        <f t="shared" si="44"/>
        <v>49500</v>
      </c>
      <c r="J427" s="5">
        <v>14</v>
      </c>
      <c r="K427" s="23">
        <f t="shared" si="45"/>
        <v>24750</v>
      </c>
      <c r="L427" s="58">
        <f>(IFERROR(VLOOKUP(C427,'Current Stocks July-26'!B:K,9,0),0))</f>
        <v>12000</v>
      </c>
      <c r="M427" s="24">
        <f t="shared" si="41"/>
        <v>7.2727272727272734</v>
      </c>
      <c r="N427" s="25" t="str">
        <f t="shared" si="42"/>
        <v>ORDER NOW</v>
      </c>
      <c r="O427" s="25" t="str">
        <f t="shared" si="43"/>
        <v>CRITICAL</v>
      </c>
      <c r="P427" s="5"/>
      <c r="Q427" s="5"/>
      <c r="R427" s="5" t="s">
        <v>30</v>
      </c>
      <c r="S427" s="90">
        <f>VLOOKUP(C427,[3]Sheet1!$C$3:$P$521,14,0)</f>
        <v>46140.605821759258</v>
      </c>
    </row>
    <row r="428" spans="1:19" ht="18.75" hidden="1" x14ac:dyDescent="0.25">
      <c r="A428" s="41">
        <v>369</v>
      </c>
      <c r="B428" s="41" t="s">
        <v>85</v>
      </c>
      <c r="C428" s="41" t="s">
        <v>1042</v>
      </c>
      <c r="D428" s="27" t="s">
        <v>1043</v>
      </c>
      <c r="E428" s="27" t="s">
        <v>101</v>
      </c>
      <c r="F428" s="5" t="s">
        <v>22</v>
      </c>
      <c r="G428" s="21">
        <v>0.16666666666666666</v>
      </c>
      <c r="H428" s="22">
        <v>17</v>
      </c>
      <c r="I428" s="22">
        <f t="shared" si="44"/>
        <v>102</v>
      </c>
      <c r="J428" s="5">
        <v>14</v>
      </c>
      <c r="K428" s="23">
        <f t="shared" si="45"/>
        <v>51</v>
      </c>
      <c r="L428" s="58">
        <f>(IFERROR(VLOOKUP(C428,'Current Stocks July-26'!B:K,9,0),0))</f>
        <v>0</v>
      </c>
      <c r="M428" s="24">
        <f t="shared" si="41"/>
        <v>0</v>
      </c>
      <c r="N428" s="25" t="str">
        <f t="shared" si="42"/>
        <v>ORDER NOW</v>
      </c>
      <c r="O428" s="25" t="str">
        <f t="shared" si="43"/>
        <v>CRITICAL</v>
      </c>
      <c r="P428" s="5"/>
      <c r="Q428" s="5"/>
      <c r="R428" s="5"/>
      <c r="S428" s="90">
        <f>VLOOKUP(C428,[3]Sheet1!$C$3:$P$521,14,0)</f>
        <v>46113.430914351855</v>
      </c>
    </row>
    <row r="429" spans="1:19" ht="18.75" hidden="1" x14ac:dyDescent="0.25">
      <c r="A429" s="19">
        <v>71</v>
      </c>
      <c r="B429" s="19" t="s">
        <v>157</v>
      </c>
      <c r="C429" s="19" t="s">
        <v>959</v>
      </c>
      <c r="D429" s="27" t="s">
        <v>960</v>
      </c>
      <c r="E429" s="27" t="s">
        <v>78</v>
      </c>
      <c r="F429" s="5" t="s">
        <v>49</v>
      </c>
      <c r="G429" s="21">
        <v>1</v>
      </c>
      <c r="H429" s="22">
        <v>400</v>
      </c>
      <c r="I429" s="22">
        <v>400</v>
      </c>
      <c r="J429" s="5">
        <v>14</v>
      </c>
      <c r="K429" s="23">
        <f t="shared" si="45"/>
        <v>200</v>
      </c>
      <c r="L429" s="58">
        <f>(IFERROR(VLOOKUP(C429,'Current Stocks July-26'!B:K,9,0),0))</f>
        <v>58</v>
      </c>
      <c r="M429" s="24">
        <f t="shared" si="41"/>
        <v>4.3499999999999996</v>
      </c>
      <c r="N429" s="25" t="str">
        <f t="shared" si="42"/>
        <v>ORDER NOW</v>
      </c>
      <c r="O429" s="25" t="str">
        <f t="shared" si="43"/>
        <v>CRITICAL</v>
      </c>
      <c r="P429" s="5"/>
      <c r="Q429" s="5"/>
      <c r="R429" s="5" t="s">
        <v>30</v>
      </c>
      <c r="S429" s="90">
        <f>VLOOKUP(C429,[3]Sheet1!$C$3:$P$521,14,0)</f>
        <v>46141.525717592594</v>
      </c>
    </row>
    <row r="430" spans="1:19" ht="18.75" hidden="1" x14ac:dyDescent="0.25">
      <c r="A430" s="19">
        <v>152</v>
      </c>
      <c r="B430" s="19" t="s">
        <v>18</v>
      </c>
      <c r="C430" s="19" t="s">
        <v>862</v>
      </c>
      <c r="D430" s="72" t="s">
        <v>863</v>
      </c>
      <c r="E430" s="27" t="s">
        <v>864</v>
      </c>
      <c r="F430" s="5" t="s">
        <v>46</v>
      </c>
      <c r="G430" s="21">
        <v>0.01</v>
      </c>
      <c r="H430" s="22">
        <v>150</v>
      </c>
      <c r="I430" s="22">
        <f t="shared" ref="I430:I461" si="46">H430/G430</f>
        <v>15000</v>
      </c>
      <c r="J430" s="5">
        <v>14</v>
      </c>
      <c r="K430" s="23">
        <f t="shared" si="45"/>
        <v>7500</v>
      </c>
      <c r="L430" s="58">
        <f>(IFERROR(VLOOKUP(C430,'Current Stocks July-26'!B:K,9,0),0))</f>
        <v>0</v>
      </c>
      <c r="M430" s="24">
        <f t="shared" si="41"/>
        <v>0</v>
      </c>
      <c r="N430" s="25" t="str">
        <f t="shared" si="42"/>
        <v>ORDER NOW</v>
      </c>
      <c r="O430" s="25" t="str">
        <f t="shared" si="43"/>
        <v>CRITICAL</v>
      </c>
      <c r="P430" s="5"/>
      <c r="Q430" s="5"/>
      <c r="R430" s="5" t="s">
        <v>30</v>
      </c>
      <c r="S430" s="90" t="e">
        <f>VLOOKUP(C430,[3]Sheet1!$C$3:$P$521,14,0)</f>
        <v>#N/A</v>
      </c>
    </row>
    <row r="431" spans="1:19" ht="18.75" hidden="1" x14ac:dyDescent="0.25">
      <c r="A431" s="41">
        <v>558</v>
      </c>
      <c r="B431" s="41" t="s">
        <v>38</v>
      </c>
      <c r="C431" s="41" t="s">
        <v>1323</v>
      </c>
      <c r="D431" s="37" t="s">
        <v>1324</v>
      </c>
      <c r="E431" s="31" t="s">
        <v>22</v>
      </c>
      <c r="F431" s="5" t="s">
        <v>22</v>
      </c>
      <c r="G431" s="21">
        <v>1</v>
      </c>
      <c r="H431" s="22">
        <v>5</v>
      </c>
      <c r="I431" s="22">
        <f t="shared" si="46"/>
        <v>5</v>
      </c>
      <c r="J431" s="5">
        <v>14</v>
      </c>
      <c r="K431" s="23">
        <f t="shared" si="45"/>
        <v>2.5</v>
      </c>
      <c r="L431" s="58">
        <f>(IFERROR(VLOOKUP(C431,'Current Stocks July-26'!B:K,9,0),0))</f>
        <v>0</v>
      </c>
      <c r="M431" s="24">
        <f t="shared" si="41"/>
        <v>0</v>
      </c>
      <c r="N431" s="25" t="str">
        <f t="shared" si="42"/>
        <v>ORDER NOW</v>
      </c>
      <c r="O431" s="25" t="str">
        <f t="shared" si="43"/>
        <v>CRITICAL</v>
      </c>
      <c r="P431" s="5"/>
      <c r="Q431" s="5"/>
      <c r="R431" s="5"/>
      <c r="S431" s="90">
        <f>VLOOKUP(C431,[3]Sheet1!$C$3:$P$521,14,0)</f>
        <v>46131.519201388888</v>
      </c>
    </row>
    <row r="432" spans="1:19" ht="18.75" hidden="1" x14ac:dyDescent="0.25">
      <c r="A432" s="19">
        <v>91</v>
      </c>
      <c r="B432" s="19" t="s">
        <v>18</v>
      </c>
      <c r="C432" s="19" t="s">
        <v>1347</v>
      </c>
      <c r="D432" s="27" t="s">
        <v>1348</v>
      </c>
      <c r="E432" s="27" t="s">
        <v>1349</v>
      </c>
      <c r="F432" s="5" t="s">
        <v>22</v>
      </c>
      <c r="G432" s="21">
        <v>1E-3</v>
      </c>
      <c r="H432" s="22">
        <v>150</v>
      </c>
      <c r="I432" s="22">
        <f t="shared" si="46"/>
        <v>150000</v>
      </c>
      <c r="J432" s="5">
        <v>14</v>
      </c>
      <c r="K432" s="23">
        <f t="shared" si="45"/>
        <v>75000</v>
      </c>
      <c r="L432" s="58">
        <f>(IFERROR(VLOOKUP(C432,'Current Stocks July-26'!B:K,9,0),0))</f>
        <v>15500</v>
      </c>
      <c r="M432" s="24">
        <f t="shared" si="41"/>
        <v>3.1</v>
      </c>
      <c r="N432" s="25" t="str">
        <f t="shared" si="42"/>
        <v>ORDER NOW</v>
      </c>
      <c r="O432" s="25" t="str">
        <f t="shared" si="43"/>
        <v>CRITICAL</v>
      </c>
      <c r="P432" s="5"/>
      <c r="Q432" s="5"/>
      <c r="R432" s="5" t="s">
        <v>30</v>
      </c>
      <c r="S432" s="90">
        <f>VLOOKUP(C432,[3]Sheet1!$C$3:$P$521,14,0)</f>
        <v>46131.517337962963</v>
      </c>
    </row>
    <row r="433" spans="1:19" ht="18.75" hidden="1" x14ac:dyDescent="0.25">
      <c r="A433" s="39">
        <v>253</v>
      </c>
      <c r="B433" s="39" t="s">
        <v>123</v>
      </c>
      <c r="C433" s="39" t="s">
        <v>1413</v>
      </c>
      <c r="D433" s="27" t="s">
        <v>1414</v>
      </c>
      <c r="E433" s="27" t="s">
        <v>1415</v>
      </c>
      <c r="F433" s="5" t="s">
        <v>49</v>
      </c>
      <c r="G433" s="21">
        <v>1</v>
      </c>
      <c r="H433" s="22">
        <v>24</v>
      </c>
      <c r="I433" s="22">
        <f t="shared" si="46"/>
        <v>24</v>
      </c>
      <c r="J433" s="5">
        <v>14</v>
      </c>
      <c r="K433" s="23">
        <f t="shared" si="45"/>
        <v>12</v>
      </c>
      <c r="L433" s="58">
        <f>(IFERROR(VLOOKUP(C433,'Current Stocks July-26'!B:K,9,0),0))</f>
        <v>0</v>
      </c>
      <c r="M433" s="24">
        <f t="shared" si="41"/>
        <v>0</v>
      </c>
      <c r="N433" s="25" t="str">
        <f t="shared" si="42"/>
        <v>ORDER NOW</v>
      </c>
      <c r="O433" s="25" t="str">
        <f t="shared" si="43"/>
        <v>CRITICAL</v>
      </c>
      <c r="P433" s="5"/>
      <c r="Q433" s="5"/>
      <c r="R433" s="5"/>
      <c r="S433" s="90">
        <f>VLOOKUP(C433,[3]Sheet1!$C$3:$P$521,14,0)</f>
        <v>46131.519687499997</v>
      </c>
    </row>
    <row r="434" spans="1:19" ht="18.75" hidden="1" x14ac:dyDescent="0.25">
      <c r="A434" s="41">
        <v>343</v>
      </c>
      <c r="B434" s="41" t="s">
        <v>85</v>
      </c>
      <c r="C434" s="41" t="s">
        <v>86</v>
      </c>
      <c r="D434" s="29" t="s">
        <v>87</v>
      </c>
      <c r="E434" s="29" t="s">
        <v>88</v>
      </c>
      <c r="F434" s="5" t="s">
        <v>89</v>
      </c>
      <c r="G434" s="21">
        <v>0.1</v>
      </c>
      <c r="H434" s="22">
        <v>143</v>
      </c>
      <c r="I434" s="22">
        <f t="shared" si="46"/>
        <v>1430</v>
      </c>
      <c r="J434" s="5">
        <v>14</v>
      </c>
      <c r="K434" s="23">
        <f t="shared" si="45"/>
        <v>715</v>
      </c>
      <c r="L434" s="58">
        <f>(IFERROR(VLOOKUP(C434,'Current Stocks July-26'!B:K,9,0),0))</f>
        <v>650</v>
      </c>
      <c r="M434" s="24">
        <f t="shared" si="41"/>
        <v>13.636363636363637</v>
      </c>
      <c r="N434" s="25" t="str">
        <f t="shared" si="42"/>
        <v>ORDER NOW</v>
      </c>
      <c r="O434" s="25" t="str">
        <f t="shared" si="43"/>
        <v>CRITICAL</v>
      </c>
      <c r="P434" s="5"/>
      <c r="Q434" s="5"/>
      <c r="R434" s="5"/>
      <c r="S434" s="90">
        <f>VLOOKUP(C434,[3]Sheet1!$C$3:$P$521,14,0)</f>
        <v>46131.519328703704</v>
      </c>
    </row>
    <row r="435" spans="1:19" ht="18.75" hidden="1" x14ac:dyDescent="0.25">
      <c r="A435" s="41">
        <v>345</v>
      </c>
      <c r="B435" s="41" t="s">
        <v>85</v>
      </c>
      <c r="C435" s="41" t="s">
        <v>1181</v>
      </c>
      <c r="D435" s="27" t="s">
        <v>1182</v>
      </c>
      <c r="E435" s="27" t="s">
        <v>867</v>
      </c>
      <c r="F435" s="5" t="s">
        <v>22</v>
      </c>
      <c r="G435" s="21">
        <v>8.3333333333333329E-2</v>
      </c>
      <c r="H435" s="22">
        <v>30</v>
      </c>
      <c r="I435" s="22">
        <f t="shared" si="46"/>
        <v>360</v>
      </c>
      <c r="J435" s="5">
        <v>14</v>
      </c>
      <c r="K435" s="23">
        <f t="shared" si="45"/>
        <v>180</v>
      </c>
      <c r="L435" s="58">
        <f>(IFERROR(VLOOKUP(C435,'Current Stocks July-26'!B:K,9,0),0))</f>
        <v>84</v>
      </c>
      <c r="M435" s="24">
        <f t="shared" si="41"/>
        <v>7</v>
      </c>
      <c r="N435" s="25" t="str">
        <f t="shared" si="42"/>
        <v>ORDER NOW</v>
      </c>
      <c r="O435" s="25" t="str">
        <f t="shared" si="43"/>
        <v>CRITICAL</v>
      </c>
      <c r="P435" s="5"/>
      <c r="Q435" s="5"/>
      <c r="R435" s="5"/>
      <c r="S435" s="90">
        <f>VLOOKUP(C435,[3]Sheet1!$C$3:$P$521,14,0)</f>
        <v>46131.51840277778</v>
      </c>
    </row>
    <row r="436" spans="1:19" ht="18.75" hidden="1" x14ac:dyDescent="0.25">
      <c r="A436" s="19">
        <v>121</v>
      </c>
      <c r="B436" s="19" t="s">
        <v>18</v>
      </c>
      <c r="C436" s="19" t="s">
        <v>1007</v>
      </c>
      <c r="D436" s="29" t="s">
        <v>1008</v>
      </c>
      <c r="E436" s="27" t="s">
        <v>186</v>
      </c>
      <c r="F436" s="5" t="s">
        <v>606</v>
      </c>
      <c r="G436" s="21">
        <v>2E-3</v>
      </c>
      <c r="H436" s="22">
        <v>5</v>
      </c>
      <c r="I436" s="22">
        <f t="shared" si="46"/>
        <v>2500</v>
      </c>
      <c r="J436" s="5">
        <v>14</v>
      </c>
      <c r="K436" s="23">
        <f t="shared" si="45"/>
        <v>1250</v>
      </c>
      <c r="L436" s="58">
        <f>(IFERROR(VLOOKUP(C436,'Current Stocks July-26'!B:K,9,0),0))</f>
        <v>0</v>
      </c>
      <c r="M436" s="24">
        <f t="shared" si="41"/>
        <v>0</v>
      </c>
      <c r="N436" s="25" t="str">
        <f t="shared" si="42"/>
        <v>ORDER NOW</v>
      </c>
      <c r="O436" s="25" t="str">
        <f t="shared" si="43"/>
        <v>CRITICAL</v>
      </c>
      <c r="P436" s="5"/>
      <c r="Q436" s="5"/>
      <c r="R436" s="5" t="s">
        <v>30</v>
      </c>
      <c r="S436" s="90">
        <f>VLOOKUP(C436,[3]Sheet1!$C$3:$P$521,14,0)</f>
        <v>46138.481620370374</v>
      </c>
    </row>
    <row r="437" spans="1:19" ht="18.75" hidden="1" x14ac:dyDescent="0.25">
      <c r="A437" s="39">
        <v>235</v>
      </c>
      <c r="B437" s="39" t="s">
        <v>123</v>
      </c>
      <c r="C437" s="39" t="s">
        <v>1070</v>
      </c>
      <c r="D437" s="31" t="s">
        <v>1071</v>
      </c>
      <c r="E437" s="31" t="s">
        <v>1072</v>
      </c>
      <c r="F437" s="5" t="s">
        <v>22</v>
      </c>
      <c r="G437" s="21">
        <v>0.05</v>
      </c>
      <c r="H437" s="22">
        <v>22</v>
      </c>
      <c r="I437" s="22">
        <f t="shared" si="46"/>
        <v>440</v>
      </c>
      <c r="J437" s="5">
        <v>14</v>
      </c>
      <c r="K437" s="23">
        <f t="shared" si="45"/>
        <v>220</v>
      </c>
      <c r="L437" s="58">
        <f>(IFERROR(VLOOKUP(C437,'Current Stocks July-26'!B:K,9,0),0))</f>
        <v>15</v>
      </c>
      <c r="M437" s="24">
        <f t="shared" si="41"/>
        <v>1.0227272727272727</v>
      </c>
      <c r="N437" s="25" t="str">
        <f t="shared" si="42"/>
        <v>ORDER NOW</v>
      </c>
      <c r="O437" s="25" t="str">
        <f t="shared" si="43"/>
        <v>CRITICAL</v>
      </c>
      <c r="P437" s="5"/>
      <c r="Q437" s="5"/>
      <c r="R437" s="5"/>
      <c r="S437" s="90">
        <f>VLOOKUP(C437,[3]Sheet1!$C$3:$P$521,14,0)</f>
        <v>46131.519525462965</v>
      </c>
    </row>
    <row r="438" spans="1:19" ht="18.75" hidden="1" x14ac:dyDescent="0.25">
      <c r="A438" s="41">
        <v>349</v>
      </c>
      <c r="B438" s="41" t="s">
        <v>38</v>
      </c>
      <c r="C438" s="41" t="s">
        <v>1242</v>
      </c>
      <c r="D438" s="27" t="s">
        <v>1243</v>
      </c>
      <c r="E438" s="27" t="s">
        <v>1244</v>
      </c>
      <c r="F438" s="5" t="s">
        <v>22</v>
      </c>
      <c r="G438" s="21">
        <v>0.2</v>
      </c>
      <c r="H438" s="22">
        <v>33</v>
      </c>
      <c r="I438" s="22">
        <f t="shared" si="46"/>
        <v>165</v>
      </c>
      <c r="J438" s="5">
        <v>14</v>
      </c>
      <c r="K438" s="23">
        <f t="shared" si="45"/>
        <v>82.5</v>
      </c>
      <c r="L438" s="58">
        <f>(IFERROR(VLOOKUP(C438,'Current Stocks July-26'!B:K,9,0),0))</f>
        <v>50</v>
      </c>
      <c r="M438" s="24">
        <f t="shared" si="41"/>
        <v>9.0909090909090917</v>
      </c>
      <c r="N438" s="25" t="str">
        <f t="shared" si="42"/>
        <v>ORDER NOW</v>
      </c>
      <c r="O438" s="25" t="str">
        <f t="shared" si="43"/>
        <v>CRITICAL</v>
      </c>
      <c r="P438" s="5"/>
      <c r="Q438" s="5"/>
      <c r="R438" s="5"/>
      <c r="S438" s="90">
        <f>VLOOKUP(C438,[3]Sheet1!$C$3:$P$521,14,0)</f>
        <v>46131.51871527778</v>
      </c>
    </row>
    <row r="439" spans="1:19" ht="18.75" hidden="1" x14ac:dyDescent="0.25">
      <c r="A439" s="41">
        <v>358</v>
      </c>
      <c r="B439" s="41" t="s">
        <v>85</v>
      </c>
      <c r="C439" s="41" t="s">
        <v>102</v>
      </c>
      <c r="D439" s="68" t="s">
        <v>103</v>
      </c>
      <c r="E439" s="27" t="s">
        <v>101</v>
      </c>
      <c r="F439" s="5" t="s">
        <v>22</v>
      </c>
      <c r="G439" s="21">
        <v>0.16666666666666666</v>
      </c>
      <c r="H439" s="22">
        <v>5.5</v>
      </c>
      <c r="I439" s="22">
        <f t="shared" si="46"/>
        <v>33</v>
      </c>
      <c r="J439" s="5">
        <v>14</v>
      </c>
      <c r="K439" s="23">
        <f t="shared" si="45"/>
        <v>16.5</v>
      </c>
      <c r="L439" s="58">
        <f>(IFERROR(VLOOKUP(C439,'Current Stocks July-26'!B:K,9,0),0))</f>
        <v>0</v>
      </c>
      <c r="M439" s="24">
        <f t="shared" si="41"/>
        <v>0</v>
      </c>
      <c r="N439" s="25" t="str">
        <f t="shared" si="42"/>
        <v>ORDER NOW</v>
      </c>
      <c r="O439" s="25" t="str">
        <f t="shared" si="43"/>
        <v>CRITICAL</v>
      </c>
      <c r="P439" s="5"/>
      <c r="Q439" s="5"/>
      <c r="R439" s="5"/>
      <c r="S439" s="90">
        <f>VLOOKUP(C439,[3]Sheet1!$C$3:$P$521,14,0)</f>
        <v>46141.525254629632</v>
      </c>
    </row>
    <row r="440" spans="1:19" ht="18.75" hidden="1" x14ac:dyDescent="0.25">
      <c r="A440" s="39">
        <v>216</v>
      </c>
      <c r="B440" s="39" t="s">
        <v>123</v>
      </c>
      <c r="C440" s="39" t="s">
        <v>247</v>
      </c>
      <c r="D440" s="27" t="s">
        <v>248</v>
      </c>
      <c r="E440" s="27" t="s">
        <v>249</v>
      </c>
      <c r="F440" s="5" t="s">
        <v>49</v>
      </c>
      <c r="G440" s="21">
        <v>1</v>
      </c>
      <c r="H440" s="22">
        <v>367.5</v>
      </c>
      <c r="I440" s="22">
        <f t="shared" si="46"/>
        <v>367.5</v>
      </c>
      <c r="J440" s="5">
        <v>14</v>
      </c>
      <c r="K440" s="23">
        <f t="shared" si="45"/>
        <v>183.75</v>
      </c>
      <c r="L440" s="58">
        <f>(IFERROR(VLOOKUP(C440,'Current Stocks July-26'!B:K,9,0),0))</f>
        <v>0</v>
      </c>
      <c r="M440" s="24">
        <f t="shared" si="41"/>
        <v>0</v>
      </c>
      <c r="N440" s="25" t="str">
        <f t="shared" si="42"/>
        <v>ORDER NOW</v>
      </c>
      <c r="O440" s="25" t="str">
        <f t="shared" si="43"/>
        <v>CRITICAL</v>
      </c>
      <c r="P440" s="5"/>
      <c r="Q440" s="5"/>
      <c r="R440" s="5"/>
      <c r="S440" s="90">
        <f>VLOOKUP(C440,[3]Sheet1!$C$3:$P$521,14,0)</f>
        <v>46128.687604166669</v>
      </c>
    </row>
    <row r="441" spans="1:19" ht="18.75" hidden="1" x14ac:dyDescent="0.25">
      <c r="A441" s="39">
        <v>256</v>
      </c>
      <c r="B441" s="39" t="s">
        <v>157</v>
      </c>
      <c r="C441" s="39" t="s">
        <v>767</v>
      </c>
      <c r="D441" s="27" t="s">
        <v>768</v>
      </c>
      <c r="E441" s="27" t="s">
        <v>697</v>
      </c>
      <c r="F441" s="5" t="s">
        <v>22</v>
      </c>
      <c r="G441" s="21">
        <v>1E-3</v>
      </c>
      <c r="H441" s="22">
        <v>673</v>
      </c>
      <c r="I441" s="22">
        <f t="shared" si="46"/>
        <v>673000</v>
      </c>
      <c r="J441" s="5">
        <v>14</v>
      </c>
      <c r="K441" s="23">
        <f t="shared" si="45"/>
        <v>336500</v>
      </c>
      <c r="L441" s="58">
        <f>(IFERROR(VLOOKUP(C441,'Current Stocks July-26'!B:K,9,0),0))</f>
        <v>2931</v>
      </c>
      <c r="M441" s="24">
        <f t="shared" si="41"/>
        <v>0.13065378900445765</v>
      </c>
      <c r="N441" s="25" t="str">
        <f t="shared" si="42"/>
        <v>ORDER NOW</v>
      </c>
      <c r="O441" s="25" t="str">
        <f t="shared" si="43"/>
        <v>CRITICAL</v>
      </c>
      <c r="P441" s="5"/>
      <c r="Q441" s="5"/>
      <c r="R441" s="5"/>
      <c r="S441" s="90">
        <f>VLOOKUP(C441,[3]Sheet1!$C$3:$P$521,14,0)</f>
        <v>46140.605763888889</v>
      </c>
    </row>
    <row r="442" spans="1:19" ht="18.75" hidden="1" x14ac:dyDescent="0.25">
      <c r="A442" s="4">
        <v>611</v>
      </c>
      <c r="B442" s="4" t="s">
        <v>133</v>
      </c>
      <c r="C442" s="4" t="s">
        <v>737</v>
      </c>
      <c r="D442" s="27" t="s">
        <v>738</v>
      </c>
      <c r="E442" s="27" t="s">
        <v>64</v>
      </c>
      <c r="F442" s="5" t="s">
        <v>49</v>
      </c>
      <c r="G442" s="21">
        <v>1</v>
      </c>
      <c r="H442" s="22">
        <v>1815</v>
      </c>
      <c r="I442" s="22">
        <f t="shared" si="46"/>
        <v>1815</v>
      </c>
      <c r="J442" s="5">
        <v>14</v>
      </c>
      <c r="K442" s="23">
        <f t="shared" si="45"/>
        <v>907.5</v>
      </c>
      <c r="L442" s="58">
        <f>(IFERROR(VLOOKUP(C442,'Current Stocks July-26'!B:K,9,0),0))</f>
        <v>0</v>
      </c>
      <c r="M442" s="24">
        <f t="shared" si="41"/>
        <v>0</v>
      </c>
      <c r="N442" s="25" t="str">
        <f t="shared" si="42"/>
        <v>ORDER NOW</v>
      </c>
      <c r="O442" s="25" t="str">
        <f t="shared" si="43"/>
        <v>CRITICAL</v>
      </c>
      <c r="P442" s="5"/>
      <c r="Q442" s="5"/>
      <c r="R442" s="5"/>
      <c r="S442" s="90">
        <f>VLOOKUP(C442,[3]Sheet1!$C$3:$P$521,14,0)</f>
        <v>46134.446296296293</v>
      </c>
    </row>
    <row r="443" spans="1:19" ht="18.75" hidden="1" x14ac:dyDescent="0.25">
      <c r="A443" s="41">
        <v>346</v>
      </c>
      <c r="B443" s="41" t="s">
        <v>85</v>
      </c>
      <c r="C443" s="41" t="s">
        <v>987</v>
      </c>
      <c r="D443" s="27" t="s">
        <v>988</v>
      </c>
      <c r="E443" s="27" t="s">
        <v>989</v>
      </c>
      <c r="F443" s="5" t="s">
        <v>22</v>
      </c>
      <c r="G443" s="21">
        <v>0.125</v>
      </c>
      <c r="H443" s="22">
        <v>70.5</v>
      </c>
      <c r="I443" s="22">
        <f t="shared" si="46"/>
        <v>564</v>
      </c>
      <c r="J443" s="5">
        <v>14</v>
      </c>
      <c r="K443" s="23">
        <f t="shared" si="45"/>
        <v>282</v>
      </c>
      <c r="L443" s="58">
        <f>(IFERROR(VLOOKUP(C443,'Current Stocks July-26'!B:K,9,0),0))</f>
        <v>120</v>
      </c>
      <c r="M443" s="24">
        <f t="shared" si="41"/>
        <v>6.3829787234042552</v>
      </c>
      <c r="N443" s="25" t="str">
        <f t="shared" si="42"/>
        <v>ORDER NOW</v>
      </c>
      <c r="O443" s="25" t="str">
        <f t="shared" si="43"/>
        <v>CRITICAL</v>
      </c>
      <c r="P443" s="5"/>
      <c r="Q443" s="5"/>
      <c r="R443" s="5"/>
      <c r="S443" s="90">
        <f>VLOOKUP(C443,[3]Sheet1!$C$3:$P$521,14,0)</f>
        <v>46140.606458333335</v>
      </c>
    </row>
    <row r="444" spans="1:19" ht="18.75" hidden="1" x14ac:dyDescent="0.25">
      <c r="A444" s="19">
        <v>5</v>
      </c>
      <c r="B444" s="19" t="s">
        <v>18</v>
      </c>
      <c r="C444" s="19" t="s">
        <v>891</v>
      </c>
      <c r="D444" s="27" t="s">
        <v>892</v>
      </c>
      <c r="E444" s="27" t="s">
        <v>893</v>
      </c>
      <c r="F444" s="5" t="s">
        <v>22</v>
      </c>
      <c r="G444" s="21">
        <v>1.6666666666666668E-3</v>
      </c>
      <c r="H444" s="22">
        <v>565.5</v>
      </c>
      <c r="I444" s="22">
        <f t="shared" si="46"/>
        <v>339300</v>
      </c>
      <c r="J444" s="5">
        <v>14</v>
      </c>
      <c r="K444" s="23">
        <f t="shared" si="45"/>
        <v>169650</v>
      </c>
      <c r="L444" s="58">
        <f>(IFERROR(VLOOKUP(C444,'Current Stocks July-26'!B:K,9,0),0))</f>
        <v>66300</v>
      </c>
      <c r="M444" s="24">
        <f t="shared" si="41"/>
        <v>5.862068965517242</v>
      </c>
      <c r="N444" s="25" t="str">
        <f t="shared" si="42"/>
        <v>ORDER NOW</v>
      </c>
      <c r="O444" s="25" t="str">
        <f t="shared" si="43"/>
        <v>CRITICAL</v>
      </c>
      <c r="P444" s="5"/>
      <c r="Q444" s="5"/>
      <c r="R444" s="5" t="s">
        <v>30</v>
      </c>
      <c r="S444" s="90">
        <f>VLOOKUP(C444,[3]Sheet1!$C$3:$P$521,14,0)</f>
        <v>46140.606192129628</v>
      </c>
    </row>
    <row r="445" spans="1:19" ht="18.75" hidden="1" x14ac:dyDescent="0.25">
      <c r="A445" s="39">
        <v>198</v>
      </c>
      <c r="B445" s="39" t="s">
        <v>265</v>
      </c>
      <c r="C445" s="39" t="s">
        <v>1163</v>
      </c>
      <c r="D445" s="27" t="s">
        <v>1164</v>
      </c>
      <c r="E445" s="27" t="s">
        <v>78</v>
      </c>
      <c r="F445" s="5" t="s">
        <v>49</v>
      </c>
      <c r="G445" s="21">
        <v>1</v>
      </c>
      <c r="H445" s="22">
        <v>264</v>
      </c>
      <c r="I445" s="22">
        <f t="shared" si="46"/>
        <v>264</v>
      </c>
      <c r="J445" s="5">
        <v>14</v>
      </c>
      <c r="K445" s="23">
        <f t="shared" si="45"/>
        <v>132</v>
      </c>
      <c r="L445" s="58">
        <f>(IFERROR(VLOOKUP(C445,'Current Stocks July-26'!B:K,9,0),0))</f>
        <v>14</v>
      </c>
      <c r="M445" s="24">
        <f t="shared" si="41"/>
        <v>1.5909090909090911</v>
      </c>
      <c r="N445" s="25" t="str">
        <f t="shared" si="42"/>
        <v>ORDER NOW</v>
      </c>
      <c r="O445" s="25" t="str">
        <f t="shared" si="43"/>
        <v>CRITICAL</v>
      </c>
      <c r="P445" s="5"/>
      <c r="Q445" s="5"/>
      <c r="R445" s="5"/>
      <c r="S445" s="90">
        <f>VLOOKUP(C445,[3]Sheet1!$C$3:$P$521,14,0)</f>
        <v>46131.517280092594</v>
      </c>
    </row>
    <row r="446" spans="1:19" ht="18.75" hidden="1" x14ac:dyDescent="0.25">
      <c r="A446" s="41">
        <v>403</v>
      </c>
      <c r="B446" s="41" t="s">
        <v>85</v>
      </c>
      <c r="C446" s="41" t="s">
        <v>743</v>
      </c>
      <c r="D446" s="27" t="s">
        <v>744</v>
      </c>
      <c r="E446" s="27" t="s">
        <v>381</v>
      </c>
      <c r="F446" s="5" t="s">
        <v>22</v>
      </c>
      <c r="G446" s="21">
        <v>8.3333333333333329E-2</v>
      </c>
      <c r="H446" s="22">
        <v>608</v>
      </c>
      <c r="I446" s="22">
        <f t="shared" si="46"/>
        <v>7296</v>
      </c>
      <c r="J446" s="5">
        <v>14</v>
      </c>
      <c r="K446" s="23">
        <f t="shared" si="45"/>
        <v>3648</v>
      </c>
      <c r="L446" s="58">
        <f>(IFERROR(VLOOKUP(C446,'Current Stocks July-26'!B:K,9,0),0))</f>
        <v>2400</v>
      </c>
      <c r="M446" s="24">
        <f t="shared" si="41"/>
        <v>9.8684210526315788</v>
      </c>
      <c r="N446" s="25" t="str">
        <f t="shared" si="42"/>
        <v>ORDER NOW</v>
      </c>
      <c r="O446" s="25" t="str">
        <f t="shared" si="43"/>
        <v>CRITICAL</v>
      </c>
      <c r="P446" s="5"/>
      <c r="Q446" s="5"/>
      <c r="R446" s="5"/>
      <c r="S446" s="90">
        <f>VLOOKUP(C446,[3]Sheet1!$C$3:$P$521,14,0)</f>
        <v>46128.69494212963</v>
      </c>
    </row>
    <row r="447" spans="1:19" ht="18.75" hidden="1" x14ac:dyDescent="0.25">
      <c r="A447" s="19">
        <v>1</v>
      </c>
      <c r="B447" s="19"/>
      <c r="C447" s="19" t="s">
        <v>1306</v>
      </c>
      <c r="D447" s="4" t="s">
        <v>1307</v>
      </c>
      <c r="E447" s="4" t="s">
        <v>22</v>
      </c>
      <c r="F447" s="5" t="s">
        <v>49</v>
      </c>
      <c r="G447" s="21">
        <f>1/5000</f>
        <v>2.0000000000000001E-4</v>
      </c>
      <c r="H447" s="22">
        <v>402</v>
      </c>
      <c r="I447" s="22">
        <f t="shared" si="46"/>
        <v>2010000</v>
      </c>
      <c r="J447" s="5">
        <v>60</v>
      </c>
      <c r="K447" s="23">
        <f t="shared" si="45"/>
        <v>4307142.8571428573</v>
      </c>
      <c r="L447" s="58">
        <f>(IFERROR(VLOOKUP(C447,'Current Stocks July-26'!B:K,9,0),0))</f>
        <v>720000</v>
      </c>
      <c r="M447" s="24">
        <f t="shared" si="41"/>
        <v>10.746268656716417</v>
      </c>
      <c r="N447" s="25" t="str">
        <f t="shared" si="42"/>
        <v>ORDER NOW</v>
      </c>
      <c r="O447" s="25" t="str">
        <f t="shared" si="43"/>
        <v>CRITICAL</v>
      </c>
      <c r="P447" s="5"/>
      <c r="Q447" s="5"/>
      <c r="R447" s="92" t="s">
        <v>30</v>
      </c>
      <c r="S447" s="90">
        <f>VLOOKUP(C447,[3]Sheet1!$C$3:$P$521,14,0)</f>
        <v>46128.696631944447</v>
      </c>
    </row>
    <row r="448" spans="1:19" ht="18.75" hidden="1" x14ac:dyDescent="0.25">
      <c r="A448" s="39">
        <v>202</v>
      </c>
      <c r="B448" s="39" t="s">
        <v>239</v>
      </c>
      <c r="C448" s="39" t="s">
        <v>676</v>
      </c>
      <c r="D448" s="27" t="s">
        <v>677</v>
      </c>
      <c r="E448" s="27" t="s">
        <v>160</v>
      </c>
      <c r="F448" s="5" t="s">
        <v>49</v>
      </c>
      <c r="G448" s="21">
        <v>1</v>
      </c>
      <c r="H448" s="22">
        <v>104.5</v>
      </c>
      <c r="I448" s="22">
        <f t="shared" si="46"/>
        <v>104.5</v>
      </c>
      <c r="J448" s="5">
        <v>14</v>
      </c>
      <c r="K448" s="23">
        <f t="shared" si="45"/>
        <v>52.25</v>
      </c>
      <c r="L448" s="58">
        <f>(IFERROR(VLOOKUP(C448,'Current Stocks July-26'!B:K,9,0),0))</f>
        <v>0</v>
      </c>
      <c r="M448" s="24">
        <f t="shared" si="41"/>
        <v>0</v>
      </c>
      <c r="N448" s="25" t="str">
        <f t="shared" si="42"/>
        <v>ORDER NOW</v>
      </c>
      <c r="O448" s="25" t="str">
        <f t="shared" si="43"/>
        <v>CRITICAL</v>
      </c>
      <c r="P448" s="5"/>
      <c r="Q448" s="5"/>
      <c r="R448" s="5"/>
      <c r="S448" s="90">
        <f>VLOOKUP(C448,[3]Sheet1!$C$3:$P$521,14,0)</f>
        <v>46113.430949074071</v>
      </c>
    </row>
    <row r="449" spans="1:19" ht="18.75" hidden="1" x14ac:dyDescent="0.25">
      <c r="A449" s="41">
        <v>381</v>
      </c>
      <c r="B449" s="41" t="s">
        <v>38</v>
      </c>
      <c r="C449" s="41" t="s">
        <v>1110</v>
      </c>
      <c r="D449" s="27" t="s">
        <v>1111</v>
      </c>
      <c r="E449" s="27" t="s">
        <v>1112</v>
      </c>
      <c r="F449" s="5" t="s">
        <v>49</v>
      </c>
      <c r="G449" s="21">
        <v>0.1</v>
      </c>
      <c r="H449" s="22">
        <v>13.5</v>
      </c>
      <c r="I449" s="22">
        <f t="shared" si="46"/>
        <v>135</v>
      </c>
      <c r="J449" s="5">
        <v>14</v>
      </c>
      <c r="K449" s="23">
        <f t="shared" si="45"/>
        <v>67.5</v>
      </c>
      <c r="L449" s="58">
        <f>(IFERROR(VLOOKUP(C449,'Current Stocks July-26'!B:K,9,0),0))</f>
        <v>0</v>
      </c>
      <c r="M449" s="24">
        <f t="shared" si="41"/>
        <v>0</v>
      </c>
      <c r="N449" s="25" t="str">
        <f t="shared" si="42"/>
        <v>ORDER NOW</v>
      </c>
      <c r="O449" s="25" t="str">
        <f t="shared" si="43"/>
        <v>CRITICAL</v>
      </c>
      <c r="P449" s="5"/>
      <c r="Q449" s="5"/>
      <c r="R449" s="5"/>
      <c r="S449" s="90">
        <f>VLOOKUP(C449,[3]Sheet1!$C$3:$P$521,14,0)</f>
        <v>46131.518078703702</v>
      </c>
    </row>
    <row r="450" spans="1:19" ht="18.75" hidden="1" x14ac:dyDescent="0.25">
      <c r="A450" s="41">
        <v>356</v>
      </c>
      <c r="B450" s="41" t="s">
        <v>38</v>
      </c>
      <c r="C450" s="41" t="s">
        <v>114</v>
      </c>
      <c r="D450" s="27" t="s">
        <v>115</v>
      </c>
      <c r="E450" s="27" t="s">
        <v>116</v>
      </c>
      <c r="F450" s="5" t="s">
        <v>22</v>
      </c>
      <c r="G450" s="21">
        <v>0.1</v>
      </c>
      <c r="H450" s="22">
        <v>19</v>
      </c>
      <c r="I450" s="22">
        <f t="shared" si="46"/>
        <v>190</v>
      </c>
      <c r="J450" s="5">
        <v>14</v>
      </c>
      <c r="K450" s="23">
        <f t="shared" si="45"/>
        <v>95</v>
      </c>
      <c r="L450" s="58">
        <f>(IFERROR(VLOOKUP(C450,'Current Stocks July-26'!B:K,9,0),0))</f>
        <v>0</v>
      </c>
      <c r="M450" s="24">
        <f t="shared" si="41"/>
        <v>0</v>
      </c>
      <c r="N450" s="25" t="str">
        <f t="shared" si="42"/>
        <v>ORDER NOW</v>
      </c>
      <c r="O450" s="25" t="str">
        <f t="shared" si="43"/>
        <v>CRITICAL</v>
      </c>
      <c r="P450" s="5"/>
      <c r="Q450" s="5"/>
      <c r="R450" s="5"/>
      <c r="S450" s="90">
        <f>VLOOKUP(C450,[3]Sheet1!$C$3:$P$521,14,0)</f>
        <v>46141.525092592594</v>
      </c>
    </row>
    <row r="451" spans="1:19" ht="18.75" hidden="1" x14ac:dyDescent="0.25">
      <c r="A451" s="41">
        <v>503</v>
      </c>
      <c r="B451" s="41" t="s">
        <v>38</v>
      </c>
      <c r="C451" s="41" t="s">
        <v>1120</v>
      </c>
      <c r="D451" s="27" t="s">
        <v>1121</v>
      </c>
      <c r="E451" s="27" t="s">
        <v>826</v>
      </c>
      <c r="F451" s="5" t="s">
        <v>49</v>
      </c>
      <c r="G451" s="21">
        <v>1</v>
      </c>
      <c r="H451" s="22">
        <v>4</v>
      </c>
      <c r="I451" s="22">
        <f t="shared" si="46"/>
        <v>4</v>
      </c>
      <c r="J451" s="5">
        <v>14</v>
      </c>
      <c r="K451" s="23">
        <f t="shared" si="45"/>
        <v>2</v>
      </c>
      <c r="L451" s="58">
        <f>(IFERROR(VLOOKUP(C451,'Current Stocks July-26'!B:K,9,0),0))</f>
        <v>0</v>
      </c>
      <c r="M451" s="24">
        <f t="shared" ref="M451:M514" si="47">IFERROR((L451/I451*30),0)</f>
        <v>0</v>
      </c>
      <c r="N451" s="25" t="str">
        <f t="shared" ref="N451:N514" si="48">IF(M451&lt;J451,"ORDER NOW","IN STOCK")</f>
        <v>ORDER NOW</v>
      </c>
      <c r="O451" s="25" t="str">
        <f t="shared" ref="O451:O514" si="49">IF(M451&lt;J451,"CRITICAL","FOLLOW UP DELIVERY")</f>
        <v>CRITICAL</v>
      </c>
      <c r="P451" s="5"/>
      <c r="Q451" s="5"/>
      <c r="R451" s="5"/>
      <c r="S451" s="90">
        <f>VLOOKUP(C451,[3]Sheet1!$C$3:$P$521,14,0)</f>
        <v>46141.525902777779</v>
      </c>
    </row>
    <row r="452" spans="1:19" ht="18.75" hidden="1" x14ac:dyDescent="0.25">
      <c r="A452" s="19">
        <v>85</v>
      </c>
      <c r="B452" s="19" t="s">
        <v>18</v>
      </c>
      <c r="C452" s="19" t="s">
        <v>848</v>
      </c>
      <c r="D452" s="27" t="s">
        <v>849</v>
      </c>
      <c r="E452" s="27" t="s">
        <v>850</v>
      </c>
      <c r="F452" s="5" t="s">
        <v>22</v>
      </c>
      <c r="G452" s="21">
        <f>1/100</f>
        <v>0.01</v>
      </c>
      <c r="H452" s="22">
        <v>160</v>
      </c>
      <c r="I452" s="22">
        <f t="shared" si="46"/>
        <v>16000</v>
      </c>
      <c r="J452" s="5">
        <v>14</v>
      </c>
      <c r="K452" s="23">
        <f t="shared" si="45"/>
        <v>8000</v>
      </c>
      <c r="L452" s="58">
        <f>(IFERROR(VLOOKUP(C452,'Current Stocks July-26'!B:K,9,0),0))</f>
        <v>2310</v>
      </c>
      <c r="M452" s="24">
        <f t="shared" si="47"/>
        <v>4.3312499999999998</v>
      </c>
      <c r="N452" s="25" t="str">
        <f t="shared" si="48"/>
        <v>ORDER NOW</v>
      </c>
      <c r="O452" s="25" t="str">
        <f t="shared" si="49"/>
        <v>CRITICAL</v>
      </c>
      <c r="P452" s="5"/>
      <c r="Q452" s="5"/>
      <c r="R452" s="5" t="s">
        <v>30</v>
      </c>
      <c r="S452" s="90">
        <f>VLOOKUP(C452,[3]Sheet1!$C$3:$P$521,14,0)</f>
        <v>46141.525671296295</v>
      </c>
    </row>
    <row r="453" spans="1:19" ht="18.75" hidden="1" x14ac:dyDescent="0.25">
      <c r="A453" s="19">
        <v>109</v>
      </c>
      <c r="B453" s="19" t="s">
        <v>18</v>
      </c>
      <c r="C453" s="19" t="s">
        <v>1050</v>
      </c>
      <c r="D453" s="68" t="s">
        <v>1051</v>
      </c>
      <c r="E453" s="32" t="s">
        <v>1644</v>
      </c>
      <c r="F453" s="5" t="s">
        <v>49</v>
      </c>
      <c r="G453" s="21">
        <f>1/48</f>
        <v>2.0833333333333332E-2</v>
      </c>
      <c r="H453" s="22">
        <v>50</v>
      </c>
      <c r="I453" s="22">
        <f t="shared" si="46"/>
        <v>2400</v>
      </c>
      <c r="J453" s="5">
        <v>14</v>
      </c>
      <c r="K453" s="23">
        <f t="shared" si="45"/>
        <v>1200</v>
      </c>
      <c r="L453" s="58">
        <f>(IFERROR(VLOOKUP(C453,'Current Stocks July-26'!B:K,9,0),0))</f>
        <v>0</v>
      </c>
      <c r="M453" s="24">
        <f t="shared" si="47"/>
        <v>0</v>
      </c>
      <c r="N453" s="25" t="str">
        <f t="shared" si="48"/>
        <v>ORDER NOW</v>
      </c>
      <c r="O453" s="25" t="str">
        <f t="shared" si="49"/>
        <v>CRITICAL</v>
      </c>
      <c r="P453" s="5"/>
      <c r="Q453" s="5"/>
      <c r="R453" s="5" t="s">
        <v>30</v>
      </c>
      <c r="S453" s="90" t="e">
        <f>VLOOKUP(C453,[3]Sheet1!$C$3:$P$521,14,0)</f>
        <v>#N/A</v>
      </c>
    </row>
    <row r="454" spans="1:19" ht="18.75" hidden="1" x14ac:dyDescent="0.25">
      <c r="A454" s="39">
        <v>315</v>
      </c>
      <c r="B454" s="39" t="s">
        <v>239</v>
      </c>
      <c r="C454" s="39" t="s">
        <v>344</v>
      </c>
      <c r="D454" s="27" t="s">
        <v>345</v>
      </c>
      <c r="E454" s="27" t="s">
        <v>346</v>
      </c>
      <c r="F454" s="5" t="s">
        <v>22</v>
      </c>
      <c r="G454" s="21">
        <f>1/10</f>
        <v>0.1</v>
      </c>
      <c r="H454" s="22">
        <v>8</v>
      </c>
      <c r="I454" s="22">
        <f t="shared" si="46"/>
        <v>80</v>
      </c>
      <c r="J454" s="5">
        <v>14</v>
      </c>
      <c r="K454" s="23">
        <f t="shared" si="45"/>
        <v>40</v>
      </c>
      <c r="L454" s="58">
        <f>(IFERROR(VLOOKUP(C454,'Current Stocks July-26'!B:K,9,0),0))</f>
        <v>0</v>
      </c>
      <c r="M454" s="24">
        <f t="shared" si="47"/>
        <v>0</v>
      </c>
      <c r="N454" s="25" t="str">
        <f t="shared" si="48"/>
        <v>ORDER NOW</v>
      </c>
      <c r="O454" s="25" t="str">
        <f t="shared" si="49"/>
        <v>CRITICAL</v>
      </c>
      <c r="P454" s="5"/>
      <c r="Q454" s="5"/>
      <c r="R454" s="5"/>
      <c r="S454" s="90">
        <f>VLOOKUP(C454,[3]Sheet1!$C$3:$P$521,14,0)</f>
        <v>46113.430914351855</v>
      </c>
    </row>
    <row r="455" spans="1:19" ht="18.75" hidden="1" x14ac:dyDescent="0.25">
      <c r="A455" s="19">
        <v>41</v>
      </c>
      <c r="B455" s="19" t="s">
        <v>18</v>
      </c>
      <c r="C455" s="19" t="s">
        <v>1173</v>
      </c>
      <c r="D455" s="29" t="s">
        <v>1174</v>
      </c>
      <c r="E455" s="29" t="s">
        <v>916</v>
      </c>
      <c r="F455" s="5" t="s">
        <v>22</v>
      </c>
      <c r="G455" s="21">
        <v>0.01</v>
      </c>
      <c r="H455" s="22">
        <v>30</v>
      </c>
      <c r="I455" s="22">
        <f t="shared" si="46"/>
        <v>3000</v>
      </c>
      <c r="J455" s="5">
        <v>14</v>
      </c>
      <c r="K455" s="23">
        <f t="shared" si="45"/>
        <v>1500</v>
      </c>
      <c r="L455" s="58">
        <f>(IFERROR(VLOOKUP(C455,'Current Stocks July-26'!B:K,9,0),0))</f>
        <v>2100</v>
      </c>
      <c r="M455" s="24">
        <f t="shared" si="47"/>
        <v>21</v>
      </c>
      <c r="N455" s="25" t="str">
        <f t="shared" si="48"/>
        <v>IN STOCK</v>
      </c>
      <c r="O455" s="25" t="str">
        <f t="shared" si="49"/>
        <v>FOLLOW UP DELIVERY</v>
      </c>
      <c r="P455" s="5"/>
      <c r="Q455" s="5"/>
      <c r="R455" s="5" t="s">
        <v>30</v>
      </c>
      <c r="S455" s="90">
        <f>VLOOKUP(C455,[3]Sheet1!$C$3:$P$521,14,0)</f>
        <v>46131.518391203703</v>
      </c>
    </row>
    <row r="456" spans="1:19" ht="18.75" hidden="1" x14ac:dyDescent="0.25">
      <c r="A456" s="41">
        <v>495</v>
      </c>
      <c r="B456" s="41" t="s">
        <v>38</v>
      </c>
      <c r="C456" s="41" t="s">
        <v>68</v>
      </c>
      <c r="D456" s="32" t="s">
        <v>69</v>
      </c>
      <c r="E456" s="27" t="s">
        <v>70</v>
      </c>
      <c r="F456" s="5" t="s">
        <v>22</v>
      </c>
      <c r="G456" s="21">
        <v>0.1</v>
      </c>
      <c r="H456" s="22">
        <v>120</v>
      </c>
      <c r="I456" s="22">
        <f t="shared" si="46"/>
        <v>1200</v>
      </c>
      <c r="J456" s="5">
        <v>14</v>
      </c>
      <c r="K456" s="23">
        <f t="shared" si="45"/>
        <v>600</v>
      </c>
      <c r="L456" s="58">
        <f>(IFERROR(VLOOKUP(C456,'Current Stocks July-26'!B:K,9,0),0))</f>
        <v>0</v>
      </c>
      <c r="M456" s="24">
        <f t="shared" si="47"/>
        <v>0</v>
      </c>
      <c r="N456" s="25" t="str">
        <f t="shared" si="48"/>
        <v>ORDER NOW</v>
      </c>
      <c r="O456" s="25" t="str">
        <f t="shared" si="49"/>
        <v>CRITICAL</v>
      </c>
      <c r="P456" s="5"/>
      <c r="Q456" s="5"/>
      <c r="R456" s="5"/>
      <c r="S456" s="90">
        <f>VLOOKUP(C456,[3]Sheet1!$C$3:$P$521,14,0)</f>
        <v>46134.446226851855</v>
      </c>
    </row>
    <row r="457" spans="1:19" ht="18.75" hidden="1" x14ac:dyDescent="0.25">
      <c r="A457" s="39">
        <v>274</v>
      </c>
      <c r="B457" s="39" t="s">
        <v>239</v>
      </c>
      <c r="C457" s="39" t="s">
        <v>1124</v>
      </c>
      <c r="D457" s="31" t="s">
        <v>1125</v>
      </c>
      <c r="E457" s="31" t="s">
        <v>78</v>
      </c>
      <c r="F457" s="5" t="s">
        <v>49</v>
      </c>
      <c r="G457" s="21">
        <v>1</v>
      </c>
      <c r="H457" s="22">
        <v>19</v>
      </c>
      <c r="I457" s="22">
        <f t="shared" si="46"/>
        <v>19</v>
      </c>
      <c r="J457" s="5">
        <v>14</v>
      </c>
      <c r="K457" s="23">
        <f t="shared" si="45"/>
        <v>9.5</v>
      </c>
      <c r="L457" s="58">
        <f>(IFERROR(VLOOKUP(C457,'Current Stocks July-26'!B:K,9,0),0))</f>
        <v>4</v>
      </c>
      <c r="M457" s="24">
        <f t="shared" si="47"/>
        <v>6.3157894736842106</v>
      </c>
      <c r="N457" s="25" t="str">
        <f t="shared" si="48"/>
        <v>ORDER NOW</v>
      </c>
      <c r="O457" s="25" t="str">
        <f t="shared" si="49"/>
        <v>CRITICAL</v>
      </c>
      <c r="P457" s="5"/>
      <c r="Q457" s="5"/>
      <c r="R457" s="5"/>
      <c r="S457" s="90">
        <f>VLOOKUP(C457,[3]Sheet1!$C$3:$P$521,14,0)</f>
        <v>46131.518148148149</v>
      </c>
    </row>
    <row r="458" spans="1:19" ht="18.75" hidden="1" x14ac:dyDescent="0.25">
      <c r="A458" s="19">
        <v>100</v>
      </c>
      <c r="B458" s="19" t="s">
        <v>18</v>
      </c>
      <c r="C458" s="19" t="s">
        <v>698</v>
      </c>
      <c r="D458" s="29" t="s">
        <v>699</v>
      </c>
      <c r="E458" s="27" t="s">
        <v>186</v>
      </c>
      <c r="F458" s="5" t="s">
        <v>22</v>
      </c>
      <c r="G458" s="21">
        <v>2E-3</v>
      </c>
      <c r="H458" s="22">
        <v>10</v>
      </c>
      <c r="I458" s="22">
        <f t="shared" si="46"/>
        <v>5000</v>
      </c>
      <c r="J458" s="5">
        <v>14</v>
      </c>
      <c r="K458" s="23">
        <f t="shared" si="45"/>
        <v>2500</v>
      </c>
      <c r="L458" s="58">
        <f>(IFERROR(VLOOKUP(C458,'Current Stocks July-26'!B:K,9,0),0))</f>
        <v>2500</v>
      </c>
      <c r="M458" s="24">
        <f t="shared" si="47"/>
        <v>15</v>
      </c>
      <c r="N458" s="25" t="str">
        <f t="shared" si="48"/>
        <v>IN STOCK</v>
      </c>
      <c r="O458" s="25" t="str">
        <f t="shared" si="49"/>
        <v>FOLLOW UP DELIVERY</v>
      </c>
      <c r="P458" s="5"/>
      <c r="Q458" s="5"/>
      <c r="R458" s="5" t="s">
        <v>30</v>
      </c>
      <c r="S458" s="90">
        <f>VLOOKUP(C458,[3]Sheet1!$C$3:$P$521,14,0)</f>
        <v>46141.525335648148</v>
      </c>
    </row>
    <row r="459" spans="1:19" ht="18.75" hidden="1" x14ac:dyDescent="0.25">
      <c r="A459" s="19">
        <v>162</v>
      </c>
      <c r="B459" s="19" t="s">
        <v>18</v>
      </c>
      <c r="C459" s="19" t="s">
        <v>1423</v>
      </c>
      <c r="D459" s="27" t="s">
        <v>1424</v>
      </c>
      <c r="E459" s="27" t="s">
        <v>1425</v>
      </c>
      <c r="F459" s="5" t="s">
        <v>46</v>
      </c>
      <c r="G459" s="21">
        <v>1.4285714285714285E-2</v>
      </c>
      <c r="H459" s="22">
        <v>80</v>
      </c>
      <c r="I459" s="22">
        <f t="shared" si="46"/>
        <v>5600</v>
      </c>
      <c r="J459" s="5">
        <v>14</v>
      </c>
      <c r="K459" s="23">
        <f t="shared" si="45"/>
        <v>2800</v>
      </c>
      <c r="L459" s="58">
        <f>(IFERROR(VLOOKUP(C459,'Current Stocks July-26'!B:K,9,0),0))</f>
        <v>1190</v>
      </c>
      <c r="M459" s="24">
        <f t="shared" si="47"/>
        <v>6.375</v>
      </c>
      <c r="N459" s="25" t="str">
        <f t="shared" si="48"/>
        <v>ORDER NOW</v>
      </c>
      <c r="O459" s="25" t="str">
        <f t="shared" si="49"/>
        <v>CRITICAL</v>
      </c>
      <c r="P459" s="5"/>
      <c r="Q459" s="5"/>
      <c r="R459" s="5"/>
      <c r="S459" s="90">
        <f>VLOOKUP(C459,[3]Sheet1!$C$3:$P$521,14,0)</f>
        <v>46131.519629629627</v>
      </c>
    </row>
    <row r="460" spans="1:19" ht="18.75" hidden="1" x14ac:dyDescent="0.25">
      <c r="A460" s="41">
        <v>480</v>
      </c>
      <c r="B460" s="41" t="s">
        <v>38</v>
      </c>
      <c r="C460" s="41" t="s">
        <v>1513</v>
      </c>
      <c r="D460" s="27" t="s">
        <v>1514</v>
      </c>
      <c r="E460" s="27" t="s">
        <v>1515</v>
      </c>
      <c r="F460" s="5" t="s">
        <v>22</v>
      </c>
      <c r="G460" s="21">
        <f>1/144</f>
        <v>6.9444444444444441E-3</v>
      </c>
      <c r="H460" s="22">
        <v>1</v>
      </c>
      <c r="I460" s="22">
        <f t="shared" si="46"/>
        <v>144</v>
      </c>
      <c r="J460" s="5">
        <v>14</v>
      </c>
      <c r="K460" s="23">
        <f t="shared" si="45"/>
        <v>72</v>
      </c>
      <c r="L460" s="58">
        <f>(IFERROR(VLOOKUP(C460,'Current Stocks July-26'!B:K,9,0),0))</f>
        <v>0</v>
      </c>
      <c r="M460" s="24">
        <f t="shared" si="47"/>
        <v>0</v>
      </c>
      <c r="N460" s="25" t="str">
        <f t="shared" si="48"/>
        <v>ORDER NOW</v>
      </c>
      <c r="O460" s="25" t="str">
        <f t="shared" si="49"/>
        <v>CRITICAL</v>
      </c>
      <c r="P460" s="5"/>
      <c r="Q460" s="5"/>
      <c r="R460" s="5"/>
      <c r="S460" s="90">
        <f>VLOOKUP(C460,[3]Sheet1!$C$3:$P$521,14,0)</f>
        <v>46131.520277777781</v>
      </c>
    </row>
    <row r="461" spans="1:19" ht="18.75" hidden="1" x14ac:dyDescent="0.25">
      <c r="A461" s="41">
        <v>354</v>
      </c>
      <c r="B461" s="41" t="s">
        <v>38</v>
      </c>
      <c r="C461" s="41" t="s">
        <v>51</v>
      </c>
      <c r="D461" s="65" t="s">
        <v>52</v>
      </c>
      <c r="E461" s="29" t="s">
        <v>53</v>
      </c>
      <c r="F461" s="5" t="s">
        <v>54</v>
      </c>
      <c r="G461" s="21">
        <v>7.6923076923076927E-2</v>
      </c>
      <c r="H461" s="22">
        <v>89.5</v>
      </c>
      <c r="I461" s="22">
        <f t="shared" si="46"/>
        <v>1163.5</v>
      </c>
      <c r="J461" s="5">
        <v>14</v>
      </c>
      <c r="K461" s="23">
        <f t="shared" si="45"/>
        <v>581.75</v>
      </c>
      <c r="L461" s="58">
        <f>(IFERROR(VLOOKUP(C461,'Current Stocks July-26'!B:K,9,0),0))</f>
        <v>0</v>
      </c>
      <c r="M461" s="24">
        <f t="shared" si="47"/>
        <v>0</v>
      </c>
      <c r="N461" s="25" t="str">
        <f t="shared" si="48"/>
        <v>ORDER NOW</v>
      </c>
      <c r="O461" s="25" t="str">
        <f t="shared" si="49"/>
        <v>CRITICAL</v>
      </c>
      <c r="P461" s="5"/>
      <c r="Q461" s="5"/>
      <c r="R461" s="5"/>
      <c r="S461" s="90">
        <f>VLOOKUP(C461,[3]Sheet1!$C$3:$P$521,14,0)</f>
        <v>46141.525208333333</v>
      </c>
    </row>
    <row r="462" spans="1:19" ht="18.75" hidden="1" x14ac:dyDescent="0.25">
      <c r="A462" s="39">
        <v>201</v>
      </c>
      <c r="B462" s="39" t="s">
        <v>239</v>
      </c>
      <c r="C462" s="39" t="s">
        <v>1337</v>
      </c>
      <c r="D462" s="27" t="s">
        <v>1338</v>
      </c>
      <c r="E462" s="27" t="s">
        <v>160</v>
      </c>
      <c r="F462" s="5" t="s">
        <v>49</v>
      </c>
      <c r="G462" s="21">
        <v>1</v>
      </c>
      <c r="H462" s="22">
        <v>35.5</v>
      </c>
      <c r="I462" s="22">
        <f t="shared" ref="I462:I493" si="50">H462/G462</f>
        <v>35.5</v>
      </c>
      <c r="J462" s="5">
        <v>14</v>
      </c>
      <c r="K462" s="23">
        <f t="shared" si="45"/>
        <v>17.75</v>
      </c>
      <c r="L462" s="58">
        <f>(IFERROR(VLOOKUP(C462,'Current Stocks July-26'!B:K,9,0),0))</f>
        <v>0</v>
      </c>
      <c r="M462" s="24">
        <f t="shared" si="47"/>
        <v>0</v>
      </c>
      <c r="N462" s="25" t="str">
        <f t="shared" si="48"/>
        <v>ORDER NOW</v>
      </c>
      <c r="O462" s="25" t="str">
        <f t="shared" si="49"/>
        <v>CRITICAL</v>
      </c>
      <c r="P462" s="5"/>
      <c r="Q462" s="5"/>
      <c r="R462" s="5"/>
      <c r="S462" s="90">
        <f>VLOOKUP(C462,[3]Sheet1!$C$3:$P$521,14,0)</f>
        <v>46131.519282407404</v>
      </c>
    </row>
    <row r="463" spans="1:19" ht="18.75" hidden="1" x14ac:dyDescent="0.25">
      <c r="A463" s="19">
        <v>90</v>
      </c>
      <c r="B463" s="19" t="s">
        <v>18</v>
      </c>
      <c r="C463" s="19" t="s">
        <v>176</v>
      </c>
      <c r="D463" s="27" t="s">
        <v>177</v>
      </c>
      <c r="E463" s="27" t="s">
        <v>35</v>
      </c>
      <c r="F463" s="5" t="s">
        <v>22</v>
      </c>
      <c r="G463" s="21">
        <v>2E-3</v>
      </c>
      <c r="H463" s="22">
        <v>150</v>
      </c>
      <c r="I463" s="22">
        <f t="shared" si="50"/>
        <v>75000</v>
      </c>
      <c r="J463" s="5">
        <v>14</v>
      </c>
      <c r="K463" s="23">
        <f t="shared" si="45"/>
        <v>37500</v>
      </c>
      <c r="L463" s="58">
        <f>(IFERROR(VLOOKUP(C463,'Current Stocks July-26'!B:K,9,0),0))</f>
        <v>3500</v>
      </c>
      <c r="M463" s="24">
        <f t="shared" si="47"/>
        <v>1.4000000000000001</v>
      </c>
      <c r="N463" s="25" t="str">
        <f t="shared" si="48"/>
        <v>ORDER NOW</v>
      </c>
      <c r="O463" s="25" t="str">
        <f t="shared" si="49"/>
        <v>CRITICAL</v>
      </c>
      <c r="P463" s="5"/>
      <c r="Q463" s="5"/>
      <c r="R463" s="5" t="s">
        <v>30</v>
      </c>
      <c r="S463" s="90">
        <f>VLOOKUP(C463,[3]Sheet1!$C$3:$P$521,14,0)</f>
        <v>46113.430891203701</v>
      </c>
    </row>
    <row r="464" spans="1:19" ht="18.75" hidden="1" x14ac:dyDescent="0.25">
      <c r="A464" s="39">
        <v>215</v>
      </c>
      <c r="B464" s="39" t="s">
        <v>123</v>
      </c>
      <c r="C464" s="39" t="s">
        <v>124</v>
      </c>
      <c r="D464" s="27" t="s">
        <v>125</v>
      </c>
      <c r="E464" s="27" t="s">
        <v>126</v>
      </c>
      <c r="F464" s="5" t="s">
        <v>49</v>
      </c>
      <c r="G464" s="21">
        <v>1</v>
      </c>
      <c r="H464" s="22">
        <v>233</v>
      </c>
      <c r="I464" s="22">
        <f t="shared" si="50"/>
        <v>233</v>
      </c>
      <c r="J464" s="5">
        <v>14</v>
      </c>
      <c r="K464" s="23">
        <f t="shared" si="45"/>
        <v>116.5</v>
      </c>
      <c r="L464" s="58">
        <f>(IFERROR(VLOOKUP(C464,'Current Stocks July-26'!B:K,9,0),0))</f>
        <v>38</v>
      </c>
      <c r="M464" s="24">
        <f t="shared" si="47"/>
        <v>4.8927038626609436</v>
      </c>
      <c r="N464" s="25" t="str">
        <f t="shared" si="48"/>
        <v>ORDER NOW</v>
      </c>
      <c r="O464" s="25" t="str">
        <f t="shared" si="49"/>
        <v>CRITICAL</v>
      </c>
      <c r="P464" s="5"/>
      <c r="Q464" s="5"/>
      <c r="R464" s="5"/>
      <c r="S464" s="90">
        <f>VLOOKUP(C464,[3]Sheet1!$C$3:$P$521,14,0)</f>
        <v>46128.695543981485</v>
      </c>
    </row>
    <row r="465" spans="1:19" ht="18.75" hidden="1" x14ac:dyDescent="0.25">
      <c r="A465" s="41">
        <v>414</v>
      </c>
      <c r="B465" s="41" t="s">
        <v>38</v>
      </c>
      <c r="C465" s="41" t="s">
        <v>1052</v>
      </c>
      <c r="D465" s="27" t="s">
        <v>1053</v>
      </c>
      <c r="E465" s="27" t="s">
        <v>1054</v>
      </c>
      <c r="F465" s="5" t="s">
        <v>22</v>
      </c>
      <c r="G465" s="21">
        <v>0.19379844961240308</v>
      </c>
      <c r="H465" s="22">
        <v>550</v>
      </c>
      <c r="I465" s="22">
        <f t="shared" si="50"/>
        <v>2838.0000000000005</v>
      </c>
      <c r="J465" s="5">
        <v>14</v>
      </c>
      <c r="K465" s="23">
        <f t="shared" si="45"/>
        <v>1419.0000000000002</v>
      </c>
      <c r="L465" s="58">
        <f>(IFERROR(VLOOKUP(C465,'Current Stocks July-26'!B:K,9,0),0))</f>
        <v>913</v>
      </c>
      <c r="M465" s="24">
        <f t="shared" si="47"/>
        <v>9.6511627906976738</v>
      </c>
      <c r="N465" s="25" t="str">
        <f t="shared" si="48"/>
        <v>ORDER NOW</v>
      </c>
      <c r="O465" s="25" t="str">
        <f t="shared" si="49"/>
        <v>CRITICAL</v>
      </c>
      <c r="P465" s="5"/>
      <c r="Q465" s="5"/>
      <c r="R465" s="5"/>
      <c r="S465" s="90">
        <f>VLOOKUP(C465,[3]Sheet1!$C$3:$P$521,14,0)</f>
        <v>46141.52579861111</v>
      </c>
    </row>
    <row r="466" spans="1:19" ht="18.75" hidden="1" x14ac:dyDescent="0.25">
      <c r="A466" s="39">
        <v>209</v>
      </c>
      <c r="B466" s="39" t="s">
        <v>157</v>
      </c>
      <c r="C466" s="39" t="s">
        <v>1230</v>
      </c>
      <c r="D466" s="27" t="s">
        <v>1231</v>
      </c>
      <c r="E466" s="27" t="s">
        <v>160</v>
      </c>
      <c r="F466" s="5" t="s">
        <v>49</v>
      </c>
      <c r="G466" s="21">
        <v>1</v>
      </c>
      <c r="H466" s="22">
        <v>44</v>
      </c>
      <c r="I466" s="22">
        <f t="shared" si="50"/>
        <v>44</v>
      </c>
      <c r="J466" s="5">
        <v>14</v>
      </c>
      <c r="K466" s="23">
        <f t="shared" si="45"/>
        <v>22</v>
      </c>
      <c r="L466" s="58">
        <f>(IFERROR(VLOOKUP(C466,'Current Stocks July-26'!B:K,9,0),0))</f>
        <v>0</v>
      </c>
      <c r="M466" s="24">
        <f t="shared" si="47"/>
        <v>0</v>
      </c>
      <c r="N466" s="25" t="str">
        <f t="shared" si="48"/>
        <v>ORDER NOW</v>
      </c>
      <c r="O466" s="25" t="str">
        <f t="shared" si="49"/>
        <v>CRITICAL</v>
      </c>
      <c r="P466" s="5"/>
      <c r="Q466" s="5"/>
      <c r="R466" s="5"/>
      <c r="S466" s="90">
        <f>VLOOKUP(C466,[3]Sheet1!$C$3:$P$521,14,0)</f>
        <v>46131.518634259257</v>
      </c>
    </row>
    <row r="467" spans="1:19" ht="18.75" hidden="1" x14ac:dyDescent="0.25">
      <c r="A467" s="19">
        <v>82</v>
      </c>
      <c r="B467" s="19" t="s">
        <v>18</v>
      </c>
      <c r="C467" s="19" t="s">
        <v>967</v>
      </c>
      <c r="D467" s="27" t="s">
        <v>968</v>
      </c>
      <c r="E467" s="27" t="s">
        <v>186</v>
      </c>
      <c r="F467" s="5" t="s">
        <v>22</v>
      </c>
      <c r="G467" s="21">
        <v>2E-3</v>
      </c>
      <c r="H467" s="22">
        <v>400</v>
      </c>
      <c r="I467" s="22">
        <f t="shared" si="50"/>
        <v>200000</v>
      </c>
      <c r="J467" s="5">
        <v>14</v>
      </c>
      <c r="K467" s="23">
        <f t="shared" si="45"/>
        <v>100000</v>
      </c>
      <c r="L467" s="58">
        <f>(IFERROR(VLOOKUP(C467,'Current Stocks July-26'!B:K,9,0),0))</f>
        <v>53000</v>
      </c>
      <c r="M467" s="24">
        <f t="shared" si="47"/>
        <v>7.95</v>
      </c>
      <c r="N467" s="25" t="str">
        <f t="shared" si="48"/>
        <v>ORDER NOW</v>
      </c>
      <c r="O467" s="25" t="str">
        <f t="shared" si="49"/>
        <v>CRITICAL</v>
      </c>
      <c r="P467" s="5"/>
      <c r="Q467" s="5"/>
      <c r="R467" s="5" t="s">
        <v>30</v>
      </c>
      <c r="S467" s="90">
        <f>VLOOKUP(C467,[3]Sheet1!$C$3:$P$521,14,0)</f>
        <v>46141.525543981479</v>
      </c>
    </row>
    <row r="468" spans="1:19" ht="18.75" hidden="1" x14ac:dyDescent="0.25">
      <c r="A468" s="41">
        <v>359</v>
      </c>
      <c r="B468" s="41" t="s">
        <v>85</v>
      </c>
      <c r="C468" s="41" t="s">
        <v>1378</v>
      </c>
      <c r="D468" s="27" t="s">
        <v>1379</v>
      </c>
      <c r="E468" s="27" t="s">
        <v>1380</v>
      </c>
      <c r="F468" s="5" t="s">
        <v>22</v>
      </c>
      <c r="G468" s="21">
        <v>0.22222222222222221</v>
      </c>
      <c r="H468" s="22">
        <v>27.5</v>
      </c>
      <c r="I468" s="22">
        <f t="shared" si="50"/>
        <v>123.75</v>
      </c>
      <c r="J468" s="5">
        <v>14</v>
      </c>
      <c r="K468" s="23">
        <f t="shared" si="45"/>
        <v>61.875</v>
      </c>
      <c r="L468" s="58">
        <f>(IFERROR(VLOOKUP(C468,'Current Stocks July-26'!B:K,9,0),0))</f>
        <v>6</v>
      </c>
      <c r="M468" s="24">
        <f t="shared" si="47"/>
        <v>1.4545454545454546</v>
      </c>
      <c r="N468" s="25" t="str">
        <f t="shared" si="48"/>
        <v>ORDER NOW</v>
      </c>
      <c r="O468" s="25" t="str">
        <f t="shared" si="49"/>
        <v>CRITICAL</v>
      </c>
      <c r="P468" s="5"/>
      <c r="Q468" s="5"/>
      <c r="R468" s="5"/>
      <c r="S468" s="90">
        <f>VLOOKUP(C468,[3]Sheet1!$C$3:$P$521,14,0)</f>
        <v>46131.519456018519</v>
      </c>
    </row>
    <row r="469" spans="1:19" ht="18.75" hidden="1" x14ac:dyDescent="0.25">
      <c r="A469" s="41">
        <v>449</v>
      </c>
      <c r="B469" s="41" t="s">
        <v>85</v>
      </c>
      <c r="C469" s="41" t="s">
        <v>788</v>
      </c>
      <c r="D469" s="27" t="s">
        <v>789</v>
      </c>
      <c r="E469" s="27" t="s">
        <v>790</v>
      </c>
      <c r="F469" s="5" t="s">
        <v>22</v>
      </c>
      <c r="G469" s="21">
        <v>0.20990764063811923</v>
      </c>
      <c r="H469" s="22">
        <v>1500</v>
      </c>
      <c r="I469" s="22">
        <f t="shared" si="50"/>
        <v>7146</v>
      </c>
      <c r="J469" s="5">
        <v>14</v>
      </c>
      <c r="K469" s="23">
        <f t="shared" si="45"/>
        <v>3573</v>
      </c>
      <c r="L469" s="58">
        <f>(IFERROR(VLOOKUP(C469,'Current Stocks July-26'!B:K,9,0),0))</f>
        <v>476.4</v>
      </c>
      <c r="M469" s="24">
        <f t="shared" si="47"/>
        <v>2</v>
      </c>
      <c r="N469" s="25" t="str">
        <f t="shared" si="48"/>
        <v>ORDER NOW</v>
      </c>
      <c r="O469" s="25" t="str">
        <f t="shared" si="49"/>
        <v>CRITICAL</v>
      </c>
      <c r="P469" s="5"/>
      <c r="Q469" s="5"/>
      <c r="R469" s="5"/>
      <c r="S469" s="90">
        <f>VLOOKUP(C469,[3]Sheet1!$C$3:$P$521,14,0)</f>
        <v>46141.525960648149</v>
      </c>
    </row>
    <row r="470" spans="1:19" ht="18.75" hidden="1" x14ac:dyDescent="0.25">
      <c r="A470" s="41">
        <v>389</v>
      </c>
      <c r="B470" s="41" t="s">
        <v>38</v>
      </c>
      <c r="C470" s="41" t="s">
        <v>1321</v>
      </c>
      <c r="D470" s="27" t="s">
        <v>1322</v>
      </c>
      <c r="E470" s="27" t="s">
        <v>67</v>
      </c>
      <c r="F470" s="5" t="s">
        <v>49</v>
      </c>
      <c r="G470" s="21">
        <v>2</v>
      </c>
      <c r="H470" s="22">
        <v>44</v>
      </c>
      <c r="I470" s="22">
        <f t="shared" si="50"/>
        <v>22</v>
      </c>
      <c r="J470" s="5">
        <v>14</v>
      </c>
      <c r="K470" s="23">
        <f t="shared" si="45"/>
        <v>11</v>
      </c>
      <c r="L470" s="58">
        <f>(IFERROR(VLOOKUP(C470,'Current Stocks July-26'!B:K,9,0),0))</f>
        <v>0</v>
      </c>
      <c r="M470" s="24">
        <f t="shared" si="47"/>
        <v>0</v>
      </c>
      <c r="N470" s="25" t="str">
        <f t="shared" si="48"/>
        <v>ORDER NOW</v>
      </c>
      <c r="O470" s="25" t="str">
        <f t="shared" si="49"/>
        <v>CRITICAL</v>
      </c>
      <c r="P470" s="5"/>
      <c r="Q470" s="5"/>
      <c r="R470" s="5"/>
      <c r="S470" s="90">
        <f>VLOOKUP(C470,[3]Sheet1!$C$3:$P$521,14,0)</f>
        <v>46131.519178240742</v>
      </c>
    </row>
    <row r="471" spans="1:19" ht="18.75" hidden="1" x14ac:dyDescent="0.25">
      <c r="A471" s="19">
        <v>47</v>
      </c>
      <c r="B471" s="19" t="s">
        <v>239</v>
      </c>
      <c r="C471" s="19" t="s">
        <v>943</v>
      </c>
      <c r="D471" s="27" t="s">
        <v>944</v>
      </c>
      <c r="E471" s="27" t="s">
        <v>945</v>
      </c>
      <c r="F471" s="5" t="s">
        <v>22</v>
      </c>
      <c r="G471" s="21">
        <v>2E-3</v>
      </c>
      <c r="H471" s="22">
        <v>175</v>
      </c>
      <c r="I471" s="22">
        <f t="shared" si="50"/>
        <v>87500</v>
      </c>
      <c r="J471" s="5">
        <v>14</v>
      </c>
      <c r="K471" s="23">
        <f t="shared" si="45"/>
        <v>43750</v>
      </c>
      <c r="L471" s="58">
        <f>(IFERROR(VLOOKUP(C471,'Current Stocks July-26'!B:K,9,0),0))</f>
        <v>31000</v>
      </c>
      <c r="M471" s="24">
        <f t="shared" si="47"/>
        <v>10.628571428571428</v>
      </c>
      <c r="N471" s="25" t="str">
        <f t="shared" si="48"/>
        <v>ORDER NOW</v>
      </c>
      <c r="O471" s="25" t="str">
        <f t="shared" si="49"/>
        <v>CRITICAL</v>
      </c>
      <c r="P471" s="5"/>
      <c r="Q471" s="5"/>
      <c r="R471" s="5" t="s">
        <v>30</v>
      </c>
      <c r="S471" s="90">
        <f>VLOOKUP(C471,[3]Sheet1!$C$3:$P$521,14,0)</f>
        <v>46141.52553240741</v>
      </c>
    </row>
    <row r="472" spans="1:19" ht="18.75" hidden="1" x14ac:dyDescent="0.25">
      <c r="A472" s="39">
        <v>200</v>
      </c>
      <c r="B472" s="39" t="s">
        <v>239</v>
      </c>
      <c r="C472" s="39" t="s">
        <v>739</v>
      </c>
      <c r="D472" s="27" t="s">
        <v>740</v>
      </c>
      <c r="E472" s="27" t="s">
        <v>78</v>
      </c>
      <c r="F472" s="5" t="s">
        <v>49</v>
      </c>
      <c r="G472" s="21">
        <v>1</v>
      </c>
      <c r="H472" s="22">
        <v>170</v>
      </c>
      <c r="I472" s="22">
        <f t="shared" si="50"/>
        <v>170</v>
      </c>
      <c r="J472" s="5">
        <v>14</v>
      </c>
      <c r="K472" s="23">
        <f t="shared" si="45"/>
        <v>85</v>
      </c>
      <c r="L472" s="58">
        <f>(IFERROR(VLOOKUP(C472,'Current Stocks July-26'!B:K,9,0),0))</f>
        <v>18</v>
      </c>
      <c r="M472" s="24">
        <f t="shared" si="47"/>
        <v>3.1764705882352939</v>
      </c>
      <c r="N472" s="25" t="str">
        <f t="shared" si="48"/>
        <v>ORDER NOW</v>
      </c>
      <c r="O472" s="25" t="str">
        <f t="shared" si="49"/>
        <v>CRITICAL</v>
      </c>
      <c r="P472" s="5"/>
      <c r="Q472" s="5"/>
      <c r="R472" s="5"/>
      <c r="S472" s="90">
        <f>VLOOKUP(C472,[3]Sheet1!$C$3:$P$521,14,0)</f>
        <v>46128.694930555554</v>
      </c>
    </row>
    <row r="473" spans="1:19" ht="18.75" hidden="1" x14ac:dyDescent="0.25">
      <c r="A473" s="41">
        <v>405</v>
      </c>
      <c r="B473" s="41" t="s">
        <v>38</v>
      </c>
      <c r="C473" s="41" t="s">
        <v>824</v>
      </c>
      <c r="D473" s="27" t="s">
        <v>825</v>
      </c>
      <c r="E473" s="27" t="s">
        <v>826</v>
      </c>
      <c r="F473" s="5" t="s">
        <v>49</v>
      </c>
      <c r="G473" s="21">
        <v>1</v>
      </c>
      <c r="H473" s="22">
        <v>160</v>
      </c>
      <c r="I473" s="22">
        <f t="shared" si="50"/>
        <v>160</v>
      </c>
      <c r="J473" s="5">
        <v>14</v>
      </c>
      <c r="K473" s="23">
        <f t="shared" si="45"/>
        <v>80</v>
      </c>
      <c r="L473" s="58">
        <f>(IFERROR(VLOOKUP(C473,'Current Stocks July-26'!B:K,9,0),0))</f>
        <v>80</v>
      </c>
      <c r="M473" s="24">
        <f t="shared" si="47"/>
        <v>15</v>
      </c>
      <c r="N473" s="25" t="str">
        <f t="shared" si="48"/>
        <v>IN STOCK</v>
      </c>
      <c r="O473" s="25" t="str">
        <f t="shared" si="49"/>
        <v>FOLLOW UP DELIVERY</v>
      </c>
      <c r="P473" s="5"/>
      <c r="Q473" s="5"/>
      <c r="R473" s="5"/>
      <c r="S473" s="90">
        <f>VLOOKUP(C473,[3]Sheet1!$C$3:$P$521,14,0)</f>
        <v>46127.531180555554</v>
      </c>
    </row>
    <row r="474" spans="1:19" ht="18.75" hidden="1" x14ac:dyDescent="0.25">
      <c r="A474" s="41">
        <v>424</v>
      </c>
      <c r="B474" s="41" t="s">
        <v>38</v>
      </c>
      <c r="C474" s="41" t="s">
        <v>1252</v>
      </c>
      <c r="D474" s="27" t="s">
        <v>1253</v>
      </c>
      <c r="E474" s="27" t="s">
        <v>1059</v>
      </c>
      <c r="F474" s="5" t="s">
        <v>54</v>
      </c>
      <c r="G474" s="21">
        <v>0.04</v>
      </c>
      <c r="H474" s="22">
        <v>25</v>
      </c>
      <c r="I474" s="22">
        <f t="shared" si="50"/>
        <v>625</v>
      </c>
      <c r="J474" s="5">
        <v>14</v>
      </c>
      <c r="K474" s="23">
        <f t="shared" si="45"/>
        <v>312.5</v>
      </c>
      <c r="L474" s="58">
        <f>(IFERROR(VLOOKUP(C474,'Current Stocks July-26'!B:K,9,0),0))</f>
        <v>0</v>
      </c>
      <c r="M474" s="24">
        <f t="shared" si="47"/>
        <v>0</v>
      </c>
      <c r="N474" s="25" t="str">
        <f t="shared" si="48"/>
        <v>ORDER NOW</v>
      </c>
      <c r="O474" s="25" t="str">
        <f t="shared" si="49"/>
        <v>CRITICAL</v>
      </c>
      <c r="P474" s="5"/>
      <c r="Q474" s="5"/>
      <c r="R474" s="5"/>
      <c r="S474" s="90">
        <f>VLOOKUP(C474,[3]Sheet1!$C$3:$P$521,14,0)</f>
        <v>46131.518854166665</v>
      </c>
    </row>
    <row r="475" spans="1:19" ht="18.75" hidden="1" x14ac:dyDescent="0.25">
      <c r="A475" s="41">
        <v>400</v>
      </c>
      <c r="B475" s="41" t="s">
        <v>85</v>
      </c>
      <c r="C475" s="41" t="s">
        <v>868</v>
      </c>
      <c r="D475" s="27" t="s">
        <v>869</v>
      </c>
      <c r="E475" s="27" t="s">
        <v>870</v>
      </c>
      <c r="F475" s="5" t="s">
        <v>22</v>
      </c>
      <c r="G475" s="21">
        <v>5.2476910159529801E-2</v>
      </c>
      <c r="H475" s="22">
        <v>300</v>
      </c>
      <c r="I475" s="22">
        <f t="shared" si="50"/>
        <v>5716.8000000000011</v>
      </c>
      <c r="J475" s="5">
        <v>14</v>
      </c>
      <c r="K475" s="23">
        <f t="shared" si="45"/>
        <v>2858.4000000000005</v>
      </c>
      <c r="L475" s="58">
        <f>(IFERROR(VLOOKUP(C475,'Current Stocks July-26'!B:K,9,0),0))</f>
        <v>0</v>
      </c>
      <c r="M475" s="24">
        <f t="shared" si="47"/>
        <v>0</v>
      </c>
      <c r="N475" s="25" t="str">
        <f t="shared" si="48"/>
        <v>ORDER NOW</v>
      </c>
      <c r="O475" s="25" t="str">
        <f t="shared" si="49"/>
        <v>CRITICAL</v>
      </c>
      <c r="P475" s="5"/>
      <c r="Q475" s="5"/>
      <c r="R475" s="5"/>
      <c r="S475" s="90">
        <f>VLOOKUP(C475,[3]Sheet1!$C$3:$P$521,14,0)</f>
        <v>46141.525983796295</v>
      </c>
    </row>
    <row r="476" spans="1:19" ht="18.75" hidden="1" x14ac:dyDescent="0.25">
      <c r="A476" s="41">
        <v>388</v>
      </c>
      <c r="B476" s="41" t="s">
        <v>85</v>
      </c>
      <c r="C476" s="41" t="s">
        <v>1269</v>
      </c>
      <c r="D476" s="27" t="s">
        <v>1270</v>
      </c>
      <c r="E476" s="27" t="s">
        <v>1271</v>
      </c>
      <c r="F476" s="5" t="s">
        <v>22</v>
      </c>
      <c r="G476" s="21">
        <v>0.42735042735042739</v>
      </c>
      <c r="H476" s="22">
        <v>36</v>
      </c>
      <c r="I476" s="22">
        <f t="shared" si="50"/>
        <v>84.24</v>
      </c>
      <c r="J476" s="5">
        <v>14</v>
      </c>
      <c r="K476" s="23">
        <f t="shared" si="45"/>
        <v>42.12</v>
      </c>
      <c r="L476" s="58">
        <f>(IFERROR(VLOOKUP(C476,'Current Stocks July-26'!B:K,9,0),0))</f>
        <v>7.02</v>
      </c>
      <c r="M476" s="24">
        <f t="shared" si="47"/>
        <v>2.5</v>
      </c>
      <c r="N476" s="25" t="str">
        <f t="shared" si="48"/>
        <v>ORDER NOW</v>
      </c>
      <c r="O476" s="25" t="str">
        <f t="shared" si="49"/>
        <v>CRITICAL</v>
      </c>
      <c r="P476" s="5"/>
      <c r="Q476" s="5"/>
      <c r="R476" s="5"/>
      <c r="S476" s="90">
        <f>VLOOKUP(C476,[3]Sheet1!$C$3:$P$521,14,0)</f>
        <v>46131.518912037034</v>
      </c>
    </row>
    <row r="477" spans="1:19" ht="18.75" x14ac:dyDescent="0.25">
      <c r="A477" s="41">
        <v>407</v>
      </c>
      <c r="B477" s="41" t="s">
        <v>38</v>
      </c>
      <c r="C477" s="41" t="s">
        <v>1365</v>
      </c>
      <c r="D477" s="29" t="s">
        <v>1366</v>
      </c>
      <c r="E477" s="27" t="s">
        <v>1367</v>
      </c>
      <c r="F477" s="5" t="s">
        <v>22</v>
      </c>
      <c r="G477" s="21">
        <v>2E-3</v>
      </c>
      <c r="H477" s="22">
        <v>40</v>
      </c>
      <c r="I477" s="22">
        <f t="shared" si="50"/>
        <v>20000</v>
      </c>
      <c r="J477" s="5">
        <v>14</v>
      </c>
      <c r="K477" s="23">
        <f t="shared" si="45"/>
        <v>10000</v>
      </c>
      <c r="L477" s="58">
        <f>(IFERROR(VLOOKUP(C477,'Current Stocks July-26'!B:K,9,0),0))</f>
        <v>57200</v>
      </c>
      <c r="M477" s="24">
        <f t="shared" si="47"/>
        <v>85.8</v>
      </c>
      <c r="N477" s="25" t="str">
        <f t="shared" si="48"/>
        <v>IN STOCK</v>
      </c>
      <c r="O477" s="25" t="str">
        <f t="shared" si="49"/>
        <v>FOLLOW UP DELIVERY</v>
      </c>
      <c r="P477" s="5"/>
      <c r="Q477" s="5"/>
      <c r="R477" s="5"/>
      <c r="S477" s="90">
        <f>VLOOKUP(C477,[3]Sheet1!$C$3:$P$521,14,0)</f>
        <v>46131.519363425927</v>
      </c>
    </row>
    <row r="478" spans="1:19" ht="18.75" hidden="1" x14ac:dyDescent="0.25">
      <c r="A478" s="41">
        <v>374</v>
      </c>
      <c r="B478" s="41" t="s">
        <v>85</v>
      </c>
      <c r="C478" s="41" t="s">
        <v>1401</v>
      </c>
      <c r="D478" s="27" t="s">
        <v>1402</v>
      </c>
      <c r="E478" s="27" t="s">
        <v>101</v>
      </c>
      <c r="F478" s="5" t="s">
        <v>22</v>
      </c>
      <c r="G478" s="21">
        <v>0.16666666666666666</v>
      </c>
      <c r="H478" s="22">
        <v>8</v>
      </c>
      <c r="I478" s="22">
        <f t="shared" si="50"/>
        <v>48</v>
      </c>
      <c r="J478" s="5">
        <v>14</v>
      </c>
      <c r="K478" s="23">
        <f t="shared" si="45"/>
        <v>24</v>
      </c>
      <c r="L478" s="58">
        <f>(IFERROR(VLOOKUP(C478,'Current Stocks July-26'!B:K,9,0),0))</f>
        <v>17</v>
      </c>
      <c r="M478" s="24">
        <f t="shared" si="47"/>
        <v>10.625</v>
      </c>
      <c r="N478" s="25" t="str">
        <f t="shared" si="48"/>
        <v>ORDER NOW</v>
      </c>
      <c r="O478" s="25" t="str">
        <f t="shared" si="49"/>
        <v>CRITICAL</v>
      </c>
      <c r="P478" s="5"/>
      <c r="Q478" s="5"/>
      <c r="R478" s="5"/>
      <c r="S478" s="90">
        <f>VLOOKUP(C478,[3]Sheet1!$C$3:$P$521,14,0)</f>
        <v>46131.519571759258</v>
      </c>
    </row>
    <row r="479" spans="1:19" ht="18.75" hidden="1" x14ac:dyDescent="0.25">
      <c r="A479" s="39">
        <v>240</v>
      </c>
      <c r="B479" s="39" t="s">
        <v>123</v>
      </c>
      <c r="C479" s="39" t="s">
        <v>765</v>
      </c>
      <c r="D479" s="27" t="s">
        <v>766</v>
      </c>
      <c r="E479" s="27" t="s">
        <v>706</v>
      </c>
      <c r="F479" s="5" t="s">
        <v>49</v>
      </c>
      <c r="G479" s="21">
        <v>0.2</v>
      </c>
      <c r="H479" s="22">
        <v>250.5</v>
      </c>
      <c r="I479" s="22">
        <f t="shared" si="50"/>
        <v>1252.5</v>
      </c>
      <c r="J479" s="5">
        <v>14</v>
      </c>
      <c r="K479" s="23">
        <f t="shared" si="45"/>
        <v>626.25</v>
      </c>
      <c r="L479" s="58">
        <f>(IFERROR(VLOOKUP(C479,'Current Stocks July-26'!B:K,9,0),0))</f>
        <v>122</v>
      </c>
      <c r="M479" s="24">
        <f t="shared" si="47"/>
        <v>2.9221556886227549</v>
      </c>
      <c r="N479" s="25" t="str">
        <f t="shared" si="48"/>
        <v>ORDER NOW</v>
      </c>
      <c r="O479" s="25" t="str">
        <f t="shared" si="49"/>
        <v>CRITICAL</v>
      </c>
      <c r="P479" s="5"/>
      <c r="Q479" s="5"/>
      <c r="R479" s="5"/>
      <c r="S479" s="90">
        <f>VLOOKUP(C479,[3]Sheet1!$C$3:$P$521,14,0)</f>
        <v>46134.446689814817</v>
      </c>
    </row>
    <row r="480" spans="1:19" ht="18.75" hidden="1" x14ac:dyDescent="0.25">
      <c r="A480" s="39">
        <v>255</v>
      </c>
      <c r="B480" s="39" t="s">
        <v>157</v>
      </c>
      <c r="C480" s="39" t="s">
        <v>1039</v>
      </c>
      <c r="D480" s="27" t="s">
        <v>1040</v>
      </c>
      <c r="E480" s="27" t="s">
        <v>1041</v>
      </c>
      <c r="F480" s="5" t="s">
        <v>22</v>
      </c>
      <c r="G480" s="21">
        <v>5.0000000000000001E-4</v>
      </c>
      <c r="H480" s="22">
        <v>125</v>
      </c>
      <c r="I480" s="22">
        <f t="shared" si="50"/>
        <v>250000</v>
      </c>
      <c r="J480" s="5">
        <v>14</v>
      </c>
      <c r="K480" s="23">
        <f t="shared" si="45"/>
        <v>125000</v>
      </c>
      <c r="L480" s="58">
        <f>(IFERROR(VLOOKUP(C480,'Current Stocks July-26'!B:K,9,0),0))</f>
        <v>180</v>
      </c>
      <c r="M480" s="24">
        <f t="shared" si="47"/>
        <v>2.1600000000000001E-2</v>
      </c>
      <c r="N480" s="25" t="str">
        <f t="shared" si="48"/>
        <v>ORDER NOW</v>
      </c>
      <c r="O480" s="25" t="str">
        <f t="shared" si="49"/>
        <v>CRITICAL</v>
      </c>
      <c r="P480" s="5"/>
      <c r="Q480" s="5"/>
      <c r="R480" s="5"/>
      <c r="S480" s="90">
        <f>VLOOKUP(C480,[3]Sheet1!$C$3:$P$521,14,0)</f>
        <v>46140.606712962966</v>
      </c>
    </row>
    <row r="481" spans="1:19" ht="18.75" hidden="1" x14ac:dyDescent="0.25">
      <c r="A481" s="19">
        <v>179</v>
      </c>
      <c r="B481" s="19" t="s">
        <v>18</v>
      </c>
      <c r="C481" s="19" t="s">
        <v>727</v>
      </c>
      <c r="D481" s="113" t="s">
        <v>728</v>
      </c>
      <c r="E481" s="31" t="s">
        <v>49</v>
      </c>
      <c r="F481" s="5" t="s">
        <v>49</v>
      </c>
      <c r="G481" s="21">
        <v>1</v>
      </c>
      <c r="H481" s="22">
        <v>25000</v>
      </c>
      <c r="I481" s="22">
        <f t="shared" si="50"/>
        <v>25000</v>
      </c>
      <c r="J481" s="5">
        <v>14</v>
      </c>
      <c r="K481" s="23">
        <f t="shared" si="45"/>
        <v>12500</v>
      </c>
      <c r="L481" s="58">
        <f>(IFERROR(VLOOKUP(C481,'Current Stocks July-26'!B:K,9,0),0))</f>
        <v>2400</v>
      </c>
      <c r="M481" s="24">
        <f t="shared" si="47"/>
        <v>2.88</v>
      </c>
      <c r="N481" s="25" t="str">
        <f t="shared" si="48"/>
        <v>ORDER NOW</v>
      </c>
      <c r="O481" s="25" t="str">
        <f t="shared" si="49"/>
        <v>CRITICAL</v>
      </c>
      <c r="P481" s="5"/>
      <c r="Q481" s="5"/>
      <c r="R481" s="5"/>
      <c r="S481" s="90">
        <f>VLOOKUP(C481,[3]Sheet1!$C$3:$P$521,14,0)</f>
        <v>46134.44636574074</v>
      </c>
    </row>
    <row r="482" spans="1:19" ht="18.75" hidden="1" x14ac:dyDescent="0.25">
      <c r="A482" s="19">
        <v>123</v>
      </c>
      <c r="B482" s="19" t="s">
        <v>18</v>
      </c>
      <c r="C482" s="19" t="s">
        <v>192</v>
      </c>
      <c r="D482" s="68" t="s">
        <v>193</v>
      </c>
      <c r="E482" s="27" t="s">
        <v>98</v>
      </c>
      <c r="F482" s="5" t="s">
        <v>46</v>
      </c>
      <c r="G482" s="21">
        <v>2E-3</v>
      </c>
      <c r="H482" s="22">
        <v>15</v>
      </c>
      <c r="I482" s="22">
        <f t="shared" si="50"/>
        <v>7500</v>
      </c>
      <c r="J482" s="5">
        <v>14</v>
      </c>
      <c r="K482" s="23">
        <f t="shared" si="45"/>
        <v>3750</v>
      </c>
      <c r="L482" s="58">
        <f>(IFERROR(VLOOKUP(C482,'Current Stocks July-26'!B:K,9,0),0))</f>
        <v>0</v>
      </c>
      <c r="M482" s="24">
        <f t="shared" si="47"/>
        <v>0</v>
      </c>
      <c r="N482" s="25" t="str">
        <f t="shared" si="48"/>
        <v>ORDER NOW</v>
      </c>
      <c r="O482" s="25" t="str">
        <f t="shared" si="49"/>
        <v>CRITICAL</v>
      </c>
      <c r="P482" s="5"/>
      <c r="Q482" s="5"/>
      <c r="R482" s="5" t="s">
        <v>30</v>
      </c>
      <c r="S482" s="90">
        <f>VLOOKUP(C482,[3]Sheet1!$C$3:$P$521,14,0)</f>
        <v>46113.430891203701</v>
      </c>
    </row>
    <row r="483" spans="1:19" ht="18.75" hidden="1" x14ac:dyDescent="0.25">
      <c r="A483" s="41">
        <v>404</v>
      </c>
      <c r="B483" s="41" t="s">
        <v>85</v>
      </c>
      <c r="C483" s="41" t="s">
        <v>1357</v>
      </c>
      <c r="D483" s="27" t="s">
        <v>1358</v>
      </c>
      <c r="E483" s="27" t="s">
        <v>1359</v>
      </c>
      <c r="F483" s="5" t="s">
        <v>22</v>
      </c>
      <c r="G483" s="21">
        <v>8.3333333333333329E-2</v>
      </c>
      <c r="H483" s="22">
        <v>34</v>
      </c>
      <c r="I483" s="22">
        <f t="shared" si="50"/>
        <v>408</v>
      </c>
      <c r="J483" s="5">
        <v>14</v>
      </c>
      <c r="K483" s="23">
        <f t="shared" si="45"/>
        <v>204</v>
      </c>
      <c r="L483" s="58">
        <f>(IFERROR(VLOOKUP(C483,'Current Stocks July-26'!B:K,9,0),0))</f>
        <v>0</v>
      </c>
      <c r="M483" s="24">
        <f t="shared" si="47"/>
        <v>0</v>
      </c>
      <c r="N483" s="25" t="str">
        <f t="shared" si="48"/>
        <v>ORDER NOW</v>
      </c>
      <c r="O483" s="25" t="str">
        <f t="shared" si="49"/>
        <v>CRITICAL</v>
      </c>
      <c r="P483" s="5"/>
      <c r="Q483" s="5"/>
      <c r="R483" s="5"/>
      <c r="S483" s="90">
        <f>VLOOKUP(C483,[3]Sheet1!$C$3:$P$521,14,0)</f>
        <v>46131.519305555557</v>
      </c>
    </row>
    <row r="484" spans="1:19" ht="18.75" hidden="1" x14ac:dyDescent="0.25">
      <c r="A484" s="41">
        <v>446</v>
      </c>
      <c r="B484" s="41" t="s">
        <v>61</v>
      </c>
      <c r="C484" s="41" t="s">
        <v>430</v>
      </c>
      <c r="D484" s="27" t="s">
        <v>431</v>
      </c>
      <c r="E484" s="27" t="s">
        <v>429</v>
      </c>
      <c r="F484" s="5" t="s">
        <v>22</v>
      </c>
      <c r="G484" s="21">
        <v>0.25</v>
      </c>
      <c r="H484" s="22">
        <v>2400</v>
      </c>
      <c r="I484" s="22">
        <f t="shared" si="50"/>
        <v>9600</v>
      </c>
      <c r="J484" s="5">
        <v>14</v>
      </c>
      <c r="K484" s="23">
        <f t="shared" si="45"/>
        <v>4800</v>
      </c>
      <c r="L484" s="58">
        <f>(IFERROR(VLOOKUP(C484,'Current Stocks July-26'!B:K,9,0),0))</f>
        <v>600</v>
      </c>
      <c r="M484" s="24">
        <f t="shared" si="47"/>
        <v>1.875</v>
      </c>
      <c r="N484" s="25" t="str">
        <f t="shared" si="48"/>
        <v>ORDER NOW</v>
      </c>
      <c r="O484" s="25" t="str">
        <f t="shared" si="49"/>
        <v>CRITICAL</v>
      </c>
      <c r="P484" s="5"/>
      <c r="Q484" s="5"/>
      <c r="R484" s="5"/>
      <c r="S484" s="90">
        <f>VLOOKUP(C484,[3]Sheet1!$C$3:$P$521,14,0)</f>
        <v>46113.430925925924</v>
      </c>
    </row>
    <row r="485" spans="1:19" ht="18.75" hidden="1" x14ac:dyDescent="0.25">
      <c r="A485" s="39">
        <v>191</v>
      </c>
      <c r="B485" s="39" t="s">
        <v>239</v>
      </c>
      <c r="C485" s="39" t="s">
        <v>1154</v>
      </c>
      <c r="D485" s="27" t="s">
        <v>1155</v>
      </c>
      <c r="E485" s="27" t="s">
        <v>78</v>
      </c>
      <c r="F485" s="5" t="s">
        <v>49</v>
      </c>
      <c r="G485" s="21">
        <v>1</v>
      </c>
      <c r="H485" s="22">
        <v>143</v>
      </c>
      <c r="I485" s="22">
        <f t="shared" si="50"/>
        <v>143</v>
      </c>
      <c r="J485" s="5">
        <v>14</v>
      </c>
      <c r="K485" s="23">
        <f t="shared" si="45"/>
        <v>71.5</v>
      </c>
      <c r="L485" s="58">
        <f>(IFERROR(VLOOKUP(C485,'Current Stocks July-26'!B:K,9,0),0))</f>
        <v>23</v>
      </c>
      <c r="M485" s="24">
        <f t="shared" si="47"/>
        <v>4.825174825174825</v>
      </c>
      <c r="N485" s="25" t="str">
        <f t="shared" si="48"/>
        <v>ORDER NOW</v>
      </c>
      <c r="O485" s="25" t="str">
        <f t="shared" si="49"/>
        <v>CRITICAL</v>
      </c>
      <c r="P485" s="5"/>
      <c r="Q485" s="5"/>
      <c r="R485" s="5"/>
      <c r="S485" s="90">
        <f>VLOOKUP(C485,[3]Sheet1!$C$3:$P$521,14,0)</f>
        <v>46131.518229166664</v>
      </c>
    </row>
    <row r="486" spans="1:19" ht="18.75" hidden="1" x14ac:dyDescent="0.25">
      <c r="A486" s="41">
        <v>417</v>
      </c>
      <c r="B486" s="41" t="s">
        <v>38</v>
      </c>
      <c r="C486" s="41" t="s">
        <v>1211</v>
      </c>
      <c r="D486" s="27" t="s">
        <v>1212</v>
      </c>
      <c r="E486" s="27" t="s">
        <v>482</v>
      </c>
      <c r="F486" s="5" t="s">
        <v>54</v>
      </c>
      <c r="G486" s="21">
        <v>6.6666666666666666E-2</v>
      </c>
      <c r="H486" s="22">
        <v>2</v>
      </c>
      <c r="I486" s="22">
        <f t="shared" si="50"/>
        <v>30</v>
      </c>
      <c r="J486" s="5">
        <v>14</v>
      </c>
      <c r="K486" s="23">
        <f t="shared" si="45"/>
        <v>15</v>
      </c>
      <c r="L486" s="58">
        <f>(IFERROR(VLOOKUP(C486,'Current Stocks July-26'!B:K,9,0),0))</f>
        <v>0</v>
      </c>
      <c r="M486" s="24">
        <f t="shared" si="47"/>
        <v>0</v>
      </c>
      <c r="N486" s="25" t="str">
        <f t="shared" si="48"/>
        <v>ORDER NOW</v>
      </c>
      <c r="O486" s="25" t="str">
        <f t="shared" si="49"/>
        <v>CRITICAL</v>
      </c>
      <c r="P486" s="5"/>
      <c r="Q486" s="5"/>
      <c r="R486" s="5"/>
      <c r="S486" s="90">
        <f>VLOOKUP(C486,[3]Sheet1!$C$3:$P$521,14,0)</f>
        <v>46134.446574074071</v>
      </c>
    </row>
    <row r="487" spans="1:19" ht="18.75" hidden="1" x14ac:dyDescent="0.25">
      <c r="A487" s="19">
        <v>98</v>
      </c>
      <c r="B487" s="19" t="s">
        <v>18</v>
      </c>
      <c r="C487" s="19" t="s">
        <v>894</v>
      </c>
      <c r="D487" s="27" t="s">
        <v>895</v>
      </c>
      <c r="E487" s="27" t="s">
        <v>896</v>
      </c>
      <c r="F487" s="5" t="s">
        <v>22</v>
      </c>
      <c r="G487" s="21">
        <v>0.01</v>
      </c>
      <c r="H487" s="22">
        <v>250</v>
      </c>
      <c r="I487" s="22">
        <f t="shared" si="50"/>
        <v>25000</v>
      </c>
      <c r="J487" s="5">
        <v>14</v>
      </c>
      <c r="K487" s="23">
        <f t="shared" si="45"/>
        <v>12500</v>
      </c>
      <c r="L487" s="58">
        <f>(IFERROR(VLOOKUP(C487,'Current Stocks July-26'!B:K,9,0),0))</f>
        <v>550</v>
      </c>
      <c r="M487" s="24">
        <f t="shared" si="47"/>
        <v>0.65999999999999992</v>
      </c>
      <c r="N487" s="25" t="str">
        <f t="shared" si="48"/>
        <v>ORDER NOW</v>
      </c>
      <c r="O487" s="25" t="str">
        <f t="shared" si="49"/>
        <v>CRITICAL</v>
      </c>
      <c r="P487" s="5"/>
      <c r="Q487" s="5"/>
      <c r="R487" s="5" t="s">
        <v>30</v>
      </c>
      <c r="S487" s="90">
        <f>VLOOKUP(C487,[3]Sheet1!$C$3:$P$521,14,0)</f>
        <v>46128.695451388892</v>
      </c>
    </row>
    <row r="488" spans="1:19" ht="18.75" hidden="1" x14ac:dyDescent="0.25">
      <c r="A488" s="19">
        <v>180</v>
      </c>
      <c r="B488" s="19" t="s">
        <v>18</v>
      </c>
      <c r="C488" s="19" t="s">
        <v>976</v>
      </c>
      <c r="D488" s="29" t="s">
        <v>977</v>
      </c>
      <c r="E488" s="31" t="s">
        <v>22</v>
      </c>
      <c r="F488" s="5" t="s">
        <v>22</v>
      </c>
      <c r="G488" s="21">
        <v>1E-3</v>
      </c>
      <c r="H488" s="22">
        <v>6</v>
      </c>
      <c r="I488" s="22">
        <f t="shared" si="50"/>
        <v>6000</v>
      </c>
      <c r="J488" s="5">
        <v>14</v>
      </c>
      <c r="K488" s="23">
        <f t="shared" si="45"/>
        <v>3000</v>
      </c>
      <c r="L488" s="58">
        <f>(IFERROR(VLOOKUP(C488,'Current Stocks July-26'!B:K,9,0),0))</f>
        <v>0</v>
      </c>
      <c r="M488" s="24">
        <f t="shared" si="47"/>
        <v>0</v>
      </c>
      <c r="N488" s="25" t="str">
        <f t="shared" si="48"/>
        <v>ORDER NOW</v>
      </c>
      <c r="O488" s="25" t="str">
        <f t="shared" si="49"/>
        <v>CRITICAL</v>
      </c>
      <c r="P488" s="5"/>
      <c r="Q488" s="5"/>
      <c r="R488" s="5"/>
      <c r="S488" s="90">
        <f>VLOOKUP(C488,[3]Sheet1!$C$3:$P$521,14,0)</f>
        <v>46141.525613425925</v>
      </c>
    </row>
    <row r="489" spans="1:19" ht="18.75" hidden="1" x14ac:dyDescent="0.25">
      <c r="A489" s="41">
        <v>560</v>
      </c>
      <c r="B489" s="41" t="s">
        <v>38</v>
      </c>
      <c r="C489" s="41" t="s">
        <v>1480</v>
      </c>
      <c r="D489" s="37" t="s">
        <v>1481</v>
      </c>
      <c r="E489" s="6" t="s">
        <v>1645</v>
      </c>
      <c r="F489" s="5" t="s">
        <v>22</v>
      </c>
      <c r="G489" s="21">
        <f>1/8/5</f>
        <v>2.5000000000000001E-2</v>
      </c>
      <c r="H489" s="22">
        <v>2</v>
      </c>
      <c r="I489" s="22">
        <f t="shared" si="50"/>
        <v>80</v>
      </c>
      <c r="J489" s="5">
        <v>14</v>
      </c>
      <c r="K489" s="23">
        <f t="shared" si="45"/>
        <v>40</v>
      </c>
      <c r="L489" s="58">
        <f>(IFERROR(VLOOKUP(C489,'Current Stocks July-26'!B:K,9,0),0))</f>
        <v>0</v>
      </c>
      <c r="M489" s="24">
        <f t="shared" si="47"/>
        <v>0</v>
      </c>
      <c r="N489" s="25" t="str">
        <f t="shared" si="48"/>
        <v>ORDER NOW</v>
      </c>
      <c r="O489" s="25" t="str">
        <f t="shared" si="49"/>
        <v>CRITICAL</v>
      </c>
      <c r="P489" s="5"/>
      <c r="Q489" s="5"/>
      <c r="R489" s="5"/>
      <c r="S489" s="90">
        <f>VLOOKUP(C489,[3]Sheet1!$C$3:$P$521,14,0)</f>
        <v>46131.520057870373</v>
      </c>
    </row>
    <row r="490" spans="1:19" ht="18.75" hidden="1" x14ac:dyDescent="0.25">
      <c r="A490" s="19">
        <v>87</v>
      </c>
      <c r="B490" s="19" t="s">
        <v>18</v>
      </c>
      <c r="C490" s="19" t="s">
        <v>1147</v>
      </c>
      <c r="D490" s="27" t="s">
        <v>1148</v>
      </c>
      <c r="E490" s="27" t="s">
        <v>955</v>
      </c>
      <c r="F490" s="5" t="s">
        <v>22</v>
      </c>
      <c r="G490" s="21">
        <v>1.6260162601626016E-3</v>
      </c>
      <c r="H490" s="22">
        <v>96</v>
      </c>
      <c r="I490" s="22">
        <f t="shared" si="50"/>
        <v>59040</v>
      </c>
      <c r="J490" s="5">
        <v>14</v>
      </c>
      <c r="K490" s="23">
        <f t="shared" ref="K490:K553" si="51">I490*(J490/28)</f>
        <v>29520</v>
      </c>
      <c r="L490" s="58">
        <f>(IFERROR(VLOOKUP(C490,'Current Stocks July-26'!B:K,9,0),0))</f>
        <v>6895</v>
      </c>
      <c r="M490" s="24">
        <f t="shared" si="47"/>
        <v>3.5035569105691056</v>
      </c>
      <c r="N490" s="25" t="str">
        <f t="shared" si="48"/>
        <v>ORDER NOW</v>
      </c>
      <c r="O490" s="25" t="str">
        <f t="shared" si="49"/>
        <v>CRITICAL</v>
      </c>
      <c r="P490" s="5"/>
      <c r="Q490" s="5"/>
      <c r="R490" s="5" t="s">
        <v>30</v>
      </c>
      <c r="S490" s="90">
        <f>VLOOKUP(C490,[3]Sheet1!$C$3:$P$521,14,0)</f>
        <v>46131.518090277779</v>
      </c>
    </row>
    <row r="491" spans="1:19" ht="18.75" hidden="1" x14ac:dyDescent="0.25">
      <c r="A491" s="39">
        <v>263</v>
      </c>
      <c r="B491" s="39" t="s">
        <v>239</v>
      </c>
      <c r="C491" s="39" t="s">
        <v>1171</v>
      </c>
      <c r="D491" s="27" t="s">
        <v>1172</v>
      </c>
      <c r="E491" s="27" t="s">
        <v>78</v>
      </c>
      <c r="F491" s="5" t="s">
        <v>49</v>
      </c>
      <c r="G491" s="21">
        <v>1</v>
      </c>
      <c r="H491" s="22">
        <v>33</v>
      </c>
      <c r="I491" s="22">
        <f t="shared" si="50"/>
        <v>33</v>
      </c>
      <c r="J491" s="5">
        <v>14</v>
      </c>
      <c r="K491" s="23">
        <f t="shared" si="51"/>
        <v>16.5</v>
      </c>
      <c r="L491" s="58">
        <f>(IFERROR(VLOOKUP(C491,'Current Stocks July-26'!B:K,9,0),0))</f>
        <v>0</v>
      </c>
      <c r="M491" s="24">
        <f t="shared" si="47"/>
        <v>0</v>
      </c>
      <c r="N491" s="25" t="str">
        <f t="shared" si="48"/>
        <v>ORDER NOW</v>
      </c>
      <c r="O491" s="25" t="str">
        <f t="shared" si="49"/>
        <v>CRITICAL</v>
      </c>
      <c r="P491" s="5"/>
      <c r="Q491" s="5"/>
      <c r="R491" s="5"/>
      <c r="S491" s="90">
        <f>VLOOKUP(C491,[3]Sheet1!$C$3:$P$521,14,0)</f>
        <v>46131.51835648148</v>
      </c>
    </row>
    <row r="492" spans="1:19" ht="18.75" hidden="1" x14ac:dyDescent="0.25">
      <c r="A492" s="41">
        <v>425</v>
      </c>
      <c r="B492" s="41" t="s">
        <v>38</v>
      </c>
      <c r="C492" s="41" t="s">
        <v>1078</v>
      </c>
      <c r="D492" s="27" t="s">
        <v>1079</v>
      </c>
      <c r="E492" s="27" t="s">
        <v>1080</v>
      </c>
      <c r="F492" s="5" t="s">
        <v>22</v>
      </c>
      <c r="G492" s="21">
        <f>1/(20*0.5)</f>
        <v>0.1</v>
      </c>
      <c r="H492" s="22">
        <v>5</v>
      </c>
      <c r="I492" s="22">
        <f t="shared" si="50"/>
        <v>50</v>
      </c>
      <c r="J492" s="5">
        <v>14</v>
      </c>
      <c r="K492" s="23">
        <f t="shared" si="51"/>
        <v>25</v>
      </c>
      <c r="L492" s="58">
        <f>(IFERROR(VLOOKUP(C492,'Current Stocks July-26'!B:K,9,0),0))</f>
        <v>0</v>
      </c>
      <c r="M492" s="24">
        <f t="shared" si="47"/>
        <v>0</v>
      </c>
      <c r="N492" s="25" t="str">
        <f t="shared" si="48"/>
        <v>ORDER NOW</v>
      </c>
      <c r="O492" s="25" t="str">
        <f t="shared" si="49"/>
        <v>CRITICAL</v>
      </c>
      <c r="P492" s="5"/>
      <c r="Q492" s="5"/>
      <c r="R492" s="5"/>
      <c r="S492" s="90">
        <f>VLOOKUP(C492,[3]Sheet1!$C$3:$P$521,14,0)</f>
        <v>46134.446527777778</v>
      </c>
    </row>
    <row r="493" spans="1:19" ht="18.75" hidden="1" x14ac:dyDescent="0.25">
      <c r="A493" s="19">
        <v>22</v>
      </c>
      <c r="B493" s="19" t="s">
        <v>18</v>
      </c>
      <c r="C493" s="19" t="s">
        <v>90</v>
      </c>
      <c r="D493" s="27" t="s">
        <v>91</v>
      </c>
      <c r="E493" s="27" t="s">
        <v>92</v>
      </c>
      <c r="F493" s="5" t="s">
        <v>22</v>
      </c>
      <c r="G493" s="21">
        <v>5.0000000000000001E-4</v>
      </c>
      <c r="H493" s="22">
        <v>145.5</v>
      </c>
      <c r="I493" s="22">
        <f t="shared" si="50"/>
        <v>291000</v>
      </c>
      <c r="J493" s="5">
        <v>14</v>
      </c>
      <c r="K493" s="23">
        <f t="shared" si="51"/>
        <v>145500</v>
      </c>
      <c r="L493" s="58">
        <f>(IFERROR(VLOOKUP(C493,'Current Stocks July-26'!B:K,9,0),0))</f>
        <v>65500</v>
      </c>
      <c r="M493" s="24">
        <f t="shared" si="47"/>
        <v>6.7525773195876289</v>
      </c>
      <c r="N493" s="25" t="str">
        <f t="shared" si="48"/>
        <v>ORDER NOW</v>
      </c>
      <c r="O493" s="25" t="str">
        <f t="shared" si="49"/>
        <v>CRITICAL</v>
      </c>
      <c r="P493" s="5"/>
      <c r="Q493" s="5"/>
      <c r="R493" s="5" t="s">
        <v>30</v>
      </c>
      <c r="S493" s="90">
        <f>VLOOKUP(C493,[3]Sheet1!$C$3:$P$521,14,0)</f>
        <v>46141.525659722225</v>
      </c>
    </row>
    <row r="494" spans="1:19" ht="18.75" hidden="1" x14ac:dyDescent="0.25">
      <c r="A494" s="19">
        <v>110</v>
      </c>
      <c r="B494" s="19" t="s">
        <v>18</v>
      </c>
      <c r="C494" s="19" t="s">
        <v>981</v>
      </c>
      <c r="D494" s="27" t="s">
        <v>982</v>
      </c>
      <c r="E494" s="27" t="s">
        <v>186</v>
      </c>
      <c r="F494" s="5" t="s">
        <v>22</v>
      </c>
      <c r="G494" s="21">
        <f>1/500</f>
        <v>2E-3</v>
      </c>
      <c r="H494" s="22">
        <v>10</v>
      </c>
      <c r="I494" s="22">
        <f t="shared" ref="I494:I525" si="52">H494/G494</f>
        <v>5000</v>
      </c>
      <c r="J494" s="5">
        <v>14</v>
      </c>
      <c r="K494" s="23">
        <f t="shared" si="51"/>
        <v>2500</v>
      </c>
      <c r="L494" s="58">
        <f>(IFERROR(VLOOKUP(C494,'Current Stocks July-26'!B:K,9,0),0))</f>
        <v>0</v>
      </c>
      <c r="M494" s="24">
        <f t="shared" si="47"/>
        <v>0</v>
      </c>
      <c r="N494" s="25" t="str">
        <f t="shared" si="48"/>
        <v>ORDER NOW</v>
      </c>
      <c r="O494" s="25" t="str">
        <f t="shared" si="49"/>
        <v>CRITICAL</v>
      </c>
      <c r="P494" s="5"/>
      <c r="Q494" s="5"/>
      <c r="R494" s="5" t="s">
        <v>30</v>
      </c>
      <c r="S494" s="90">
        <f>VLOOKUP(C494,[3]Sheet1!$C$3:$P$521,14,0)</f>
        <v>46141.525775462964</v>
      </c>
    </row>
    <row r="495" spans="1:19" ht="18.75" hidden="1" x14ac:dyDescent="0.25">
      <c r="A495" s="19">
        <v>39</v>
      </c>
      <c r="B495" s="19" t="s">
        <v>18</v>
      </c>
      <c r="C495" s="19" t="s">
        <v>1009</v>
      </c>
      <c r="D495" s="27" t="s">
        <v>1010</v>
      </c>
      <c r="E495" s="27" t="s">
        <v>845</v>
      </c>
      <c r="F495" s="5" t="s">
        <v>22</v>
      </c>
      <c r="G495" s="21">
        <f>1/600</f>
        <v>1.6666666666666668E-3</v>
      </c>
      <c r="H495" s="22">
        <v>100</v>
      </c>
      <c r="I495" s="22">
        <f t="shared" si="52"/>
        <v>59999.999999999993</v>
      </c>
      <c r="J495" s="5">
        <v>60</v>
      </c>
      <c r="K495" s="23">
        <f t="shared" si="51"/>
        <v>128571.42857142855</v>
      </c>
      <c r="L495" s="58">
        <f>(IFERROR(VLOOKUP(C495,'Current Stocks July-26'!B:K,9,0),0))</f>
        <v>0</v>
      </c>
      <c r="M495" s="24">
        <f t="shared" si="47"/>
        <v>0</v>
      </c>
      <c r="N495" s="25" t="str">
        <f t="shared" si="48"/>
        <v>ORDER NOW</v>
      </c>
      <c r="O495" s="25" t="str">
        <f t="shared" si="49"/>
        <v>CRITICAL</v>
      </c>
      <c r="P495" s="5"/>
      <c r="Q495" s="5"/>
      <c r="R495" s="5" t="s">
        <v>30</v>
      </c>
      <c r="S495" s="90">
        <f>VLOOKUP(C495,[3]Sheet1!$C$3:$P$521,14,0)</f>
        <v>46138.481631944444</v>
      </c>
    </row>
    <row r="496" spans="1:19" ht="18.75" hidden="1" x14ac:dyDescent="0.25">
      <c r="A496" s="39">
        <v>246</v>
      </c>
      <c r="B496" s="39" t="s">
        <v>123</v>
      </c>
      <c r="C496" s="39" t="s">
        <v>1030</v>
      </c>
      <c r="D496" s="27" t="s">
        <v>1031</v>
      </c>
      <c r="E496" s="27" t="s">
        <v>1032</v>
      </c>
      <c r="F496" s="5" t="s">
        <v>49</v>
      </c>
      <c r="G496" s="21">
        <v>0.5</v>
      </c>
      <c r="H496" s="22">
        <v>69.5</v>
      </c>
      <c r="I496" s="22">
        <f t="shared" si="52"/>
        <v>139</v>
      </c>
      <c r="J496" s="5">
        <v>14</v>
      </c>
      <c r="K496" s="23">
        <f t="shared" si="51"/>
        <v>69.5</v>
      </c>
      <c r="L496" s="58">
        <f>(IFERROR(VLOOKUP(C496,'Current Stocks July-26'!B:K,9,0),0))</f>
        <v>45</v>
      </c>
      <c r="M496" s="24">
        <f t="shared" si="47"/>
        <v>9.7122302158273381</v>
      </c>
      <c r="N496" s="25" t="str">
        <f t="shared" si="48"/>
        <v>ORDER NOW</v>
      </c>
      <c r="O496" s="25" t="str">
        <f t="shared" si="49"/>
        <v>CRITICAL</v>
      </c>
      <c r="P496" s="5"/>
      <c r="Q496" s="5"/>
      <c r="R496" s="5"/>
      <c r="S496" s="90">
        <f>VLOOKUP(C496,[3]Sheet1!$C$3:$P$521,14,0)</f>
        <v>46131.519386574073</v>
      </c>
    </row>
    <row r="497" spans="1:19" ht="18.75" hidden="1" x14ac:dyDescent="0.25">
      <c r="A497" s="41">
        <v>500</v>
      </c>
      <c r="B497" s="41" t="s">
        <v>38</v>
      </c>
      <c r="C497" s="41" t="s">
        <v>1131</v>
      </c>
      <c r="D497" s="27" t="s">
        <v>1132</v>
      </c>
      <c r="E497" s="27" t="s">
        <v>1133</v>
      </c>
      <c r="F497" s="5" t="s">
        <v>49</v>
      </c>
      <c r="G497" s="21">
        <v>1</v>
      </c>
      <c r="H497" s="22">
        <v>10</v>
      </c>
      <c r="I497" s="22">
        <f t="shared" si="52"/>
        <v>10</v>
      </c>
      <c r="J497" s="5">
        <v>14</v>
      </c>
      <c r="K497" s="23">
        <f t="shared" si="51"/>
        <v>5</v>
      </c>
      <c r="L497" s="58">
        <f>(IFERROR(VLOOKUP(C497,'Current Stocks July-26'!B:K,9,0),0))</f>
        <v>0</v>
      </c>
      <c r="M497" s="24">
        <f t="shared" si="47"/>
        <v>0</v>
      </c>
      <c r="N497" s="25" t="str">
        <f t="shared" si="48"/>
        <v>ORDER NOW</v>
      </c>
      <c r="O497" s="25" t="str">
        <f t="shared" si="49"/>
        <v>CRITICAL</v>
      </c>
      <c r="P497" s="5"/>
      <c r="Q497" s="5"/>
      <c r="R497" s="5"/>
      <c r="S497" s="90">
        <f>VLOOKUP(C497,[3]Sheet1!$C$3:$P$521,14,0)</f>
        <v>46131.518125000002</v>
      </c>
    </row>
    <row r="498" spans="1:19" ht="18.75" hidden="1" x14ac:dyDescent="0.25">
      <c r="A498" s="19">
        <v>79</v>
      </c>
      <c r="B498" s="19" t="s">
        <v>18</v>
      </c>
      <c r="C498" s="19" t="s">
        <v>1099</v>
      </c>
      <c r="D498" s="27" t="s">
        <v>1100</v>
      </c>
      <c r="E498" s="27" t="s">
        <v>902</v>
      </c>
      <c r="F498" s="5" t="s">
        <v>22</v>
      </c>
      <c r="G498" s="21">
        <v>3.3333333333333332E-4</v>
      </c>
      <c r="H498" s="22">
        <v>32</v>
      </c>
      <c r="I498" s="22">
        <f t="shared" si="52"/>
        <v>96000</v>
      </c>
      <c r="J498" s="5">
        <v>14</v>
      </c>
      <c r="K498" s="23">
        <f t="shared" si="51"/>
        <v>48000</v>
      </c>
      <c r="L498" s="58">
        <f>(IFERROR(VLOOKUP(C498,'Current Stocks July-26'!B:K,9,0),0))</f>
        <v>42000</v>
      </c>
      <c r="M498" s="24">
        <f t="shared" si="47"/>
        <v>13.125</v>
      </c>
      <c r="N498" s="25" t="str">
        <f t="shared" si="48"/>
        <v>ORDER NOW</v>
      </c>
      <c r="O498" s="25" t="str">
        <f t="shared" si="49"/>
        <v>CRITICAL</v>
      </c>
      <c r="P498" s="5"/>
      <c r="Q498" s="5"/>
      <c r="R498" s="5" t="s">
        <v>30</v>
      </c>
      <c r="S498" s="90">
        <f>VLOOKUP(C498,[3]Sheet1!$C$3:$P$521,14,0)</f>
        <v>46131.517905092594</v>
      </c>
    </row>
    <row r="499" spans="1:19" ht="18.75" hidden="1" x14ac:dyDescent="0.25">
      <c r="A499" s="39">
        <v>238</v>
      </c>
      <c r="B499" s="39" t="s">
        <v>123</v>
      </c>
      <c r="C499" s="39" t="s">
        <v>780</v>
      </c>
      <c r="D499" s="27" t="s">
        <v>781</v>
      </c>
      <c r="E499" s="27" t="s">
        <v>706</v>
      </c>
      <c r="F499" s="5" t="s">
        <v>49</v>
      </c>
      <c r="G499" s="21">
        <v>0.2</v>
      </c>
      <c r="H499" s="22">
        <v>68</v>
      </c>
      <c r="I499" s="22">
        <f t="shared" si="52"/>
        <v>340</v>
      </c>
      <c r="J499" s="5">
        <v>14</v>
      </c>
      <c r="K499" s="23">
        <f t="shared" si="51"/>
        <v>170</v>
      </c>
      <c r="L499" s="58">
        <f>(IFERROR(VLOOKUP(C499,'Current Stocks July-26'!B:K,9,0),0))</f>
        <v>45</v>
      </c>
      <c r="M499" s="24">
        <f t="shared" si="47"/>
        <v>3.9705882352941178</v>
      </c>
      <c r="N499" s="25" t="str">
        <f t="shared" si="48"/>
        <v>ORDER NOW</v>
      </c>
      <c r="O499" s="25" t="str">
        <f t="shared" si="49"/>
        <v>CRITICAL</v>
      </c>
      <c r="P499" s="5"/>
      <c r="Q499" s="5"/>
      <c r="R499" s="5"/>
      <c r="S499" s="90">
        <f>VLOOKUP(C499,[3]Sheet1!$C$3:$P$521,14,0)</f>
        <v>46134.446666666663</v>
      </c>
    </row>
    <row r="500" spans="1:19" ht="18.75" hidden="1" x14ac:dyDescent="0.25">
      <c r="A500" s="41">
        <v>341</v>
      </c>
      <c r="B500" s="41" t="s">
        <v>38</v>
      </c>
      <c r="C500" s="41" t="s">
        <v>936</v>
      </c>
      <c r="D500" s="27" t="s">
        <v>937</v>
      </c>
      <c r="E500" s="27" t="s">
        <v>254</v>
      </c>
      <c r="F500" s="5" t="s">
        <v>49</v>
      </c>
      <c r="G500" s="21">
        <f>1/48</f>
        <v>2.0833333333333332E-2</v>
      </c>
      <c r="H500" s="22">
        <v>180</v>
      </c>
      <c r="I500" s="22">
        <f t="shared" si="52"/>
        <v>8640</v>
      </c>
      <c r="J500" s="5">
        <v>14</v>
      </c>
      <c r="K500" s="23">
        <f t="shared" si="51"/>
        <v>4320</v>
      </c>
      <c r="L500" s="58">
        <f>(IFERROR(VLOOKUP(C500,'Current Stocks July-26'!B:K,9,0),0))</f>
        <v>1014</v>
      </c>
      <c r="M500" s="24">
        <f t="shared" si="47"/>
        <v>3.5208333333333335</v>
      </c>
      <c r="N500" s="25" t="str">
        <f t="shared" si="48"/>
        <v>ORDER NOW</v>
      </c>
      <c r="O500" s="25" t="str">
        <f t="shared" si="49"/>
        <v>CRITICAL</v>
      </c>
      <c r="P500" s="5"/>
      <c r="Q500" s="5"/>
      <c r="R500" s="5"/>
      <c r="S500" s="90">
        <f>VLOOKUP(C500,[3]Sheet1!$C$3:$P$521,14,0)</f>
        <v>46140.606828703705</v>
      </c>
    </row>
    <row r="501" spans="1:19" ht="18.75" hidden="1" x14ac:dyDescent="0.25">
      <c r="A501" s="41">
        <v>398</v>
      </c>
      <c r="B501" s="41" t="s">
        <v>38</v>
      </c>
      <c r="C501" s="41" t="s">
        <v>47</v>
      </c>
      <c r="D501" s="31" t="s">
        <v>48</v>
      </c>
      <c r="E501" s="31" t="s">
        <v>50</v>
      </c>
      <c r="F501" s="5" t="s">
        <v>22</v>
      </c>
      <c r="G501" s="21">
        <f>1/15</f>
        <v>6.6666666666666666E-2</v>
      </c>
      <c r="H501" s="22">
        <v>13</v>
      </c>
      <c r="I501" s="22">
        <f t="shared" si="52"/>
        <v>195</v>
      </c>
      <c r="J501" s="5">
        <v>14</v>
      </c>
      <c r="K501" s="23">
        <f t="shared" si="51"/>
        <v>97.5</v>
      </c>
      <c r="L501" s="58">
        <f>(IFERROR(VLOOKUP(C501,'Current Stocks July-26'!B:K,9,0),0))</f>
        <v>211.44</v>
      </c>
      <c r="M501" s="24">
        <f t="shared" si="47"/>
        <v>32.529230769230765</v>
      </c>
      <c r="N501" s="25" t="str">
        <f t="shared" si="48"/>
        <v>IN STOCK</v>
      </c>
      <c r="O501" s="25" t="str">
        <f t="shared" si="49"/>
        <v>FOLLOW UP DELIVERY</v>
      </c>
      <c r="P501" s="5"/>
      <c r="Q501" s="5"/>
      <c r="R501" s="5"/>
      <c r="S501" s="90">
        <f>VLOOKUP(C501,[3]Sheet1!$C$3:$P$521,14,0)</f>
        <v>46141.525127314817</v>
      </c>
    </row>
    <row r="502" spans="1:19" ht="18.75" hidden="1" x14ac:dyDescent="0.25">
      <c r="A502" s="41">
        <v>551</v>
      </c>
      <c r="B502" s="41" t="s">
        <v>38</v>
      </c>
      <c r="C502" s="41" t="s">
        <v>1386</v>
      </c>
      <c r="D502" s="37" t="s">
        <v>1387</v>
      </c>
      <c r="E502" s="31" t="s">
        <v>22</v>
      </c>
      <c r="F502" s="5" t="s">
        <v>22</v>
      </c>
      <c r="G502" s="21">
        <v>1</v>
      </c>
      <c r="H502" s="22">
        <v>2</v>
      </c>
      <c r="I502" s="22">
        <f t="shared" si="52"/>
        <v>2</v>
      </c>
      <c r="J502" s="5">
        <v>14</v>
      </c>
      <c r="K502" s="23">
        <f t="shared" si="51"/>
        <v>1</v>
      </c>
      <c r="L502" s="58">
        <f>(IFERROR(VLOOKUP(C502,'Current Stocks July-26'!B:K,9,0),0))</f>
        <v>4.8</v>
      </c>
      <c r="M502" s="24">
        <f t="shared" si="47"/>
        <v>72</v>
      </c>
      <c r="N502" s="25" t="str">
        <f t="shared" si="48"/>
        <v>IN STOCK</v>
      </c>
      <c r="O502" s="25" t="str">
        <f t="shared" si="49"/>
        <v>FOLLOW UP DELIVERY</v>
      </c>
      <c r="P502" s="5"/>
      <c r="Q502" s="5"/>
      <c r="R502" s="5"/>
      <c r="S502" s="90">
        <f>VLOOKUP(C502,[3]Sheet1!$C$3:$P$521,14,0)</f>
        <v>46131.519548611112</v>
      </c>
    </row>
    <row r="503" spans="1:19" ht="18.75" hidden="1" x14ac:dyDescent="0.25">
      <c r="A503" s="41">
        <v>335</v>
      </c>
      <c r="B503" s="41" t="s">
        <v>38</v>
      </c>
      <c r="C503" s="41" t="s">
        <v>1381</v>
      </c>
      <c r="D503" s="27" t="s">
        <v>1382</v>
      </c>
      <c r="E503" s="27" t="s">
        <v>1383</v>
      </c>
      <c r="F503" s="5" t="s">
        <v>22</v>
      </c>
      <c r="G503" s="21">
        <v>0.1</v>
      </c>
      <c r="H503" s="22">
        <v>313.5</v>
      </c>
      <c r="I503" s="22">
        <f t="shared" si="52"/>
        <v>3135</v>
      </c>
      <c r="J503" s="5">
        <v>14</v>
      </c>
      <c r="K503" s="23">
        <f t="shared" si="51"/>
        <v>1567.5</v>
      </c>
      <c r="L503" s="58">
        <f>(IFERROR(VLOOKUP(C503,'Current Stocks July-26'!B:K,9,0),0))</f>
        <v>950</v>
      </c>
      <c r="M503" s="24">
        <f t="shared" si="47"/>
        <v>9.0909090909090917</v>
      </c>
      <c r="N503" s="25" t="str">
        <f t="shared" si="48"/>
        <v>ORDER NOW</v>
      </c>
      <c r="O503" s="25" t="str">
        <f t="shared" si="49"/>
        <v>CRITICAL</v>
      </c>
      <c r="P503" s="5"/>
      <c r="Q503" s="5"/>
      <c r="R503" s="5"/>
      <c r="S503" s="90">
        <f>VLOOKUP(C503,[3]Sheet1!$C$3:$P$521,14,0)</f>
        <v>46140.605891203704</v>
      </c>
    </row>
    <row r="504" spans="1:19" ht="18.75" hidden="1" x14ac:dyDescent="0.25">
      <c r="A504" s="39">
        <v>254</v>
      </c>
      <c r="B504" s="39" t="s">
        <v>157</v>
      </c>
      <c r="C504" s="39" t="s">
        <v>1044</v>
      </c>
      <c r="D504" s="27" t="s">
        <v>1045</v>
      </c>
      <c r="E504" s="27" t="s">
        <v>1046</v>
      </c>
      <c r="F504" s="5" t="s">
        <v>22</v>
      </c>
      <c r="G504" s="21">
        <v>1E-3</v>
      </c>
      <c r="H504" s="22">
        <v>86</v>
      </c>
      <c r="I504" s="22">
        <f t="shared" si="52"/>
        <v>86000</v>
      </c>
      <c r="J504" s="5">
        <v>14</v>
      </c>
      <c r="K504" s="23">
        <f t="shared" si="51"/>
        <v>43000</v>
      </c>
      <c r="L504" s="58">
        <f>(IFERROR(VLOOKUP(C504,'Current Stocks July-26'!B:K,9,0),0))</f>
        <v>100</v>
      </c>
      <c r="M504" s="24">
        <f t="shared" si="47"/>
        <v>3.4883720930232558E-2</v>
      </c>
      <c r="N504" s="25" t="str">
        <f t="shared" si="48"/>
        <v>ORDER NOW</v>
      </c>
      <c r="O504" s="25" t="str">
        <f t="shared" si="49"/>
        <v>CRITICAL</v>
      </c>
      <c r="P504" s="5"/>
      <c r="Q504" s="5"/>
      <c r="R504" s="5"/>
      <c r="S504" s="90">
        <f>VLOOKUP(C504,[3]Sheet1!$C$3:$P$521,14,0)</f>
        <v>46141.525868055556</v>
      </c>
    </row>
    <row r="505" spans="1:19" ht="18.75" hidden="1" x14ac:dyDescent="0.25">
      <c r="A505" s="19">
        <v>25</v>
      </c>
      <c r="B505" s="19" t="s">
        <v>18</v>
      </c>
      <c r="C505" s="19" t="s">
        <v>1259</v>
      </c>
      <c r="D505" s="27" t="s">
        <v>1260</v>
      </c>
      <c r="E505" s="27" t="s">
        <v>180</v>
      </c>
      <c r="F505" s="5" t="s">
        <v>22</v>
      </c>
      <c r="G505" s="21">
        <v>1E-3</v>
      </c>
      <c r="H505" s="22">
        <v>23</v>
      </c>
      <c r="I505" s="22">
        <f t="shared" si="52"/>
        <v>23000</v>
      </c>
      <c r="J505" s="5">
        <v>60</v>
      </c>
      <c r="K505" s="23">
        <f t="shared" si="51"/>
        <v>49285.714285714283</v>
      </c>
      <c r="L505" s="58">
        <f>(IFERROR(VLOOKUP(C505,'Current Stocks July-26'!B:K,9,0),0))</f>
        <v>0</v>
      </c>
      <c r="M505" s="24">
        <f t="shared" si="47"/>
        <v>0</v>
      </c>
      <c r="N505" s="25" t="str">
        <f t="shared" si="48"/>
        <v>ORDER NOW</v>
      </c>
      <c r="O505" s="25" t="str">
        <f t="shared" si="49"/>
        <v>CRITICAL</v>
      </c>
      <c r="P505" s="5"/>
      <c r="Q505" s="5"/>
      <c r="R505" s="5" t="s">
        <v>30</v>
      </c>
      <c r="S505" s="90">
        <f>VLOOKUP(C505,[3]Sheet1!$C$3:$P$521,14,0)</f>
        <v>46138.481817129628</v>
      </c>
    </row>
    <row r="506" spans="1:19" ht="18.75" hidden="1" x14ac:dyDescent="0.25">
      <c r="A506" s="39">
        <v>261</v>
      </c>
      <c r="B506" s="39" t="s">
        <v>239</v>
      </c>
      <c r="C506" s="39" t="s">
        <v>1238</v>
      </c>
      <c r="D506" s="27" t="s">
        <v>1239</v>
      </c>
      <c r="E506" s="27" t="s">
        <v>78</v>
      </c>
      <c r="F506" s="5" t="s">
        <v>49</v>
      </c>
      <c r="G506" s="21">
        <v>1</v>
      </c>
      <c r="H506" s="22">
        <v>33</v>
      </c>
      <c r="I506" s="22">
        <f t="shared" si="52"/>
        <v>33</v>
      </c>
      <c r="J506" s="5">
        <v>14</v>
      </c>
      <c r="K506" s="23">
        <f t="shared" si="51"/>
        <v>16.5</v>
      </c>
      <c r="L506" s="58">
        <f>(IFERROR(VLOOKUP(C506,'Current Stocks July-26'!B:K,9,0),0))</f>
        <v>0</v>
      </c>
      <c r="M506" s="24">
        <f t="shared" si="47"/>
        <v>0</v>
      </c>
      <c r="N506" s="25" t="str">
        <f t="shared" si="48"/>
        <v>ORDER NOW</v>
      </c>
      <c r="O506" s="25" t="str">
        <f t="shared" si="49"/>
        <v>CRITICAL</v>
      </c>
      <c r="P506" s="5"/>
      <c r="Q506" s="5"/>
      <c r="R506" s="5"/>
      <c r="S506" s="90">
        <f>VLOOKUP(C506,[3]Sheet1!$C$3:$P$521,14,0)</f>
        <v>46131.518692129626</v>
      </c>
    </row>
    <row r="507" spans="1:19" ht="18.75" hidden="1" x14ac:dyDescent="0.25">
      <c r="A507" s="19">
        <v>38</v>
      </c>
      <c r="B507" s="19" t="s">
        <v>18</v>
      </c>
      <c r="C507" s="19" t="s">
        <v>1430</v>
      </c>
      <c r="D507" s="27" t="s">
        <v>1431</v>
      </c>
      <c r="E507" s="27" t="s">
        <v>29</v>
      </c>
      <c r="F507" s="5" t="s">
        <v>22</v>
      </c>
      <c r="G507" s="21">
        <f>1/1200</f>
        <v>8.3333333333333339E-4</v>
      </c>
      <c r="H507" s="22">
        <v>50</v>
      </c>
      <c r="I507" s="22">
        <f t="shared" si="52"/>
        <v>59999.999999999993</v>
      </c>
      <c r="J507" s="5">
        <v>60</v>
      </c>
      <c r="K507" s="23">
        <f t="shared" si="51"/>
        <v>128571.42857142855</v>
      </c>
      <c r="L507" s="58">
        <f>(IFERROR(VLOOKUP(C507,'Current Stocks July-26'!B:K,9,0),0))</f>
        <v>0</v>
      </c>
      <c r="M507" s="24">
        <f t="shared" si="47"/>
        <v>0</v>
      </c>
      <c r="N507" s="25" t="str">
        <f t="shared" si="48"/>
        <v>ORDER NOW</v>
      </c>
      <c r="O507" s="25" t="str">
        <f t="shared" si="49"/>
        <v>CRITICAL</v>
      </c>
      <c r="P507" s="5"/>
      <c r="Q507" s="5"/>
      <c r="R507" s="5" t="s">
        <v>30</v>
      </c>
      <c r="S507" s="90">
        <f>VLOOKUP(C507,[3]Sheet1!$C$3:$P$521,14,0)</f>
        <v>46128.697002314817</v>
      </c>
    </row>
    <row r="508" spans="1:19" ht="18.75" hidden="1" x14ac:dyDescent="0.25">
      <c r="A508" s="41">
        <v>507</v>
      </c>
      <c r="B508" s="41" t="s">
        <v>38</v>
      </c>
      <c r="C508" s="41" t="s">
        <v>1202</v>
      </c>
      <c r="D508" s="27" t="s">
        <v>1203</v>
      </c>
      <c r="E508" s="27" t="s">
        <v>1204</v>
      </c>
      <c r="F508" s="5" t="s">
        <v>22</v>
      </c>
      <c r="G508" s="21">
        <v>0.8771929824561403</v>
      </c>
      <c r="H508" s="22">
        <v>90</v>
      </c>
      <c r="I508" s="22">
        <f t="shared" si="52"/>
        <v>102.60000000000001</v>
      </c>
      <c r="J508" s="5">
        <v>14</v>
      </c>
      <c r="K508" s="23">
        <f t="shared" si="51"/>
        <v>51.300000000000004</v>
      </c>
      <c r="L508" s="58">
        <f>(IFERROR(VLOOKUP(C508,'Current Stocks July-26'!B:K,9,0),0))</f>
        <v>22.8</v>
      </c>
      <c r="M508" s="24">
        <f t="shared" si="47"/>
        <v>6.6666666666666661</v>
      </c>
      <c r="N508" s="25" t="str">
        <f t="shared" si="48"/>
        <v>ORDER NOW</v>
      </c>
      <c r="O508" s="25" t="str">
        <f t="shared" si="49"/>
        <v>CRITICAL</v>
      </c>
      <c r="P508" s="5"/>
      <c r="Q508" s="5"/>
      <c r="R508" s="5"/>
      <c r="S508" s="90">
        <f>VLOOKUP(C508,[3]Sheet1!$C$3:$P$521,14,0)</f>
        <v>46131.51829861111</v>
      </c>
    </row>
    <row r="509" spans="1:19" ht="18.75" hidden="1" x14ac:dyDescent="0.25">
      <c r="A509" s="41">
        <v>513</v>
      </c>
      <c r="B509" s="41" t="s">
        <v>85</v>
      </c>
      <c r="C509" s="41" t="s">
        <v>1440</v>
      </c>
      <c r="D509" s="27" t="s">
        <v>1441</v>
      </c>
      <c r="E509" s="27" t="s">
        <v>1442</v>
      </c>
      <c r="F509" s="5" t="s">
        <v>22</v>
      </c>
      <c r="G509" s="21">
        <v>0.11737089201877934</v>
      </c>
      <c r="H509" s="22">
        <v>15</v>
      </c>
      <c r="I509" s="22">
        <f t="shared" si="52"/>
        <v>127.8</v>
      </c>
      <c r="J509" s="5">
        <v>14</v>
      </c>
      <c r="K509" s="23">
        <f t="shared" si="51"/>
        <v>63.9</v>
      </c>
      <c r="L509" s="58">
        <f>(IFERROR(VLOOKUP(C509,'Current Stocks July-26'!B:K,9,0),0))</f>
        <v>153.36000000000001</v>
      </c>
      <c r="M509" s="24">
        <f t="shared" si="47"/>
        <v>36.000000000000007</v>
      </c>
      <c r="N509" s="25" t="str">
        <f t="shared" si="48"/>
        <v>IN STOCK</v>
      </c>
      <c r="O509" s="25" t="str">
        <f t="shared" si="49"/>
        <v>FOLLOW UP DELIVERY</v>
      </c>
      <c r="P509" s="5"/>
      <c r="Q509" s="5"/>
      <c r="R509" s="5"/>
      <c r="S509" s="90">
        <f>VLOOKUP(C509,[3]Sheet1!$C$3:$P$521,14,0)</f>
        <v>46131.519768518519</v>
      </c>
    </row>
    <row r="510" spans="1:19" ht="18.75" hidden="1" x14ac:dyDescent="0.25">
      <c r="A510" s="19">
        <v>143</v>
      </c>
      <c r="B510" s="19" t="s">
        <v>18</v>
      </c>
      <c r="C510" s="19" t="s">
        <v>1234</v>
      </c>
      <c r="D510" s="65" t="s">
        <v>1235</v>
      </c>
      <c r="E510" s="32" t="s">
        <v>49</v>
      </c>
      <c r="F510" s="5" t="s">
        <v>49</v>
      </c>
      <c r="G510" s="21">
        <f>1/500</f>
        <v>2E-3</v>
      </c>
      <c r="H510" s="22">
        <v>10</v>
      </c>
      <c r="I510" s="22">
        <f t="shared" si="52"/>
        <v>5000</v>
      </c>
      <c r="J510" s="5">
        <v>14</v>
      </c>
      <c r="K510" s="23">
        <f t="shared" si="51"/>
        <v>2500</v>
      </c>
      <c r="L510" s="58">
        <f>(IFERROR(VLOOKUP(C510,'Current Stocks July-26'!B:K,9,0),0))</f>
        <v>0</v>
      </c>
      <c r="M510" s="24">
        <f t="shared" si="47"/>
        <v>0</v>
      </c>
      <c r="N510" s="25" t="str">
        <f t="shared" si="48"/>
        <v>ORDER NOW</v>
      </c>
      <c r="O510" s="25" t="str">
        <f t="shared" si="49"/>
        <v>CRITICAL</v>
      </c>
      <c r="P510" s="5"/>
      <c r="Q510" s="5"/>
      <c r="R510" s="5" t="s">
        <v>30</v>
      </c>
      <c r="S510" s="90">
        <f>VLOOKUP(C510,[3]Sheet1!$C$3:$P$521,14,0)</f>
        <v>46113.430891203701</v>
      </c>
    </row>
    <row r="511" spans="1:19" ht="18.75" hidden="1" x14ac:dyDescent="0.25">
      <c r="A511" s="39">
        <v>190</v>
      </c>
      <c r="B511" s="39" t="s">
        <v>239</v>
      </c>
      <c r="C511" s="39" t="s">
        <v>1384</v>
      </c>
      <c r="D511" s="27" t="s">
        <v>1385</v>
      </c>
      <c r="E511" s="27" t="s">
        <v>78</v>
      </c>
      <c r="F511" s="5" t="s">
        <v>49</v>
      </c>
      <c r="G511" s="21">
        <v>1</v>
      </c>
      <c r="H511" s="22">
        <v>66</v>
      </c>
      <c r="I511" s="22">
        <f t="shared" si="52"/>
        <v>66</v>
      </c>
      <c r="J511" s="5">
        <v>14</v>
      </c>
      <c r="K511" s="23">
        <f t="shared" si="51"/>
        <v>33</v>
      </c>
      <c r="L511" s="58">
        <f>(IFERROR(VLOOKUP(C511,'Current Stocks July-26'!B:K,9,0),0))</f>
        <v>23</v>
      </c>
      <c r="M511" s="24">
        <f t="shared" si="47"/>
        <v>10.454545454545455</v>
      </c>
      <c r="N511" s="25" t="str">
        <f t="shared" si="48"/>
        <v>ORDER NOW</v>
      </c>
      <c r="O511" s="25" t="str">
        <f t="shared" si="49"/>
        <v>CRITICAL</v>
      </c>
      <c r="P511" s="5"/>
      <c r="Q511" s="5"/>
      <c r="R511" s="5"/>
      <c r="S511" s="90">
        <f>VLOOKUP(C511,[3]Sheet1!$C$3:$P$521,14,0)</f>
        <v>46131.519513888888</v>
      </c>
    </row>
    <row r="512" spans="1:19" ht="18.75" hidden="1" x14ac:dyDescent="0.25">
      <c r="A512" s="41">
        <v>532</v>
      </c>
      <c r="B512" s="41" t="s">
        <v>104</v>
      </c>
      <c r="C512" s="41" t="s">
        <v>688</v>
      </c>
      <c r="D512" s="37" t="s">
        <v>689</v>
      </c>
      <c r="E512" s="31" t="s">
        <v>690</v>
      </c>
      <c r="F512" s="5" t="s">
        <v>22</v>
      </c>
      <c r="G512" s="21">
        <v>5.7803468208092484E-2</v>
      </c>
      <c r="H512" s="22">
        <v>25</v>
      </c>
      <c r="I512" s="22">
        <f t="shared" si="52"/>
        <v>432.5</v>
      </c>
      <c r="J512" s="5">
        <v>14</v>
      </c>
      <c r="K512" s="23">
        <f t="shared" si="51"/>
        <v>216.25</v>
      </c>
      <c r="L512" s="58">
        <f>(IFERROR(VLOOKUP(C512,'Current Stocks July-26'!B:K,9,0),0))</f>
        <v>208.8</v>
      </c>
      <c r="M512" s="24">
        <f t="shared" si="47"/>
        <v>14.483236994219654</v>
      </c>
      <c r="N512" s="25" t="str">
        <f t="shared" si="48"/>
        <v>IN STOCK</v>
      </c>
      <c r="O512" s="25" t="str">
        <f t="shared" si="49"/>
        <v>FOLLOW UP DELIVERY</v>
      </c>
      <c r="P512" s="5"/>
      <c r="Q512" s="5"/>
      <c r="R512" s="5"/>
      <c r="S512" s="90">
        <f>VLOOKUP(C512,[3]Sheet1!$C$3:$P$521,14,0)</f>
        <v>46118.497881944444</v>
      </c>
    </row>
    <row r="513" spans="1:19" ht="18.75" hidden="1" x14ac:dyDescent="0.25">
      <c r="A513" s="19">
        <v>124</v>
      </c>
      <c r="B513" s="19" t="s">
        <v>18</v>
      </c>
      <c r="C513" s="19" t="s">
        <v>1303</v>
      </c>
      <c r="D513" s="27" t="s">
        <v>1304</v>
      </c>
      <c r="E513" s="27" t="s">
        <v>1305</v>
      </c>
      <c r="F513" s="5" t="s">
        <v>606</v>
      </c>
      <c r="G513" s="21">
        <f>1/50</f>
        <v>0.02</v>
      </c>
      <c r="H513" s="22">
        <v>1000</v>
      </c>
      <c r="I513" s="22">
        <f t="shared" si="52"/>
        <v>50000</v>
      </c>
      <c r="J513" s="5">
        <v>60</v>
      </c>
      <c r="K513" s="23">
        <f t="shared" si="51"/>
        <v>107142.85714285714</v>
      </c>
      <c r="L513" s="58">
        <f>(IFERROR(VLOOKUP(C513,'Current Stocks July-26'!B:K,9,0),0))</f>
        <v>6000</v>
      </c>
      <c r="M513" s="24">
        <f t="shared" si="47"/>
        <v>3.5999999999999996</v>
      </c>
      <c r="N513" s="25" t="str">
        <f t="shared" si="48"/>
        <v>ORDER NOW</v>
      </c>
      <c r="O513" s="25" t="str">
        <f t="shared" si="49"/>
        <v>CRITICAL</v>
      </c>
      <c r="P513" s="5"/>
      <c r="Q513" s="5"/>
      <c r="R513" s="5" t="s">
        <v>30</v>
      </c>
      <c r="S513" s="90">
        <f>VLOOKUP(C513,[3]Sheet1!$C$3:$P$521,14,0)</f>
        <v>46128.696643518517</v>
      </c>
    </row>
    <row r="514" spans="1:19" ht="18.75" hidden="1" x14ac:dyDescent="0.25">
      <c r="A514" s="39">
        <v>329</v>
      </c>
      <c r="B514" s="39" t="s">
        <v>123</v>
      </c>
      <c r="C514" s="39" t="s">
        <v>1065</v>
      </c>
      <c r="D514" s="37" t="s">
        <v>1066</v>
      </c>
      <c r="E514" s="31" t="s">
        <v>22</v>
      </c>
      <c r="F514" s="5" t="s">
        <v>22</v>
      </c>
      <c r="G514" s="21">
        <v>0.16666666666666666</v>
      </c>
      <c r="H514" s="22">
        <v>250</v>
      </c>
      <c r="I514" s="22">
        <f t="shared" si="52"/>
        <v>1500</v>
      </c>
      <c r="J514" s="5">
        <v>14</v>
      </c>
      <c r="K514" s="23">
        <f t="shared" si="51"/>
        <v>750</v>
      </c>
      <c r="L514" s="58">
        <f>(IFERROR(VLOOKUP(C514,'Current Stocks July-26'!B:K,9,0),0))</f>
        <v>24</v>
      </c>
      <c r="M514" s="24">
        <f t="shared" si="47"/>
        <v>0.48</v>
      </c>
      <c r="N514" s="25" t="str">
        <f t="shared" si="48"/>
        <v>ORDER NOW</v>
      </c>
      <c r="O514" s="25" t="str">
        <f t="shared" si="49"/>
        <v>CRITICAL</v>
      </c>
      <c r="P514" s="5"/>
      <c r="Q514" s="5"/>
      <c r="R514" s="5"/>
      <c r="S514" s="90">
        <f>VLOOKUP(C514,[3]Sheet1!$C$3:$P$521,14,0)</f>
        <v>46141.525682870371</v>
      </c>
    </row>
    <row r="515" spans="1:19" ht="18.75" hidden="1" x14ac:dyDescent="0.25">
      <c r="A515" s="39">
        <v>244</v>
      </c>
      <c r="B515" s="39" t="s">
        <v>123</v>
      </c>
      <c r="C515" s="39" t="s">
        <v>757</v>
      </c>
      <c r="D515" s="27" t="s">
        <v>758</v>
      </c>
      <c r="E515" s="27" t="s">
        <v>759</v>
      </c>
      <c r="F515" s="5" t="s">
        <v>49</v>
      </c>
      <c r="G515" s="21">
        <v>1</v>
      </c>
      <c r="H515" s="22">
        <v>55.5</v>
      </c>
      <c r="I515" s="22">
        <f t="shared" si="52"/>
        <v>55.5</v>
      </c>
      <c r="J515" s="5">
        <v>14</v>
      </c>
      <c r="K515" s="23">
        <f t="shared" si="51"/>
        <v>27.75</v>
      </c>
      <c r="L515" s="58">
        <f>(IFERROR(VLOOKUP(C515,'Current Stocks July-26'!B:K,9,0),0))</f>
        <v>48</v>
      </c>
      <c r="M515" s="24">
        <f t="shared" ref="M515:M578" si="53">IFERROR((L515/I515*30),0)</f>
        <v>25.945945945945947</v>
      </c>
      <c r="N515" s="25" t="str">
        <f t="shared" ref="N515:N578" si="54">IF(M515&lt;J515,"ORDER NOW","IN STOCK")</f>
        <v>IN STOCK</v>
      </c>
      <c r="O515" s="25" t="str">
        <f t="shared" ref="O515:O578" si="55">IF(M515&lt;J515,"CRITICAL","FOLLOW UP DELIVERY")</f>
        <v>FOLLOW UP DELIVERY</v>
      </c>
      <c r="P515" s="5"/>
      <c r="Q515" s="5"/>
      <c r="R515" s="5"/>
      <c r="S515" s="90">
        <f>VLOOKUP(C515,[3]Sheet1!$C$3:$P$521,14,0)</f>
        <v>46131.518923611111</v>
      </c>
    </row>
    <row r="516" spans="1:19" ht="18.75" hidden="1" x14ac:dyDescent="0.25">
      <c r="A516" s="19">
        <v>35</v>
      </c>
      <c r="B516" s="19" t="s">
        <v>18</v>
      </c>
      <c r="C516" s="19" t="s">
        <v>1275</v>
      </c>
      <c r="D516" s="27" t="s">
        <v>1276</v>
      </c>
      <c r="E516" s="27" t="s">
        <v>1277</v>
      </c>
      <c r="F516" s="5" t="s">
        <v>22</v>
      </c>
      <c r="G516" s="21">
        <v>1E-3</v>
      </c>
      <c r="H516" s="22">
        <v>96</v>
      </c>
      <c r="I516" s="22">
        <f t="shared" si="52"/>
        <v>96000</v>
      </c>
      <c r="J516" s="5">
        <v>60</v>
      </c>
      <c r="K516" s="23">
        <f t="shared" si="51"/>
        <v>205714.28571428571</v>
      </c>
      <c r="L516" s="58">
        <f>(IFERROR(VLOOKUP(C516,'Current Stocks July-26'!B:K,9,0),0))</f>
        <v>0</v>
      </c>
      <c r="M516" s="24">
        <f t="shared" si="53"/>
        <v>0</v>
      </c>
      <c r="N516" s="25" t="str">
        <f t="shared" si="54"/>
        <v>ORDER NOW</v>
      </c>
      <c r="O516" s="25" t="str">
        <f t="shared" si="55"/>
        <v>CRITICAL</v>
      </c>
      <c r="P516" s="5"/>
      <c r="Q516" s="5"/>
      <c r="R516" s="5" t="s">
        <v>30</v>
      </c>
      <c r="S516" s="90">
        <f>VLOOKUP(C516,[3]Sheet1!$C$3:$P$521,14,0)</f>
        <v>46141.526064814818</v>
      </c>
    </row>
    <row r="517" spans="1:19" ht="18.75" hidden="1" x14ac:dyDescent="0.25">
      <c r="A517" s="39">
        <v>323</v>
      </c>
      <c r="B517" s="39" t="s">
        <v>123</v>
      </c>
      <c r="C517" s="39" t="s">
        <v>1318</v>
      </c>
      <c r="D517" s="27" t="s">
        <v>1319</v>
      </c>
      <c r="E517" s="27" t="s">
        <v>1320</v>
      </c>
      <c r="F517" s="5" t="s">
        <v>22</v>
      </c>
      <c r="G517" s="21">
        <v>0.05</v>
      </c>
      <c r="H517" s="22">
        <v>6</v>
      </c>
      <c r="I517" s="22">
        <f t="shared" si="52"/>
        <v>120</v>
      </c>
      <c r="J517" s="5">
        <v>14</v>
      </c>
      <c r="K517" s="23">
        <f t="shared" si="51"/>
        <v>60</v>
      </c>
      <c r="L517" s="58">
        <f>(IFERROR(VLOOKUP(C517,'Current Stocks July-26'!B:K,9,0),0))</f>
        <v>0</v>
      </c>
      <c r="M517" s="24">
        <f t="shared" si="53"/>
        <v>0</v>
      </c>
      <c r="N517" s="25" t="str">
        <f t="shared" si="54"/>
        <v>ORDER NOW</v>
      </c>
      <c r="O517" s="25" t="str">
        <f t="shared" si="55"/>
        <v>CRITICAL</v>
      </c>
      <c r="P517" s="5"/>
      <c r="Q517" s="5"/>
      <c r="R517" s="5"/>
      <c r="S517" s="90">
        <f>VLOOKUP(C517,[3]Sheet1!$C$3:$P$521,14,0)</f>
        <v>46134.446712962963</v>
      </c>
    </row>
    <row r="518" spans="1:19" ht="18.75" hidden="1" x14ac:dyDescent="0.25">
      <c r="A518" s="41">
        <v>402</v>
      </c>
      <c r="B518" s="41" t="s">
        <v>61</v>
      </c>
      <c r="C518" s="41" t="s">
        <v>1308</v>
      </c>
      <c r="D518" s="27" t="s">
        <v>1309</v>
      </c>
      <c r="E518" s="27" t="s">
        <v>1310</v>
      </c>
      <c r="F518" s="5" t="s">
        <v>22</v>
      </c>
      <c r="G518" s="21">
        <v>8.3333333333333329E-2</v>
      </c>
      <c r="H518" s="22">
        <v>16</v>
      </c>
      <c r="I518" s="22">
        <f t="shared" si="52"/>
        <v>192</v>
      </c>
      <c r="J518" s="5">
        <v>14</v>
      </c>
      <c r="K518" s="23">
        <f t="shared" si="51"/>
        <v>96</v>
      </c>
      <c r="L518" s="58">
        <f>(IFERROR(VLOOKUP(C518,'Current Stocks July-26'!B:K,9,0),0))</f>
        <v>36</v>
      </c>
      <c r="M518" s="24">
        <f t="shared" si="53"/>
        <v>5.625</v>
      </c>
      <c r="N518" s="25" t="str">
        <f t="shared" si="54"/>
        <v>ORDER NOW</v>
      </c>
      <c r="O518" s="25" t="str">
        <f t="shared" si="55"/>
        <v>CRITICAL</v>
      </c>
      <c r="P518" s="5"/>
      <c r="Q518" s="5"/>
      <c r="R518" s="5"/>
      <c r="S518" s="90">
        <f>VLOOKUP(C518,[3]Sheet1!$C$3:$P$521,14,0)</f>
        <v>46134.446747685186</v>
      </c>
    </row>
    <row r="519" spans="1:19" ht="18.75" hidden="1" x14ac:dyDescent="0.25">
      <c r="A519" s="41">
        <v>488</v>
      </c>
      <c r="B519" s="41" t="s">
        <v>38</v>
      </c>
      <c r="C519" s="41" t="s">
        <v>1487</v>
      </c>
      <c r="D519" s="27" t="s">
        <v>1488</v>
      </c>
      <c r="E519" s="27" t="s">
        <v>1489</v>
      </c>
      <c r="F519" s="5" t="s">
        <v>22</v>
      </c>
      <c r="G519" s="21">
        <f>1/11</f>
        <v>9.0909090909090912E-2</v>
      </c>
      <c r="H519" s="22">
        <v>5</v>
      </c>
      <c r="I519" s="22">
        <f t="shared" si="52"/>
        <v>55</v>
      </c>
      <c r="J519" s="5">
        <v>14</v>
      </c>
      <c r="K519" s="23">
        <f t="shared" si="51"/>
        <v>27.5</v>
      </c>
      <c r="L519" s="58">
        <f>(IFERROR(VLOOKUP(C519,'Current Stocks July-26'!B:K,9,0),0))</f>
        <v>0</v>
      </c>
      <c r="M519" s="24">
        <f t="shared" si="53"/>
        <v>0</v>
      </c>
      <c r="N519" s="25" t="str">
        <f t="shared" si="54"/>
        <v>ORDER NOW</v>
      </c>
      <c r="O519" s="25" t="str">
        <f t="shared" si="55"/>
        <v>CRITICAL</v>
      </c>
      <c r="P519" s="5"/>
      <c r="Q519" s="5"/>
      <c r="R519" s="5"/>
      <c r="S519" s="90">
        <f>VLOOKUP(C519,[3]Sheet1!$C$3:$P$521,14,0)</f>
        <v>46131.520185185182</v>
      </c>
    </row>
    <row r="520" spans="1:19" ht="18.75" hidden="1" x14ac:dyDescent="0.25">
      <c r="A520" s="39">
        <v>287</v>
      </c>
      <c r="B520" s="39" t="s">
        <v>239</v>
      </c>
      <c r="C520" s="39" t="s">
        <v>1418</v>
      </c>
      <c r="D520" s="31" t="s">
        <v>1419</v>
      </c>
      <c r="E520" s="31" t="s">
        <v>1420</v>
      </c>
      <c r="F520" s="5" t="s">
        <v>22</v>
      </c>
      <c r="G520" s="21">
        <v>0.76923076923076916</v>
      </c>
      <c r="H520" s="22">
        <v>22</v>
      </c>
      <c r="I520" s="22">
        <f t="shared" si="52"/>
        <v>28.6</v>
      </c>
      <c r="J520" s="5">
        <v>14</v>
      </c>
      <c r="K520" s="23">
        <f t="shared" si="51"/>
        <v>14.3</v>
      </c>
      <c r="L520" s="58">
        <f>(IFERROR(VLOOKUP(C520,'Current Stocks July-26'!B:K,9,0),0))</f>
        <v>8</v>
      </c>
      <c r="M520" s="24">
        <f t="shared" si="53"/>
        <v>8.3916083916083899</v>
      </c>
      <c r="N520" s="25" t="str">
        <f t="shared" si="54"/>
        <v>ORDER NOW</v>
      </c>
      <c r="O520" s="25" t="str">
        <f t="shared" si="55"/>
        <v>CRITICAL</v>
      </c>
      <c r="P520" s="5"/>
      <c r="Q520" s="5"/>
      <c r="R520" s="5"/>
      <c r="S520" s="90">
        <f>VLOOKUP(C520,[3]Sheet1!$C$3:$P$521,14,0)</f>
        <v>46131.51972222222</v>
      </c>
    </row>
    <row r="521" spans="1:19" ht="18.75" hidden="1" x14ac:dyDescent="0.25">
      <c r="A521" s="41">
        <v>526</v>
      </c>
      <c r="B521" s="41" t="s">
        <v>104</v>
      </c>
      <c r="C521" s="41" t="s">
        <v>1350</v>
      </c>
      <c r="D521" s="37" t="s">
        <v>1351</v>
      </c>
      <c r="E521" s="31" t="s">
        <v>22</v>
      </c>
      <c r="F521" s="5" t="s">
        <v>22</v>
      </c>
      <c r="G521" s="21">
        <v>3.3333333333333333E-2</v>
      </c>
      <c r="H521" s="22">
        <v>20</v>
      </c>
      <c r="I521" s="22">
        <f t="shared" si="52"/>
        <v>600</v>
      </c>
      <c r="J521" s="5">
        <v>14</v>
      </c>
      <c r="K521" s="23">
        <f t="shared" si="51"/>
        <v>300</v>
      </c>
      <c r="L521" s="58">
        <f>(IFERROR(VLOOKUP(C521,'Current Stocks July-26'!B:K,9,0),0))</f>
        <v>240</v>
      </c>
      <c r="M521" s="24">
        <f t="shared" si="53"/>
        <v>12</v>
      </c>
      <c r="N521" s="25" t="str">
        <f t="shared" si="54"/>
        <v>ORDER NOW</v>
      </c>
      <c r="O521" s="25" t="str">
        <f t="shared" si="55"/>
        <v>CRITICAL</v>
      </c>
      <c r="P521" s="5"/>
      <c r="Q521" s="5"/>
      <c r="R521" s="5"/>
      <c r="S521" s="90">
        <f>VLOOKUP(C521,[3]Sheet1!$C$3:$P$521,14,0)</f>
        <v>46131.51935185185</v>
      </c>
    </row>
    <row r="522" spans="1:19" ht="18.75" hidden="1" x14ac:dyDescent="0.25">
      <c r="A522" s="19">
        <v>28</v>
      </c>
      <c r="B522" s="19" t="s">
        <v>18</v>
      </c>
      <c r="C522" s="19" t="s">
        <v>1145</v>
      </c>
      <c r="D522" s="27" t="s">
        <v>1146</v>
      </c>
      <c r="E522" s="27" t="s">
        <v>873</v>
      </c>
      <c r="F522" s="5" t="s">
        <v>22</v>
      </c>
      <c r="G522" s="21">
        <v>2E-3</v>
      </c>
      <c r="H522" s="22">
        <v>995.5</v>
      </c>
      <c r="I522" s="22">
        <f t="shared" si="52"/>
        <v>497750</v>
      </c>
      <c r="J522" s="5">
        <v>60</v>
      </c>
      <c r="K522" s="23">
        <f t="shared" si="51"/>
        <v>1066607.1428571427</v>
      </c>
      <c r="L522" s="58">
        <f>(IFERROR(VLOOKUP(C522,'Current Stocks July-26'!B:K,9,0),0))</f>
        <v>247000</v>
      </c>
      <c r="M522" s="24">
        <f t="shared" si="53"/>
        <v>14.886991461577097</v>
      </c>
      <c r="N522" s="25" t="str">
        <f t="shared" si="54"/>
        <v>ORDER NOW</v>
      </c>
      <c r="O522" s="25" t="str">
        <f t="shared" si="55"/>
        <v>CRITICAL</v>
      </c>
      <c r="P522" s="5"/>
      <c r="Q522" s="5"/>
      <c r="R522" s="5" t="s">
        <v>30</v>
      </c>
      <c r="S522" s="90">
        <f>VLOOKUP(C522,[3]Sheet1!$C$3:$P$521,14,0)</f>
        <v>46138.481678240743</v>
      </c>
    </row>
    <row r="523" spans="1:19" ht="18.75" hidden="1" x14ac:dyDescent="0.25">
      <c r="A523" s="41">
        <v>419</v>
      </c>
      <c r="B523" s="41" t="s">
        <v>38</v>
      </c>
      <c r="C523" s="41" t="s">
        <v>1502</v>
      </c>
      <c r="D523" s="27" t="s">
        <v>1503</v>
      </c>
      <c r="E523" s="27" t="s">
        <v>1059</v>
      </c>
      <c r="F523" s="5" t="s">
        <v>54</v>
      </c>
      <c r="G523" s="21">
        <v>0.04</v>
      </c>
      <c r="H523" s="22">
        <v>8</v>
      </c>
      <c r="I523" s="22">
        <f t="shared" si="52"/>
        <v>200</v>
      </c>
      <c r="J523" s="5">
        <v>14</v>
      </c>
      <c r="K523" s="23">
        <f t="shared" si="51"/>
        <v>100</v>
      </c>
      <c r="L523" s="58">
        <f>(IFERROR(VLOOKUP(C523,'Current Stocks July-26'!B:K,9,0),0))</f>
        <v>0</v>
      </c>
      <c r="M523" s="24">
        <f t="shared" si="53"/>
        <v>0</v>
      </c>
      <c r="N523" s="25" t="str">
        <f t="shared" si="54"/>
        <v>ORDER NOW</v>
      </c>
      <c r="O523" s="25" t="str">
        <f t="shared" si="55"/>
        <v>CRITICAL</v>
      </c>
      <c r="P523" s="5"/>
      <c r="Q523" s="5"/>
      <c r="R523" s="5"/>
      <c r="S523" s="90">
        <f>VLOOKUP(C523,[3]Sheet1!$C$3:$P$521,14,0)</f>
        <v>46131.520208333335</v>
      </c>
    </row>
    <row r="524" spans="1:19" ht="18.75" hidden="1" x14ac:dyDescent="0.25">
      <c r="A524" s="39">
        <v>236</v>
      </c>
      <c r="B524" s="39" t="s">
        <v>123</v>
      </c>
      <c r="C524" s="39" t="s">
        <v>841</v>
      </c>
      <c r="D524" s="27" t="s">
        <v>842</v>
      </c>
      <c r="E524" s="27" t="s">
        <v>706</v>
      </c>
      <c r="F524" s="5" t="s">
        <v>49</v>
      </c>
      <c r="G524" s="21">
        <v>1</v>
      </c>
      <c r="H524" s="22">
        <v>32.5</v>
      </c>
      <c r="I524" s="22">
        <f t="shared" si="52"/>
        <v>32.5</v>
      </c>
      <c r="J524" s="5">
        <v>14</v>
      </c>
      <c r="K524" s="23">
        <f t="shared" si="51"/>
        <v>16.25</v>
      </c>
      <c r="L524" s="58">
        <f>(IFERROR(VLOOKUP(C524,'Current Stocks July-26'!B:K,9,0),0))</f>
        <v>0</v>
      </c>
      <c r="M524" s="24">
        <f t="shared" si="53"/>
        <v>0</v>
      </c>
      <c r="N524" s="25" t="str">
        <f t="shared" si="54"/>
        <v>ORDER NOW</v>
      </c>
      <c r="O524" s="25" t="str">
        <f t="shared" si="55"/>
        <v>CRITICAL</v>
      </c>
      <c r="P524" s="5"/>
      <c r="Q524" s="5"/>
      <c r="R524" s="5"/>
      <c r="S524" s="90">
        <f>VLOOKUP(C524,[3]Sheet1!$C$3:$P$521,14,0)</f>
        <v>46113.430960648147</v>
      </c>
    </row>
    <row r="525" spans="1:19" ht="18.75" hidden="1" x14ac:dyDescent="0.25">
      <c r="A525" s="39">
        <v>320</v>
      </c>
      <c r="B525" s="39" t="s">
        <v>123</v>
      </c>
      <c r="C525" s="39" t="s">
        <v>1280</v>
      </c>
      <c r="D525" s="27" t="s">
        <v>1281</v>
      </c>
      <c r="E525" s="27" t="s">
        <v>706</v>
      </c>
      <c r="F525" s="5" t="s">
        <v>49</v>
      </c>
      <c r="G525" s="21">
        <f>1/5</f>
        <v>0.2</v>
      </c>
      <c r="H525" s="22">
        <v>20</v>
      </c>
      <c r="I525" s="22">
        <f t="shared" si="52"/>
        <v>100</v>
      </c>
      <c r="J525" s="5">
        <v>14</v>
      </c>
      <c r="K525" s="23">
        <f t="shared" si="51"/>
        <v>50</v>
      </c>
      <c r="L525" s="58">
        <f>(IFERROR(VLOOKUP(C525,'Current Stocks July-26'!B:K,9,0),0))</f>
        <v>73</v>
      </c>
      <c r="M525" s="24">
        <f t="shared" si="53"/>
        <v>21.9</v>
      </c>
      <c r="N525" s="25" t="str">
        <f t="shared" si="54"/>
        <v>IN STOCK</v>
      </c>
      <c r="O525" s="25" t="str">
        <f t="shared" si="55"/>
        <v>FOLLOW UP DELIVERY</v>
      </c>
      <c r="P525" s="5"/>
      <c r="Q525" s="5"/>
      <c r="R525" s="5"/>
      <c r="S525" s="90">
        <f>VLOOKUP(C525,[3]Sheet1!$C$3:$P$521,14,0)</f>
        <v>46138.481817129628</v>
      </c>
    </row>
    <row r="526" spans="1:19" ht="18.75" hidden="1" x14ac:dyDescent="0.25">
      <c r="A526" s="4">
        <v>671</v>
      </c>
      <c r="B526" s="5"/>
      <c r="C526" s="41" t="s">
        <v>903</v>
      </c>
      <c r="D526" s="52" t="s">
        <v>904</v>
      </c>
      <c r="E526" s="31" t="s">
        <v>49</v>
      </c>
      <c r="F526" s="5"/>
      <c r="G526" s="21">
        <v>1</v>
      </c>
      <c r="H526" s="22"/>
      <c r="I526" s="22">
        <v>10</v>
      </c>
      <c r="J526" s="5">
        <v>14</v>
      </c>
      <c r="K526" s="23">
        <f t="shared" si="51"/>
        <v>5</v>
      </c>
      <c r="L526" s="58">
        <f>(IFERROR(VLOOKUP(C526,'Current Stocks July-26'!B:K,9,0),0))</f>
        <v>0</v>
      </c>
      <c r="M526" s="24">
        <f t="shared" si="53"/>
        <v>0</v>
      </c>
      <c r="N526" s="25" t="str">
        <f t="shared" si="54"/>
        <v>ORDER NOW</v>
      </c>
      <c r="O526" s="25" t="str">
        <f t="shared" si="55"/>
        <v>CRITICAL</v>
      </c>
      <c r="P526" s="5"/>
      <c r="Q526" s="5"/>
      <c r="R526" s="5"/>
      <c r="S526" s="90" t="e">
        <f>VLOOKUP(C526,[3]Sheet1!$C$3:$P$521,14,0)</f>
        <v>#N/A</v>
      </c>
    </row>
    <row r="527" spans="1:19" ht="18.75" hidden="1" x14ac:dyDescent="0.25">
      <c r="A527" s="41">
        <v>367</v>
      </c>
      <c r="B527" s="41" t="s">
        <v>85</v>
      </c>
      <c r="C527" s="41" t="s">
        <v>1511</v>
      </c>
      <c r="D527" s="27" t="s">
        <v>1512</v>
      </c>
      <c r="E527" s="27" t="s">
        <v>101</v>
      </c>
      <c r="F527" s="5" t="s">
        <v>22</v>
      </c>
      <c r="G527" s="21">
        <v>0.16666666666666666</v>
      </c>
      <c r="H527" s="22">
        <v>21.75</v>
      </c>
      <c r="I527" s="22">
        <f t="shared" ref="I527:I558" si="56">H527/G527</f>
        <v>130.5</v>
      </c>
      <c r="J527" s="5">
        <v>14</v>
      </c>
      <c r="K527" s="23">
        <f t="shared" si="51"/>
        <v>65.25</v>
      </c>
      <c r="L527" s="58">
        <f>(IFERROR(VLOOKUP(C527,'Current Stocks July-26'!B:K,9,0),0))</f>
        <v>67</v>
      </c>
      <c r="M527" s="24">
        <f t="shared" si="53"/>
        <v>15.402298850574713</v>
      </c>
      <c r="N527" s="25" t="str">
        <f t="shared" si="54"/>
        <v>IN STOCK</v>
      </c>
      <c r="O527" s="25" t="str">
        <f t="shared" si="55"/>
        <v>FOLLOW UP DELIVERY</v>
      </c>
      <c r="P527" s="5"/>
      <c r="Q527" s="5"/>
      <c r="R527" s="5"/>
      <c r="S527" s="90">
        <f>VLOOKUP(C527,[3]Sheet1!$C$3:$P$521,14,0)</f>
        <v>46131.520266203705</v>
      </c>
    </row>
    <row r="528" spans="1:19" ht="18.75" hidden="1" x14ac:dyDescent="0.25">
      <c r="A528" s="4">
        <v>653</v>
      </c>
      <c r="B528" s="5"/>
      <c r="C528" s="41" t="s">
        <v>635</v>
      </c>
      <c r="D528" s="52" t="s">
        <v>636</v>
      </c>
      <c r="E528" s="6" t="s">
        <v>637</v>
      </c>
      <c r="F528" s="5" t="s">
        <v>64</v>
      </c>
      <c r="G528" s="21">
        <f>1/(25*0.25)</f>
        <v>0.16</v>
      </c>
      <c r="H528" s="22">
        <v>5</v>
      </c>
      <c r="I528" s="22">
        <f t="shared" si="56"/>
        <v>31.25</v>
      </c>
      <c r="J528" s="5">
        <v>14</v>
      </c>
      <c r="K528" s="23">
        <f t="shared" si="51"/>
        <v>15.625</v>
      </c>
      <c r="L528" s="58">
        <f>(IFERROR(VLOOKUP(C528,'Current Stocks July-26'!B:K,9,0),0))</f>
        <v>0</v>
      </c>
      <c r="M528" s="24">
        <f t="shared" si="53"/>
        <v>0</v>
      </c>
      <c r="N528" s="25" t="str">
        <f t="shared" si="54"/>
        <v>ORDER NOW</v>
      </c>
      <c r="O528" s="25" t="str">
        <f t="shared" si="55"/>
        <v>CRITICAL</v>
      </c>
      <c r="P528" s="5"/>
      <c r="Q528" s="5"/>
      <c r="R528" s="5"/>
      <c r="S528" s="90" t="e">
        <f>VLOOKUP(C528,[3]Sheet1!$C$3:$P$521,14,0)</f>
        <v>#N/A</v>
      </c>
    </row>
    <row r="529" spans="1:19" ht="18.75" hidden="1" x14ac:dyDescent="0.25">
      <c r="A529" s="41">
        <v>509</v>
      </c>
      <c r="B529" s="41" t="s">
        <v>38</v>
      </c>
      <c r="C529" s="41" t="s">
        <v>1292</v>
      </c>
      <c r="D529" s="27" t="s">
        <v>1293</v>
      </c>
      <c r="E529" s="27" t="s">
        <v>1294</v>
      </c>
      <c r="F529" s="5" t="s">
        <v>22</v>
      </c>
      <c r="G529" s="21">
        <v>0.16666666666666666</v>
      </c>
      <c r="H529" s="22">
        <v>10</v>
      </c>
      <c r="I529" s="22">
        <f t="shared" si="56"/>
        <v>60</v>
      </c>
      <c r="J529" s="5">
        <v>14</v>
      </c>
      <c r="K529" s="23">
        <f t="shared" si="51"/>
        <v>30</v>
      </c>
      <c r="L529" s="58">
        <f>(IFERROR(VLOOKUP(C529,'Current Stocks July-26'!B:K,9,0),0))</f>
        <v>0</v>
      </c>
      <c r="M529" s="24">
        <f t="shared" si="53"/>
        <v>0</v>
      </c>
      <c r="N529" s="25" t="str">
        <f t="shared" si="54"/>
        <v>ORDER NOW</v>
      </c>
      <c r="O529" s="25" t="str">
        <f t="shared" si="55"/>
        <v>CRITICAL</v>
      </c>
      <c r="P529" s="5"/>
      <c r="Q529" s="5"/>
      <c r="R529" s="5"/>
      <c r="S529" s="90">
        <f>VLOOKUP(C529,[3]Sheet1!$C$3:$P$521,14,0)</f>
        <v>46134.446736111109</v>
      </c>
    </row>
    <row r="530" spans="1:19" ht="18.75" hidden="1" x14ac:dyDescent="0.25">
      <c r="A530" s="19">
        <v>166</v>
      </c>
      <c r="B530" s="19" t="s">
        <v>18</v>
      </c>
      <c r="C530" s="19" t="s">
        <v>1249</v>
      </c>
      <c r="D530" s="27" t="s">
        <v>1250</v>
      </c>
      <c r="E530" s="27" t="s">
        <v>1251</v>
      </c>
      <c r="F530" s="5" t="s">
        <v>22</v>
      </c>
      <c r="G530" s="21">
        <f>1/150</f>
        <v>6.6666666666666671E-3</v>
      </c>
      <c r="H530" s="22">
        <v>8</v>
      </c>
      <c r="I530" s="22">
        <f t="shared" si="56"/>
        <v>1200</v>
      </c>
      <c r="J530" s="5">
        <v>14</v>
      </c>
      <c r="K530" s="23">
        <f t="shared" si="51"/>
        <v>600</v>
      </c>
      <c r="L530" s="58">
        <f>(IFERROR(VLOOKUP(C530,'Current Stocks July-26'!B:K,9,0),0))</f>
        <v>0</v>
      </c>
      <c r="M530" s="24">
        <f t="shared" si="53"/>
        <v>0</v>
      </c>
      <c r="N530" s="25" t="str">
        <f t="shared" si="54"/>
        <v>ORDER NOW</v>
      </c>
      <c r="O530" s="25" t="str">
        <f t="shared" si="55"/>
        <v>CRITICAL</v>
      </c>
      <c r="P530" s="5"/>
      <c r="Q530" s="5"/>
      <c r="R530" s="5"/>
      <c r="S530" s="90">
        <f>VLOOKUP(C530,[3]Sheet1!$C$3:$P$521,14,0)</f>
        <v>46131.518819444442</v>
      </c>
    </row>
    <row r="531" spans="1:19" ht="18.75" hidden="1" x14ac:dyDescent="0.25">
      <c r="A531" s="19">
        <v>130</v>
      </c>
      <c r="B531" s="19" t="s">
        <v>18</v>
      </c>
      <c r="C531" s="19" t="s">
        <v>974</v>
      </c>
      <c r="D531" s="27" t="s">
        <v>975</v>
      </c>
      <c r="E531" s="27" t="s">
        <v>98</v>
      </c>
      <c r="F531" s="5" t="s">
        <v>46</v>
      </c>
      <c r="G531" s="21">
        <v>2E-3</v>
      </c>
      <c r="H531" s="22">
        <v>25</v>
      </c>
      <c r="I531" s="22">
        <f t="shared" si="56"/>
        <v>12500</v>
      </c>
      <c r="J531" s="5">
        <v>14</v>
      </c>
      <c r="K531" s="23">
        <f t="shared" si="51"/>
        <v>6250</v>
      </c>
      <c r="L531" s="58">
        <f>(IFERROR(VLOOKUP(C531,'Current Stocks July-26'!B:K,9,0),0))</f>
        <v>0</v>
      </c>
      <c r="M531" s="24">
        <f t="shared" si="53"/>
        <v>0</v>
      </c>
      <c r="N531" s="25" t="str">
        <f t="shared" si="54"/>
        <v>ORDER NOW</v>
      </c>
      <c r="O531" s="25" t="str">
        <f t="shared" si="55"/>
        <v>CRITICAL</v>
      </c>
      <c r="P531" s="5"/>
      <c r="Q531" s="5"/>
      <c r="R531" s="5" t="s">
        <v>30</v>
      </c>
      <c r="S531" s="90">
        <f>VLOOKUP(C531,[3]Sheet1!$C$3:$P$521,14,0)</f>
        <v>46138.437835648147</v>
      </c>
    </row>
    <row r="532" spans="1:19" ht="18.75" hidden="1" x14ac:dyDescent="0.25">
      <c r="A532" s="39">
        <v>203</v>
      </c>
      <c r="B532" s="39" t="s">
        <v>18</v>
      </c>
      <c r="C532" s="39" t="s">
        <v>1316</v>
      </c>
      <c r="D532" s="31" t="s">
        <v>1317</v>
      </c>
      <c r="E532" s="31" t="s">
        <v>160</v>
      </c>
      <c r="F532" s="5" t="s">
        <v>49</v>
      </c>
      <c r="G532" s="21">
        <v>1</v>
      </c>
      <c r="H532" s="22">
        <v>22</v>
      </c>
      <c r="I532" s="22">
        <f t="shared" si="56"/>
        <v>22</v>
      </c>
      <c r="J532" s="5">
        <v>14</v>
      </c>
      <c r="K532" s="23">
        <f t="shared" si="51"/>
        <v>11</v>
      </c>
      <c r="L532" s="58">
        <f>(IFERROR(VLOOKUP(C532,'Current Stocks July-26'!B:K,9,0),0))</f>
        <v>0</v>
      </c>
      <c r="M532" s="24">
        <f t="shared" si="53"/>
        <v>0</v>
      </c>
      <c r="N532" s="25" t="str">
        <f t="shared" si="54"/>
        <v>ORDER NOW</v>
      </c>
      <c r="O532" s="25" t="str">
        <f t="shared" si="55"/>
        <v>CRITICAL</v>
      </c>
      <c r="P532" s="5"/>
      <c r="Q532" s="5"/>
      <c r="R532" s="5"/>
      <c r="S532" s="90">
        <f>VLOOKUP(C532,[3]Sheet1!$C$3:$P$521,14,0)</f>
        <v>46131.519166666665</v>
      </c>
    </row>
    <row r="533" spans="1:19" ht="18.75" hidden="1" x14ac:dyDescent="0.25">
      <c r="A533" s="41">
        <v>396</v>
      </c>
      <c r="B533" s="41" t="s">
        <v>38</v>
      </c>
      <c r="C533" s="41" t="s">
        <v>1562</v>
      </c>
      <c r="D533" s="27" t="s">
        <v>1563</v>
      </c>
      <c r="E533" s="27" t="s">
        <v>1564</v>
      </c>
      <c r="F533" s="5" t="s">
        <v>49</v>
      </c>
      <c r="G533" s="21">
        <f>1/(12*0.7)</f>
        <v>0.11904761904761907</v>
      </c>
      <c r="H533" s="22">
        <v>8</v>
      </c>
      <c r="I533" s="22">
        <f t="shared" si="56"/>
        <v>67.199999999999989</v>
      </c>
      <c r="J533" s="5">
        <v>14</v>
      </c>
      <c r="K533" s="23">
        <f t="shared" si="51"/>
        <v>33.599999999999994</v>
      </c>
      <c r="L533" s="58">
        <f>(IFERROR(VLOOKUP(C533,'Current Stocks July-26'!B:K,9,0),0))</f>
        <v>0</v>
      </c>
      <c r="M533" s="24">
        <f t="shared" si="53"/>
        <v>0</v>
      </c>
      <c r="N533" s="25" t="str">
        <f t="shared" si="54"/>
        <v>ORDER NOW</v>
      </c>
      <c r="O533" s="25" t="str">
        <f t="shared" si="55"/>
        <v>CRITICAL</v>
      </c>
      <c r="P533" s="5"/>
      <c r="Q533" s="5"/>
      <c r="R533" s="5"/>
      <c r="S533" s="90">
        <f>VLOOKUP(C533,[3]Sheet1!$C$3:$P$521,14,0)</f>
        <v>46131.520462962966</v>
      </c>
    </row>
    <row r="534" spans="1:19" ht="18.75" hidden="1" x14ac:dyDescent="0.25">
      <c r="A534" s="39">
        <v>231</v>
      </c>
      <c r="B534" s="39" t="s">
        <v>123</v>
      </c>
      <c r="C534" s="39" t="s">
        <v>846</v>
      </c>
      <c r="D534" s="27" t="s">
        <v>847</v>
      </c>
      <c r="E534" s="27" t="s">
        <v>254</v>
      </c>
      <c r="F534" s="5" t="s">
        <v>49</v>
      </c>
      <c r="G534" s="21">
        <v>1</v>
      </c>
      <c r="H534" s="22">
        <v>189</v>
      </c>
      <c r="I534" s="22">
        <f t="shared" si="56"/>
        <v>189</v>
      </c>
      <c r="J534" s="5">
        <v>14</v>
      </c>
      <c r="K534" s="23">
        <f t="shared" si="51"/>
        <v>94.5</v>
      </c>
      <c r="L534" s="58">
        <f>(IFERROR(VLOOKUP(C534,'Current Stocks July-26'!B:K,9,0),0))</f>
        <v>42</v>
      </c>
      <c r="M534" s="24">
        <f t="shared" si="53"/>
        <v>6.6666666666666661</v>
      </c>
      <c r="N534" s="25" t="str">
        <f t="shared" si="54"/>
        <v>ORDER NOW</v>
      </c>
      <c r="O534" s="25" t="str">
        <f t="shared" si="55"/>
        <v>CRITICAL</v>
      </c>
      <c r="P534" s="5"/>
      <c r="Q534" s="5"/>
      <c r="R534" s="5"/>
      <c r="S534" s="90">
        <f>VLOOKUP(C534,[3]Sheet1!$C$3:$P$521,14,0)</f>
        <v>46138.4378125</v>
      </c>
    </row>
    <row r="535" spans="1:19" ht="18.75" hidden="1" x14ac:dyDescent="0.25">
      <c r="A535" s="41">
        <v>380</v>
      </c>
      <c r="B535" s="41" t="s">
        <v>38</v>
      </c>
      <c r="C535" s="41" t="s">
        <v>79</v>
      </c>
      <c r="D535" s="27" t="s">
        <v>80</v>
      </c>
      <c r="E535" s="27" t="s">
        <v>81</v>
      </c>
      <c r="F535" s="5" t="s">
        <v>49</v>
      </c>
      <c r="G535" s="21">
        <v>8.3333333333333329E-2</v>
      </c>
      <c r="H535" s="22">
        <v>55</v>
      </c>
      <c r="I535" s="22">
        <f t="shared" si="56"/>
        <v>660</v>
      </c>
      <c r="J535" s="5">
        <v>14</v>
      </c>
      <c r="K535" s="23">
        <f t="shared" si="51"/>
        <v>330</v>
      </c>
      <c r="L535" s="58">
        <f>(IFERROR(VLOOKUP(C535,'Current Stocks July-26'!B:K,9,0),0))</f>
        <v>6.1999999999999993</v>
      </c>
      <c r="M535" s="24">
        <f t="shared" si="53"/>
        <v>0.2818181818181818</v>
      </c>
      <c r="N535" s="25" t="str">
        <f t="shared" si="54"/>
        <v>ORDER NOW</v>
      </c>
      <c r="O535" s="25" t="str">
        <f t="shared" si="55"/>
        <v>CRITICAL</v>
      </c>
      <c r="P535" s="5"/>
      <c r="Q535" s="5"/>
      <c r="R535" s="5"/>
      <c r="S535" s="90">
        <f>VLOOKUP(C535,[3]Sheet1!$C$3:$P$521,14,0)</f>
        <v>46134.446331018517</v>
      </c>
    </row>
    <row r="536" spans="1:19" ht="18.75" hidden="1" x14ac:dyDescent="0.25">
      <c r="A536" s="19">
        <v>84</v>
      </c>
      <c r="B536" s="19" t="s">
        <v>18</v>
      </c>
      <c r="C536" s="19" t="s">
        <v>1183</v>
      </c>
      <c r="D536" s="27" t="s">
        <v>1184</v>
      </c>
      <c r="E536" s="27" t="s">
        <v>186</v>
      </c>
      <c r="F536" s="5" t="s">
        <v>22</v>
      </c>
      <c r="G536" s="21">
        <v>2E-3</v>
      </c>
      <c r="H536" s="22">
        <v>80</v>
      </c>
      <c r="I536" s="22">
        <f t="shared" si="56"/>
        <v>40000</v>
      </c>
      <c r="J536" s="5">
        <v>14</v>
      </c>
      <c r="K536" s="23">
        <f t="shared" si="51"/>
        <v>20000</v>
      </c>
      <c r="L536" s="58">
        <f>(IFERROR(VLOOKUP(C536,'Current Stocks July-26'!B:K,9,0),0))</f>
        <v>4200</v>
      </c>
      <c r="M536" s="24">
        <f t="shared" si="53"/>
        <v>3.15</v>
      </c>
      <c r="N536" s="25" t="str">
        <f t="shared" si="54"/>
        <v>ORDER NOW</v>
      </c>
      <c r="O536" s="25" t="str">
        <f t="shared" si="55"/>
        <v>CRITICAL</v>
      </c>
      <c r="P536" s="5"/>
      <c r="Q536" s="5"/>
      <c r="R536" s="5" t="s">
        <v>30</v>
      </c>
      <c r="S536" s="90">
        <f>VLOOKUP(C536,[3]Sheet1!$C$3:$P$521,14,0)</f>
        <v>46131.51834490741</v>
      </c>
    </row>
    <row r="537" spans="1:19" ht="18.75" hidden="1" x14ac:dyDescent="0.25">
      <c r="A537" s="39">
        <v>239</v>
      </c>
      <c r="B537" s="39" t="s">
        <v>123</v>
      </c>
      <c r="C537" s="39" t="s">
        <v>791</v>
      </c>
      <c r="D537" s="27" t="s">
        <v>792</v>
      </c>
      <c r="E537" s="27" t="s">
        <v>793</v>
      </c>
      <c r="F537" s="5" t="s">
        <v>794</v>
      </c>
      <c r="G537" s="21">
        <v>0.04</v>
      </c>
      <c r="H537" s="22">
        <v>69</v>
      </c>
      <c r="I537" s="22">
        <f t="shared" si="56"/>
        <v>1725</v>
      </c>
      <c r="J537" s="5">
        <v>14</v>
      </c>
      <c r="K537" s="23">
        <f t="shared" si="51"/>
        <v>862.5</v>
      </c>
      <c r="L537" s="58">
        <f>(IFERROR(VLOOKUP(C537,'Current Stocks July-26'!B:K,9,0),0))</f>
        <v>386</v>
      </c>
      <c r="M537" s="24">
        <f t="shared" si="53"/>
        <v>6.713043478260869</v>
      </c>
      <c r="N537" s="25" t="str">
        <f t="shared" si="54"/>
        <v>ORDER NOW</v>
      </c>
      <c r="O537" s="25" t="str">
        <f t="shared" si="55"/>
        <v>CRITICAL</v>
      </c>
      <c r="P537" s="5"/>
      <c r="Q537" s="5"/>
      <c r="R537" s="5"/>
      <c r="S537" s="90">
        <f>VLOOKUP(C537,[3]Sheet1!$C$3:$P$521,14,0)</f>
        <v>46131.519131944442</v>
      </c>
    </row>
    <row r="538" spans="1:19" ht="18.75" hidden="1" x14ac:dyDescent="0.25">
      <c r="A538" s="41">
        <v>390</v>
      </c>
      <c r="B538" s="41" t="s">
        <v>38</v>
      </c>
      <c r="C538" s="41" t="s">
        <v>65</v>
      </c>
      <c r="D538" s="27" t="s">
        <v>66</v>
      </c>
      <c r="E538" s="27" t="s">
        <v>67</v>
      </c>
      <c r="F538" s="5" t="s">
        <v>49</v>
      </c>
      <c r="G538" s="21">
        <v>2</v>
      </c>
      <c r="H538" s="22">
        <v>44</v>
      </c>
      <c r="I538" s="22">
        <f t="shared" si="56"/>
        <v>22</v>
      </c>
      <c r="J538" s="5">
        <v>14</v>
      </c>
      <c r="K538" s="23">
        <f t="shared" si="51"/>
        <v>11</v>
      </c>
      <c r="L538" s="58">
        <f>(IFERROR(VLOOKUP(C538,'Current Stocks July-26'!B:K,9,0),0))</f>
        <v>0</v>
      </c>
      <c r="M538" s="24">
        <f t="shared" si="53"/>
        <v>0</v>
      </c>
      <c r="N538" s="25" t="str">
        <f t="shared" si="54"/>
        <v>ORDER NOW</v>
      </c>
      <c r="O538" s="25" t="str">
        <f t="shared" si="55"/>
        <v>CRITICAL</v>
      </c>
      <c r="P538" s="5"/>
      <c r="Q538" s="5"/>
      <c r="R538" s="5"/>
      <c r="S538" s="90">
        <f>VLOOKUP(C538,[3]Sheet1!$C$3:$P$521,14,0)</f>
        <v>46140.605092592596</v>
      </c>
    </row>
    <row r="539" spans="1:19" ht="18.75" hidden="1" x14ac:dyDescent="0.25">
      <c r="A539" s="41">
        <v>436</v>
      </c>
      <c r="B539" s="41" t="s">
        <v>38</v>
      </c>
      <c r="C539" s="41" t="s">
        <v>1341</v>
      </c>
      <c r="D539" s="27" t="s">
        <v>1342</v>
      </c>
      <c r="E539" s="27" t="s">
        <v>64</v>
      </c>
      <c r="F539" s="5" t="s">
        <v>49</v>
      </c>
      <c r="G539" s="21">
        <v>0.04</v>
      </c>
      <c r="H539" s="22">
        <v>30</v>
      </c>
      <c r="I539" s="22">
        <f t="shared" si="56"/>
        <v>750</v>
      </c>
      <c r="J539" s="5">
        <v>14</v>
      </c>
      <c r="K539" s="23">
        <f t="shared" si="51"/>
        <v>375</v>
      </c>
      <c r="L539" s="58">
        <f>(IFERROR(VLOOKUP(C539,'Current Stocks July-26'!B:K,9,0),0))</f>
        <v>0</v>
      </c>
      <c r="M539" s="24">
        <f t="shared" si="53"/>
        <v>0</v>
      </c>
      <c r="N539" s="25" t="str">
        <f t="shared" si="54"/>
        <v>ORDER NOW</v>
      </c>
      <c r="O539" s="25" t="str">
        <f t="shared" si="55"/>
        <v>CRITICAL</v>
      </c>
      <c r="P539" s="5"/>
      <c r="Q539" s="5"/>
      <c r="R539" s="5"/>
      <c r="S539" s="90">
        <f>VLOOKUP(C539,[3]Sheet1!$C$3:$P$521,14,0)</f>
        <v>46131.519317129627</v>
      </c>
    </row>
    <row r="540" spans="1:19" ht="18.75" hidden="1" x14ac:dyDescent="0.25">
      <c r="A540" s="41">
        <v>334</v>
      </c>
      <c r="B540" s="41" t="s">
        <v>38</v>
      </c>
      <c r="C540" s="41" t="s">
        <v>369</v>
      </c>
      <c r="D540" s="27" t="s">
        <v>370</v>
      </c>
      <c r="E540" s="27" t="s">
        <v>371</v>
      </c>
      <c r="F540" s="5" t="s">
        <v>22</v>
      </c>
      <c r="G540" s="21">
        <v>8.3333333333333329E-2</v>
      </c>
      <c r="H540" s="22">
        <v>77</v>
      </c>
      <c r="I540" s="22">
        <f t="shared" si="56"/>
        <v>924</v>
      </c>
      <c r="J540" s="5">
        <v>14</v>
      </c>
      <c r="K540" s="23">
        <f t="shared" si="51"/>
        <v>462</v>
      </c>
      <c r="L540" s="58">
        <f>(IFERROR(VLOOKUP(C540,'Current Stocks July-26'!B:K,9,0),0))</f>
        <v>0</v>
      </c>
      <c r="M540" s="24">
        <f t="shared" si="53"/>
        <v>0</v>
      </c>
      <c r="N540" s="25" t="str">
        <f t="shared" si="54"/>
        <v>ORDER NOW</v>
      </c>
      <c r="O540" s="25" t="str">
        <f t="shared" si="55"/>
        <v>CRITICAL</v>
      </c>
      <c r="P540" s="5"/>
      <c r="Q540" s="5"/>
      <c r="R540" s="5"/>
      <c r="S540" s="90">
        <f>VLOOKUP(C540,[3]Sheet1!$C$3:$P$521,14,0)</f>
        <v>46113.430914351855</v>
      </c>
    </row>
    <row r="541" spans="1:19" ht="18.75" hidden="1" x14ac:dyDescent="0.25">
      <c r="A541" s="19">
        <v>81</v>
      </c>
      <c r="B541" s="19" t="s">
        <v>18</v>
      </c>
      <c r="C541" s="19" t="s">
        <v>1421</v>
      </c>
      <c r="D541" s="27" t="s">
        <v>1422</v>
      </c>
      <c r="E541" s="27" t="s">
        <v>873</v>
      </c>
      <c r="F541" s="5" t="s">
        <v>22</v>
      </c>
      <c r="G541" s="21">
        <v>2E-3</v>
      </c>
      <c r="H541" s="22">
        <v>16</v>
      </c>
      <c r="I541" s="22">
        <f t="shared" si="56"/>
        <v>8000</v>
      </c>
      <c r="J541" s="5">
        <v>14</v>
      </c>
      <c r="K541" s="23">
        <f t="shared" si="51"/>
        <v>4000</v>
      </c>
      <c r="L541" s="58">
        <f>(IFERROR(VLOOKUP(C541,'Current Stocks July-26'!B:K,9,0),0))</f>
        <v>1000</v>
      </c>
      <c r="M541" s="24">
        <f t="shared" si="53"/>
        <v>3.75</v>
      </c>
      <c r="N541" s="25" t="str">
        <f t="shared" si="54"/>
        <v>ORDER NOW</v>
      </c>
      <c r="O541" s="25" t="str">
        <f t="shared" si="55"/>
        <v>CRITICAL</v>
      </c>
      <c r="P541" s="5"/>
      <c r="Q541" s="5"/>
      <c r="R541" s="5" t="s">
        <v>30</v>
      </c>
      <c r="S541" s="90">
        <f>VLOOKUP(C541,[3]Sheet1!$C$3:$P$521,14,0)</f>
        <v>46131.51966435185</v>
      </c>
    </row>
    <row r="542" spans="1:19" ht="18.75" hidden="1" x14ac:dyDescent="0.25">
      <c r="A542" s="19">
        <v>172</v>
      </c>
      <c r="B542" s="19" t="s">
        <v>18</v>
      </c>
      <c r="C542" s="19" t="s">
        <v>1497</v>
      </c>
      <c r="D542" s="36" t="s">
        <v>1498</v>
      </c>
      <c r="E542" s="27" t="s">
        <v>1499</v>
      </c>
      <c r="F542" s="5" t="s">
        <v>49</v>
      </c>
      <c r="G542" s="21">
        <f>1/310</f>
        <v>3.2258064516129032E-3</v>
      </c>
      <c r="H542" s="22">
        <v>50</v>
      </c>
      <c r="I542" s="22">
        <f t="shared" si="56"/>
        <v>15500</v>
      </c>
      <c r="J542" s="5">
        <v>60</v>
      </c>
      <c r="K542" s="23">
        <f t="shared" si="51"/>
        <v>33214.28571428571</v>
      </c>
      <c r="L542" s="58">
        <f>(IFERROR(VLOOKUP(C542,'Current Stocks July-26'!B:K,9,0),0))</f>
        <v>0</v>
      </c>
      <c r="M542" s="24">
        <f t="shared" si="53"/>
        <v>0</v>
      </c>
      <c r="N542" s="25" t="str">
        <f t="shared" si="54"/>
        <v>ORDER NOW</v>
      </c>
      <c r="O542" s="25" t="str">
        <f t="shared" si="55"/>
        <v>CRITICAL</v>
      </c>
      <c r="P542" s="5"/>
      <c r="Q542" s="5"/>
      <c r="R542" s="5"/>
      <c r="S542" s="90" t="str">
        <f>VLOOKUP(C542,[3]Sheet1!$C$3:$P$521,14,0)</f>
        <v/>
      </c>
    </row>
    <row r="543" spans="1:19" ht="18.75" hidden="1" x14ac:dyDescent="0.25">
      <c r="A543" s="39">
        <v>241</v>
      </c>
      <c r="B543" s="39" t="s">
        <v>123</v>
      </c>
      <c r="C543" s="39" t="s">
        <v>879</v>
      </c>
      <c r="D543" s="27" t="s">
        <v>880</v>
      </c>
      <c r="E543" s="27" t="s">
        <v>706</v>
      </c>
      <c r="F543" s="5" t="s">
        <v>49</v>
      </c>
      <c r="G543" s="21">
        <v>0.2</v>
      </c>
      <c r="H543" s="22">
        <v>24</v>
      </c>
      <c r="I543" s="22">
        <f t="shared" si="56"/>
        <v>120</v>
      </c>
      <c r="J543" s="5">
        <v>14</v>
      </c>
      <c r="K543" s="23">
        <f t="shared" si="51"/>
        <v>60</v>
      </c>
      <c r="L543" s="58">
        <f>(IFERROR(VLOOKUP(C543,'Current Stocks July-26'!B:K,9,0),0))</f>
        <v>18</v>
      </c>
      <c r="M543" s="24">
        <f t="shared" si="53"/>
        <v>4.5</v>
      </c>
      <c r="N543" s="25" t="str">
        <f t="shared" si="54"/>
        <v>ORDER NOW</v>
      </c>
      <c r="O543" s="25" t="str">
        <f t="shared" si="55"/>
        <v>CRITICAL</v>
      </c>
      <c r="P543" s="5"/>
      <c r="Q543" s="5"/>
      <c r="R543" s="5"/>
      <c r="S543" s="90">
        <f>VLOOKUP(C543,[3]Sheet1!$C$3:$P$521,14,0)</f>
        <v>46131.519166666665</v>
      </c>
    </row>
    <row r="544" spans="1:19" ht="18.75" hidden="1" x14ac:dyDescent="0.25">
      <c r="A544" s="39">
        <v>313</v>
      </c>
      <c r="B544" s="39" t="s">
        <v>123</v>
      </c>
      <c r="C544" s="39" t="s">
        <v>1434</v>
      </c>
      <c r="D544" s="27" t="s">
        <v>1435</v>
      </c>
      <c r="E544" s="27" t="s">
        <v>78</v>
      </c>
      <c r="F544" s="5" t="s">
        <v>49</v>
      </c>
      <c r="G544" s="21">
        <v>1</v>
      </c>
      <c r="H544" s="22">
        <v>24</v>
      </c>
      <c r="I544" s="22">
        <f t="shared" si="56"/>
        <v>24</v>
      </c>
      <c r="J544" s="5">
        <v>14</v>
      </c>
      <c r="K544" s="23">
        <f t="shared" si="51"/>
        <v>12</v>
      </c>
      <c r="L544" s="58">
        <f>(IFERROR(VLOOKUP(C544,'Current Stocks July-26'!B:K,9,0),0))</f>
        <v>0</v>
      </c>
      <c r="M544" s="24">
        <f t="shared" si="53"/>
        <v>0</v>
      </c>
      <c r="N544" s="25" t="str">
        <f t="shared" si="54"/>
        <v>ORDER NOW</v>
      </c>
      <c r="O544" s="25" t="str">
        <f t="shared" si="55"/>
        <v>CRITICAL</v>
      </c>
      <c r="P544" s="5"/>
      <c r="Q544" s="5"/>
      <c r="R544" s="5"/>
      <c r="S544" s="90">
        <f>VLOOKUP(C544,[3]Sheet1!$C$3:$P$521,14,0)</f>
        <v>46131.519953703704</v>
      </c>
    </row>
    <row r="545" spans="1:19" ht="18.75" hidden="1" x14ac:dyDescent="0.25">
      <c r="A545" s="41">
        <v>517</v>
      </c>
      <c r="B545" s="41" t="s">
        <v>85</v>
      </c>
      <c r="C545" s="41" t="s">
        <v>713</v>
      </c>
      <c r="D545" s="27" t="s">
        <v>714</v>
      </c>
      <c r="E545" s="27" t="s">
        <v>715</v>
      </c>
      <c r="F545" s="5" t="s">
        <v>54</v>
      </c>
      <c r="G545" s="21">
        <v>2.5000000000000001E-2</v>
      </c>
      <c r="H545" s="22">
        <v>149</v>
      </c>
      <c r="I545" s="22">
        <f t="shared" si="56"/>
        <v>5960</v>
      </c>
      <c r="J545" s="5">
        <v>14</v>
      </c>
      <c r="K545" s="23">
        <f t="shared" si="51"/>
        <v>2980</v>
      </c>
      <c r="L545" s="58">
        <f>(IFERROR(VLOOKUP(C545,'Current Stocks July-26'!B:K,9,0),0))</f>
        <v>0</v>
      </c>
      <c r="M545" s="24">
        <f t="shared" si="53"/>
        <v>0</v>
      </c>
      <c r="N545" s="25" t="str">
        <f t="shared" si="54"/>
        <v>ORDER NOW</v>
      </c>
      <c r="O545" s="25" t="str">
        <f t="shared" si="55"/>
        <v>CRITICAL</v>
      </c>
      <c r="P545" s="5"/>
      <c r="Q545" s="5"/>
      <c r="R545" s="5"/>
      <c r="S545" s="90">
        <f>VLOOKUP(C545,[3]Sheet1!$C$3:$P$521,14,0)</f>
        <v>46134.44672453704</v>
      </c>
    </row>
    <row r="546" spans="1:19" ht="18.75" hidden="1" x14ac:dyDescent="0.25">
      <c r="A546" s="39">
        <v>210</v>
      </c>
      <c r="B546" s="39" t="s">
        <v>123</v>
      </c>
      <c r="C546" s="39" t="s">
        <v>721</v>
      </c>
      <c r="D546" s="27" t="s">
        <v>722</v>
      </c>
      <c r="E546" s="27" t="s">
        <v>254</v>
      </c>
      <c r="F546" s="5" t="s">
        <v>49</v>
      </c>
      <c r="G546" s="21">
        <v>1</v>
      </c>
      <c r="H546" s="22">
        <v>437.5</v>
      </c>
      <c r="I546" s="22">
        <f t="shared" si="56"/>
        <v>437.5</v>
      </c>
      <c r="J546" s="5">
        <v>14</v>
      </c>
      <c r="K546" s="23">
        <f t="shared" si="51"/>
        <v>218.75</v>
      </c>
      <c r="L546" s="58">
        <f>(IFERROR(VLOOKUP(C546,'Current Stocks July-26'!B:K,9,0),0))</f>
        <v>104</v>
      </c>
      <c r="M546" s="24">
        <f t="shared" si="53"/>
        <v>7.1314285714285717</v>
      </c>
      <c r="N546" s="25" t="str">
        <f t="shared" si="54"/>
        <v>ORDER NOW</v>
      </c>
      <c r="O546" s="25" t="str">
        <f t="shared" si="55"/>
        <v>CRITICAL</v>
      </c>
      <c r="P546" s="5"/>
      <c r="Q546" s="5"/>
      <c r="R546" s="5"/>
      <c r="S546" s="90">
        <f>VLOOKUP(C546,[3]Sheet1!$C$3:$P$521,14,0)</f>
        <v>46128.687615740739</v>
      </c>
    </row>
    <row r="547" spans="1:19" ht="18.75" hidden="1" x14ac:dyDescent="0.25">
      <c r="A547" s="49">
        <v>584</v>
      </c>
      <c r="B547" s="49" t="s">
        <v>298</v>
      </c>
      <c r="C547" s="49" t="s">
        <v>1299</v>
      </c>
      <c r="D547" s="27" t="s">
        <v>1300</v>
      </c>
      <c r="E547" s="27" t="s">
        <v>49</v>
      </c>
      <c r="F547" s="5" t="s">
        <v>49</v>
      </c>
      <c r="G547" s="21">
        <v>1</v>
      </c>
      <c r="H547" s="22">
        <v>11</v>
      </c>
      <c r="I547" s="22">
        <f t="shared" si="56"/>
        <v>11</v>
      </c>
      <c r="J547" s="5">
        <v>14</v>
      </c>
      <c r="K547" s="23">
        <f t="shared" si="51"/>
        <v>5.5</v>
      </c>
      <c r="L547" s="58">
        <f>(IFERROR(VLOOKUP(C547,'Current Stocks July-26'!B:K,9,0),0))</f>
        <v>0</v>
      </c>
      <c r="M547" s="24">
        <f t="shared" si="53"/>
        <v>0</v>
      </c>
      <c r="N547" s="25" t="str">
        <f t="shared" si="54"/>
        <v>ORDER NOW</v>
      </c>
      <c r="O547" s="25" t="str">
        <f t="shared" si="55"/>
        <v>CRITICAL</v>
      </c>
      <c r="P547" s="5"/>
      <c r="Q547" s="5"/>
      <c r="R547" s="5"/>
      <c r="S547" s="90">
        <f>VLOOKUP(C547,[3]Sheet1!$C$3:$P$521,14,0)</f>
        <v>46131.519108796296</v>
      </c>
    </row>
    <row r="548" spans="1:19" ht="18.75" hidden="1" x14ac:dyDescent="0.25">
      <c r="A548" s="41">
        <v>479</v>
      </c>
      <c r="B548" s="41" t="s">
        <v>38</v>
      </c>
      <c r="C548" s="41" t="s">
        <v>1330</v>
      </c>
      <c r="D548" s="27" t="s">
        <v>1331</v>
      </c>
      <c r="E548" s="27" t="s">
        <v>1332</v>
      </c>
      <c r="F548" s="5" t="s">
        <v>22</v>
      </c>
      <c r="G548" s="21">
        <v>0.5</v>
      </c>
      <c r="H548" s="22">
        <v>100</v>
      </c>
      <c r="I548" s="22">
        <f t="shared" si="56"/>
        <v>200</v>
      </c>
      <c r="J548" s="5">
        <v>14</v>
      </c>
      <c r="K548" s="23">
        <f t="shared" si="51"/>
        <v>100</v>
      </c>
      <c r="L548" s="58">
        <f>(IFERROR(VLOOKUP(C548,'Current Stocks July-26'!B:K,9,0),0))</f>
        <v>0</v>
      </c>
      <c r="M548" s="24">
        <f t="shared" si="53"/>
        <v>0</v>
      </c>
      <c r="N548" s="25" t="str">
        <f t="shared" si="54"/>
        <v>ORDER NOW</v>
      </c>
      <c r="O548" s="25" t="str">
        <f t="shared" si="55"/>
        <v>CRITICAL</v>
      </c>
      <c r="P548" s="5"/>
      <c r="Q548" s="5"/>
      <c r="R548" s="5"/>
      <c r="S548" s="90">
        <f>VLOOKUP(C548,[3]Sheet1!$C$3:$P$521,14,0)</f>
        <v>46131.519224537034</v>
      </c>
    </row>
    <row r="549" spans="1:19" ht="18.75" hidden="1" x14ac:dyDescent="0.25">
      <c r="A549" s="39">
        <v>285</v>
      </c>
      <c r="B549" s="39" t="s">
        <v>234</v>
      </c>
      <c r="C549" s="39" t="s">
        <v>881</v>
      </c>
      <c r="D549" s="27" t="s">
        <v>882</v>
      </c>
      <c r="E549" s="27" t="s">
        <v>883</v>
      </c>
      <c r="F549" s="5" t="s">
        <v>22</v>
      </c>
      <c r="G549" s="21">
        <v>4.4444444444444444E-3</v>
      </c>
      <c r="H549" s="22">
        <v>27.5</v>
      </c>
      <c r="I549" s="22">
        <f t="shared" si="56"/>
        <v>6187.5</v>
      </c>
      <c r="J549" s="5">
        <v>14</v>
      </c>
      <c r="K549" s="23">
        <f t="shared" si="51"/>
        <v>3093.75</v>
      </c>
      <c r="L549" s="58">
        <f>(IFERROR(VLOOKUP(C549,'Current Stocks July-26'!B:K,9,0),0))</f>
        <v>900</v>
      </c>
      <c r="M549" s="24">
        <f t="shared" si="53"/>
        <v>4.3636363636363633</v>
      </c>
      <c r="N549" s="25" t="str">
        <f t="shared" si="54"/>
        <v>ORDER NOW</v>
      </c>
      <c r="O549" s="25" t="str">
        <f t="shared" si="55"/>
        <v>CRITICAL</v>
      </c>
      <c r="P549" s="5"/>
      <c r="Q549" s="5"/>
      <c r="R549" s="5"/>
      <c r="S549" s="90">
        <f>VLOOKUP(C549,[3]Sheet1!$C$3:$P$521,14,0)</f>
        <v>46131.518877314818</v>
      </c>
    </row>
    <row r="550" spans="1:19" ht="18.75" x14ac:dyDescent="0.25">
      <c r="A550" s="19">
        <v>168</v>
      </c>
      <c r="B550" s="19" t="s">
        <v>18</v>
      </c>
      <c r="C550" s="19" t="s">
        <v>19</v>
      </c>
      <c r="D550" s="27" t="s">
        <v>1646</v>
      </c>
      <c r="E550" s="27" t="s">
        <v>21</v>
      </c>
      <c r="F550" s="5" t="s">
        <v>22</v>
      </c>
      <c r="G550" s="21">
        <v>1.6666666666666668E-3</v>
      </c>
      <c r="H550" s="22">
        <v>13</v>
      </c>
      <c r="I550" s="22">
        <f t="shared" si="56"/>
        <v>7799.9999999999991</v>
      </c>
      <c r="J550" s="5">
        <v>14</v>
      </c>
      <c r="K550" s="23">
        <f t="shared" si="51"/>
        <v>3899.9999999999995</v>
      </c>
      <c r="L550" s="58">
        <f>(IFERROR(VLOOKUP(C550,'Current Stocks July-26'!B:K,9,0),0))</f>
        <v>0</v>
      </c>
      <c r="M550" s="24">
        <f t="shared" si="53"/>
        <v>0</v>
      </c>
      <c r="N550" s="25" t="str">
        <f t="shared" si="54"/>
        <v>ORDER NOW</v>
      </c>
      <c r="O550" s="25" t="str">
        <f t="shared" si="55"/>
        <v>CRITICAL</v>
      </c>
      <c r="P550" s="5"/>
      <c r="Q550" s="5"/>
      <c r="R550" s="5"/>
      <c r="S550" s="90">
        <f>VLOOKUP(C550,[3]Sheet1!$C$3:$P$521,14,0)</f>
        <v>46141.525138888886</v>
      </c>
    </row>
    <row r="551" spans="1:19" ht="18.75" hidden="1" x14ac:dyDescent="0.25">
      <c r="A551" s="41">
        <v>375</v>
      </c>
      <c r="B551" s="41" t="s">
        <v>85</v>
      </c>
      <c r="C551" s="41" t="s">
        <v>127</v>
      </c>
      <c r="D551" s="27" t="s">
        <v>128</v>
      </c>
      <c r="E551" s="27" t="s">
        <v>101</v>
      </c>
      <c r="F551" s="5" t="s">
        <v>22</v>
      </c>
      <c r="G551" s="21">
        <f>1/6</f>
        <v>0.16666666666666666</v>
      </c>
      <c r="H551" s="22">
        <v>16.5</v>
      </c>
      <c r="I551" s="22">
        <f t="shared" si="56"/>
        <v>99</v>
      </c>
      <c r="J551" s="5">
        <v>14</v>
      </c>
      <c r="K551" s="23">
        <f t="shared" si="51"/>
        <v>49.5</v>
      </c>
      <c r="L551" s="58">
        <f>(IFERROR(VLOOKUP(C551,'Current Stocks July-26'!B:K,9,0),0))</f>
        <v>99</v>
      </c>
      <c r="M551" s="24">
        <f t="shared" si="53"/>
        <v>30</v>
      </c>
      <c r="N551" s="25" t="str">
        <f t="shared" si="54"/>
        <v>IN STOCK</v>
      </c>
      <c r="O551" s="25" t="str">
        <f t="shared" si="55"/>
        <v>FOLLOW UP DELIVERY</v>
      </c>
      <c r="P551" s="5"/>
      <c r="Q551" s="5"/>
      <c r="R551" s="5"/>
      <c r="S551" s="90">
        <f>VLOOKUP(C551,[3]Sheet1!$C$3:$P$521,14,0)</f>
        <v>46113.430949074071</v>
      </c>
    </row>
    <row r="552" spans="1:19" ht="18.75" hidden="1" x14ac:dyDescent="0.25">
      <c r="A552" s="19">
        <v>171</v>
      </c>
      <c r="B552" s="19" t="s">
        <v>18</v>
      </c>
      <c r="C552" s="19" t="s">
        <v>1528</v>
      </c>
      <c r="D552" s="36" t="s">
        <v>1529</v>
      </c>
      <c r="E552" s="27" t="s">
        <v>1530</v>
      </c>
      <c r="F552" s="5" t="s">
        <v>49</v>
      </c>
      <c r="G552" s="21">
        <f>1/331</f>
        <v>3.0211480362537764E-3</v>
      </c>
      <c r="H552" s="22">
        <v>30</v>
      </c>
      <c r="I552" s="22">
        <f t="shared" si="56"/>
        <v>9930</v>
      </c>
      <c r="J552" s="5">
        <v>60</v>
      </c>
      <c r="K552" s="23">
        <f t="shared" si="51"/>
        <v>21278.571428571428</v>
      </c>
      <c r="L552" s="58">
        <f>(IFERROR(VLOOKUP(C552,'Current Stocks July-26'!B:K,9,0),0))</f>
        <v>0</v>
      </c>
      <c r="M552" s="24">
        <f t="shared" si="53"/>
        <v>0</v>
      </c>
      <c r="N552" s="25" t="str">
        <f t="shared" si="54"/>
        <v>ORDER NOW</v>
      </c>
      <c r="O552" s="25" t="str">
        <f t="shared" si="55"/>
        <v>CRITICAL</v>
      </c>
      <c r="P552" s="5"/>
      <c r="Q552" s="5"/>
      <c r="R552" s="5"/>
      <c r="S552" s="90" t="str">
        <f>VLOOKUP(C552,[3]Sheet1!$C$3:$P$521,14,0)</f>
        <v/>
      </c>
    </row>
    <row r="553" spans="1:19" ht="18.75" hidden="1" x14ac:dyDescent="0.25">
      <c r="A553" s="39">
        <v>262</v>
      </c>
      <c r="B553" s="39" t="s">
        <v>239</v>
      </c>
      <c r="C553" s="39" t="s">
        <v>1333</v>
      </c>
      <c r="D553" s="27" t="s">
        <v>1334</v>
      </c>
      <c r="E553" s="27" t="s">
        <v>78</v>
      </c>
      <c r="F553" s="5" t="s">
        <v>49</v>
      </c>
      <c r="G553" s="21">
        <v>1</v>
      </c>
      <c r="H553" s="22">
        <v>33</v>
      </c>
      <c r="I553" s="22">
        <f t="shared" si="56"/>
        <v>33</v>
      </c>
      <c r="J553" s="5">
        <v>14</v>
      </c>
      <c r="K553" s="23">
        <f t="shared" si="51"/>
        <v>16.5</v>
      </c>
      <c r="L553" s="58">
        <f>(IFERROR(VLOOKUP(C553,'Current Stocks July-26'!B:K,9,0),0))</f>
        <v>0</v>
      </c>
      <c r="M553" s="24">
        <f t="shared" si="53"/>
        <v>0</v>
      </c>
      <c r="N553" s="25" t="str">
        <f t="shared" si="54"/>
        <v>ORDER NOW</v>
      </c>
      <c r="O553" s="25" t="str">
        <f t="shared" si="55"/>
        <v>CRITICAL</v>
      </c>
      <c r="P553" s="5"/>
      <c r="Q553" s="5"/>
      <c r="R553" s="5"/>
      <c r="S553" s="90">
        <f>VLOOKUP(C553,[3]Sheet1!$C$3:$P$521,14,0)</f>
        <v>46131.519236111111</v>
      </c>
    </row>
    <row r="554" spans="1:19" ht="18.75" hidden="1" x14ac:dyDescent="0.25">
      <c r="A554" s="4">
        <v>601</v>
      </c>
      <c r="B554" s="4" t="s">
        <v>85</v>
      </c>
      <c r="C554" s="4" t="s">
        <v>747</v>
      </c>
      <c r="D554" s="27" t="s">
        <v>748</v>
      </c>
      <c r="E554" s="27" t="s">
        <v>78</v>
      </c>
      <c r="F554" s="5" t="s">
        <v>49</v>
      </c>
      <c r="G554" s="21">
        <v>1</v>
      </c>
      <c r="H554" s="22">
        <v>121</v>
      </c>
      <c r="I554" s="22">
        <f t="shared" si="56"/>
        <v>121</v>
      </c>
      <c r="J554" s="5">
        <v>14</v>
      </c>
      <c r="K554" s="23">
        <f t="shared" ref="K554:K617" si="57">I554*(J554/28)</f>
        <v>60.5</v>
      </c>
      <c r="L554" s="58">
        <f>(IFERROR(VLOOKUP(C554,'Current Stocks July-26'!B:K,9,0),0))</f>
        <v>0</v>
      </c>
      <c r="M554" s="24">
        <f t="shared" si="53"/>
        <v>0</v>
      </c>
      <c r="N554" s="25" t="str">
        <f t="shared" si="54"/>
        <v>ORDER NOW</v>
      </c>
      <c r="O554" s="25" t="str">
        <f t="shared" si="55"/>
        <v>CRITICAL</v>
      </c>
      <c r="P554" s="5"/>
      <c r="Q554" s="5"/>
      <c r="R554" s="5"/>
      <c r="S554" s="90">
        <f>VLOOKUP(C554,[3]Sheet1!$C$3:$P$521,14,0)</f>
        <v>46138.481446759259</v>
      </c>
    </row>
    <row r="555" spans="1:19" ht="18.75" hidden="1" x14ac:dyDescent="0.25">
      <c r="A555" s="19">
        <v>27</v>
      </c>
      <c r="B555" s="19" t="s">
        <v>18</v>
      </c>
      <c r="C555" s="19" t="s">
        <v>1328</v>
      </c>
      <c r="D555" s="27" t="s">
        <v>1329</v>
      </c>
      <c r="E555" s="27" t="s">
        <v>25</v>
      </c>
      <c r="F555" s="5" t="s">
        <v>22</v>
      </c>
      <c r="G555" s="21">
        <v>2E-3</v>
      </c>
      <c r="H555" s="22">
        <v>1028.5</v>
      </c>
      <c r="I555" s="22">
        <f t="shared" si="56"/>
        <v>514250</v>
      </c>
      <c r="J555" s="5">
        <v>60</v>
      </c>
      <c r="K555" s="23">
        <f t="shared" si="57"/>
        <v>1101964.2857142857</v>
      </c>
      <c r="L555" s="58">
        <f>(IFERROR(VLOOKUP(C555,'Current Stocks July-26'!B:K,9,0),0))</f>
        <v>178800</v>
      </c>
      <c r="M555" s="24">
        <f t="shared" si="53"/>
        <v>10.430724355858045</v>
      </c>
      <c r="N555" s="25" t="str">
        <f t="shared" si="54"/>
        <v>ORDER NOW</v>
      </c>
      <c r="O555" s="25" t="str">
        <f t="shared" si="55"/>
        <v>CRITICAL</v>
      </c>
      <c r="P555" s="5"/>
      <c r="Q555" s="5"/>
      <c r="R555" s="5" t="s">
        <v>30</v>
      </c>
      <c r="S555" s="90">
        <f>VLOOKUP(C555,[3]Sheet1!$C$3:$P$521,14,0)</f>
        <v>46140.606990740744</v>
      </c>
    </row>
    <row r="556" spans="1:19" ht="18.75" hidden="1" x14ac:dyDescent="0.25">
      <c r="A556" s="41">
        <v>382</v>
      </c>
      <c r="B556" s="41" t="s">
        <v>38</v>
      </c>
      <c r="C556" s="41" t="s">
        <v>1091</v>
      </c>
      <c r="D556" s="27" t="s">
        <v>1092</v>
      </c>
      <c r="E556" s="27" t="s">
        <v>1093</v>
      </c>
      <c r="F556" s="5" t="s">
        <v>89</v>
      </c>
      <c r="G556" s="21">
        <f>1/9</f>
        <v>0.1111111111111111</v>
      </c>
      <c r="H556" s="22">
        <v>5.5</v>
      </c>
      <c r="I556" s="22">
        <f t="shared" si="56"/>
        <v>49.5</v>
      </c>
      <c r="J556" s="5">
        <v>14</v>
      </c>
      <c r="K556" s="23">
        <f t="shared" si="57"/>
        <v>24.75</v>
      </c>
      <c r="L556" s="58">
        <f>(IFERROR(VLOOKUP(C556,'Current Stocks July-26'!B:K,9,0),0))</f>
        <v>0</v>
      </c>
      <c r="M556" s="24">
        <f t="shared" si="53"/>
        <v>0</v>
      </c>
      <c r="N556" s="25" t="str">
        <f t="shared" si="54"/>
        <v>ORDER NOW</v>
      </c>
      <c r="O556" s="25" t="str">
        <f t="shared" si="55"/>
        <v>CRITICAL</v>
      </c>
      <c r="P556" s="5"/>
      <c r="Q556" s="5"/>
      <c r="R556" s="5"/>
      <c r="S556" s="90">
        <f>VLOOKUP(C556,[3]Sheet1!$C$3:$P$521,14,0)</f>
        <v>46141.525810185187</v>
      </c>
    </row>
    <row r="557" spans="1:19" ht="18.75" hidden="1" x14ac:dyDescent="0.25">
      <c r="A557" s="19">
        <v>40</v>
      </c>
      <c r="B557" s="19" t="s">
        <v>18</v>
      </c>
      <c r="C557" s="19" t="s">
        <v>1455</v>
      </c>
      <c r="D557" s="27" t="s">
        <v>1456</v>
      </c>
      <c r="E557" s="27" t="s">
        <v>1457</v>
      </c>
      <c r="F557" s="5" t="s">
        <v>22</v>
      </c>
      <c r="G557" s="21">
        <f>1/100</f>
        <v>0.01</v>
      </c>
      <c r="H557" s="22">
        <v>5.5</v>
      </c>
      <c r="I557" s="22">
        <f t="shared" si="56"/>
        <v>550</v>
      </c>
      <c r="J557" s="5">
        <v>14</v>
      </c>
      <c r="K557" s="23">
        <f t="shared" si="57"/>
        <v>275</v>
      </c>
      <c r="L557" s="58">
        <f>(IFERROR(VLOOKUP(C557,'Current Stocks July-26'!B:K,9,0),0))</f>
        <v>0</v>
      </c>
      <c r="M557" s="24">
        <f t="shared" si="53"/>
        <v>0</v>
      </c>
      <c r="N557" s="25" t="str">
        <f t="shared" si="54"/>
        <v>ORDER NOW</v>
      </c>
      <c r="O557" s="25" t="str">
        <f t="shared" si="55"/>
        <v>CRITICAL</v>
      </c>
      <c r="P557" s="5"/>
      <c r="Q557" s="5"/>
      <c r="R557" s="5" t="s">
        <v>30</v>
      </c>
      <c r="S557" s="90">
        <f>VLOOKUP(C557,[3]Sheet1!$C$3:$P$521,14,0)</f>
        <v>46131.519884259258</v>
      </c>
    </row>
    <row r="558" spans="1:19" ht="18.75" hidden="1" x14ac:dyDescent="0.25">
      <c r="A558" s="41">
        <v>430</v>
      </c>
      <c r="B558" s="41" t="s">
        <v>38</v>
      </c>
      <c r="C558" s="41" t="s">
        <v>1185</v>
      </c>
      <c r="D558" s="27" t="s">
        <v>1186</v>
      </c>
      <c r="E558" s="27" t="s">
        <v>1187</v>
      </c>
      <c r="F558" s="5" t="s">
        <v>22</v>
      </c>
      <c r="G558" s="21">
        <v>4.1666666666666664E-2</v>
      </c>
      <c r="H558" s="22">
        <v>100</v>
      </c>
      <c r="I558" s="22">
        <f t="shared" si="56"/>
        <v>2400</v>
      </c>
      <c r="J558" s="5">
        <v>14</v>
      </c>
      <c r="K558" s="23">
        <f t="shared" si="57"/>
        <v>1200</v>
      </c>
      <c r="L558" s="58">
        <f>(IFERROR(VLOOKUP(C558,'Current Stocks July-26'!B:K,9,0),0))</f>
        <v>480</v>
      </c>
      <c r="M558" s="24">
        <f t="shared" si="53"/>
        <v>6</v>
      </c>
      <c r="N558" s="25" t="str">
        <f t="shared" si="54"/>
        <v>ORDER NOW</v>
      </c>
      <c r="O558" s="25" t="str">
        <f t="shared" si="55"/>
        <v>CRITICAL</v>
      </c>
      <c r="P558" s="5"/>
      <c r="Q558" s="5"/>
      <c r="R558" s="5"/>
      <c r="S558" s="90">
        <f>VLOOKUP(C558,[3]Sheet1!$C$3:$P$521,14,0)</f>
        <v>46141.526006944441</v>
      </c>
    </row>
    <row r="559" spans="1:19" ht="18.75" hidden="1" x14ac:dyDescent="0.25">
      <c r="A559" s="41">
        <v>376</v>
      </c>
      <c r="B559" s="41" t="s">
        <v>85</v>
      </c>
      <c r="C559" s="41" t="s">
        <v>912</v>
      </c>
      <c r="D559" s="27" t="s">
        <v>913</v>
      </c>
      <c r="E559" s="27" t="s">
        <v>101</v>
      </c>
      <c r="F559" s="5" t="s">
        <v>22</v>
      </c>
      <c r="G559" s="21">
        <v>0.16666666666666666</v>
      </c>
      <c r="H559" s="22">
        <v>64.5</v>
      </c>
      <c r="I559" s="22">
        <f t="shared" ref="I559:I590" si="58">H559/G559</f>
        <v>387</v>
      </c>
      <c r="J559" s="5">
        <v>14</v>
      </c>
      <c r="K559" s="23">
        <f t="shared" si="57"/>
        <v>193.5</v>
      </c>
      <c r="L559" s="58">
        <f>(IFERROR(VLOOKUP(C559,'Current Stocks July-26'!B:K,9,0),0))</f>
        <v>864</v>
      </c>
      <c r="M559" s="24">
        <f t="shared" si="53"/>
        <v>66.976744186046517</v>
      </c>
      <c r="N559" s="25" t="str">
        <f t="shared" si="54"/>
        <v>IN STOCK</v>
      </c>
      <c r="O559" s="25" t="str">
        <f t="shared" si="55"/>
        <v>FOLLOW UP DELIVERY</v>
      </c>
      <c r="P559" s="5"/>
      <c r="Q559" s="5"/>
      <c r="R559" s="5"/>
      <c r="S559" s="90">
        <f>VLOOKUP(C559,[3]Sheet1!$C$3:$P$521,14,0)</f>
        <v>46131.519618055558</v>
      </c>
    </row>
    <row r="560" spans="1:19" ht="18.75" hidden="1" x14ac:dyDescent="0.25">
      <c r="A560" s="41">
        <v>490</v>
      </c>
      <c r="B560" s="41" t="s">
        <v>38</v>
      </c>
      <c r="C560" s="41" t="s">
        <v>1126</v>
      </c>
      <c r="D560" s="72" t="s">
        <v>1127</v>
      </c>
      <c r="E560" s="27" t="s">
        <v>1128</v>
      </c>
      <c r="F560" s="5" t="s">
        <v>54</v>
      </c>
      <c r="G560" s="21">
        <v>0.2</v>
      </c>
      <c r="H560" s="22">
        <v>10</v>
      </c>
      <c r="I560" s="22">
        <f t="shared" si="58"/>
        <v>50</v>
      </c>
      <c r="J560" s="5">
        <v>14</v>
      </c>
      <c r="K560" s="23">
        <f t="shared" si="57"/>
        <v>25</v>
      </c>
      <c r="L560" s="58">
        <f>(IFERROR(VLOOKUP(C560,'Current Stocks July-26'!B:K,9,0),0))</f>
        <v>0</v>
      </c>
      <c r="M560" s="24">
        <f t="shared" si="53"/>
        <v>0</v>
      </c>
      <c r="N560" s="25" t="str">
        <f t="shared" si="54"/>
        <v>ORDER NOW</v>
      </c>
      <c r="O560" s="25" t="str">
        <f t="shared" si="55"/>
        <v>CRITICAL</v>
      </c>
      <c r="P560" s="5"/>
      <c r="Q560" s="5"/>
      <c r="R560" s="5"/>
      <c r="S560" s="90">
        <f>VLOOKUP(C560,[3]Sheet1!$C$3:$P$521,14,0)</f>
        <v>46134.446562500001</v>
      </c>
    </row>
    <row r="561" spans="1:19" ht="18.75" hidden="1" x14ac:dyDescent="0.25">
      <c r="A561" s="39">
        <v>258</v>
      </c>
      <c r="B561" s="39" t="s">
        <v>157</v>
      </c>
      <c r="C561" s="39" t="s">
        <v>1193</v>
      </c>
      <c r="D561" s="27" t="s">
        <v>1194</v>
      </c>
      <c r="E561" s="27" t="s">
        <v>1195</v>
      </c>
      <c r="F561" s="5" t="s">
        <v>22</v>
      </c>
      <c r="G561" s="21">
        <v>5.0000000000000001E-4</v>
      </c>
      <c r="H561" s="22">
        <v>66</v>
      </c>
      <c r="I561" s="22">
        <f t="shared" si="58"/>
        <v>132000</v>
      </c>
      <c r="J561" s="5">
        <v>14</v>
      </c>
      <c r="K561" s="23">
        <f t="shared" si="57"/>
        <v>66000</v>
      </c>
      <c r="L561" s="58">
        <f>(IFERROR(VLOOKUP(C561,'Current Stocks July-26'!B:K,9,0),0))</f>
        <v>590</v>
      </c>
      <c r="M561" s="24">
        <f t="shared" si="53"/>
        <v>0.13409090909090909</v>
      </c>
      <c r="N561" s="25" t="str">
        <f t="shared" si="54"/>
        <v>ORDER NOW</v>
      </c>
      <c r="O561" s="25" t="str">
        <f t="shared" si="55"/>
        <v>CRITICAL</v>
      </c>
      <c r="P561" s="5"/>
      <c r="Q561" s="5"/>
      <c r="R561" s="5"/>
      <c r="S561" s="90">
        <f>VLOOKUP(C561,[3]Sheet1!$C$3:$P$521,14,0)</f>
        <v>46131.518437500003</v>
      </c>
    </row>
    <row r="562" spans="1:19" ht="18.75" hidden="1" x14ac:dyDescent="0.25">
      <c r="A562" s="41">
        <v>524</v>
      </c>
      <c r="B562" s="41" t="s">
        <v>38</v>
      </c>
      <c r="C562" s="41" t="s">
        <v>1460</v>
      </c>
      <c r="D562" s="27" t="s">
        <v>1461</v>
      </c>
      <c r="E562" s="27" t="s">
        <v>1462</v>
      </c>
      <c r="F562" s="5" t="s">
        <v>22</v>
      </c>
      <c r="G562" s="21">
        <f>1/3.4</f>
        <v>0.29411764705882354</v>
      </c>
      <c r="H562" s="22">
        <v>5</v>
      </c>
      <c r="I562" s="22">
        <f t="shared" si="58"/>
        <v>17</v>
      </c>
      <c r="J562" s="5">
        <v>14</v>
      </c>
      <c r="K562" s="23">
        <f t="shared" si="57"/>
        <v>8.5</v>
      </c>
      <c r="L562" s="58">
        <f>(IFERROR(VLOOKUP(C562,'Current Stocks July-26'!B:K,9,0),0))</f>
        <v>8.7119999999999997</v>
      </c>
      <c r="M562" s="24">
        <f t="shared" si="53"/>
        <v>15.374117647058824</v>
      </c>
      <c r="N562" s="25" t="str">
        <f t="shared" si="54"/>
        <v>IN STOCK</v>
      </c>
      <c r="O562" s="25" t="str">
        <f t="shared" si="55"/>
        <v>FOLLOW UP DELIVERY</v>
      </c>
      <c r="P562" s="5"/>
      <c r="Q562" s="5"/>
      <c r="R562" s="5"/>
      <c r="S562" s="90">
        <f>VLOOKUP(C562,[3]Sheet1!$C$3:$P$521,14,0)</f>
        <v>46131.519907407404</v>
      </c>
    </row>
    <row r="563" spans="1:19" ht="18.75" hidden="1" x14ac:dyDescent="0.25">
      <c r="A563" s="39">
        <v>264</v>
      </c>
      <c r="B563" s="39" t="s">
        <v>157</v>
      </c>
      <c r="C563" s="39" t="s">
        <v>1376</v>
      </c>
      <c r="D563" s="27" t="s">
        <v>1377</v>
      </c>
      <c r="E563" s="27" t="s">
        <v>160</v>
      </c>
      <c r="F563" s="5" t="s">
        <v>49</v>
      </c>
      <c r="G563" s="21">
        <v>1</v>
      </c>
      <c r="H563" s="22">
        <v>33</v>
      </c>
      <c r="I563" s="22">
        <f t="shared" si="58"/>
        <v>33</v>
      </c>
      <c r="J563" s="5">
        <v>14</v>
      </c>
      <c r="K563" s="23">
        <f t="shared" si="57"/>
        <v>16.5</v>
      </c>
      <c r="L563" s="58">
        <f>(IFERROR(VLOOKUP(C563,'Current Stocks July-26'!B:K,9,0),0))</f>
        <v>0</v>
      </c>
      <c r="M563" s="24">
        <f t="shared" si="53"/>
        <v>0</v>
      </c>
      <c r="N563" s="25" t="str">
        <f t="shared" si="54"/>
        <v>ORDER NOW</v>
      </c>
      <c r="O563" s="25" t="str">
        <f t="shared" si="55"/>
        <v>CRITICAL</v>
      </c>
      <c r="P563" s="5"/>
      <c r="Q563" s="5"/>
      <c r="R563" s="5"/>
      <c r="S563" s="90">
        <f>VLOOKUP(C563,[3]Sheet1!$C$3:$P$521,14,0)</f>
        <v>46131.519479166665</v>
      </c>
    </row>
    <row r="564" spans="1:19" ht="18.75" hidden="1" x14ac:dyDescent="0.25">
      <c r="A564" s="19">
        <v>30</v>
      </c>
      <c r="B564" s="19" t="s">
        <v>18</v>
      </c>
      <c r="C564" s="19" t="s">
        <v>1405</v>
      </c>
      <c r="D564" s="27" t="s">
        <v>1406</v>
      </c>
      <c r="E564" s="27" t="s">
        <v>25</v>
      </c>
      <c r="F564" s="5" t="s">
        <v>22</v>
      </c>
      <c r="G564" s="21">
        <v>2E-3</v>
      </c>
      <c r="H564" s="22">
        <v>935</v>
      </c>
      <c r="I564" s="22">
        <f t="shared" si="58"/>
        <v>467500</v>
      </c>
      <c r="J564" s="5">
        <v>60</v>
      </c>
      <c r="K564" s="23">
        <f t="shared" si="57"/>
        <v>1001785.7142857142</v>
      </c>
      <c r="L564" s="58">
        <f>(IFERROR(VLOOKUP(C564,'Current Stocks July-26'!B:K,9,0),0))</f>
        <v>0</v>
      </c>
      <c r="M564" s="24">
        <f t="shared" si="53"/>
        <v>0</v>
      </c>
      <c r="N564" s="25" t="str">
        <f t="shared" si="54"/>
        <v>ORDER NOW</v>
      </c>
      <c r="O564" s="25" t="str">
        <f t="shared" si="55"/>
        <v>CRITICAL</v>
      </c>
      <c r="P564" s="5"/>
      <c r="Q564" s="5"/>
      <c r="R564" s="5" t="s">
        <v>30</v>
      </c>
      <c r="S564" s="90">
        <f>VLOOKUP(C564,[3]Sheet1!$C$3:$P$521,14,0)</f>
        <v>46131.432442129626</v>
      </c>
    </row>
    <row r="565" spans="1:19" ht="18.75" hidden="1" x14ac:dyDescent="0.25">
      <c r="A565" s="41">
        <v>340</v>
      </c>
      <c r="B565" s="41" t="s">
        <v>85</v>
      </c>
      <c r="C565" s="41" t="s">
        <v>1196</v>
      </c>
      <c r="D565" s="29" t="s">
        <v>1197</v>
      </c>
      <c r="E565" s="29" t="s">
        <v>1198</v>
      </c>
      <c r="F565" s="5" t="s">
        <v>22</v>
      </c>
      <c r="G565" s="21">
        <v>4.1666666666666664E-2</v>
      </c>
      <c r="H565" s="22">
        <v>132</v>
      </c>
      <c r="I565" s="22">
        <f t="shared" si="58"/>
        <v>3168</v>
      </c>
      <c r="J565" s="5">
        <v>14</v>
      </c>
      <c r="K565" s="23">
        <f t="shared" si="57"/>
        <v>1584</v>
      </c>
      <c r="L565" s="58">
        <f>(IFERROR(VLOOKUP(C565,'Current Stocks July-26'!B:K,9,0),0))</f>
        <v>2110</v>
      </c>
      <c r="M565" s="24">
        <f t="shared" si="53"/>
        <v>19.981060606060606</v>
      </c>
      <c r="N565" s="25" t="str">
        <f t="shared" si="54"/>
        <v>IN STOCK</v>
      </c>
      <c r="O565" s="25" t="str">
        <f t="shared" si="55"/>
        <v>FOLLOW UP DELIVERY</v>
      </c>
      <c r="P565" s="5"/>
      <c r="Q565" s="5"/>
      <c r="R565" s="5"/>
      <c r="S565" s="90">
        <f>VLOOKUP(C565,[3]Sheet1!$C$3:$P$521,14,0)</f>
        <v>46131.518263888887</v>
      </c>
    </row>
    <row r="566" spans="1:19" ht="18.75" hidden="1" x14ac:dyDescent="0.25">
      <c r="A566" s="41">
        <v>515</v>
      </c>
      <c r="B566" s="41" t="s">
        <v>85</v>
      </c>
      <c r="C566" s="41" t="s">
        <v>1373</v>
      </c>
      <c r="D566" s="27" t="s">
        <v>1374</v>
      </c>
      <c r="E566" s="27" t="s">
        <v>1375</v>
      </c>
      <c r="F566" s="5" t="s">
        <v>49</v>
      </c>
      <c r="G566" s="21">
        <v>0.05</v>
      </c>
      <c r="H566" s="22">
        <v>50</v>
      </c>
      <c r="I566" s="22">
        <f t="shared" si="58"/>
        <v>1000</v>
      </c>
      <c r="J566" s="5">
        <v>14</v>
      </c>
      <c r="K566" s="23">
        <f t="shared" si="57"/>
        <v>500</v>
      </c>
      <c r="L566" s="58">
        <f>(IFERROR(VLOOKUP(C566,'Current Stocks July-26'!B:K,9,0),0))</f>
        <v>0</v>
      </c>
      <c r="M566" s="24">
        <f t="shared" si="53"/>
        <v>0</v>
      </c>
      <c r="N566" s="25" t="str">
        <f t="shared" si="54"/>
        <v>ORDER NOW</v>
      </c>
      <c r="O566" s="25" t="str">
        <f t="shared" si="55"/>
        <v>CRITICAL</v>
      </c>
      <c r="P566" s="5"/>
      <c r="Q566" s="5"/>
      <c r="R566" s="5"/>
      <c r="S566" s="90">
        <f>VLOOKUP(C566,[3]Sheet1!$C$3:$P$521,14,0)</f>
        <v>46131.519467592596</v>
      </c>
    </row>
    <row r="567" spans="1:19" ht="18.75" hidden="1" x14ac:dyDescent="0.25">
      <c r="A567" s="39">
        <v>278</v>
      </c>
      <c r="B567" s="39" t="s">
        <v>157</v>
      </c>
      <c r="C567" s="39" t="s">
        <v>1426</v>
      </c>
      <c r="D567" s="27" t="s">
        <v>1427</v>
      </c>
      <c r="E567" s="27" t="s">
        <v>78</v>
      </c>
      <c r="F567" s="5" t="s">
        <v>49</v>
      </c>
      <c r="G567" s="21">
        <v>1</v>
      </c>
      <c r="H567" s="22">
        <v>5.5</v>
      </c>
      <c r="I567" s="22">
        <f t="shared" si="58"/>
        <v>5.5</v>
      </c>
      <c r="J567" s="5">
        <v>14</v>
      </c>
      <c r="K567" s="23">
        <f t="shared" si="57"/>
        <v>2.75</v>
      </c>
      <c r="L567" s="58">
        <f>(IFERROR(VLOOKUP(C567,'Current Stocks July-26'!B:K,9,0),0))</f>
        <v>0</v>
      </c>
      <c r="M567" s="24">
        <f t="shared" si="53"/>
        <v>0</v>
      </c>
      <c r="N567" s="25" t="str">
        <f t="shared" si="54"/>
        <v>ORDER NOW</v>
      </c>
      <c r="O567" s="25" t="str">
        <f t="shared" si="55"/>
        <v>CRITICAL</v>
      </c>
      <c r="P567" s="5"/>
      <c r="Q567" s="5"/>
      <c r="R567" s="5"/>
      <c r="S567" s="90">
        <f>VLOOKUP(C567,[3]Sheet1!$C$3:$P$521,14,0)</f>
        <v>46131.519733796296</v>
      </c>
    </row>
    <row r="568" spans="1:19" ht="18.75" hidden="1" x14ac:dyDescent="0.25">
      <c r="A568" s="39">
        <v>237</v>
      </c>
      <c r="B568" s="39" t="s">
        <v>123</v>
      </c>
      <c r="C568" s="39" t="s">
        <v>1055</v>
      </c>
      <c r="D568" s="27" t="s">
        <v>1056</v>
      </c>
      <c r="E568" s="27" t="s">
        <v>706</v>
      </c>
      <c r="F568" s="5" t="s">
        <v>49</v>
      </c>
      <c r="G568" s="21">
        <v>0.2</v>
      </c>
      <c r="H568" s="22">
        <v>63</v>
      </c>
      <c r="I568" s="22">
        <f t="shared" si="58"/>
        <v>315</v>
      </c>
      <c r="J568" s="5">
        <v>14</v>
      </c>
      <c r="K568" s="23">
        <f t="shared" si="57"/>
        <v>157.5</v>
      </c>
      <c r="L568" s="58">
        <f>(IFERROR(VLOOKUP(C568,'Current Stocks July-26'!B:K,9,0),0))</f>
        <v>19</v>
      </c>
      <c r="M568" s="24">
        <f t="shared" si="53"/>
        <v>1.8095238095238095</v>
      </c>
      <c r="N568" s="25" t="str">
        <f t="shared" si="54"/>
        <v>ORDER NOW</v>
      </c>
      <c r="O568" s="25" t="str">
        <f t="shared" si="55"/>
        <v>CRITICAL</v>
      </c>
      <c r="P568" s="5"/>
      <c r="Q568" s="5"/>
      <c r="R568" s="5"/>
      <c r="S568" s="90">
        <f>VLOOKUP(C568,[3]Sheet1!$C$3:$P$521,14,0)</f>
        <v>46131.519421296296</v>
      </c>
    </row>
    <row r="569" spans="1:19" ht="18.75" hidden="1" x14ac:dyDescent="0.25">
      <c r="A569" s="19">
        <v>164</v>
      </c>
      <c r="B569" s="19" t="s">
        <v>18</v>
      </c>
      <c r="C569" s="19" t="s">
        <v>1117</v>
      </c>
      <c r="D569" s="27" t="s">
        <v>1118</v>
      </c>
      <c r="E569" s="27" t="s">
        <v>1119</v>
      </c>
      <c r="F569" s="5" t="s">
        <v>22</v>
      </c>
      <c r="G569" s="21">
        <f>1/8000</f>
        <v>1.25E-4</v>
      </c>
      <c r="H569" s="22">
        <v>10</v>
      </c>
      <c r="I569" s="22">
        <f t="shared" si="58"/>
        <v>80000</v>
      </c>
      <c r="J569" s="5">
        <v>14</v>
      </c>
      <c r="K569" s="23">
        <f t="shared" si="57"/>
        <v>40000</v>
      </c>
      <c r="L569" s="58">
        <f>(IFERROR(VLOOKUP(C569,'Current Stocks July-26'!B:K,9,0),0))</f>
        <v>30400</v>
      </c>
      <c r="M569" s="24">
        <f t="shared" si="53"/>
        <v>11.4</v>
      </c>
      <c r="N569" s="25" t="str">
        <f t="shared" si="54"/>
        <v>ORDER NOW</v>
      </c>
      <c r="O569" s="25" t="str">
        <f t="shared" si="55"/>
        <v>CRITICAL</v>
      </c>
      <c r="P569" s="5"/>
      <c r="Q569" s="5"/>
      <c r="R569" s="5"/>
      <c r="S569" s="90">
        <f>VLOOKUP(C569,[3]Sheet1!$C$3:$P$521,14,0)</f>
        <v>46131.517997685187</v>
      </c>
    </row>
    <row r="570" spans="1:19" ht="18.75" hidden="1" x14ac:dyDescent="0.25">
      <c r="A570" s="41">
        <v>363</v>
      </c>
      <c r="B570" s="41" t="s">
        <v>85</v>
      </c>
      <c r="C570" s="41" t="s">
        <v>1086</v>
      </c>
      <c r="D570" s="27" t="s">
        <v>1087</v>
      </c>
      <c r="E570" s="27" t="s">
        <v>1088</v>
      </c>
      <c r="F570" s="5" t="s">
        <v>22</v>
      </c>
      <c r="G570" s="21">
        <v>0.16666666666666666</v>
      </c>
      <c r="H570" s="22">
        <v>16.5</v>
      </c>
      <c r="I570" s="22">
        <f t="shared" si="58"/>
        <v>99</v>
      </c>
      <c r="J570" s="5">
        <v>14</v>
      </c>
      <c r="K570" s="23">
        <f t="shared" si="57"/>
        <v>49.5</v>
      </c>
      <c r="L570" s="58">
        <f>(IFERROR(VLOOKUP(C570,'Current Stocks July-26'!B:K,9,0),0))</f>
        <v>109</v>
      </c>
      <c r="M570" s="24">
        <f t="shared" si="53"/>
        <v>33.030303030303031</v>
      </c>
      <c r="N570" s="25" t="str">
        <f t="shared" si="54"/>
        <v>IN STOCK</v>
      </c>
      <c r="O570" s="25" t="str">
        <f t="shared" si="55"/>
        <v>FOLLOW UP DELIVERY</v>
      </c>
      <c r="P570" s="5"/>
      <c r="Q570" s="5"/>
      <c r="R570" s="5"/>
      <c r="S570" s="90">
        <f>VLOOKUP(C570,[3]Sheet1!$C$3:$P$521,14,0)</f>
        <v>46141.524953703702</v>
      </c>
    </row>
    <row r="571" spans="1:19" ht="18.75" hidden="1" x14ac:dyDescent="0.25">
      <c r="A571" s="19">
        <v>133</v>
      </c>
      <c r="B571" s="19" t="s">
        <v>18</v>
      </c>
      <c r="C571" s="19" t="s">
        <v>1363</v>
      </c>
      <c r="D571" s="27" t="s">
        <v>1364</v>
      </c>
      <c r="E571" s="27" t="s">
        <v>25</v>
      </c>
      <c r="F571" s="5" t="s">
        <v>22</v>
      </c>
      <c r="G571" s="21">
        <v>2E-3</v>
      </c>
      <c r="H571" s="22">
        <v>6</v>
      </c>
      <c r="I571" s="22">
        <f t="shared" si="58"/>
        <v>3000</v>
      </c>
      <c r="J571" s="5">
        <v>14</v>
      </c>
      <c r="K571" s="23">
        <f t="shared" si="57"/>
        <v>1500</v>
      </c>
      <c r="L571" s="58">
        <f>(IFERROR(VLOOKUP(C571,'Current Stocks July-26'!B:K,9,0),0))</f>
        <v>5</v>
      </c>
      <c r="M571" s="24">
        <f t="shared" si="53"/>
        <v>0.05</v>
      </c>
      <c r="N571" s="25" t="str">
        <f t="shared" si="54"/>
        <v>ORDER NOW</v>
      </c>
      <c r="O571" s="25" t="str">
        <f t="shared" si="55"/>
        <v>CRITICAL</v>
      </c>
      <c r="P571" s="5"/>
      <c r="Q571" s="5"/>
      <c r="R571" s="5" t="s">
        <v>30</v>
      </c>
      <c r="S571" s="90">
        <f>VLOOKUP(C571,[3]Sheet1!$C$3:$P$521,14,0)</f>
        <v>46131.519432870373</v>
      </c>
    </row>
    <row r="572" spans="1:19" ht="18.75" hidden="1" x14ac:dyDescent="0.25">
      <c r="A572" s="19">
        <v>6</v>
      </c>
      <c r="B572" s="19"/>
      <c r="C572" s="19" t="s">
        <v>1428</v>
      </c>
      <c r="D572" s="4" t="s">
        <v>1429</v>
      </c>
      <c r="E572" s="31" t="s">
        <v>1258</v>
      </c>
      <c r="F572" s="5" t="s">
        <v>49</v>
      </c>
      <c r="G572" s="21">
        <f>1/3000</f>
        <v>3.3333333333333332E-4</v>
      </c>
      <c r="H572" s="22">
        <v>3</v>
      </c>
      <c r="I572" s="22">
        <f t="shared" si="58"/>
        <v>9000</v>
      </c>
      <c r="J572" s="5">
        <v>60</v>
      </c>
      <c r="K572" s="23">
        <f t="shared" si="57"/>
        <v>19285.714285714286</v>
      </c>
      <c r="L572" s="58">
        <f>(IFERROR(VLOOKUP(C572,'Current Stocks July-26'!B:K,9,0),0))</f>
        <v>0</v>
      </c>
      <c r="M572" s="24">
        <f t="shared" si="53"/>
        <v>0</v>
      </c>
      <c r="N572" s="25" t="str">
        <f t="shared" si="54"/>
        <v>ORDER NOW</v>
      </c>
      <c r="O572" s="25" t="str">
        <f t="shared" si="55"/>
        <v>CRITICAL</v>
      </c>
      <c r="P572" s="5"/>
      <c r="Q572" s="5"/>
      <c r="R572" s="5" t="s">
        <v>30</v>
      </c>
      <c r="S572" s="90">
        <f>VLOOKUP(C572,[3]Sheet1!$C$3:$P$521,14,0)</f>
        <v>46131.519756944443</v>
      </c>
    </row>
    <row r="573" spans="1:19" ht="18.75" hidden="1" x14ac:dyDescent="0.25">
      <c r="A573" s="19">
        <v>4</v>
      </c>
      <c r="B573" s="19" t="s">
        <v>18</v>
      </c>
      <c r="C573" s="19" t="s">
        <v>997</v>
      </c>
      <c r="D573" s="27" t="s">
        <v>998</v>
      </c>
      <c r="E573" s="27" t="s">
        <v>999</v>
      </c>
      <c r="F573" s="5" t="s">
        <v>22</v>
      </c>
      <c r="G573" s="21">
        <v>3.3333333333333335E-3</v>
      </c>
      <c r="H573" s="22">
        <v>240</v>
      </c>
      <c r="I573" s="22">
        <f t="shared" si="58"/>
        <v>72000</v>
      </c>
      <c r="J573" s="5">
        <v>14</v>
      </c>
      <c r="K573" s="23">
        <f t="shared" si="57"/>
        <v>36000</v>
      </c>
      <c r="L573" s="58">
        <f>(IFERROR(VLOOKUP(C573,'Current Stocks July-26'!B:K,9,0),0))</f>
        <v>20500</v>
      </c>
      <c r="M573" s="24">
        <f t="shared" si="53"/>
        <v>8.5416666666666661</v>
      </c>
      <c r="N573" s="25" t="str">
        <f t="shared" si="54"/>
        <v>ORDER NOW</v>
      </c>
      <c r="O573" s="25" t="str">
        <f t="shared" si="55"/>
        <v>CRITICAL</v>
      </c>
      <c r="P573" s="5"/>
      <c r="Q573" s="5"/>
      <c r="R573" s="5" t="s">
        <v>30</v>
      </c>
      <c r="S573" s="90">
        <f>VLOOKUP(C573,[3]Sheet1!$C$3:$P$521,14,0)</f>
        <v>46138.437847222223</v>
      </c>
    </row>
    <row r="574" spans="1:19" ht="18.75" hidden="1" x14ac:dyDescent="0.25">
      <c r="A574" s="39">
        <v>212</v>
      </c>
      <c r="B574" s="39" t="s">
        <v>123</v>
      </c>
      <c r="C574" s="39" t="s">
        <v>782</v>
      </c>
      <c r="D574" s="27" t="s">
        <v>783</v>
      </c>
      <c r="E574" s="27" t="s">
        <v>126</v>
      </c>
      <c r="F574" s="5" t="s">
        <v>49</v>
      </c>
      <c r="G574" s="21">
        <v>1</v>
      </c>
      <c r="H574" s="22">
        <v>85</v>
      </c>
      <c r="I574" s="22">
        <f t="shared" si="58"/>
        <v>85</v>
      </c>
      <c r="J574" s="5">
        <v>14</v>
      </c>
      <c r="K574" s="23">
        <f t="shared" si="57"/>
        <v>42.5</v>
      </c>
      <c r="L574" s="58">
        <f>(IFERROR(VLOOKUP(C574,'Current Stocks July-26'!B:K,9,0),0))</f>
        <v>20</v>
      </c>
      <c r="M574" s="24">
        <f t="shared" si="53"/>
        <v>7.0588235294117645</v>
      </c>
      <c r="N574" s="25" t="str">
        <f t="shared" si="54"/>
        <v>ORDER NOW</v>
      </c>
      <c r="O574" s="25" t="str">
        <f t="shared" si="55"/>
        <v>CRITICAL</v>
      </c>
      <c r="P574" s="5"/>
      <c r="Q574" s="5"/>
      <c r="R574" s="5"/>
      <c r="S574" s="90">
        <f>VLOOKUP(C574,[3]Sheet1!$C$3:$P$521,14,0)</f>
        <v>46134.446377314816</v>
      </c>
    </row>
    <row r="575" spans="1:19" ht="18.75" hidden="1" x14ac:dyDescent="0.25">
      <c r="A575" s="19"/>
      <c r="B575" s="19"/>
      <c r="C575" s="19" t="s">
        <v>1628</v>
      </c>
      <c r="D575" s="4" t="s">
        <v>1629</v>
      </c>
      <c r="E575" s="31" t="s">
        <v>1647</v>
      </c>
      <c r="F575" s="5" t="s">
        <v>49</v>
      </c>
      <c r="G575" s="21">
        <f>1/1000</f>
        <v>1E-3</v>
      </c>
      <c r="H575" s="22">
        <v>20</v>
      </c>
      <c r="I575" s="22">
        <f t="shared" si="58"/>
        <v>20000</v>
      </c>
      <c r="J575" s="5">
        <v>30</v>
      </c>
      <c r="K575" s="23">
        <f t="shared" si="57"/>
        <v>21428.571428571428</v>
      </c>
      <c r="L575" s="58">
        <f>(IFERROR(VLOOKUP(C575,'Current Stocks July-26'!B:K,9,0),0))</f>
        <v>0</v>
      </c>
      <c r="M575" s="24">
        <f t="shared" si="53"/>
        <v>0</v>
      </c>
      <c r="N575" s="25" t="str">
        <f t="shared" si="54"/>
        <v>ORDER NOW</v>
      </c>
      <c r="O575" s="25" t="str">
        <f t="shared" si="55"/>
        <v>CRITICAL</v>
      </c>
      <c r="P575" s="5"/>
      <c r="Q575" s="5"/>
      <c r="R575" s="5"/>
      <c r="S575" s="90" t="e">
        <f>VLOOKUP(C575,[3]Sheet1!$C$3:$P$521,14,0)</f>
        <v>#N/A</v>
      </c>
    </row>
    <row r="576" spans="1:19" ht="18.75" hidden="1" x14ac:dyDescent="0.25">
      <c r="A576" s="19">
        <v>20</v>
      </c>
      <c r="B576" s="19" t="s">
        <v>18</v>
      </c>
      <c r="C576" s="19" t="s">
        <v>934</v>
      </c>
      <c r="D576" s="27" t="s">
        <v>935</v>
      </c>
      <c r="E576" s="27" t="s">
        <v>92</v>
      </c>
      <c r="F576" s="5" t="s">
        <v>22</v>
      </c>
      <c r="G576" s="21">
        <v>5.0000000000000001E-4</v>
      </c>
      <c r="H576" s="22">
        <v>100.5</v>
      </c>
      <c r="I576" s="22">
        <f t="shared" si="58"/>
        <v>201000</v>
      </c>
      <c r="J576" s="5">
        <v>14</v>
      </c>
      <c r="K576" s="23">
        <f t="shared" si="57"/>
        <v>100500</v>
      </c>
      <c r="L576" s="58">
        <f>(IFERROR(VLOOKUP(C576,'Current Stocks July-26'!B:K,9,0),0))</f>
        <v>29000</v>
      </c>
      <c r="M576" s="24">
        <f t="shared" si="53"/>
        <v>4.3283582089552244</v>
      </c>
      <c r="N576" s="25" t="str">
        <f t="shared" si="54"/>
        <v>ORDER NOW</v>
      </c>
      <c r="O576" s="25" t="str">
        <f t="shared" si="55"/>
        <v>CRITICAL</v>
      </c>
      <c r="P576" s="5"/>
      <c r="Q576" s="5"/>
      <c r="R576" s="5" t="s">
        <v>30</v>
      </c>
      <c r="S576" s="90">
        <f>VLOOKUP(C576,[3]Sheet1!$C$3:$P$521,14,0)</f>
        <v>46131.518483796295</v>
      </c>
    </row>
    <row r="577" spans="1:19" ht="18.75" hidden="1" x14ac:dyDescent="0.25">
      <c r="A577" s="19">
        <v>88</v>
      </c>
      <c r="B577" s="19" t="s">
        <v>18</v>
      </c>
      <c r="C577" s="19" t="s">
        <v>909</v>
      </c>
      <c r="D577" s="27" t="s">
        <v>910</v>
      </c>
      <c r="E577" s="27" t="s">
        <v>911</v>
      </c>
      <c r="F577" s="5" t="s">
        <v>22</v>
      </c>
      <c r="G577" s="21">
        <v>3.1250000000000002E-3</v>
      </c>
      <c r="H577" s="22">
        <v>40</v>
      </c>
      <c r="I577" s="22">
        <f t="shared" si="58"/>
        <v>12800</v>
      </c>
      <c r="J577" s="5">
        <v>14</v>
      </c>
      <c r="K577" s="23">
        <f t="shared" si="57"/>
        <v>6400</v>
      </c>
      <c r="L577" s="58">
        <f>(IFERROR(VLOOKUP(C577,'Current Stocks July-26'!B:K,9,0),0))</f>
        <v>5000</v>
      </c>
      <c r="M577" s="24">
        <f t="shared" si="53"/>
        <v>11.71875</v>
      </c>
      <c r="N577" s="25" t="str">
        <f t="shared" si="54"/>
        <v>ORDER NOW</v>
      </c>
      <c r="O577" s="25" t="str">
        <f t="shared" si="55"/>
        <v>CRITICAL</v>
      </c>
      <c r="P577" s="5"/>
      <c r="Q577" s="5"/>
      <c r="R577" s="5" t="s">
        <v>30</v>
      </c>
      <c r="S577" s="90">
        <f>VLOOKUP(C577,[3]Sheet1!$C$3:$P$521,14,0)</f>
        <v>46141.525451388887</v>
      </c>
    </row>
    <row r="578" spans="1:19" ht="18.75" hidden="1" x14ac:dyDescent="0.25">
      <c r="A578" s="41">
        <v>471</v>
      </c>
      <c r="B578" s="41" t="s">
        <v>38</v>
      </c>
      <c r="C578" s="41" t="s">
        <v>905</v>
      </c>
      <c r="D578" s="27" t="s">
        <v>906</v>
      </c>
      <c r="E578" s="27" t="s">
        <v>907</v>
      </c>
      <c r="F578" s="5" t="s">
        <v>22</v>
      </c>
      <c r="G578" s="21">
        <v>8.3333333333333329E-2</v>
      </c>
      <c r="H578" s="22">
        <v>2700</v>
      </c>
      <c r="I578" s="22">
        <f t="shared" si="58"/>
        <v>32400</v>
      </c>
      <c r="J578" s="5">
        <v>14</v>
      </c>
      <c r="K578" s="23">
        <f t="shared" si="57"/>
        <v>16200</v>
      </c>
      <c r="L578" s="58">
        <f>(IFERROR(VLOOKUP(C578,'Current Stocks July-26'!B:K,9,0),0))</f>
        <v>9168</v>
      </c>
      <c r="M578" s="24">
        <f t="shared" si="53"/>
        <v>8.4888888888888889</v>
      </c>
      <c r="N578" s="25" t="str">
        <f t="shared" si="54"/>
        <v>ORDER NOW</v>
      </c>
      <c r="O578" s="25" t="str">
        <f t="shared" si="55"/>
        <v>CRITICAL</v>
      </c>
      <c r="P578" s="5"/>
      <c r="Q578" s="5"/>
      <c r="R578" s="5"/>
      <c r="S578" s="90">
        <f>VLOOKUP(C578,[3]Sheet1!$C$3:$P$521,14,0)</f>
        <v>46140.60601851852</v>
      </c>
    </row>
    <row r="579" spans="1:19" ht="18.75" hidden="1" x14ac:dyDescent="0.25">
      <c r="A579" s="19">
        <v>174</v>
      </c>
      <c r="B579" s="19" t="s">
        <v>18</v>
      </c>
      <c r="C579" s="19" t="s">
        <v>1396</v>
      </c>
      <c r="D579" s="37" t="s">
        <v>1397</v>
      </c>
      <c r="E579" s="6" t="s">
        <v>1639</v>
      </c>
      <c r="F579" s="5" t="s">
        <v>22</v>
      </c>
      <c r="G579" s="21">
        <f>1/500</f>
        <v>2E-3</v>
      </c>
      <c r="H579" s="22">
        <v>15</v>
      </c>
      <c r="I579" s="22">
        <f t="shared" si="58"/>
        <v>7500</v>
      </c>
      <c r="J579" s="5">
        <v>14</v>
      </c>
      <c r="K579" s="23">
        <f t="shared" si="57"/>
        <v>3750</v>
      </c>
      <c r="L579" s="58">
        <f>(IFERROR(VLOOKUP(C579,'Current Stocks July-26'!B:K,9,0),0))</f>
        <v>1500</v>
      </c>
      <c r="M579" s="24">
        <f t="shared" ref="M579:M642" si="59">IFERROR((L579/I579*30),0)</f>
        <v>6</v>
      </c>
      <c r="N579" s="25" t="str">
        <f t="shared" ref="N579:N642" si="60">IF(M579&lt;J579,"ORDER NOW","IN STOCK")</f>
        <v>ORDER NOW</v>
      </c>
      <c r="O579" s="25" t="str">
        <f t="shared" ref="O579:O642" si="61">IF(M579&lt;J579,"CRITICAL","FOLLOW UP DELIVERY")</f>
        <v>CRITICAL</v>
      </c>
      <c r="P579" s="5"/>
      <c r="Q579" s="5"/>
      <c r="R579" s="5"/>
      <c r="S579" s="90">
        <f>VLOOKUP(C579,[3]Sheet1!$C$3:$P$521,14,0)</f>
        <v>46131.519583333335</v>
      </c>
    </row>
    <row r="580" spans="1:19" ht="18.75" hidden="1" x14ac:dyDescent="0.25">
      <c r="A580" s="4">
        <v>600</v>
      </c>
      <c r="B580" s="4" t="s">
        <v>38</v>
      </c>
      <c r="C580" s="4" t="s">
        <v>1190</v>
      </c>
      <c r="D580" s="27" t="s">
        <v>1191</v>
      </c>
      <c r="E580" s="27" t="s">
        <v>1192</v>
      </c>
      <c r="F580" s="5" t="s">
        <v>49</v>
      </c>
      <c r="G580" s="21">
        <v>1</v>
      </c>
      <c r="H580" s="22">
        <v>800</v>
      </c>
      <c r="I580" s="22">
        <f t="shared" si="58"/>
        <v>800</v>
      </c>
      <c r="J580" s="5">
        <v>14</v>
      </c>
      <c r="K580" s="23">
        <f t="shared" si="57"/>
        <v>400</v>
      </c>
      <c r="L580" s="58">
        <f>(IFERROR(VLOOKUP(C580,'Current Stocks July-26'!B:K,9,0),0))</f>
        <v>0</v>
      </c>
      <c r="M580" s="24">
        <f t="shared" si="59"/>
        <v>0</v>
      </c>
      <c r="N580" s="25" t="str">
        <f t="shared" si="60"/>
        <v>ORDER NOW</v>
      </c>
      <c r="O580" s="25" t="str">
        <f t="shared" si="61"/>
        <v>CRITICAL</v>
      </c>
      <c r="P580" s="5"/>
      <c r="Q580" s="5"/>
      <c r="R580" s="5"/>
      <c r="S580" s="90">
        <f>VLOOKUP(C580,[3]Sheet1!$C$3:$P$521,14,0)</f>
        <v>46131.517291666663</v>
      </c>
    </row>
    <row r="581" spans="1:19" ht="18.75" hidden="1" x14ac:dyDescent="0.25">
      <c r="A581" s="41">
        <v>392</v>
      </c>
      <c r="B581" s="41" t="s">
        <v>38</v>
      </c>
      <c r="C581" s="41" t="s">
        <v>1398</v>
      </c>
      <c r="D581" s="27" t="s">
        <v>1399</v>
      </c>
      <c r="E581" s="27" t="s">
        <v>1400</v>
      </c>
      <c r="F581" s="5" t="s">
        <v>22</v>
      </c>
      <c r="G581" s="21">
        <f>1/6</f>
        <v>0.16666666666666666</v>
      </c>
      <c r="H581" s="22">
        <v>10</v>
      </c>
      <c r="I581" s="22">
        <f t="shared" si="58"/>
        <v>60</v>
      </c>
      <c r="J581" s="5">
        <v>14</v>
      </c>
      <c r="K581" s="23">
        <f t="shared" si="57"/>
        <v>30</v>
      </c>
      <c r="L581" s="58">
        <f>(IFERROR(VLOOKUP(C581,'Current Stocks July-26'!B:K,9,0),0))</f>
        <v>0</v>
      </c>
      <c r="M581" s="24">
        <f t="shared" si="59"/>
        <v>0</v>
      </c>
      <c r="N581" s="25" t="str">
        <f t="shared" si="60"/>
        <v>ORDER NOW</v>
      </c>
      <c r="O581" s="25" t="str">
        <f t="shared" si="61"/>
        <v>CRITICAL</v>
      </c>
      <c r="P581" s="5"/>
      <c r="Q581" s="5"/>
      <c r="R581" s="5"/>
      <c r="S581" s="90">
        <f>VLOOKUP(C581,[3]Sheet1!$C$3:$P$521,14,0)</f>
        <v>46131.519502314812</v>
      </c>
    </row>
    <row r="582" spans="1:19" ht="18.75" hidden="1" x14ac:dyDescent="0.25">
      <c r="A582" s="41">
        <v>348</v>
      </c>
      <c r="B582" s="41" t="s">
        <v>38</v>
      </c>
      <c r="C582" s="41" t="s">
        <v>807</v>
      </c>
      <c r="D582" s="27" t="s">
        <v>808</v>
      </c>
      <c r="E582" s="27" t="s">
        <v>809</v>
      </c>
      <c r="F582" s="5" t="s">
        <v>49</v>
      </c>
      <c r="G582" s="21">
        <v>0.16666666666666666</v>
      </c>
      <c r="H582" s="22">
        <v>70</v>
      </c>
      <c r="I582" s="22">
        <f t="shared" si="58"/>
        <v>420</v>
      </c>
      <c r="J582" s="5">
        <v>14</v>
      </c>
      <c r="K582" s="23">
        <f t="shared" si="57"/>
        <v>210</v>
      </c>
      <c r="L582" s="58">
        <f>(IFERROR(VLOOKUP(C582,'Current Stocks July-26'!B:K,9,0),0))</f>
        <v>102</v>
      </c>
      <c r="M582" s="24">
        <f t="shared" si="59"/>
        <v>7.2857142857142856</v>
      </c>
      <c r="N582" s="25" t="str">
        <f t="shared" si="60"/>
        <v>ORDER NOW</v>
      </c>
      <c r="O582" s="25" t="str">
        <f t="shared" si="61"/>
        <v>CRITICAL</v>
      </c>
      <c r="P582" s="5"/>
      <c r="Q582" s="5"/>
      <c r="R582" s="5"/>
      <c r="S582" s="90">
        <f>VLOOKUP(C582,[3]Sheet1!$C$3:$P$521,14,0)</f>
        <v>46128.695208333331</v>
      </c>
    </row>
    <row r="583" spans="1:19" ht="18.75" hidden="1" x14ac:dyDescent="0.25">
      <c r="A583" s="19">
        <v>67</v>
      </c>
      <c r="B583" s="19" t="s">
        <v>18</v>
      </c>
      <c r="C583" s="19" t="s">
        <v>1067</v>
      </c>
      <c r="D583" s="31" t="s">
        <v>1068</v>
      </c>
      <c r="E583" s="31" t="s">
        <v>1069</v>
      </c>
      <c r="F583" s="5" t="s">
        <v>22</v>
      </c>
      <c r="G583" s="21">
        <v>0.02</v>
      </c>
      <c r="H583" s="22">
        <v>71.5</v>
      </c>
      <c r="I583" s="22">
        <f t="shared" si="58"/>
        <v>3575</v>
      </c>
      <c r="J583" s="5">
        <v>14</v>
      </c>
      <c r="K583" s="23">
        <f t="shared" si="57"/>
        <v>1787.5</v>
      </c>
      <c r="L583" s="58">
        <f>(IFERROR(VLOOKUP(C583,'Current Stocks July-26'!B:K,9,0),0))</f>
        <v>0</v>
      </c>
      <c r="M583" s="24">
        <f t="shared" si="59"/>
        <v>0</v>
      </c>
      <c r="N583" s="25" t="str">
        <f t="shared" si="60"/>
        <v>ORDER NOW</v>
      </c>
      <c r="O583" s="25" t="str">
        <f t="shared" si="61"/>
        <v>CRITICAL</v>
      </c>
      <c r="P583" s="5"/>
      <c r="Q583" s="5"/>
      <c r="R583" s="5" t="s">
        <v>30</v>
      </c>
      <c r="S583" s="90">
        <f>VLOOKUP(C583,[3]Sheet1!$C$3:$P$521,14,0)</f>
        <v>46140.606423611112</v>
      </c>
    </row>
    <row r="584" spans="1:19" ht="18.75" hidden="1" x14ac:dyDescent="0.25">
      <c r="A584" s="39">
        <v>257</v>
      </c>
      <c r="B584" s="39" t="s">
        <v>123</v>
      </c>
      <c r="C584" s="39" t="s">
        <v>709</v>
      </c>
      <c r="D584" s="27" t="s">
        <v>710</v>
      </c>
      <c r="E584" s="27" t="s">
        <v>180</v>
      </c>
      <c r="F584" s="5" t="s">
        <v>22</v>
      </c>
      <c r="G584" s="21">
        <v>1E-3</v>
      </c>
      <c r="H584" s="22">
        <v>46</v>
      </c>
      <c r="I584" s="22">
        <f t="shared" si="58"/>
        <v>46000</v>
      </c>
      <c r="J584" s="5">
        <v>14</v>
      </c>
      <c r="K584" s="23">
        <f t="shared" si="57"/>
        <v>23000</v>
      </c>
      <c r="L584" s="58">
        <f>(IFERROR(VLOOKUP(C584,'Current Stocks July-26'!B:K,9,0),0))</f>
        <v>1050</v>
      </c>
      <c r="M584" s="24">
        <f t="shared" si="59"/>
        <v>0.68478260869565222</v>
      </c>
      <c r="N584" s="25" t="str">
        <f t="shared" si="60"/>
        <v>ORDER NOW</v>
      </c>
      <c r="O584" s="25" t="str">
        <f t="shared" si="61"/>
        <v>CRITICAL</v>
      </c>
      <c r="P584" s="5"/>
      <c r="Q584" s="5"/>
      <c r="R584" s="5"/>
      <c r="S584" s="90">
        <f>VLOOKUP(C584,[3]Sheet1!$C$3:$P$521,14,0)</f>
        <v>46113.430960648147</v>
      </c>
    </row>
    <row r="585" spans="1:19" ht="18.75" hidden="1" x14ac:dyDescent="0.25">
      <c r="A585" s="41">
        <v>368</v>
      </c>
      <c r="B585" s="41" t="s">
        <v>85</v>
      </c>
      <c r="C585" s="41" t="s">
        <v>1247</v>
      </c>
      <c r="D585" s="27" t="s">
        <v>1248</v>
      </c>
      <c r="E585" s="27" t="s">
        <v>101</v>
      </c>
      <c r="F585" s="5" t="s">
        <v>22</v>
      </c>
      <c r="G585" s="21">
        <v>0.16666666666666666</v>
      </c>
      <c r="H585" s="22">
        <v>16.5</v>
      </c>
      <c r="I585" s="22">
        <f t="shared" si="58"/>
        <v>99</v>
      </c>
      <c r="J585" s="5">
        <v>14</v>
      </c>
      <c r="K585" s="23">
        <f t="shared" si="57"/>
        <v>49.5</v>
      </c>
      <c r="L585" s="58">
        <f>(IFERROR(VLOOKUP(C585,'Current Stocks July-26'!B:K,9,0),0))</f>
        <v>94</v>
      </c>
      <c r="M585" s="24">
        <f t="shared" si="59"/>
        <v>28.484848484848484</v>
      </c>
      <c r="N585" s="25" t="str">
        <f t="shared" si="60"/>
        <v>IN STOCK</v>
      </c>
      <c r="O585" s="25" t="str">
        <f t="shared" si="61"/>
        <v>FOLLOW UP DELIVERY</v>
      </c>
      <c r="P585" s="5"/>
      <c r="Q585" s="5"/>
      <c r="R585" s="5"/>
      <c r="S585" s="90">
        <f>VLOOKUP(C585,[3]Sheet1!$C$3:$P$521,14,0)</f>
        <v>46131.518807870372</v>
      </c>
    </row>
    <row r="586" spans="1:19" ht="18.75" hidden="1" x14ac:dyDescent="0.25">
      <c r="A586" s="41">
        <v>333</v>
      </c>
      <c r="B586" s="41" t="s">
        <v>38</v>
      </c>
      <c r="C586" s="41" t="s">
        <v>1103</v>
      </c>
      <c r="D586" s="27" t="s">
        <v>1104</v>
      </c>
      <c r="E586" s="27" t="s">
        <v>907</v>
      </c>
      <c r="F586" s="5" t="s">
        <v>22</v>
      </c>
      <c r="G586" s="21">
        <v>8.3333333333333329E-2</v>
      </c>
      <c r="H586" s="22">
        <v>1200</v>
      </c>
      <c r="I586" s="22">
        <f t="shared" si="58"/>
        <v>14400</v>
      </c>
      <c r="J586" s="5">
        <v>14</v>
      </c>
      <c r="K586" s="23">
        <f t="shared" si="57"/>
        <v>7200</v>
      </c>
      <c r="L586" s="58">
        <f>(IFERROR(VLOOKUP(C586,'Current Stocks July-26'!B:K,9,0),0))</f>
        <v>4088</v>
      </c>
      <c r="M586" s="24">
        <f t="shared" si="59"/>
        <v>8.5166666666666675</v>
      </c>
      <c r="N586" s="25" t="str">
        <f t="shared" si="60"/>
        <v>ORDER NOW</v>
      </c>
      <c r="O586" s="25" t="str">
        <f t="shared" si="61"/>
        <v>CRITICAL</v>
      </c>
      <c r="P586" s="5"/>
      <c r="Q586" s="5"/>
      <c r="R586" s="5"/>
      <c r="S586" s="90" t="str">
        <f>VLOOKUP(C586,[3]Sheet1!$C$3:$P$521,14,0)</f>
        <v/>
      </c>
    </row>
    <row r="587" spans="1:19" ht="18.75" hidden="1" x14ac:dyDescent="0.25">
      <c r="A587" s="41">
        <v>386</v>
      </c>
      <c r="B587" s="41" t="s">
        <v>38</v>
      </c>
      <c r="C587" s="41" t="s">
        <v>74</v>
      </c>
      <c r="D587" s="27" t="s">
        <v>75</v>
      </c>
      <c r="E587" s="27" t="s">
        <v>70</v>
      </c>
      <c r="F587" s="5" t="s">
        <v>54</v>
      </c>
      <c r="G587" s="21">
        <v>0.1</v>
      </c>
      <c r="H587" s="22">
        <v>9.5</v>
      </c>
      <c r="I587" s="22">
        <f t="shared" si="58"/>
        <v>95</v>
      </c>
      <c r="J587" s="5">
        <v>14</v>
      </c>
      <c r="K587" s="23">
        <f t="shared" si="57"/>
        <v>47.5</v>
      </c>
      <c r="L587" s="58">
        <f>(IFERROR(VLOOKUP(C587,'Current Stocks July-26'!B:K,9,0),0))</f>
        <v>20</v>
      </c>
      <c r="M587" s="24">
        <f t="shared" si="59"/>
        <v>6.3157894736842106</v>
      </c>
      <c r="N587" s="25" t="str">
        <f t="shared" si="60"/>
        <v>ORDER NOW</v>
      </c>
      <c r="O587" s="25" t="str">
        <f t="shared" si="61"/>
        <v>CRITICAL</v>
      </c>
      <c r="P587" s="5"/>
      <c r="Q587" s="5"/>
      <c r="R587" s="5"/>
      <c r="S587" s="90">
        <f>VLOOKUP(C587,[3]Sheet1!$C$3:$P$521,14,0)</f>
        <v>46141.525081018517</v>
      </c>
    </row>
    <row r="588" spans="1:19" ht="18.75" hidden="1" x14ac:dyDescent="0.25">
      <c r="A588" s="19">
        <v>31</v>
      </c>
      <c r="B588" s="19" t="s">
        <v>18</v>
      </c>
      <c r="C588" s="19" t="s">
        <v>1448</v>
      </c>
      <c r="D588" s="27" t="s">
        <v>1449</v>
      </c>
      <c r="E588" s="27" t="s">
        <v>186</v>
      </c>
      <c r="F588" s="5" t="s">
        <v>22</v>
      </c>
      <c r="G588" s="21">
        <v>2E-3</v>
      </c>
      <c r="H588" s="22">
        <v>715</v>
      </c>
      <c r="I588" s="22">
        <f t="shared" si="58"/>
        <v>357500</v>
      </c>
      <c r="J588" s="5">
        <v>60</v>
      </c>
      <c r="K588" s="23">
        <f t="shared" si="57"/>
        <v>766071.42857142852</v>
      </c>
      <c r="L588" s="58">
        <f>(IFERROR(VLOOKUP(C588,'Current Stocks July-26'!B:K,9,0),0))</f>
        <v>79500</v>
      </c>
      <c r="M588" s="24">
        <f t="shared" si="59"/>
        <v>6.6713286713286717</v>
      </c>
      <c r="N588" s="25" t="str">
        <f t="shared" si="60"/>
        <v>ORDER NOW</v>
      </c>
      <c r="O588" s="25" t="str">
        <f t="shared" si="61"/>
        <v>CRITICAL</v>
      </c>
      <c r="P588" s="5"/>
      <c r="Q588" s="5"/>
      <c r="R588" s="5" t="s">
        <v>30</v>
      </c>
      <c r="S588" s="90">
        <f>VLOOKUP(C588,[3]Sheet1!$C$3:$P$521,14,0)</f>
        <v>46128.697060185186</v>
      </c>
    </row>
    <row r="589" spans="1:19" ht="18.75" hidden="1" x14ac:dyDescent="0.25">
      <c r="A589" s="39">
        <v>251</v>
      </c>
      <c r="B589" s="39" t="s">
        <v>123</v>
      </c>
      <c r="C589" s="39" t="s">
        <v>1199</v>
      </c>
      <c r="D589" s="27" t="s">
        <v>1200</v>
      </c>
      <c r="E589" s="27" t="s">
        <v>1201</v>
      </c>
      <c r="F589" s="5" t="s">
        <v>264</v>
      </c>
      <c r="G589" s="21">
        <v>1</v>
      </c>
      <c r="H589" s="22">
        <v>105.5</v>
      </c>
      <c r="I589" s="22">
        <f t="shared" si="58"/>
        <v>105.5</v>
      </c>
      <c r="J589" s="5">
        <v>14</v>
      </c>
      <c r="K589" s="23">
        <f t="shared" si="57"/>
        <v>52.75</v>
      </c>
      <c r="L589" s="58">
        <f>(IFERROR(VLOOKUP(C589,'Current Stocks July-26'!B:K,9,0),0))</f>
        <v>128</v>
      </c>
      <c r="M589" s="24">
        <f t="shared" si="59"/>
        <v>36.39810426540285</v>
      </c>
      <c r="N589" s="25" t="str">
        <f t="shared" si="60"/>
        <v>IN STOCK</v>
      </c>
      <c r="O589" s="25" t="str">
        <f t="shared" si="61"/>
        <v>FOLLOW UP DELIVERY</v>
      </c>
      <c r="P589" s="5"/>
      <c r="Q589" s="5"/>
      <c r="R589" s="5"/>
      <c r="S589" s="90">
        <f>VLOOKUP(C589,[3]Sheet1!$C$3:$P$521,14,0)</f>
        <v>46131.518472222226</v>
      </c>
    </row>
    <row r="590" spans="1:19" ht="18.75" hidden="1" x14ac:dyDescent="0.25">
      <c r="A590" s="4">
        <v>599</v>
      </c>
      <c r="B590" s="4" t="s">
        <v>104</v>
      </c>
      <c r="C590" s="4" t="s">
        <v>108</v>
      </c>
      <c r="D590" s="32" t="s">
        <v>109</v>
      </c>
      <c r="E590" s="27" t="s">
        <v>110</v>
      </c>
      <c r="F590" s="5" t="s">
        <v>22</v>
      </c>
      <c r="G590" s="21">
        <v>0.5</v>
      </c>
      <c r="H590" s="22">
        <v>38.5</v>
      </c>
      <c r="I590" s="22">
        <f t="shared" si="58"/>
        <v>77</v>
      </c>
      <c r="J590" s="5">
        <v>14</v>
      </c>
      <c r="K590" s="23">
        <f t="shared" si="57"/>
        <v>38.5</v>
      </c>
      <c r="L590" s="58">
        <f>(IFERROR(VLOOKUP(C590,'Current Stocks July-26'!B:K,9,0),0))</f>
        <v>0</v>
      </c>
      <c r="M590" s="24">
        <f t="shared" si="59"/>
        <v>0</v>
      </c>
      <c r="N590" s="25" t="str">
        <f t="shared" si="60"/>
        <v>ORDER NOW</v>
      </c>
      <c r="O590" s="25" t="str">
        <f t="shared" si="61"/>
        <v>CRITICAL</v>
      </c>
      <c r="P590" s="5"/>
      <c r="Q590" s="5"/>
      <c r="R590" s="5"/>
      <c r="S590" s="90">
        <f>VLOOKUP(C590,[3]Sheet1!$C$3:$P$521,14,0)</f>
        <v>46127.531030092592</v>
      </c>
    </row>
    <row r="591" spans="1:19" ht="18.75" hidden="1" x14ac:dyDescent="0.25">
      <c r="A591" s="39">
        <v>233</v>
      </c>
      <c r="B591" s="39" t="s">
        <v>123</v>
      </c>
      <c r="C591" s="39" t="s">
        <v>1476</v>
      </c>
      <c r="D591" s="27" t="s">
        <v>1477</v>
      </c>
      <c r="E591" s="27" t="s">
        <v>160</v>
      </c>
      <c r="F591" s="5" t="s">
        <v>49</v>
      </c>
      <c r="G591" s="21">
        <v>1</v>
      </c>
      <c r="H591" s="22">
        <v>5.5</v>
      </c>
      <c r="I591" s="22">
        <f t="shared" ref="I591:I611" si="62">H591/G591</f>
        <v>5.5</v>
      </c>
      <c r="J591" s="5">
        <v>14</v>
      </c>
      <c r="K591" s="23">
        <f t="shared" si="57"/>
        <v>2.75</v>
      </c>
      <c r="L591" s="58">
        <f>(IFERROR(VLOOKUP(C591,'Current Stocks July-26'!B:K,9,0),0))</f>
        <v>6</v>
      </c>
      <c r="M591" s="24">
        <f t="shared" si="59"/>
        <v>32.727272727272727</v>
      </c>
      <c r="N591" s="25" t="str">
        <f t="shared" si="60"/>
        <v>IN STOCK</v>
      </c>
      <c r="O591" s="25" t="str">
        <f t="shared" si="61"/>
        <v>FOLLOW UP DELIVERY</v>
      </c>
      <c r="P591" s="5"/>
      <c r="Q591" s="5"/>
      <c r="R591" s="5"/>
      <c r="S591" s="90">
        <f>VLOOKUP(C591,[3]Sheet1!$C$3:$P$521,14,0)</f>
        <v>46131.520011574074</v>
      </c>
    </row>
    <row r="592" spans="1:19" ht="18.75" hidden="1" x14ac:dyDescent="0.25">
      <c r="A592" s="19">
        <v>86</v>
      </c>
      <c r="B592" s="19" t="s">
        <v>18</v>
      </c>
      <c r="C592" s="19" t="s">
        <v>990</v>
      </c>
      <c r="D592" s="27" t="s">
        <v>991</v>
      </c>
      <c r="E592" s="27" t="s">
        <v>196</v>
      </c>
      <c r="F592" s="5" t="s">
        <v>46</v>
      </c>
      <c r="G592" s="21">
        <v>0.01</v>
      </c>
      <c r="H592" s="22">
        <v>96</v>
      </c>
      <c r="I592" s="22">
        <f t="shared" si="62"/>
        <v>9600</v>
      </c>
      <c r="J592" s="5">
        <v>14</v>
      </c>
      <c r="K592" s="23">
        <f t="shared" si="57"/>
        <v>4800</v>
      </c>
      <c r="L592" s="58">
        <f>(IFERROR(VLOOKUP(C592,'Current Stocks July-26'!B:K,9,0),0))</f>
        <v>3100</v>
      </c>
      <c r="M592" s="24">
        <f t="shared" si="59"/>
        <v>9.6875</v>
      </c>
      <c r="N592" s="25" t="str">
        <f t="shared" si="60"/>
        <v>ORDER NOW</v>
      </c>
      <c r="O592" s="25" t="str">
        <f t="shared" si="61"/>
        <v>CRITICAL</v>
      </c>
      <c r="P592" s="5"/>
      <c r="Q592" s="5"/>
      <c r="R592" s="5" t="s">
        <v>30</v>
      </c>
      <c r="S592" s="90">
        <f>VLOOKUP(C592,[3]Sheet1!$C$3:$P$521,14,0)</f>
        <v>46131.518194444441</v>
      </c>
    </row>
    <row r="593" spans="1:19" ht="18.75" hidden="1" x14ac:dyDescent="0.25">
      <c r="A593" s="19">
        <v>140</v>
      </c>
      <c r="B593" s="19" t="s">
        <v>18</v>
      </c>
      <c r="C593" s="19" t="s">
        <v>1403</v>
      </c>
      <c r="D593" s="27" t="s">
        <v>1404</v>
      </c>
      <c r="E593" s="27" t="s">
        <v>942</v>
      </c>
      <c r="F593" s="5" t="s">
        <v>49</v>
      </c>
      <c r="G593" s="21">
        <f>1/1000</f>
        <v>1E-3</v>
      </c>
      <c r="H593" s="22">
        <v>12</v>
      </c>
      <c r="I593" s="22">
        <f t="shared" si="62"/>
        <v>12000</v>
      </c>
      <c r="J593" s="5">
        <v>14</v>
      </c>
      <c r="K593" s="23">
        <f t="shared" si="57"/>
        <v>6000</v>
      </c>
      <c r="L593" s="58">
        <f>(IFERROR(VLOOKUP(C593,'Current Stocks July-26'!B:K,9,0),0))</f>
        <v>0</v>
      </c>
      <c r="M593" s="24">
        <f t="shared" si="59"/>
        <v>0</v>
      </c>
      <c r="N593" s="25" t="str">
        <f t="shared" si="60"/>
        <v>ORDER NOW</v>
      </c>
      <c r="O593" s="25" t="str">
        <f t="shared" si="61"/>
        <v>CRITICAL</v>
      </c>
      <c r="P593" s="5"/>
      <c r="Q593" s="5"/>
      <c r="R593" s="5" t="s">
        <v>30</v>
      </c>
      <c r="S593" s="90">
        <f>VLOOKUP(C593,[3]Sheet1!$C$3:$P$521,14,0)</f>
        <v>46131.519606481481</v>
      </c>
    </row>
    <row r="594" spans="1:19" ht="18.75" hidden="1" x14ac:dyDescent="0.25">
      <c r="A594" s="19">
        <v>43</v>
      </c>
      <c r="B594" s="19" t="s">
        <v>18</v>
      </c>
      <c r="C594" s="19" t="s">
        <v>1482</v>
      </c>
      <c r="D594" s="27" t="s">
        <v>1483</v>
      </c>
      <c r="E594" s="27" t="s">
        <v>1484</v>
      </c>
      <c r="F594" s="5" t="s">
        <v>22</v>
      </c>
      <c r="G594" s="21">
        <v>1.6666666666666666E-2</v>
      </c>
      <c r="H594" s="22">
        <v>346.5</v>
      </c>
      <c r="I594" s="22">
        <f t="shared" si="62"/>
        <v>20790</v>
      </c>
      <c r="J594" s="5">
        <v>14</v>
      </c>
      <c r="K594" s="23">
        <f t="shared" si="57"/>
        <v>10395</v>
      </c>
      <c r="L594" s="58">
        <f>(IFERROR(VLOOKUP(C594,'Current Stocks July-26'!B:K,9,0),0))</f>
        <v>19360</v>
      </c>
      <c r="M594" s="24">
        <f t="shared" si="59"/>
        <v>27.936507936507937</v>
      </c>
      <c r="N594" s="25" t="str">
        <f t="shared" si="60"/>
        <v>IN STOCK</v>
      </c>
      <c r="O594" s="25" t="str">
        <f t="shared" si="61"/>
        <v>FOLLOW UP DELIVERY</v>
      </c>
      <c r="P594" s="5"/>
      <c r="Q594" s="5"/>
      <c r="R594" s="5" t="s">
        <v>30</v>
      </c>
      <c r="S594" s="90">
        <f>VLOOKUP(C594,[3]Sheet1!$C$3:$P$521,14,0)</f>
        <v>46128.697129629632</v>
      </c>
    </row>
    <row r="595" spans="1:19" ht="18.75" hidden="1" x14ac:dyDescent="0.25">
      <c r="A595" s="19">
        <v>105</v>
      </c>
      <c r="B595" s="19" t="s">
        <v>18</v>
      </c>
      <c r="C595" s="19" t="s">
        <v>1033</v>
      </c>
      <c r="D595" s="27" t="s">
        <v>1034</v>
      </c>
      <c r="E595" s="27" t="s">
        <v>175</v>
      </c>
      <c r="F595" s="5" t="s">
        <v>22</v>
      </c>
      <c r="G595" s="21">
        <v>0.01</v>
      </c>
      <c r="H595" s="22">
        <v>75</v>
      </c>
      <c r="I595" s="22">
        <f t="shared" si="62"/>
        <v>7500</v>
      </c>
      <c r="J595" s="5">
        <v>14</v>
      </c>
      <c r="K595" s="23">
        <f t="shared" si="57"/>
        <v>3750</v>
      </c>
      <c r="L595" s="58">
        <f>(IFERROR(VLOOKUP(C595,'Current Stocks July-26'!B:K,9,0),0))</f>
        <v>601</v>
      </c>
      <c r="M595" s="24">
        <f t="shared" si="59"/>
        <v>2.4039999999999999</v>
      </c>
      <c r="N595" s="25" t="str">
        <f t="shared" si="60"/>
        <v>ORDER NOW</v>
      </c>
      <c r="O595" s="25" t="str">
        <f t="shared" si="61"/>
        <v>CRITICAL</v>
      </c>
      <c r="P595" s="5"/>
      <c r="Q595" s="5"/>
      <c r="R595" s="5" t="s">
        <v>30</v>
      </c>
      <c r="S595" s="90">
        <f>VLOOKUP(C595,[3]Sheet1!$C$3:$P$521,14,0)</f>
        <v>46141.52584490741</v>
      </c>
    </row>
    <row r="596" spans="1:19" ht="18.75" hidden="1" x14ac:dyDescent="0.25">
      <c r="A596" s="41">
        <v>547</v>
      </c>
      <c r="B596" s="41" t="s">
        <v>38</v>
      </c>
      <c r="C596" s="41" t="s">
        <v>1285</v>
      </c>
      <c r="D596" s="77" t="s">
        <v>1286</v>
      </c>
      <c r="E596" s="31" t="s">
        <v>64</v>
      </c>
      <c r="F596" s="5" t="s">
        <v>49</v>
      </c>
      <c r="G596" s="21">
        <v>1</v>
      </c>
      <c r="H596" s="22">
        <v>1</v>
      </c>
      <c r="I596" s="22">
        <f t="shared" si="62"/>
        <v>1</v>
      </c>
      <c r="J596" s="5">
        <v>14</v>
      </c>
      <c r="K596" s="23">
        <f t="shared" si="57"/>
        <v>0.5</v>
      </c>
      <c r="L596" s="58">
        <f>(IFERROR(VLOOKUP(C596,'Current Stocks July-26'!B:K,9,0),0))</f>
        <v>0</v>
      </c>
      <c r="M596" s="24">
        <f t="shared" si="59"/>
        <v>0</v>
      </c>
      <c r="N596" s="25" t="str">
        <f t="shared" si="60"/>
        <v>ORDER NOW</v>
      </c>
      <c r="O596" s="25" t="str">
        <f t="shared" si="61"/>
        <v>CRITICAL</v>
      </c>
      <c r="P596" s="5"/>
      <c r="Q596" s="5"/>
      <c r="R596" s="5"/>
      <c r="S596" s="90">
        <f>VLOOKUP(C596,[3]Sheet1!$C$3:$P$521,14,0)</f>
        <v>46131.518969907411</v>
      </c>
    </row>
    <row r="597" spans="1:19" ht="18.75" hidden="1" x14ac:dyDescent="0.25">
      <c r="A597" s="19">
        <v>15</v>
      </c>
      <c r="B597" s="19" t="s">
        <v>18</v>
      </c>
      <c r="C597" s="19" t="s">
        <v>1516</v>
      </c>
      <c r="D597" s="27" t="s">
        <v>1517</v>
      </c>
      <c r="E597" s="27" t="s">
        <v>1518</v>
      </c>
      <c r="F597" s="5" t="s">
        <v>22</v>
      </c>
      <c r="G597" s="21">
        <v>7.6923076923076927E-3</v>
      </c>
      <c r="H597" s="22">
        <v>170.5</v>
      </c>
      <c r="I597" s="22">
        <f t="shared" si="62"/>
        <v>22165</v>
      </c>
      <c r="J597" s="5">
        <v>60</v>
      </c>
      <c r="K597" s="23">
        <f t="shared" si="57"/>
        <v>47496.428571428572</v>
      </c>
      <c r="L597" s="58">
        <f>(IFERROR(VLOOKUP(C597,'Current Stocks July-26'!B:K,9,0),0))</f>
        <v>16510</v>
      </c>
      <c r="M597" s="24">
        <f t="shared" si="59"/>
        <v>22.346041055718477</v>
      </c>
      <c r="N597" s="25" t="str">
        <f t="shared" si="60"/>
        <v>ORDER NOW</v>
      </c>
      <c r="O597" s="25" t="str">
        <f t="shared" si="61"/>
        <v>CRITICAL</v>
      </c>
      <c r="P597" s="5"/>
      <c r="Q597" s="5"/>
      <c r="R597" s="5" t="s">
        <v>30</v>
      </c>
      <c r="S597" s="90">
        <f>VLOOKUP(C597,[3]Sheet1!$C$3:$P$521,14,0)</f>
        <v>46128.697187500002</v>
      </c>
    </row>
    <row r="598" spans="1:19" ht="18.75" hidden="1" x14ac:dyDescent="0.25">
      <c r="A598" s="19">
        <v>167</v>
      </c>
      <c r="B598" s="19" t="s">
        <v>18</v>
      </c>
      <c r="C598" s="19" t="s">
        <v>1531</v>
      </c>
      <c r="D598" s="27" t="s">
        <v>1532</v>
      </c>
      <c r="E598" s="27" t="s">
        <v>21</v>
      </c>
      <c r="F598" s="5" t="s">
        <v>22</v>
      </c>
      <c r="G598" s="21">
        <v>1.6666666666666668E-3</v>
      </c>
      <c r="H598" s="22">
        <v>20</v>
      </c>
      <c r="I598" s="22">
        <f t="shared" si="62"/>
        <v>12000</v>
      </c>
      <c r="J598" s="5">
        <v>14</v>
      </c>
      <c r="K598" s="23">
        <f t="shared" si="57"/>
        <v>6000</v>
      </c>
      <c r="L598" s="58">
        <f>(IFERROR(VLOOKUP(C598,'Current Stocks July-26'!B:K,9,0),0))</f>
        <v>1500</v>
      </c>
      <c r="M598" s="24">
        <f t="shared" si="59"/>
        <v>3.75</v>
      </c>
      <c r="N598" s="25" t="str">
        <f t="shared" si="60"/>
        <v>ORDER NOW</v>
      </c>
      <c r="O598" s="25" t="str">
        <f t="shared" si="61"/>
        <v>CRITICAL</v>
      </c>
      <c r="P598" s="5"/>
      <c r="Q598" s="5"/>
      <c r="R598" s="5"/>
      <c r="S598" s="90">
        <f>VLOOKUP(C598,[3]Sheet1!$C$3:$P$521,14,0)</f>
        <v>46131.52034722222</v>
      </c>
    </row>
    <row r="599" spans="1:19" ht="18.75" hidden="1" x14ac:dyDescent="0.25">
      <c r="A599" s="41">
        <v>338</v>
      </c>
      <c r="B599" s="41" t="s">
        <v>38</v>
      </c>
      <c r="C599" s="41" t="s">
        <v>1466</v>
      </c>
      <c r="D599" s="31" t="s">
        <v>1467</v>
      </c>
      <c r="E599" s="31" t="s">
        <v>1468</v>
      </c>
      <c r="F599" s="5" t="s">
        <v>22</v>
      </c>
      <c r="G599" s="21">
        <v>1E-3</v>
      </c>
      <c r="H599" s="22">
        <v>25</v>
      </c>
      <c r="I599" s="22">
        <f t="shared" si="62"/>
        <v>25000</v>
      </c>
      <c r="J599" s="5">
        <v>14</v>
      </c>
      <c r="K599" s="23">
        <f t="shared" si="57"/>
        <v>12500</v>
      </c>
      <c r="L599" s="58">
        <f>(IFERROR(VLOOKUP(C599,'Current Stocks July-26'!B:K,9,0),0))</f>
        <v>17000</v>
      </c>
      <c r="M599" s="24">
        <f t="shared" si="59"/>
        <v>20.400000000000002</v>
      </c>
      <c r="N599" s="25" t="str">
        <f t="shared" si="60"/>
        <v>IN STOCK</v>
      </c>
      <c r="O599" s="25" t="str">
        <f t="shared" si="61"/>
        <v>FOLLOW UP DELIVERY</v>
      </c>
      <c r="P599" s="5"/>
      <c r="Q599" s="5"/>
      <c r="R599" s="5"/>
      <c r="S599" s="90" t="e">
        <f>VLOOKUP(C599,[3]Sheet1!$C$3:$P$521,14,0)</f>
        <v>#N/A</v>
      </c>
    </row>
    <row r="600" spans="1:19" ht="18.75" hidden="1" x14ac:dyDescent="0.25">
      <c r="A600" s="41">
        <v>470</v>
      </c>
      <c r="B600" s="41" t="s">
        <v>38</v>
      </c>
      <c r="C600" s="41" t="s">
        <v>1354</v>
      </c>
      <c r="D600" s="27" t="s">
        <v>1355</v>
      </c>
      <c r="E600" s="27" t="s">
        <v>1356</v>
      </c>
      <c r="F600" s="5" t="s">
        <v>49</v>
      </c>
      <c r="G600" s="21">
        <v>0.25</v>
      </c>
      <c r="H600" s="22">
        <v>50</v>
      </c>
      <c r="I600" s="22">
        <f t="shared" si="62"/>
        <v>200</v>
      </c>
      <c r="J600" s="5">
        <v>14</v>
      </c>
      <c r="K600" s="23">
        <f t="shared" si="57"/>
        <v>100</v>
      </c>
      <c r="L600" s="58">
        <f>(IFERROR(VLOOKUP(C600,'Current Stocks July-26'!B:K,9,0),0))</f>
        <v>0</v>
      </c>
      <c r="M600" s="24">
        <f t="shared" si="59"/>
        <v>0</v>
      </c>
      <c r="N600" s="25" t="str">
        <f t="shared" si="60"/>
        <v>ORDER NOW</v>
      </c>
      <c r="O600" s="25" t="str">
        <f t="shared" si="61"/>
        <v>CRITICAL</v>
      </c>
      <c r="P600" s="5"/>
      <c r="Q600" s="5"/>
      <c r="R600" s="5"/>
      <c r="S600" s="90">
        <f>VLOOKUP(C600,[3]Sheet1!$C$3:$P$521,14,0)</f>
        <v>46131.519375000003</v>
      </c>
    </row>
    <row r="601" spans="1:19" ht="18.75" hidden="1" x14ac:dyDescent="0.25">
      <c r="A601" s="41">
        <v>355</v>
      </c>
      <c r="B601" s="41" t="s">
        <v>38</v>
      </c>
      <c r="C601" s="41" t="s">
        <v>1495</v>
      </c>
      <c r="D601" s="27" t="s">
        <v>1496</v>
      </c>
      <c r="E601" s="27" t="s">
        <v>1244</v>
      </c>
      <c r="F601" s="5" t="s">
        <v>22</v>
      </c>
      <c r="G601" s="21">
        <v>0.2</v>
      </c>
      <c r="H601" s="22">
        <v>27.5</v>
      </c>
      <c r="I601" s="22">
        <f t="shared" si="62"/>
        <v>137.5</v>
      </c>
      <c r="J601" s="5">
        <v>14</v>
      </c>
      <c r="K601" s="23">
        <f t="shared" si="57"/>
        <v>68.75</v>
      </c>
      <c r="L601" s="58">
        <f>(IFERROR(VLOOKUP(C601,'Current Stocks July-26'!B:K,9,0),0))</f>
        <v>105</v>
      </c>
      <c r="M601" s="24">
        <f t="shared" si="59"/>
        <v>22.90909090909091</v>
      </c>
      <c r="N601" s="25" t="str">
        <f t="shared" si="60"/>
        <v>IN STOCK</v>
      </c>
      <c r="O601" s="25" t="str">
        <f t="shared" si="61"/>
        <v>FOLLOW UP DELIVERY</v>
      </c>
      <c r="P601" s="5"/>
      <c r="Q601" s="5"/>
      <c r="R601" s="5"/>
      <c r="S601" s="90">
        <f>VLOOKUP(C601,[3]Sheet1!$C$3:$P$521,14,0)</f>
        <v>46131.520092592589</v>
      </c>
    </row>
    <row r="602" spans="1:19" ht="18.75" hidden="1" x14ac:dyDescent="0.25">
      <c r="A602" s="19">
        <v>89</v>
      </c>
      <c r="B602" s="19" t="s">
        <v>18</v>
      </c>
      <c r="C602" s="19" t="s">
        <v>1035</v>
      </c>
      <c r="D602" s="27" t="s">
        <v>1036</v>
      </c>
      <c r="E602" s="27" t="s">
        <v>119</v>
      </c>
      <c r="F602" s="5" t="s">
        <v>22</v>
      </c>
      <c r="G602" s="21">
        <v>1E-3</v>
      </c>
      <c r="H602" s="22">
        <v>22</v>
      </c>
      <c r="I602" s="22">
        <f t="shared" si="62"/>
        <v>22000</v>
      </c>
      <c r="J602" s="5">
        <v>14</v>
      </c>
      <c r="K602" s="23">
        <f t="shared" si="57"/>
        <v>11000</v>
      </c>
      <c r="L602" s="58">
        <f>(IFERROR(VLOOKUP(C602,'Current Stocks July-26'!B:K,9,0),0))</f>
        <v>5500</v>
      </c>
      <c r="M602" s="24">
        <f t="shared" si="59"/>
        <v>7.5</v>
      </c>
      <c r="N602" s="25" t="str">
        <f t="shared" si="60"/>
        <v>ORDER NOW</v>
      </c>
      <c r="O602" s="25" t="str">
        <f t="shared" si="61"/>
        <v>CRITICAL</v>
      </c>
      <c r="P602" s="5"/>
      <c r="Q602" s="5"/>
      <c r="R602" s="5" t="s">
        <v>30</v>
      </c>
      <c r="S602" s="90">
        <f>VLOOKUP(C602,[3]Sheet1!$C$3:$P$521,14,0)</f>
        <v>46141.525879629633</v>
      </c>
    </row>
    <row r="603" spans="1:19" ht="18.75" hidden="1" x14ac:dyDescent="0.25">
      <c r="A603" s="41">
        <v>475</v>
      </c>
      <c r="B603" s="41" t="s">
        <v>85</v>
      </c>
      <c r="C603" s="41" t="s">
        <v>1047</v>
      </c>
      <c r="D603" s="27" t="s">
        <v>1048</v>
      </c>
      <c r="E603" s="27" t="s">
        <v>1049</v>
      </c>
      <c r="F603" s="5" t="s">
        <v>22</v>
      </c>
      <c r="G603" s="21">
        <v>0.14172335600907029</v>
      </c>
      <c r="H603" s="22">
        <v>15</v>
      </c>
      <c r="I603" s="22">
        <f t="shared" si="62"/>
        <v>105.84</v>
      </c>
      <c r="J603" s="5">
        <v>14</v>
      </c>
      <c r="K603" s="23">
        <f t="shared" si="57"/>
        <v>52.92</v>
      </c>
      <c r="L603" s="58">
        <f>(IFERROR(VLOOKUP(C603,'Current Stocks July-26'!B:K,9,0),0))</f>
        <v>306.04599999999999</v>
      </c>
      <c r="M603" s="24">
        <f t="shared" si="59"/>
        <v>86.747732426303855</v>
      </c>
      <c r="N603" s="25" t="str">
        <f t="shared" si="60"/>
        <v>IN STOCK</v>
      </c>
      <c r="O603" s="25" t="str">
        <f t="shared" si="61"/>
        <v>FOLLOW UP DELIVERY</v>
      </c>
      <c r="P603" s="5"/>
      <c r="Q603" s="5"/>
      <c r="R603" s="5"/>
      <c r="S603" s="90">
        <f>VLOOKUP(C603,[3]Sheet1!$C$3:$P$521,14,0)</f>
        <v>46131.517858796295</v>
      </c>
    </row>
    <row r="604" spans="1:19" ht="18.75" hidden="1" x14ac:dyDescent="0.25">
      <c r="A604" s="19">
        <v>57</v>
      </c>
      <c r="B604" s="19" t="s">
        <v>18</v>
      </c>
      <c r="C604" s="19" t="s">
        <v>1519</v>
      </c>
      <c r="D604" s="68" t="s">
        <v>1520</v>
      </c>
      <c r="E604" s="32" t="s">
        <v>78</v>
      </c>
      <c r="F604" s="5" t="s">
        <v>49</v>
      </c>
      <c r="G604" s="21">
        <v>1</v>
      </c>
      <c r="H604" s="22">
        <v>60</v>
      </c>
      <c r="I604" s="22">
        <f t="shared" si="62"/>
        <v>60</v>
      </c>
      <c r="J604" s="5">
        <v>30</v>
      </c>
      <c r="K604" s="23">
        <f t="shared" si="57"/>
        <v>64.285714285714278</v>
      </c>
      <c r="L604" s="58">
        <f>(IFERROR(VLOOKUP(C604,'Current Stocks July-26'!B:K,9,0),0))</f>
        <v>0</v>
      </c>
      <c r="M604" s="24">
        <f t="shared" si="59"/>
        <v>0</v>
      </c>
      <c r="N604" s="25" t="str">
        <f t="shared" si="60"/>
        <v>ORDER NOW</v>
      </c>
      <c r="O604" s="25" t="str">
        <f t="shared" si="61"/>
        <v>CRITICAL</v>
      </c>
      <c r="P604" s="5"/>
      <c r="Q604" s="5"/>
      <c r="R604" s="5" t="s">
        <v>30</v>
      </c>
      <c r="S604" s="90" t="e">
        <f>VLOOKUP(C604,[3]Sheet1!$C$3:$P$521,14,0)</f>
        <v>#N/A</v>
      </c>
    </row>
    <row r="605" spans="1:19" ht="18.75" hidden="1" x14ac:dyDescent="0.25">
      <c r="A605" s="41">
        <v>454</v>
      </c>
      <c r="B605" s="41" t="s">
        <v>85</v>
      </c>
      <c r="C605" s="41" t="s">
        <v>1533</v>
      </c>
      <c r="D605" s="27" t="s">
        <v>1534</v>
      </c>
      <c r="E605" s="27" t="s">
        <v>1535</v>
      </c>
      <c r="F605" s="5" t="s">
        <v>22</v>
      </c>
      <c r="G605" s="21">
        <v>7.407407407407407E-2</v>
      </c>
      <c r="H605" s="22">
        <v>1</v>
      </c>
      <c r="I605" s="22">
        <f t="shared" si="62"/>
        <v>13.5</v>
      </c>
      <c r="J605" s="5">
        <v>14</v>
      </c>
      <c r="K605" s="23">
        <f t="shared" si="57"/>
        <v>6.75</v>
      </c>
      <c r="L605" s="58">
        <f>(IFERROR(VLOOKUP(C605,'Current Stocks July-26'!B:K,9,0),0))</f>
        <v>0</v>
      </c>
      <c r="M605" s="24">
        <f t="shared" si="59"/>
        <v>0</v>
      </c>
      <c r="N605" s="25" t="str">
        <f t="shared" si="60"/>
        <v>ORDER NOW</v>
      </c>
      <c r="O605" s="25" t="str">
        <f t="shared" si="61"/>
        <v>CRITICAL</v>
      </c>
      <c r="P605" s="5"/>
      <c r="Q605" s="5"/>
      <c r="R605" s="5"/>
      <c r="S605" s="90">
        <f>VLOOKUP(C605,[3]Sheet1!$C$3:$P$521,14,0)</f>
        <v>46131.520358796297</v>
      </c>
    </row>
    <row r="606" spans="1:19" ht="18.75" hidden="1" x14ac:dyDescent="0.25">
      <c r="A606" s="41">
        <v>563</v>
      </c>
      <c r="B606" s="41" t="s">
        <v>38</v>
      </c>
      <c r="C606" s="41" t="s">
        <v>1167</v>
      </c>
      <c r="D606" s="37" t="s">
        <v>1168</v>
      </c>
      <c r="E606" s="31" t="s">
        <v>22</v>
      </c>
      <c r="F606" s="5" t="s">
        <v>22</v>
      </c>
      <c r="G606" s="21">
        <v>1</v>
      </c>
      <c r="H606" s="22">
        <v>5</v>
      </c>
      <c r="I606" s="22">
        <f t="shared" si="62"/>
        <v>5</v>
      </c>
      <c r="J606" s="5">
        <v>14</v>
      </c>
      <c r="K606" s="23">
        <f t="shared" si="57"/>
        <v>2.5</v>
      </c>
      <c r="L606" s="58">
        <f>(IFERROR(VLOOKUP(C606,'Current Stocks July-26'!B:K,9,0),0))</f>
        <v>0</v>
      </c>
      <c r="M606" s="24">
        <f t="shared" si="59"/>
        <v>0</v>
      </c>
      <c r="N606" s="25" t="str">
        <f t="shared" si="60"/>
        <v>ORDER NOW</v>
      </c>
      <c r="O606" s="25" t="str">
        <f t="shared" si="61"/>
        <v>CRITICAL</v>
      </c>
      <c r="P606" s="5"/>
      <c r="Q606" s="5"/>
      <c r="R606" s="5"/>
      <c r="S606" s="90">
        <f>VLOOKUP(C606,[3]Sheet1!$C$3:$P$521,14,0)</f>
        <v>46131.518321759257</v>
      </c>
    </row>
    <row r="607" spans="1:19" ht="18.75" hidden="1" x14ac:dyDescent="0.25">
      <c r="A607" s="41">
        <v>467</v>
      </c>
      <c r="B607" s="41" t="s">
        <v>38</v>
      </c>
      <c r="C607" s="41" t="s">
        <v>464</v>
      </c>
      <c r="D607" s="27" t="s">
        <v>465</v>
      </c>
      <c r="E607" s="27" t="s">
        <v>466</v>
      </c>
      <c r="F607" s="5" t="s">
        <v>49</v>
      </c>
      <c r="G607" s="21">
        <v>0.04</v>
      </c>
      <c r="H607" s="22">
        <v>4</v>
      </c>
      <c r="I607" s="22">
        <f t="shared" si="62"/>
        <v>100</v>
      </c>
      <c r="J607" s="5">
        <v>14</v>
      </c>
      <c r="K607" s="23">
        <f t="shared" si="57"/>
        <v>50</v>
      </c>
      <c r="L607" s="58">
        <f>(IFERROR(VLOOKUP(C607,'Current Stocks July-26'!B:K,9,0),0))</f>
        <v>0</v>
      </c>
      <c r="M607" s="24">
        <f t="shared" si="59"/>
        <v>0</v>
      </c>
      <c r="N607" s="25" t="str">
        <f t="shared" si="60"/>
        <v>ORDER NOW</v>
      </c>
      <c r="O607" s="25" t="str">
        <f t="shared" si="61"/>
        <v>CRITICAL</v>
      </c>
      <c r="P607" s="5"/>
      <c r="Q607" s="5"/>
      <c r="R607" s="5"/>
      <c r="S607" s="90">
        <f>VLOOKUP(C607,[3]Sheet1!$C$3:$P$521,14,0)</f>
        <v>46113.430925925924</v>
      </c>
    </row>
    <row r="608" spans="1:19" ht="18.75" hidden="1" x14ac:dyDescent="0.25">
      <c r="A608" s="41">
        <v>377</v>
      </c>
      <c r="B608" s="41" t="s">
        <v>85</v>
      </c>
      <c r="C608" s="41" t="s">
        <v>1453</v>
      </c>
      <c r="D608" s="27" t="s">
        <v>1454</v>
      </c>
      <c r="E608" s="27" t="s">
        <v>101</v>
      </c>
      <c r="F608" s="5" t="s">
        <v>22</v>
      </c>
      <c r="G608" s="21">
        <v>0.16666666666666666</v>
      </c>
      <c r="H608" s="22">
        <v>30.5</v>
      </c>
      <c r="I608" s="22">
        <f t="shared" si="62"/>
        <v>183</v>
      </c>
      <c r="J608" s="5">
        <v>14</v>
      </c>
      <c r="K608" s="23">
        <f t="shared" si="57"/>
        <v>91.5</v>
      </c>
      <c r="L608" s="58">
        <f>(IFERROR(VLOOKUP(C608,'Current Stocks July-26'!B:K,9,0),0))</f>
        <v>198</v>
      </c>
      <c r="M608" s="24">
        <f t="shared" si="59"/>
        <v>32.459016393442624</v>
      </c>
      <c r="N608" s="25" t="str">
        <f t="shared" si="60"/>
        <v>IN STOCK</v>
      </c>
      <c r="O608" s="25" t="str">
        <f t="shared" si="61"/>
        <v>FOLLOW UP DELIVERY</v>
      </c>
      <c r="P608" s="5"/>
      <c r="Q608" s="5"/>
      <c r="R608" s="5"/>
      <c r="S608" s="90">
        <f>VLOOKUP(C608,[3]Sheet1!$C$3:$P$521,14,0)</f>
        <v>46131.519872685189</v>
      </c>
    </row>
    <row r="609" spans="1:19" ht="18.75" hidden="1" x14ac:dyDescent="0.25">
      <c r="A609" s="49">
        <v>585</v>
      </c>
      <c r="B609" s="49" t="s">
        <v>298</v>
      </c>
      <c r="C609" s="49" t="s">
        <v>917</v>
      </c>
      <c r="D609" s="27" t="s">
        <v>918</v>
      </c>
      <c r="E609" s="27" t="s">
        <v>49</v>
      </c>
      <c r="F609" s="5" t="s">
        <v>49</v>
      </c>
      <c r="G609" s="21">
        <v>1</v>
      </c>
      <c r="H609" s="22">
        <v>5.5</v>
      </c>
      <c r="I609" s="22">
        <f t="shared" si="62"/>
        <v>5.5</v>
      </c>
      <c r="J609" s="5">
        <v>14</v>
      </c>
      <c r="K609" s="23">
        <f t="shared" si="57"/>
        <v>2.75</v>
      </c>
      <c r="L609" s="58">
        <f>(IFERROR(VLOOKUP(C609,'Current Stocks July-26'!B:K,9,0),0))</f>
        <v>0</v>
      </c>
      <c r="M609" s="24">
        <f t="shared" si="59"/>
        <v>0</v>
      </c>
      <c r="N609" s="25" t="str">
        <f t="shared" si="60"/>
        <v>ORDER NOW</v>
      </c>
      <c r="O609" s="25" t="str">
        <f t="shared" si="61"/>
        <v>CRITICAL</v>
      </c>
      <c r="P609" s="5"/>
      <c r="Q609" s="5"/>
      <c r="R609" s="5"/>
      <c r="S609" s="90">
        <f>VLOOKUP(C609,[3]Sheet1!$C$3:$P$521,14,0)</f>
        <v>46113.430960648147</v>
      </c>
    </row>
    <row r="610" spans="1:19" ht="18.75" hidden="1" x14ac:dyDescent="0.25">
      <c r="A610" s="19">
        <v>44</v>
      </c>
      <c r="B610" s="19" t="s">
        <v>18</v>
      </c>
      <c r="C610" s="19" t="s">
        <v>805</v>
      </c>
      <c r="D610" s="32" t="s">
        <v>806</v>
      </c>
      <c r="E610" s="27" t="s">
        <v>78</v>
      </c>
      <c r="F610" s="5" t="s">
        <v>49</v>
      </c>
      <c r="G610" s="21">
        <v>1</v>
      </c>
      <c r="H610" s="22">
        <v>660</v>
      </c>
      <c r="I610" s="22">
        <f t="shared" si="62"/>
        <v>660</v>
      </c>
      <c r="J610" s="5">
        <v>14</v>
      </c>
      <c r="K610" s="23">
        <f t="shared" si="57"/>
        <v>330</v>
      </c>
      <c r="L610" s="58">
        <f>(IFERROR(VLOOKUP(C610,'Current Stocks July-26'!B:K,9,0),0))</f>
        <v>0</v>
      </c>
      <c r="M610" s="24">
        <f t="shared" si="59"/>
        <v>0</v>
      </c>
      <c r="N610" s="25" t="str">
        <f t="shared" si="60"/>
        <v>ORDER NOW</v>
      </c>
      <c r="O610" s="25" t="str">
        <f t="shared" si="61"/>
        <v>CRITICAL</v>
      </c>
      <c r="P610" s="5"/>
      <c r="Q610" s="5"/>
      <c r="R610" s="5" t="s">
        <v>30</v>
      </c>
      <c r="S610" s="90">
        <f>VLOOKUP(C610,[3]Sheet1!$C$3:$P$521,14,0)</f>
        <v>46128.695185185185</v>
      </c>
    </row>
    <row r="611" spans="1:19" ht="18.75" hidden="1" x14ac:dyDescent="0.25">
      <c r="A611" s="19">
        <v>24</v>
      </c>
      <c r="B611" s="19" t="s">
        <v>18</v>
      </c>
      <c r="C611" s="19" t="s">
        <v>1485</v>
      </c>
      <c r="D611" s="27" t="s">
        <v>1486</v>
      </c>
      <c r="E611" s="27" t="s">
        <v>119</v>
      </c>
      <c r="F611" s="5" t="s">
        <v>22</v>
      </c>
      <c r="G611" s="21">
        <f>1/1000</f>
        <v>1E-3</v>
      </c>
      <c r="H611" s="22">
        <v>22</v>
      </c>
      <c r="I611" s="22">
        <f t="shared" si="62"/>
        <v>22000</v>
      </c>
      <c r="J611" s="5">
        <v>14</v>
      </c>
      <c r="K611" s="23">
        <f t="shared" si="57"/>
        <v>11000</v>
      </c>
      <c r="L611" s="58">
        <f>(IFERROR(VLOOKUP(C611,'Current Stocks July-26'!B:K,9,0),0))</f>
        <v>0</v>
      </c>
      <c r="M611" s="24">
        <f t="shared" si="59"/>
        <v>0</v>
      </c>
      <c r="N611" s="25" t="str">
        <f t="shared" si="60"/>
        <v>ORDER NOW</v>
      </c>
      <c r="O611" s="25" t="str">
        <f t="shared" si="61"/>
        <v>CRITICAL</v>
      </c>
      <c r="P611" s="5"/>
      <c r="Q611" s="5"/>
      <c r="R611" s="5" t="s">
        <v>30</v>
      </c>
      <c r="S611" s="90">
        <f>VLOOKUP(C611,[3]Sheet1!$C$3:$P$521,14,0)</f>
        <v>46131.520115740743</v>
      </c>
    </row>
    <row r="612" spans="1:19" ht="18.75" hidden="1" x14ac:dyDescent="0.25">
      <c r="A612" s="19">
        <v>146</v>
      </c>
      <c r="B612" s="19" t="s">
        <v>18</v>
      </c>
      <c r="C612" s="19" t="s">
        <v>745</v>
      </c>
      <c r="D612" s="65" t="s">
        <v>746</v>
      </c>
      <c r="E612" s="32" t="s">
        <v>49</v>
      </c>
      <c r="F612" s="5" t="s">
        <v>49</v>
      </c>
      <c r="G612" s="21">
        <v>1</v>
      </c>
      <c r="H612" s="22">
        <v>500</v>
      </c>
      <c r="I612" s="22">
        <v>500</v>
      </c>
      <c r="J612" s="5">
        <v>14</v>
      </c>
      <c r="K612" s="23">
        <f t="shared" si="57"/>
        <v>250</v>
      </c>
      <c r="L612" s="58">
        <f>(IFERROR(VLOOKUP(C612,'Current Stocks July-26'!B:K,9,0),0))</f>
        <v>0</v>
      </c>
      <c r="M612" s="24">
        <f t="shared" si="59"/>
        <v>0</v>
      </c>
      <c r="N612" s="25" t="str">
        <f t="shared" si="60"/>
        <v>ORDER NOW</v>
      </c>
      <c r="O612" s="25" t="str">
        <f t="shared" si="61"/>
        <v>CRITICAL</v>
      </c>
      <c r="P612" s="5"/>
      <c r="Q612" s="5"/>
      <c r="R612" s="5" t="s">
        <v>30</v>
      </c>
      <c r="S612" s="90" t="e">
        <f>VLOOKUP(C612,[3]Sheet1!$C$3:$P$521,14,0)</f>
        <v>#N/A</v>
      </c>
    </row>
    <row r="613" spans="1:19" ht="18.75" hidden="1" x14ac:dyDescent="0.25">
      <c r="A613" s="19">
        <v>169</v>
      </c>
      <c r="B613" s="19" t="s">
        <v>18</v>
      </c>
      <c r="C613" s="19" t="s">
        <v>725</v>
      </c>
      <c r="D613" s="29" t="s">
        <v>726</v>
      </c>
      <c r="E613" s="27" t="s">
        <v>78</v>
      </c>
      <c r="F613" s="5" t="s">
        <v>49</v>
      </c>
      <c r="G613" s="21">
        <v>1</v>
      </c>
      <c r="H613" s="22">
        <v>4000</v>
      </c>
      <c r="I613" s="22">
        <f t="shared" ref="I613:I659" si="63">H613/G613</f>
        <v>4000</v>
      </c>
      <c r="J613" s="5">
        <v>14</v>
      </c>
      <c r="K613" s="23">
        <f t="shared" si="57"/>
        <v>2000</v>
      </c>
      <c r="L613" s="58">
        <f>(IFERROR(VLOOKUP(C613,'Current Stocks July-26'!B:K,9,0),0))</f>
        <v>0</v>
      </c>
      <c r="M613" s="24">
        <f t="shared" si="59"/>
        <v>0</v>
      </c>
      <c r="N613" s="25" t="str">
        <f t="shared" si="60"/>
        <v>ORDER NOW</v>
      </c>
      <c r="O613" s="25" t="str">
        <f t="shared" si="61"/>
        <v>CRITICAL</v>
      </c>
      <c r="P613" s="5"/>
      <c r="Q613" s="5"/>
      <c r="R613" s="5"/>
      <c r="S613" s="90">
        <f>VLOOKUP(C613,[3]Sheet1!$C$3:$P$521,14,0)</f>
        <v>46134.44635416667</v>
      </c>
    </row>
    <row r="614" spans="1:19" ht="18.75" hidden="1" x14ac:dyDescent="0.25">
      <c r="A614" s="19">
        <v>104</v>
      </c>
      <c r="B614" s="19" t="s">
        <v>18</v>
      </c>
      <c r="C614" s="19" t="s">
        <v>1228</v>
      </c>
      <c r="D614" s="27" t="s">
        <v>1229</v>
      </c>
      <c r="E614" s="27" t="s">
        <v>1069</v>
      </c>
      <c r="F614" s="5"/>
      <c r="G614" s="21">
        <v>0.02</v>
      </c>
      <c r="H614" s="22">
        <v>24</v>
      </c>
      <c r="I614" s="22">
        <f t="shared" si="63"/>
        <v>1200</v>
      </c>
      <c r="J614" s="5">
        <v>14</v>
      </c>
      <c r="K614" s="23">
        <f t="shared" si="57"/>
        <v>600</v>
      </c>
      <c r="L614" s="58">
        <f>(IFERROR(VLOOKUP(C614,'Current Stocks July-26'!B:K,9,0),0))</f>
        <v>150</v>
      </c>
      <c r="M614" s="24">
        <f t="shared" si="59"/>
        <v>3.75</v>
      </c>
      <c r="N614" s="25" t="str">
        <f t="shared" si="60"/>
        <v>ORDER NOW</v>
      </c>
      <c r="O614" s="25" t="str">
        <f t="shared" si="61"/>
        <v>CRITICAL</v>
      </c>
      <c r="P614" s="5"/>
      <c r="Q614" s="5"/>
      <c r="R614" s="5" t="s">
        <v>30</v>
      </c>
      <c r="S614" s="90">
        <f>VLOOKUP(C614,[3]Sheet1!$C$3:$P$521,14,0)</f>
        <v>46131.518530092595</v>
      </c>
    </row>
    <row r="615" spans="1:19" ht="18.75" hidden="1" x14ac:dyDescent="0.25">
      <c r="A615" s="39">
        <v>243</v>
      </c>
      <c r="B615" s="39" t="s">
        <v>123</v>
      </c>
      <c r="C615" s="39" t="s">
        <v>704</v>
      </c>
      <c r="D615" s="27" t="s">
        <v>705</v>
      </c>
      <c r="E615" s="27" t="s">
        <v>706</v>
      </c>
      <c r="F615" s="5" t="s">
        <v>49</v>
      </c>
      <c r="G615" s="21">
        <v>1</v>
      </c>
      <c r="H615" s="22">
        <v>35</v>
      </c>
      <c r="I615" s="22">
        <f t="shared" si="63"/>
        <v>35</v>
      </c>
      <c r="J615" s="5">
        <v>14</v>
      </c>
      <c r="K615" s="23">
        <f t="shared" si="57"/>
        <v>17.5</v>
      </c>
      <c r="L615" s="58">
        <f>(IFERROR(VLOOKUP(C615,'Current Stocks July-26'!B:K,9,0),0))</f>
        <v>24.96</v>
      </c>
      <c r="M615" s="24">
        <f t="shared" si="59"/>
        <v>21.394285714285715</v>
      </c>
      <c r="N615" s="25" t="str">
        <f t="shared" si="60"/>
        <v>IN STOCK</v>
      </c>
      <c r="O615" s="25" t="str">
        <f t="shared" si="61"/>
        <v>FOLLOW UP DELIVERY</v>
      </c>
      <c r="P615" s="5"/>
      <c r="Q615" s="5"/>
      <c r="R615" s="5"/>
      <c r="S615" s="90">
        <f>VLOOKUP(C615,[3]Sheet1!$C$3:$P$521,14,0)</f>
        <v>46131.518900462965</v>
      </c>
    </row>
    <row r="616" spans="1:19" ht="18.75" hidden="1" x14ac:dyDescent="0.25">
      <c r="A616" s="41">
        <v>365</v>
      </c>
      <c r="B616" s="41" t="s">
        <v>85</v>
      </c>
      <c r="C616" s="41" t="s">
        <v>1352</v>
      </c>
      <c r="D616" s="27" t="s">
        <v>1353</v>
      </c>
      <c r="E616" s="27" t="s">
        <v>890</v>
      </c>
      <c r="F616" s="5" t="s">
        <v>22</v>
      </c>
      <c r="G616" s="21">
        <v>0.23809523809523814</v>
      </c>
      <c r="H616" s="22">
        <v>30</v>
      </c>
      <c r="I616" s="22">
        <f t="shared" si="63"/>
        <v>125.99999999999997</v>
      </c>
      <c r="J616" s="5">
        <v>14</v>
      </c>
      <c r="K616" s="23">
        <f t="shared" si="57"/>
        <v>62.999999999999986</v>
      </c>
      <c r="L616" s="58">
        <f>(IFERROR(VLOOKUP(C616,'Current Stocks July-26'!B:K,9,0),0))</f>
        <v>24</v>
      </c>
      <c r="M616" s="24">
        <f t="shared" si="59"/>
        <v>5.7142857142857153</v>
      </c>
      <c r="N616" s="25" t="str">
        <f t="shared" si="60"/>
        <v>ORDER NOW</v>
      </c>
      <c r="O616" s="25" t="str">
        <f t="shared" si="61"/>
        <v>CRITICAL</v>
      </c>
      <c r="P616" s="5"/>
      <c r="Q616" s="5"/>
      <c r="R616" s="5"/>
      <c r="S616" s="90">
        <f>VLOOKUP(C616,[3]Sheet1!$C$3:$P$521,14,0)</f>
        <v>46128.694745370369</v>
      </c>
    </row>
    <row r="617" spans="1:19" ht="18.75" hidden="1" x14ac:dyDescent="0.25">
      <c r="A617" s="19">
        <v>32</v>
      </c>
      <c r="B617" s="19" t="s">
        <v>18</v>
      </c>
      <c r="C617" s="19" t="s">
        <v>1536</v>
      </c>
      <c r="D617" s="27" t="s">
        <v>1537</v>
      </c>
      <c r="E617" s="27" t="s">
        <v>180</v>
      </c>
      <c r="F617" s="5" t="s">
        <v>22</v>
      </c>
      <c r="G617" s="21">
        <f>1/1000</f>
        <v>1E-3</v>
      </c>
      <c r="H617" s="22">
        <v>22</v>
      </c>
      <c r="I617" s="22">
        <f t="shared" si="63"/>
        <v>22000</v>
      </c>
      <c r="J617" s="5">
        <v>60</v>
      </c>
      <c r="K617" s="23">
        <f t="shared" si="57"/>
        <v>47142.857142857145</v>
      </c>
      <c r="L617" s="58">
        <f>(IFERROR(VLOOKUP(C617,'Current Stocks July-26'!B:K,9,0),0))</f>
        <v>2500</v>
      </c>
      <c r="M617" s="24">
        <f t="shared" si="59"/>
        <v>3.4090909090909092</v>
      </c>
      <c r="N617" s="25" t="str">
        <f t="shared" si="60"/>
        <v>ORDER NOW</v>
      </c>
      <c r="O617" s="25" t="str">
        <f t="shared" si="61"/>
        <v>CRITICAL</v>
      </c>
      <c r="P617" s="5"/>
      <c r="Q617" s="5"/>
      <c r="R617" s="5" t="s">
        <v>30</v>
      </c>
      <c r="S617" s="90">
        <f>VLOOKUP(C617,[3]Sheet1!$C$3:$P$521,14,0)</f>
        <v>46128.697233796294</v>
      </c>
    </row>
    <row r="618" spans="1:19" ht="18.75" hidden="1" x14ac:dyDescent="0.25">
      <c r="A618" s="41">
        <v>476</v>
      </c>
      <c r="B618" s="41" t="s">
        <v>38</v>
      </c>
      <c r="C618" s="41" t="s">
        <v>1552</v>
      </c>
      <c r="D618" s="27" t="s">
        <v>1553</v>
      </c>
      <c r="E618" s="27" t="s">
        <v>1554</v>
      </c>
      <c r="F618" s="5" t="s">
        <v>22</v>
      </c>
      <c r="G618" s="21">
        <v>0.1</v>
      </c>
      <c r="H618" s="22">
        <v>59</v>
      </c>
      <c r="I618" s="22">
        <f t="shared" si="63"/>
        <v>590</v>
      </c>
      <c r="J618" s="5">
        <v>14</v>
      </c>
      <c r="K618" s="23">
        <f t="shared" ref="K618:K670" si="64">I618*(J618/28)</f>
        <v>295</v>
      </c>
      <c r="L618" s="58">
        <f>(IFERROR(VLOOKUP(C618,'Current Stocks July-26'!B:K,9,0),0))</f>
        <v>30</v>
      </c>
      <c r="M618" s="24">
        <f t="shared" si="59"/>
        <v>1.5254237288135595</v>
      </c>
      <c r="N618" s="25" t="str">
        <f t="shared" si="60"/>
        <v>ORDER NOW</v>
      </c>
      <c r="O618" s="25" t="str">
        <f t="shared" si="61"/>
        <v>CRITICAL</v>
      </c>
      <c r="P618" s="5"/>
      <c r="Q618" s="5"/>
      <c r="R618" s="5"/>
      <c r="S618" s="90">
        <f>VLOOKUP(C618,[3]Sheet1!$C$3:$P$521,14,0)</f>
        <v>46131.517476851855</v>
      </c>
    </row>
    <row r="619" spans="1:19" ht="18.75" hidden="1" x14ac:dyDescent="0.25">
      <c r="A619" s="41">
        <v>548</v>
      </c>
      <c r="B619" s="41" t="s">
        <v>38</v>
      </c>
      <c r="C619" s="41" t="s">
        <v>1287</v>
      </c>
      <c r="D619" s="77" t="s">
        <v>1288</v>
      </c>
      <c r="E619" s="31" t="s">
        <v>22</v>
      </c>
      <c r="F619" s="5" t="s">
        <v>22</v>
      </c>
      <c r="G619" s="21">
        <v>0.18518518518518517</v>
      </c>
      <c r="H619" s="22">
        <v>1</v>
      </c>
      <c r="I619" s="22">
        <f t="shared" si="63"/>
        <v>5.4</v>
      </c>
      <c r="J619" s="5">
        <v>14</v>
      </c>
      <c r="K619" s="23">
        <f t="shared" si="64"/>
        <v>2.7</v>
      </c>
      <c r="L619" s="58">
        <f>(IFERROR(VLOOKUP(C619,'Current Stocks July-26'!B:K,9,0),0))</f>
        <v>2</v>
      </c>
      <c r="M619" s="24">
        <f t="shared" si="59"/>
        <v>11.111111111111111</v>
      </c>
      <c r="N619" s="25" t="str">
        <f t="shared" si="60"/>
        <v>ORDER NOW</v>
      </c>
      <c r="O619" s="25" t="str">
        <f t="shared" si="61"/>
        <v>CRITICAL</v>
      </c>
      <c r="P619" s="5"/>
      <c r="Q619" s="5"/>
      <c r="R619" s="5"/>
      <c r="S619" s="90">
        <f>VLOOKUP(C619,[3]Sheet1!$C$3:$P$521,14,0)</f>
        <v>46134.446261574078</v>
      </c>
    </row>
    <row r="620" spans="1:19" ht="18.75" hidden="1" x14ac:dyDescent="0.25">
      <c r="A620" s="41">
        <v>339</v>
      </c>
      <c r="B620" s="41" t="s">
        <v>38</v>
      </c>
      <c r="C620" s="41" t="s">
        <v>1547</v>
      </c>
      <c r="D620" s="27" t="s">
        <v>1548</v>
      </c>
      <c r="E620" s="27" t="s">
        <v>1549</v>
      </c>
      <c r="F620" s="5" t="s">
        <v>22</v>
      </c>
      <c r="G620" s="21">
        <v>0.2</v>
      </c>
      <c r="H620" s="22">
        <v>1</v>
      </c>
      <c r="I620" s="22">
        <f t="shared" si="63"/>
        <v>5</v>
      </c>
      <c r="J620" s="5">
        <v>14</v>
      </c>
      <c r="K620" s="23">
        <f t="shared" si="64"/>
        <v>2.5</v>
      </c>
      <c r="L620" s="58">
        <f>(IFERROR(VLOOKUP(C620,'Current Stocks July-26'!B:K,9,0),0))</f>
        <v>10</v>
      </c>
      <c r="M620" s="24">
        <f t="shared" si="59"/>
        <v>60</v>
      </c>
      <c r="N620" s="25" t="str">
        <f t="shared" si="60"/>
        <v>IN STOCK</v>
      </c>
      <c r="O620" s="25" t="str">
        <f t="shared" si="61"/>
        <v>FOLLOW UP DELIVERY</v>
      </c>
      <c r="P620" s="5"/>
      <c r="Q620" s="5"/>
      <c r="R620" s="5"/>
      <c r="S620" s="90">
        <f>VLOOKUP(C620,[3]Sheet1!$C$3:$P$521,14,0)</f>
        <v>46131.520416666666</v>
      </c>
    </row>
    <row r="621" spans="1:19" ht="18.75" hidden="1" x14ac:dyDescent="0.25">
      <c r="A621" s="39">
        <v>330</v>
      </c>
      <c r="B621" s="39" t="s">
        <v>239</v>
      </c>
      <c r="C621" s="39" t="s">
        <v>1545</v>
      </c>
      <c r="D621" s="27" t="s">
        <v>1546</v>
      </c>
      <c r="E621" s="6" t="s">
        <v>1648</v>
      </c>
      <c r="F621" s="5" t="s">
        <v>49</v>
      </c>
      <c r="G621" s="21">
        <v>0.1</v>
      </c>
      <c r="H621" s="22">
        <v>1</v>
      </c>
      <c r="I621" s="22">
        <f t="shared" si="63"/>
        <v>10</v>
      </c>
      <c r="J621" s="5">
        <v>14</v>
      </c>
      <c r="K621" s="23">
        <f t="shared" si="64"/>
        <v>5</v>
      </c>
      <c r="L621" s="58">
        <f>(IFERROR(VLOOKUP(C621,'Current Stocks July-26'!B:K,9,0),0))</f>
        <v>0</v>
      </c>
      <c r="M621" s="24">
        <f t="shared" si="59"/>
        <v>0</v>
      </c>
      <c r="N621" s="25" t="str">
        <f t="shared" si="60"/>
        <v>ORDER NOW</v>
      </c>
      <c r="O621" s="25" t="str">
        <f t="shared" si="61"/>
        <v>CRITICAL</v>
      </c>
      <c r="P621" s="5"/>
      <c r="Q621" s="5"/>
      <c r="R621" s="5"/>
      <c r="S621" s="90">
        <f>VLOOKUP(C621,[3]Sheet1!$C$3:$P$521,14,0)</f>
        <v>46131.520381944443</v>
      </c>
    </row>
    <row r="622" spans="1:19" ht="18.75" hidden="1" x14ac:dyDescent="0.25">
      <c r="A622" s="41">
        <v>484</v>
      </c>
      <c r="B622" s="41" t="s">
        <v>38</v>
      </c>
      <c r="C622" s="41" t="s">
        <v>1004</v>
      </c>
      <c r="D622" s="29" t="s">
        <v>1005</v>
      </c>
      <c r="E622" s="27" t="s">
        <v>1006</v>
      </c>
      <c r="F622" s="5" t="s">
        <v>49</v>
      </c>
      <c r="G622" s="21">
        <f>1/0.8</f>
        <v>1.25</v>
      </c>
      <c r="H622" s="22">
        <v>40</v>
      </c>
      <c r="I622" s="22">
        <f t="shared" si="63"/>
        <v>32</v>
      </c>
      <c r="J622" s="5">
        <v>14</v>
      </c>
      <c r="K622" s="23">
        <f t="shared" si="64"/>
        <v>16</v>
      </c>
      <c r="L622" s="58">
        <f>(IFERROR(VLOOKUP(C622,'Current Stocks July-26'!B:K,9,0),0))</f>
        <v>17</v>
      </c>
      <c r="M622" s="24">
        <f t="shared" si="59"/>
        <v>15.9375</v>
      </c>
      <c r="N622" s="25" t="str">
        <f t="shared" si="60"/>
        <v>IN STOCK</v>
      </c>
      <c r="O622" s="25" t="str">
        <f t="shared" si="61"/>
        <v>FOLLOW UP DELIVERY</v>
      </c>
      <c r="P622" s="5"/>
      <c r="Q622" s="5"/>
      <c r="R622" s="5"/>
      <c r="S622" s="90">
        <f>VLOOKUP(C622,[3]Sheet1!$C$3:$P$521,14,0)</f>
        <v>46131.517708333333</v>
      </c>
    </row>
    <row r="623" spans="1:19" ht="18.75" hidden="1" x14ac:dyDescent="0.25">
      <c r="A623" s="39">
        <v>242</v>
      </c>
      <c r="B623" s="39" t="s">
        <v>123</v>
      </c>
      <c r="C623" s="39" t="s">
        <v>711</v>
      </c>
      <c r="D623" s="27" t="s">
        <v>712</v>
      </c>
      <c r="E623" s="27" t="s">
        <v>706</v>
      </c>
      <c r="F623" s="5" t="s">
        <v>49</v>
      </c>
      <c r="G623" s="21">
        <v>1</v>
      </c>
      <c r="H623" s="22">
        <v>11</v>
      </c>
      <c r="I623" s="22">
        <f t="shared" si="63"/>
        <v>11</v>
      </c>
      <c r="J623" s="5">
        <v>14</v>
      </c>
      <c r="K623" s="23">
        <f t="shared" si="64"/>
        <v>5.5</v>
      </c>
      <c r="L623" s="58">
        <f>(IFERROR(VLOOKUP(C623,'Current Stocks July-26'!B:K,9,0),0))</f>
        <v>12</v>
      </c>
      <c r="M623" s="24">
        <f t="shared" si="59"/>
        <v>32.727272727272727</v>
      </c>
      <c r="N623" s="25" t="str">
        <f t="shared" si="60"/>
        <v>IN STOCK</v>
      </c>
      <c r="O623" s="25" t="str">
        <f t="shared" si="61"/>
        <v>FOLLOW UP DELIVERY</v>
      </c>
      <c r="P623" s="5"/>
      <c r="Q623" s="5"/>
      <c r="R623" s="5"/>
      <c r="S623" s="90">
        <f>VLOOKUP(C623,[3]Sheet1!$C$3:$P$521,14,0)</f>
        <v>46131.519189814811</v>
      </c>
    </row>
    <row r="624" spans="1:19" ht="18.75" hidden="1" x14ac:dyDescent="0.25">
      <c r="A624" s="41">
        <v>564</v>
      </c>
      <c r="B624" s="41" t="s">
        <v>38</v>
      </c>
      <c r="C624" s="41" t="s">
        <v>526</v>
      </c>
      <c r="D624" s="37" t="s">
        <v>527</v>
      </c>
      <c r="E624" s="31" t="s">
        <v>22</v>
      </c>
      <c r="F624" s="5" t="s">
        <v>22</v>
      </c>
      <c r="G624" s="21">
        <v>1</v>
      </c>
      <c r="H624" s="22">
        <v>1</v>
      </c>
      <c r="I624" s="22">
        <f t="shared" si="63"/>
        <v>1</v>
      </c>
      <c r="J624" s="5">
        <v>14</v>
      </c>
      <c r="K624" s="23">
        <f t="shared" si="64"/>
        <v>0.5</v>
      </c>
      <c r="L624" s="58">
        <f>(IFERROR(VLOOKUP(C624,'Current Stocks July-26'!B:K,9,0),0))</f>
        <v>0</v>
      </c>
      <c r="M624" s="24">
        <f t="shared" si="59"/>
        <v>0</v>
      </c>
      <c r="N624" s="25" t="str">
        <f t="shared" si="60"/>
        <v>ORDER NOW</v>
      </c>
      <c r="O624" s="25" t="str">
        <f t="shared" si="61"/>
        <v>CRITICAL</v>
      </c>
      <c r="P624" s="5"/>
      <c r="Q624" s="5"/>
      <c r="R624" s="5"/>
      <c r="S624" s="90">
        <f>VLOOKUP(C624,[3]Sheet1!$C$3:$P$521,14,0)</f>
        <v>46141.525300925925</v>
      </c>
    </row>
    <row r="625" spans="1:19" ht="18.75" hidden="1" x14ac:dyDescent="0.25">
      <c r="A625" s="41">
        <v>566</v>
      </c>
      <c r="B625" s="41" t="s">
        <v>38</v>
      </c>
      <c r="C625" s="41" t="s">
        <v>528</v>
      </c>
      <c r="D625" s="37" t="s">
        <v>529</v>
      </c>
      <c r="E625" s="31" t="s">
        <v>49</v>
      </c>
      <c r="F625" s="5" t="s">
        <v>22</v>
      </c>
      <c r="G625" s="21">
        <v>1</v>
      </c>
      <c r="H625" s="22">
        <v>1</v>
      </c>
      <c r="I625" s="22">
        <f t="shared" si="63"/>
        <v>1</v>
      </c>
      <c r="J625" s="5">
        <v>14</v>
      </c>
      <c r="K625" s="23">
        <f t="shared" si="64"/>
        <v>0.5</v>
      </c>
      <c r="L625" s="58">
        <f>(IFERROR(VLOOKUP(C625,'Current Stocks July-26'!B:K,9,0),0))</f>
        <v>0</v>
      </c>
      <c r="M625" s="24">
        <f t="shared" si="59"/>
        <v>0</v>
      </c>
      <c r="N625" s="25" t="str">
        <f t="shared" si="60"/>
        <v>ORDER NOW</v>
      </c>
      <c r="O625" s="25" t="str">
        <f t="shared" si="61"/>
        <v>CRITICAL</v>
      </c>
      <c r="P625" s="5"/>
      <c r="Q625" s="5"/>
      <c r="R625" s="5"/>
      <c r="S625" s="90">
        <f>VLOOKUP(C625,[3]Sheet1!$C$3:$P$521,14,0)</f>
        <v>46113.430925925924</v>
      </c>
    </row>
    <row r="626" spans="1:19" ht="18.75" hidden="1" x14ac:dyDescent="0.25">
      <c r="A626" s="19">
        <v>175</v>
      </c>
      <c r="B626" s="19" t="s">
        <v>18</v>
      </c>
      <c r="C626" s="19" t="s">
        <v>693</v>
      </c>
      <c r="D626" s="37" t="s">
        <v>694</v>
      </c>
      <c r="E626" s="31" t="s">
        <v>22</v>
      </c>
      <c r="F626" s="5" t="s">
        <v>22</v>
      </c>
      <c r="G626" s="21">
        <v>4.1666666666666669E-4</v>
      </c>
      <c r="H626" s="22">
        <v>10</v>
      </c>
      <c r="I626" s="22">
        <f t="shared" si="63"/>
        <v>24000</v>
      </c>
      <c r="J626" s="5">
        <v>14</v>
      </c>
      <c r="K626" s="23">
        <f t="shared" si="64"/>
        <v>12000</v>
      </c>
      <c r="L626" s="58">
        <f>(IFERROR(VLOOKUP(C626,'Current Stocks July-26'!B:K,9,0),0))</f>
        <v>4800</v>
      </c>
      <c r="M626" s="24">
        <f t="shared" si="59"/>
        <v>6</v>
      </c>
      <c r="N626" s="25" t="str">
        <f t="shared" si="60"/>
        <v>ORDER NOW</v>
      </c>
      <c r="O626" s="25" t="str">
        <f t="shared" si="61"/>
        <v>CRITICAL</v>
      </c>
      <c r="P626" s="5"/>
      <c r="Q626" s="5"/>
      <c r="R626" s="5"/>
      <c r="S626" s="90">
        <f>VLOOKUP(C626,[3]Sheet1!$C$3:$P$521,14,0)</f>
        <v>46119.49287037037</v>
      </c>
    </row>
    <row r="627" spans="1:19" ht="18.75" hidden="1" x14ac:dyDescent="0.25">
      <c r="A627" s="41">
        <v>523</v>
      </c>
      <c r="B627" s="41" t="s">
        <v>18</v>
      </c>
      <c r="C627" s="41" t="s">
        <v>1295</v>
      </c>
      <c r="D627" s="27" t="s">
        <v>1296</v>
      </c>
      <c r="E627" s="27" t="s">
        <v>160</v>
      </c>
      <c r="F627" s="5" t="s">
        <v>49</v>
      </c>
      <c r="G627" s="21">
        <v>1</v>
      </c>
      <c r="H627" s="22">
        <v>30</v>
      </c>
      <c r="I627" s="22">
        <f t="shared" si="63"/>
        <v>30</v>
      </c>
      <c r="J627" s="5">
        <v>14</v>
      </c>
      <c r="K627" s="23">
        <f t="shared" si="64"/>
        <v>15</v>
      </c>
      <c r="L627" s="58">
        <f>(IFERROR(VLOOKUP(C627,'Current Stocks July-26'!B:K,9,0),0))</f>
        <v>0</v>
      </c>
      <c r="M627" s="24">
        <f t="shared" si="59"/>
        <v>0</v>
      </c>
      <c r="N627" s="25" t="str">
        <f t="shared" si="60"/>
        <v>ORDER NOW</v>
      </c>
      <c r="O627" s="25" t="str">
        <f t="shared" si="61"/>
        <v>CRITICAL</v>
      </c>
      <c r="P627" s="5"/>
      <c r="Q627" s="5"/>
      <c r="R627" s="5"/>
      <c r="S627" s="90" t="e">
        <f>VLOOKUP(C627,[3]Sheet1!$C$3:$P$521,14,0)</f>
        <v>#N/A</v>
      </c>
    </row>
    <row r="628" spans="1:19" ht="18.75" hidden="1" x14ac:dyDescent="0.25">
      <c r="A628" s="41">
        <v>534</v>
      </c>
      <c r="B628" s="41" t="s">
        <v>61</v>
      </c>
      <c r="C628" s="41" t="s">
        <v>1278</v>
      </c>
      <c r="D628" s="37" t="s">
        <v>1279</v>
      </c>
      <c r="E628" s="31" t="s">
        <v>22</v>
      </c>
      <c r="F628" s="5" t="s">
        <v>22</v>
      </c>
      <c r="G628" s="21">
        <v>1</v>
      </c>
      <c r="H628" s="22">
        <v>1</v>
      </c>
      <c r="I628" s="22">
        <f t="shared" si="63"/>
        <v>1</v>
      </c>
      <c r="J628" s="5">
        <v>14</v>
      </c>
      <c r="K628" s="23">
        <f t="shared" si="64"/>
        <v>0.5</v>
      </c>
      <c r="L628" s="58">
        <f>(IFERROR(VLOOKUP(C628,'Current Stocks July-26'!B:K,9,0),0))</f>
        <v>0</v>
      </c>
      <c r="M628" s="24">
        <f t="shared" si="59"/>
        <v>0</v>
      </c>
      <c r="N628" s="25" t="str">
        <f t="shared" si="60"/>
        <v>ORDER NOW</v>
      </c>
      <c r="O628" s="25" t="str">
        <f t="shared" si="61"/>
        <v>CRITICAL</v>
      </c>
      <c r="P628" s="5"/>
      <c r="Q628" s="5"/>
      <c r="R628" s="5"/>
      <c r="S628" s="90">
        <f>VLOOKUP(C628,[3]Sheet1!$C$3:$P$521,14,0)</f>
        <v>46131.518958333334</v>
      </c>
    </row>
    <row r="629" spans="1:19" ht="18.75" hidden="1" x14ac:dyDescent="0.25">
      <c r="A629" s="41">
        <v>511</v>
      </c>
      <c r="B629" s="41" t="s">
        <v>38</v>
      </c>
      <c r="C629" s="41" t="s">
        <v>1558</v>
      </c>
      <c r="D629" s="27" t="s">
        <v>1559</v>
      </c>
      <c r="E629" s="27" t="s">
        <v>1310</v>
      </c>
      <c r="F629" s="5" t="s">
        <v>22</v>
      </c>
      <c r="G629" s="21">
        <v>8.3333333333333329E-2</v>
      </c>
      <c r="H629" s="22">
        <v>12</v>
      </c>
      <c r="I629" s="22">
        <f t="shared" si="63"/>
        <v>144</v>
      </c>
      <c r="J629" s="5">
        <v>14</v>
      </c>
      <c r="K629" s="23">
        <f t="shared" si="64"/>
        <v>72</v>
      </c>
      <c r="L629" s="58">
        <f>(IFERROR(VLOOKUP(C629,'Current Stocks July-26'!B:K,9,0),0))</f>
        <v>0</v>
      </c>
      <c r="M629" s="24">
        <f t="shared" si="59"/>
        <v>0</v>
      </c>
      <c r="N629" s="25" t="str">
        <f t="shared" si="60"/>
        <v>ORDER NOW</v>
      </c>
      <c r="O629" s="25" t="str">
        <f t="shared" si="61"/>
        <v>CRITICAL</v>
      </c>
      <c r="P629" s="5"/>
      <c r="Q629" s="5"/>
      <c r="R629" s="5"/>
      <c r="S629" s="90">
        <f>VLOOKUP(C629,[3]Sheet1!$C$3:$P$521,14,0)</f>
        <v>46131.520451388889</v>
      </c>
    </row>
    <row r="630" spans="1:19" ht="18.75" hidden="1" x14ac:dyDescent="0.25">
      <c r="A630" s="41">
        <v>492</v>
      </c>
      <c r="B630" s="41" t="s">
        <v>38</v>
      </c>
      <c r="C630" s="41" t="s">
        <v>1129</v>
      </c>
      <c r="D630" s="27" t="s">
        <v>1130</v>
      </c>
      <c r="E630" s="27" t="s">
        <v>826</v>
      </c>
      <c r="F630" s="5" t="s">
        <v>49</v>
      </c>
      <c r="G630" s="21">
        <v>1</v>
      </c>
      <c r="H630" s="22">
        <v>1</v>
      </c>
      <c r="I630" s="22">
        <f t="shared" si="63"/>
        <v>1</v>
      </c>
      <c r="J630" s="5">
        <v>14</v>
      </c>
      <c r="K630" s="23">
        <f t="shared" si="64"/>
        <v>0.5</v>
      </c>
      <c r="L630" s="58">
        <f>(IFERROR(VLOOKUP(C630,'Current Stocks July-26'!B:K,9,0),0))</f>
        <v>0</v>
      </c>
      <c r="M630" s="24">
        <f t="shared" si="59"/>
        <v>0</v>
      </c>
      <c r="N630" s="25" t="str">
        <f t="shared" si="60"/>
        <v>ORDER NOW</v>
      </c>
      <c r="O630" s="25" t="str">
        <f t="shared" si="61"/>
        <v>CRITICAL</v>
      </c>
      <c r="P630" s="5"/>
      <c r="Q630" s="5"/>
      <c r="R630" s="5"/>
      <c r="S630" s="90">
        <f>VLOOKUP(C630,[3]Sheet1!$C$3:$P$521,14,0)</f>
        <v>46131.518101851849</v>
      </c>
    </row>
    <row r="631" spans="1:19" ht="18.75" hidden="1" x14ac:dyDescent="0.25">
      <c r="A631" s="41">
        <v>383</v>
      </c>
      <c r="B631" s="41" t="s">
        <v>38</v>
      </c>
      <c r="C631" s="41" t="s">
        <v>1122</v>
      </c>
      <c r="D631" s="27" t="s">
        <v>1123</v>
      </c>
      <c r="E631" s="27" t="s">
        <v>64</v>
      </c>
      <c r="F631" s="5" t="s">
        <v>49</v>
      </c>
      <c r="G631" s="21">
        <v>1</v>
      </c>
      <c r="H631" s="22">
        <v>10</v>
      </c>
      <c r="I631" s="22">
        <f t="shared" si="63"/>
        <v>10</v>
      </c>
      <c r="J631" s="5">
        <v>14</v>
      </c>
      <c r="K631" s="23">
        <f t="shared" si="64"/>
        <v>5</v>
      </c>
      <c r="L631" s="58">
        <f>(IFERROR(VLOOKUP(C631,'Current Stocks July-26'!B:K,9,0),0))</f>
        <v>0</v>
      </c>
      <c r="M631" s="24">
        <f t="shared" si="59"/>
        <v>0</v>
      </c>
      <c r="N631" s="25" t="str">
        <f t="shared" si="60"/>
        <v>ORDER NOW</v>
      </c>
      <c r="O631" s="25" t="str">
        <f t="shared" si="61"/>
        <v>CRITICAL</v>
      </c>
      <c r="P631" s="5"/>
      <c r="Q631" s="5"/>
      <c r="R631" s="5"/>
      <c r="S631" s="90" t="e">
        <f>VLOOKUP(C631,[3]Sheet1!$C$3:$P$521,14,0)</f>
        <v>#N/A</v>
      </c>
    </row>
    <row r="632" spans="1:19" ht="18.75" hidden="1" x14ac:dyDescent="0.25">
      <c r="A632" s="4">
        <v>672</v>
      </c>
      <c r="B632" s="5"/>
      <c r="C632" s="41" t="s">
        <v>1541</v>
      </c>
      <c r="D632" s="52" t="s">
        <v>1542</v>
      </c>
      <c r="E632" s="6" t="s">
        <v>1544</v>
      </c>
      <c r="F632" s="5" t="s">
        <v>64</v>
      </c>
      <c r="G632" s="21">
        <f>1/25</f>
        <v>0.04</v>
      </c>
      <c r="H632" s="22">
        <v>1</v>
      </c>
      <c r="I632" s="22">
        <f t="shared" si="63"/>
        <v>25</v>
      </c>
      <c r="J632" s="5">
        <v>14</v>
      </c>
      <c r="K632" s="23">
        <f t="shared" si="64"/>
        <v>12.5</v>
      </c>
      <c r="L632" s="58">
        <f>(IFERROR(VLOOKUP(C632,'Current Stocks July-26'!B:K,9,0),0))</f>
        <v>0</v>
      </c>
      <c r="M632" s="24">
        <f t="shared" si="59"/>
        <v>0</v>
      </c>
      <c r="N632" s="25" t="str">
        <f t="shared" si="60"/>
        <v>ORDER NOW</v>
      </c>
      <c r="O632" s="25" t="str">
        <f t="shared" si="61"/>
        <v>CRITICAL</v>
      </c>
      <c r="P632" s="5"/>
      <c r="Q632" s="5"/>
      <c r="R632" s="5"/>
      <c r="S632" s="90" t="e">
        <f>VLOOKUP(C632,[3]Sheet1!$C$3:$P$521,14,0)</f>
        <v>#N/A</v>
      </c>
    </row>
    <row r="633" spans="1:19" ht="18.75" hidden="1" x14ac:dyDescent="0.25">
      <c r="A633" s="19">
        <v>139</v>
      </c>
      <c r="B633" s="19" t="s">
        <v>18</v>
      </c>
      <c r="C633" s="19" t="s">
        <v>735</v>
      </c>
      <c r="D633" s="32" t="s">
        <v>736</v>
      </c>
      <c r="E633" s="32" t="s">
        <v>49</v>
      </c>
      <c r="F633" s="5" t="s">
        <v>49</v>
      </c>
      <c r="G633" s="21">
        <v>1</v>
      </c>
      <c r="H633" s="22">
        <v>5000</v>
      </c>
      <c r="I633" s="22">
        <f t="shared" si="63"/>
        <v>5000</v>
      </c>
      <c r="J633" s="5">
        <v>14</v>
      </c>
      <c r="K633" s="23">
        <f t="shared" si="64"/>
        <v>2500</v>
      </c>
      <c r="L633" s="58">
        <f>(IFERROR(VLOOKUP(C633,'Current Stocks July-26'!B:K,9,0),0))</f>
        <v>1350</v>
      </c>
      <c r="M633" s="24">
        <f t="shared" si="59"/>
        <v>8.1000000000000014</v>
      </c>
      <c r="N633" s="25" t="str">
        <f t="shared" si="60"/>
        <v>ORDER NOW</v>
      </c>
      <c r="O633" s="25" t="str">
        <f t="shared" si="61"/>
        <v>CRITICAL</v>
      </c>
      <c r="P633" s="5"/>
      <c r="Q633" s="5"/>
      <c r="R633" s="5" t="s">
        <v>30</v>
      </c>
      <c r="S633" s="90" t="e">
        <f>VLOOKUP(C633,[3]Sheet1!$C$3:$P$521,14,0)</f>
        <v>#N/A</v>
      </c>
    </row>
    <row r="634" spans="1:19" ht="18.75" hidden="1" x14ac:dyDescent="0.25">
      <c r="A634" s="19">
        <v>68</v>
      </c>
      <c r="B634" s="19" t="s">
        <v>18</v>
      </c>
      <c r="C634" s="19" t="s">
        <v>1560</v>
      </c>
      <c r="D634" s="27" t="s">
        <v>1561</v>
      </c>
      <c r="E634" s="27" t="s">
        <v>873</v>
      </c>
      <c r="F634" s="5" t="s">
        <v>22</v>
      </c>
      <c r="G634" s="21">
        <v>2E-3</v>
      </c>
      <c r="H634" s="22">
        <v>38.5</v>
      </c>
      <c r="I634" s="22">
        <f t="shared" si="63"/>
        <v>19250</v>
      </c>
      <c r="J634" s="5">
        <v>14</v>
      </c>
      <c r="K634" s="23">
        <f t="shared" si="64"/>
        <v>9625</v>
      </c>
      <c r="L634" s="58">
        <f>(IFERROR(VLOOKUP(C634,'Current Stocks July-26'!B:K,9,0),0))</f>
        <v>5500</v>
      </c>
      <c r="M634" s="24">
        <f t="shared" si="59"/>
        <v>8.5714285714285712</v>
      </c>
      <c r="N634" s="25" t="str">
        <f t="shared" si="60"/>
        <v>ORDER NOW</v>
      </c>
      <c r="O634" s="25" t="str">
        <f t="shared" si="61"/>
        <v>CRITICAL</v>
      </c>
      <c r="P634" s="5"/>
      <c r="Q634" s="5"/>
      <c r="R634" s="5" t="s">
        <v>30</v>
      </c>
      <c r="S634" s="90">
        <f>VLOOKUP(C634,[3]Sheet1!$C$3:$P$521,14,0)</f>
        <v>46131.517500000002</v>
      </c>
    </row>
    <row r="635" spans="1:19" ht="18.75" hidden="1" x14ac:dyDescent="0.25">
      <c r="A635" s="41">
        <v>540</v>
      </c>
      <c r="B635" s="41" t="s">
        <v>38</v>
      </c>
      <c r="C635" s="41" t="s">
        <v>518</v>
      </c>
      <c r="D635" s="37" t="s">
        <v>519</v>
      </c>
      <c r="E635" s="31" t="s">
        <v>64</v>
      </c>
      <c r="F635" s="5" t="s">
        <v>49</v>
      </c>
      <c r="G635" s="21">
        <v>1</v>
      </c>
      <c r="H635" s="22">
        <v>1</v>
      </c>
      <c r="I635" s="22">
        <f t="shared" si="63"/>
        <v>1</v>
      </c>
      <c r="J635" s="5">
        <v>14</v>
      </c>
      <c r="K635" s="23">
        <f t="shared" si="64"/>
        <v>0.5</v>
      </c>
      <c r="L635" s="58">
        <f>(IFERROR(VLOOKUP(C635,'Current Stocks July-26'!B:K,9,0),0))</f>
        <v>0</v>
      </c>
      <c r="M635" s="24">
        <f t="shared" si="59"/>
        <v>0</v>
      </c>
      <c r="N635" s="25" t="str">
        <f t="shared" si="60"/>
        <v>ORDER NOW</v>
      </c>
      <c r="O635" s="25" t="str">
        <f t="shared" si="61"/>
        <v>CRITICAL</v>
      </c>
      <c r="P635" s="5"/>
      <c r="Q635" s="5"/>
      <c r="R635" s="5"/>
      <c r="S635" s="90">
        <f>VLOOKUP(C635,[3]Sheet1!$C$3:$P$521,14,0)</f>
        <v>46134.446759259263</v>
      </c>
    </row>
    <row r="636" spans="1:19" ht="18.75" hidden="1" x14ac:dyDescent="0.25">
      <c r="A636" s="41">
        <v>555</v>
      </c>
      <c r="B636" s="41" t="s">
        <v>38</v>
      </c>
      <c r="C636" s="41" t="s">
        <v>1436</v>
      </c>
      <c r="D636" s="37" t="s">
        <v>1437</v>
      </c>
      <c r="E636" s="31" t="s">
        <v>22</v>
      </c>
      <c r="F636" s="5" t="s">
        <v>22</v>
      </c>
      <c r="G636" s="21">
        <v>1</v>
      </c>
      <c r="H636" s="22">
        <v>1</v>
      </c>
      <c r="I636" s="22">
        <f t="shared" si="63"/>
        <v>1</v>
      </c>
      <c r="J636" s="5">
        <v>14</v>
      </c>
      <c r="K636" s="23">
        <f t="shared" si="64"/>
        <v>0.5</v>
      </c>
      <c r="L636" s="58">
        <f>(IFERROR(VLOOKUP(C636,'Current Stocks July-26'!B:K,9,0),0))</f>
        <v>0</v>
      </c>
      <c r="M636" s="24">
        <f t="shared" si="59"/>
        <v>0</v>
      </c>
      <c r="N636" s="25" t="str">
        <f t="shared" si="60"/>
        <v>ORDER NOW</v>
      </c>
      <c r="O636" s="25" t="str">
        <f t="shared" si="61"/>
        <v>CRITICAL</v>
      </c>
      <c r="P636" s="5"/>
      <c r="Q636" s="5"/>
      <c r="R636" s="5"/>
      <c r="S636" s="90">
        <f>VLOOKUP(C636,[3]Sheet1!$C$3:$P$521,14,0)</f>
        <v>46131.519814814812</v>
      </c>
    </row>
    <row r="637" spans="1:19" ht="18.75" hidden="1" x14ac:dyDescent="0.25">
      <c r="A637" s="41">
        <v>409</v>
      </c>
      <c r="B637" s="41" t="s">
        <v>85</v>
      </c>
      <c r="C637" s="41" t="s">
        <v>1521</v>
      </c>
      <c r="D637" s="27" t="s">
        <v>1522</v>
      </c>
      <c r="E637" s="27" t="s">
        <v>1442</v>
      </c>
      <c r="F637" s="5" t="s">
        <v>22</v>
      </c>
      <c r="G637" s="21">
        <v>0.11737089201877934</v>
      </c>
      <c r="H637" s="22">
        <v>12</v>
      </c>
      <c r="I637" s="22">
        <f t="shared" si="63"/>
        <v>102.24</v>
      </c>
      <c r="J637" s="5">
        <v>14</v>
      </c>
      <c r="K637" s="23">
        <f t="shared" si="64"/>
        <v>51.12</v>
      </c>
      <c r="L637" s="58">
        <f>(IFERROR(VLOOKUP(C637,'Current Stocks July-26'!B:K,9,0),0))</f>
        <v>42.6</v>
      </c>
      <c r="M637" s="24">
        <f t="shared" si="59"/>
        <v>12.5</v>
      </c>
      <c r="N637" s="25" t="str">
        <f t="shared" si="60"/>
        <v>ORDER NOW</v>
      </c>
      <c r="O637" s="25" t="str">
        <f t="shared" si="61"/>
        <v>CRITICAL</v>
      </c>
      <c r="P637" s="5"/>
      <c r="Q637" s="5"/>
      <c r="R637" s="5"/>
      <c r="S637" s="90">
        <f>VLOOKUP(C637,[3]Sheet1!$C$3:$P$521,14,0)</f>
        <v>46131.520300925928</v>
      </c>
    </row>
    <row r="638" spans="1:19" ht="18.75" hidden="1" x14ac:dyDescent="0.25">
      <c r="A638" s="19">
        <v>56</v>
      </c>
      <c r="B638" s="19" t="s">
        <v>18</v>
      </c>
      <c r="C638" s="19" t="s">
        <v>1469</v>
      </c>
      <c r="D638" s="69" t="s">
        <v>1470</v>
      </c>
      <c r="E638" s="32" t="s">
        <v>78</v>
      </c>
      <c r="F638" s="5" t="s">
        <v>49</v>
      </c>
      <c r="G638" s="21">
        <v>1</v>
      </c>
      <c r="H638" s="22">
        <v>20</v>
      </c>
      <c r="I638" s="22">
        <f t="shared" si="63"/>
        <v>20</v>
      </c>
      <c r="J638" s="5">
        <v>30</v>
      </c>
      <c r="K638" s="23">
        <f t="shared" si="64"/>
        <v>21.428571428571427</v>
      </c>
      <c r="L638" s="58">
        <f>(IFERROR(VLOOKUP(C638,'Current Stocks July-26'!B:K,9,0),0))</f>
        <v>0</v>
      </c>
      <c r="M638" s="24">
        <f t="shared" si="59"/>
        <v>0</v>
      </c>
      <c r="N638" s="25" t="str">
        <f t="shared" si="60"/>
        <v>ORDER NOW</v>
      </c>
      <c r="O638" s="25" t="str">
        <f t="shared" si="61"/>
        <v>CRITICAL</v>
      </c>
      <c r="P638" s="5"/>
      <c r="Q638" s="5"/>
      <c r="R638" s="5" t="s">
        <v>30</v>
      </c>
      <c r="S638" s="90" t="e">
        <f>VLOOKUP(C638,[3]Sheet1!$C$3:$P$521,14,0)</f>
        <v>#N/A</v>
      </c>
    </row>
    <row r="639" spans="1:19" ht="18.75" hidden="1" x14ac:dyDescent="0.25">
      <c r="A639" s="39">
        <v>272</v>
      </c>
      <c r="B639" s="39" t="s">
        <v>157</v>
      </c>
      <c r="C639" s="39" t="s">
        <v>1572</v>
      </c>
      <c r="D639" s="27" t="s">
        <v>1573</v>
      </c>
      <c r="E639" s="27" t="s">
        <v>160</v>
      </c>
      <c r="F639" s="5" t="s">
        <v>49</v>
      </c>
      <c r="G639" s="21">
        <v>1</v>
      </c>
      <c r="H639" s="22">
        <v>11</v>
      </c>
      <c r="I639" s="22">
        <f t="shared" si="63"/>
        <v>11</v>
      </c>
      <c r="J639" s="5">
        <v>14</v>
      </c>
      <c r="K639" s="23">
        <f t="shared" si="64"/>
        <v>5.5</v>
      </c>
      <c r="L639" s="58">
        <f>(IFERROR(VLOOKUP(C639,'Current Stocks July-26'!B:K,9,0),0))</f>
        <v>0</v>
      </c>
      <c r="M639" s="24">
        <f t="shared" si="59"/>
        <v>0</v>
      </c>
      <c r="N639" s="25" t="str">
        <f t="shared" si="60"/>
        <v>ORDER NOW</v>
      </c>
      <c r="O639" s="25" t="str">
        <f t="shared" si="61"/>
        <v>CRITICAL</v>
      </c>
      <c r="P639" s="5"/>
      <c r="Q639" s="5"/>
      <c r="R639" s="5"/>
      <c r="S639" s="90">
        <f>VLOOKUP(C639,[3]Sheet1!$C$3:$P$521,14,0)</f>
        <v>46131.520486111112</v>
      </c>
    </row>
    <row r="640" spans="1:19" ht="18.75" hidden="1" x14ac:dyDescent="0.25">
      <c r="A640" s="41">
        <v>533</v>
      </c>
      <c r="B640" s="41" t="s">
        <v>104</v>
      </c>
      <c r="C640" s="41" t="s">
        <v>1576</v>
      </c>
      <c r="D640" s="37" t="s">
        <v>1577</v>
      </c>
      <c r="E640" s="31" t="s">
        <v>22</v>
      </c>
      <c r="F640" s="5" t="s">
        <v>22</v>
      </c>
      <c r="G640" s="21">
        <v>0.13333333333333333</v>
      </c>
      <c r="H640" s="22">
        <v>1</v>
      </c>
      <c r="I640" s="22">
        <f t="shared" si="63"/>
        <v>7.5</v>
      </c>
      <c r="J640" s="5">
        <v>14</v>
      </c>
      <c r="K640" s="23">
        <f t="shared" si="64"/>
        <v>3.75</v>
      </c>
      <c r="L640" s="58">
        <f>(IFERROR(VLOOKUP(C640,'Current Stocks July-26'!B:K,9,0),0))</f>
        <v>0</v>
      </c>
      <c r="M640" s="24">
        <f t="shared" si="59"/>
        <v>0</v>
      </c>
      <c r="N640" s="25" t="str">
        <f t="shared" si="60"/>
        <v>ORDER NOW</v>
      </c>
      <c r="O640" s="25" t="str">
        <f t="shared" si="61"/>
        <v>CRITICAL</v>
      </c>
      <c r="P640" s="5"/>
      <c r="Q640" s="5"/>
      <c r="R640" s="5"/>
      <c r="S640" s="90">
        <f>VLOOKUP(C640,[3]Sheet1!$C$3:$P$521,14,0)</f>
        <v>46141.525439814817</v>
      </c>
    </row>
    <row r="641" spans="1:19" ht="18.75" hidden="1" x14ac:dyDescent="0.25">
      <c r="A641" s="41">
        <v>482</v>
      </c>
      <c r="B641" s="41" t="s">
        <v>38</v>
      </c>
      <c r="C641" s="41" t="s">
        <v>771</v>
      </c>
      <c r="D641" s="27" t="s">
        <v>772</v>
      </c>
      <c r="E641" s="27" t="s">
        <v>773</v>
      </c>
      <c r="F641" s="5" t="s">
        <v>22</v>
      </c>
      <c r="G641" s="21">
        <v>0.33333333333333331</v>
      </c>
      <c r="H641" s="22">
        <v>120</v>
      </c>
      <c r="I641" s="22">
        <f t="shared" si="63"/>
        <v>360</v>
      </c>
      <c r="J641" s="5">
        <v>14</v>
      </c>
      <c r="K641" s="23">
        <f t="shared" si="64"/>
        <v>180</v>
      </c>
      <c r="L641" s="58">
        <f>(IFERROR(VLOOKUP(C641,'Current Stocks July-26'!B:K,9,0),0))</f>
        <v>0</v>
      </c>
      <c r="M641" s="24">
        <f t="shared" si="59"/>
        <v>0</v>
      </c>
      <c r="N641" s="25" t="str">
        <f t="shared" si="60"/>
        <v>ORDER NOW</v>
      </c>
      <c r="O641" s="25" t="str">
        <f t="shared" si="61"/>
        <v>CRITICAL</v>
      </c>
      <c r="P641" s="5"/>
      <c r="Q641" s="5"/>
      <c r="R641" s="5"/>
      <c r="S641" s="90">
        <f>VLOOKUP(C641,[3]Sheet1!$C$3:$P$521,14,0)</f>
        <v>46131.517430555556</v>
      </c>
    </row>
    <row r="642" spans="1:19" ht="18.75" hidden="1" x14ac:dyDescent="0.25">
      <c r="A642" s="39">
        <v>325</v>
      </c>
      <c r="B642" s="39" t="s">
        <v>157</v>
      </c>
      <c r="C642" s="39" t="s">
        <v>1574</v>
      </c>
      <c r="D642" s="37" t="s">
        <v>1575</v>
      </c>
      <c r="E642" s="31" t="s">
        <v>1649</v>
      </c>
      <c r="F642" s="5" t="s">
        <v>22</v>
      </c>
      <c r="G642" s="21">
        <f>1/1500</f>
        <v>6.6666666666666664E-4</v>
      </c>
      <c r="H642" s="22">
        <v>1</v>
      </c>
      <c r="I642" s="22">
        <f t="shared" si="63"/>
        <v>1500</v>
      </c>
      <c r="J642" s="5">
        <v>14</v>
      </c>
      <c r="K642" s="23">
        <f t="shared" si="64"/>
        <v>750</v>
      </c>
      <c r="L642" s="58">
        <f>(IFERROR(VLOOKUP(C642,'Current Stocks July-26'!B:K,9,0),0))</f>
        <v>0</v>
      </c>
      <c r="M642" s="24">
        <f t="shared" si="59"/>
        <v>0</v>
      </c>
      <c r="N642" s="25" t="str">
        <f t="shared" si="60"/>
        <v>ORDER NOW</v>
      </c>
      <c r="O642" s="25" t="str">
        <f t="shared" si="61"/>
        <v>CRITICAL</v>
      </c>
      <c r="P642" s="5"/>
      <c r="Q642" s="5"/>
      <c r="R642" s="5"/>
      <c r="S642" s="90">
        <f>VLOOKUP(C642,[3]Sheet1!$C$3:$P$521,14,0)</f>
        <v>46131.520497685182</v>
      </c>
    </row>
    <row r="643" spans="1:19" ht="18.75" hidden="1" x14ac:dyDescent="0.25">
      <c r="A643" s="41">
        <v>557</v>
      </c>
      <c r="B643" s="41" t="s">
        <v>38</v>
      </c>
      <c r="C643" s="41" t="s">
        <v>41</v>
      </c>
      <c r="D643" s="37" t="s">
        <v>42</v>
      </c>
      <c r="E643" s="31" t="s">
        <v>22</v>
      </c>
      <c r="F643" s="5" t="s">
        <v>22</v>
      </c>
      <c r="G643" s="21">
        <v>1</v>
      </c>
      <c r="H643" s="22">
        <v>1</v>
      </c>
      <c r="I643" s="22">
        <f t="shared" si="63"/>
        <v>1</v>
      </c>
      <c r="J643" s="5">
        <v>14</v>
      </c>
      <c r="K643" s="23">
        <f t="shared" si="64"/>
        <v>0.5</v>
      </c>
      <c r="L643" s="58">
        <f>(IFERROR(VLOOKUP(C643,'Current Stocks July-26'!B:K,9,0),0))</f>
        <v>0</v>
      </c>
      <c r="M643" s="24">
        <f t="shared" ref="M643:M670" si="65">IFERROR((L643/I643*30),0)</f>
        <v>0</v>
      </c>
      <c r="N643" s="25" t="str">
        <f t="shared" ref="N643:N670" si="66">IF(M643&lt;J643,"ORDER NOW","IN STOCK")</f>
        <v>ORDER NOW</v>
      </c>
      <c r="O643" s="25" t="str">
        <f t="shared" ref="O643:O670" si="67">IF(M643&lt;J643,"CRITICAL","FOLLOW UP DELIVERY")</f>
        <v>CRITICAL</v>
      </c>
      <c r="P643" s="5"/>
      <c r="Q643" s="5"/>
      <c r="R643" s="5"/>
      <c r="S643" s="90">
        <f>VLOOKUP(C643,[3]Sheet1!$C$3:$P$521,14,0)</f>
        <v>46141.525173611109</v>
      </c>
    </row>
    <row r="644" spans="1:19" ht="18.75" hidden="1" x14ac:dyDescent="0.25">
      <c r="A644" s="19">
        <v>165</v>
      </c>
      <c r="B644" s="19" t="s">
        <v>18</v>
      </c>
      <c r="C644" s="19" t="s">
        <v>1565</v>
      </c>
      <c r="D644" s="27" t="s">
        <v>1566</v>
      </c>
      <c r="E644" s="27" t="s">
        <v>183</v>
      </c>
      <c r="F644" s="5" t="s">
        <v>22</v>
      </c>
      <c r="G644" s="21">
        <f>1/200</f>
        <v>5.0000000000000001E-3</v>
      </c>
      <c r="H644" s="22">
        <v>5</v>
      </c>
      <c r="I644" s="22">
        <f t="shared" si="63"/>
        <v>1000</v>
      </c>
      <c r="J644" s="5">
        <v>14</v>
      </c>
      <c r="K644" s="23">
        <f t="shared" si="64"/>
        <v>500</v>
      </c>
      <c r="L644" s="58">
        <f>(IFERROR(VLOOKUP(C644,'Current Stocks July-26'!B:K,9,0),0))</f>
        <v>0</v>
      </c>
      <c r="M644" s="24">
        <f t="shared" si="65"/>
        <v>0</v>
      </c>
      <c r="N644" s="25" t="str">
        <f t="shared" si="66"/>
        <v>ORDER NOW</v>
      </c>
      <c r="O644" s="25" t="str">
        <f t="shared" si="67"/>
        <v>CRITICAL</v>
      </c>
      <c r="P644" s="5"/>
      <c r="Q644" s="5"/>
      <c r="R644" s="5"/>
      <c r="S644" s="90">
        <f>VLOOKUP(C644,[3]Sheet1!$C$3:$P$521,14,0)</f>
        <v>46131.520474537036</v>
      </c>
    </row>
    <row r="645" spans="1:19" ht="18.75" hidden="1" x14ac:dyDescent="0.25">
      <c r="A645" s="19">
        <v>126</v>
      </c>
      <c r="B645" s="19" t="s">
        <v>18</v>
      </c>
      <c r="C645" s="19" t="s">
        <v>1567</v>
      </c>
      <c r="D645" s="27" t="s">
        <v>1568</v>
      </c>
      <c r="E645" s="27" t="s">
        <v>1569</v>
      </c>
      <c r="F645" s="5" t="s">
        <v>22</v>
      </c>
      <c r="G645" s="21">
        <f>1/4900</f>
        <v>2.0408163265306123E-4</v>
      </c>
      <c r="H645" s="22">
        <v>2</v>
      </c>
      <c r="I645" s="22">
        <f t="shared" si="63"/>
        <v>9800</v>
      </c>
      <c r="J645" s="5">
        <v>14</v>
      </c>
      <c r="K645" s="23">
        <f t="shared" si="64"/>
        <v>4900</v>
      </c>
      <c r="L645" s="58">
        <f>(IFERROR(VLOOKUP(C645,'Current Stocks July-26'!B:K,9,0),0))</f>
        <v>0</v>
      </c>
      <c r="M645" s="24">
        <f t="shared" si="65"/>
        <v>0</v>
      </c>
      <c r="N645" s="25" t="str">
        <f t="shared" si="66"/>
        <v>ORDER NOW</v>
      </c>
      <c r="O645" s="25" t="str">
        <f t="shared" si="67"/>
        <v>CRITICAL</v>
      </c>
      <c r="P645" s="5"/>
      <c r="Q645" s="5"/>
      <c r="R645" s="5" t="s">
        <v>30</v>
      </c>
      <c r="S645" s="90" t="str">
        <f>VLOOKUP(C645,[3]Sheet1!$C$3:$P$521,14,0)</f>
        <v/>
      </c>
    </row>
    <row r="646" spans="1:19" ht="18.75" hidden="1" x14ac:dyDescent="0.25">
      <c r="A646" s="19">
        <v>33</v>
      </c>
      <c r="B646" s="19" t="s">
        <v>18</v>
      </c>
      <c r="C646" s="19" t="s">
        <v>1570</v>
      </c>
      <c r="D646" s="27" t="s">
        <v>1571</v>
      </c>
      <c r="E646" s="27" t="s">
        <v>167</v>
      </c>
      <c r="F646" s="5" t="s">
        <v>22</v>
      </c>
      <c r="G646" s="21">
        <v>1E-3</v>
      </c>
      <c r="H646" s="22">
        <v>11</v>
      </c>
      <c r="I646" s="22">
        <f t="shared" si="63"/>
        <v>11000</v>
      </c>
      <c r="J646" s="5">
        <v>60</v>
      </c>
      <c r="K646" s="23">
        <f t="shared" si="64"/>
        <v>23571.428571428572</v>
      </c>
      <c r="L646" s="58">
        <f>(IFERROR(VLOOKUP(C646,'Current Stocks July-26'!B:K,9,0),0))</f>
        <v>0</v>
      </c>
      <c r="M646" s="24">
        <f t="shared" si="65"/>
        <v>0</v>
      </c>
      <c r="N646" s="25" t="str">
        <f t="shared" si="66"/>
        <v>ORDER NOW</v>
      </c>
      <c r="O646" s="25" t="str">
        <f t="shared" si="67"/>
        <v>CRITICAL</v>
      </c>
      <c r="P646" s="5"/>
      <c r="Q646" s="5"/>
      <c r="R646" s="5" t="s">
        <v>30</v>
      </c>
      <c r="S646" s="90" t="str">
        <f>VLOOKUP(C646,[3]Sheet1!$C$3:$P$521,14,0)</f>
        <v/>
      </c>
    </row>
    <row r="647" spans="1:19" ht="18.75" hidden="1" x14ac:dyDescent="0.25">
      <c r="A647" s="49">
        <v>598</v>
      </c>
      <c r="B647" s="49" t="s">
        <v>239</v>
      </c>
      <c r="C647" s="49" t="s">
        <v>574</v>
      </c>
      <c r="D647" s="37" t="s">
        <v>575</v>
      </c>
      <c r="E647" s="31" t="s">
        <v>49</v>
      </c>
      <c r="F647" s="5" t="s">
        <v>49</v>
      </c>
      <c r="G647" s="21">
        <v>1</v>
      </c>
      <c r="H647" s="22">
        <v>6</v>
      </c>
      <c r="I647" s="22">
        <f t="shared" si="63"/>
        <v>6</v>
      </c>
      <c r="J647" s="5">
        <v>14</v>
      </c>
      <c r="K647" s="23">
        <f t="shared" si="64"/>
        <v>3</v>
      </c>
      <c r="L647" s="58">
        <f>(IFERROR(VLOOKUP(C647,'Current Stocks July-26'!B:K,9,0),0))</f>
        <v>0</v>
      </c>
      <c r="M647" s="24">
        <f t="shared" si="65"/>
        <v>0</v>
      </c>
      <c r="N647" s="25" t="str">
        <f t="shared" si="66"/>
        <v>ORDER NOW</v>
      </c>
      <c r="O647" s="25" t="str">
        <f t="shared" si="67"/>
        <v>CRITICAL</v>
      </c>
      <c r="P647" s="5"/>
      <c r="Q647" s="5"/>
      <c r="R647" s="5"/>
      <c r="S647" s="90">
        <f>VLOOKUP(C647,[3]Sheet1!$C$3:$P$521,14,0)</f>
        <v>46131.519652777781</v>
      </c>
    </row>
    <row r="648" spans="1:19" ht="18.75" hidden="1" x14ac:dyDescent="0.25">
      <c r="A648" s="41">
        <v>485</v>
      </c>
      <c r="B648" s="41" t="s">
        <v>61</v>
      </c>
      <c r="C648" s="41" t="s">
        <v>1523</v>
      </c>
      <c r="D648" s="27" t="s">
        <v>1524</v>
      </c>
      <c r="E648" s="27" t="s">
        <v>1525</v>
      </c>
      <c r="F648" s="5" t="s">
        <v>49</v>
      </c>
      <c r="G648" s="21">
        <v>1</v>
      </c>
      <c r="H648" s="22">
        <v>2</v>
      </c>
      <c r="I648" s="22">
        <f t="shared" si="63"/>
        <v>2</v>
      </c>
      <c r="J648" s="5">
        <v>14</v>
      </c>
      <c r="K648" s="23">
        <f t="shared" si="64"/>
        <v>1</v>
      </c>
      <c r="L648" s="58">
        <f>(IFERROR(VLOOKUP(C648,'Current Stocks July-26'!B:K,9,0),0))</f>
        <v>0</v>
      </c>
      <c r="M648" s="24">
        <f t="shared" si="65"/>
        <v>0</v>
      </c>
      <c r="N648" s="25" t="str">
        <f t="shared" si="66"/>
        <v>ORDER NOW</v>
      </c>
      <c r="O648" s="25" t="str">
        <f t="shared" si="67"/>
        <v>CRITICAL</v>
      </c>
      <c r="P648" s="5"/>
      <c r="Q648" s="5"/>
      <c r="R648" s="5"/>
      <c r="S648" s="90">
        <f>VLOOKUP(C648,[3]Sheet1!$C$3:$P$521,14,0)</f>
        <v>46131.520312499997</v>
      </c>
    </row>
    <row r="649" spans="1:19" ht="18.75" hidden="1" x14ac:dyDescent="0.25">
      <c r="A649" s="39">
        <v>326</v>
      </c>
      <c r="B649" s="39" t="s">
        <v>157</v>
      </c>
      <c r="C649" s="39" t="s">
        <v>1578</v>
      </c>
      <c r="D649" s="37" t="s">
        <v>1579</v>
      </c>
      <c r="E649" s="31" t="s">
        <v>1650</v>
      </c>
      <c r="F649" s="5" t="s">
        <v>22</v>
      </c>
      <c r="G649" s="21">
        <f>1/1200</f>
        <v>8.3333333333333339E-4</v>
      </c>
      <c r="H649" s="22">
        <v>1</v>
      </c>
      <c r="I649" s="22">
        <f t="shared" si="63"/>
        <v>1200</v>
      </c>
      <c r="J649" s="5">
        <v>14</v>
      </c>
      <c r="K649" s="23">
        <f t="shared" si="64"/>
        <v>600</v>
      </c>
      <c r="L649" s="58">
        <f>(IFERROR(VLOOKUP(C649,'Current Stocks July-26'!B:K,9,0),0))</f>
        <v>0</v>
      </c>
      <c r="M649" s="24">
        <f t="shared" si="65"/>
        <v>0</v>
      </c>
      <c r="N649" s="25" t="str">
        <f t="shared" si="66"/>
        <v>ORDER NOW</v>
      </c>
      <c r="O649" s="25" t="str">
        <f t="shared" si="67"/>
        <v>CRITICAL</v>
      </c>
      <c r="P649" s="5"/>
      <c r="Q649" s="5"/>
      <c r="R649" s="5"/>
      <c r="S649" s="90">
        <f>VLOOKUP(C649,[3]Sheet1!$C$3:$P$521,14,0)</f>
        <v>46131.520856481482</v>
      </c>
    </row>
    <row r="650" spans="1:19" ht="18.75" hidden="1" x14ac:dyDescent="0.25">
      <c r="A650" s="41">
        <v>553</v>
      </c>
      <c r="B650" s="41" t="s">
        <v>38</v>
      </c>
      <c r="C650" s="41" t="s">
        <v>1236</v>
      </c>
      <c r="D650" s="37" t="s">
        <v>1237</v>
      </c>
      <c r="E650" s="31" t="s">
        <v>22</v>
      </c>
      <c r="F650" s="5" t="s">
        <v>22</v>
      </c>
      <c r="G650" s="21">
        <v>1</v>
      </c>
      <c r="H650" s="22">
        <v>5</v>
      </c>
      <c r="I650" s="22">
        <f t="shared" si="63"/>
        <v>5</v>
      </c>
      <c r="J650" s="5">
        <v>14</v>
      </c>
      <c r="K650" s="23">
        <f t="shared" si="64"/>
        <v>2.5</v>
      </c>
      <c r="L650" s="58">
        <f>(IFERROR(VLOOKUP(C650,'Current Stocks July-26'!B:K,9,0),0))</f>
        <v>0</v>
      </c>
      <c r="M650" s="24">
        <f t="shared" si="65"/>
        <v>0</v>
      </c>
      <c r="N650" s="25" t="str">
        <f t="shared" si="66"/>
        <v>ORDER NOW</v>
      </c>
      <c r="O650" s="25" t="str">
        <f t="shared" si="67"/>
        <v>CRITICAL</v>
      </c>
      <c r="P650" s="5"/>
      <c r="Q650" s="5"/>
      <c r="R650" s="5"/>
      <c r="S650" s="90">
        <f>VLOOKUP(C650,[3]Sheet1!$C$3:$P$521,14,0)</f>
        <v>46131.51866898148</v>
      </c>
    </row>
    <row r="651" spans="1:19" ht="18.75" hidden="1" x14ac:dyDescent="0.25">
      <c r="A651" s="41">
        <v>538</v>
      </c>
      <c r="B651" s="41" t="s">
        <v>38</v>
      </c>
      <c r="C651" s="41" t="s">
        <v>1478</v>
      </c>
      <c r="D651" s="77" t="s">
        <v>1479</v>
      </c>
      <c r="E651" s="31" t="s">
        <v>22</v>
      </c>
      <c r="F651" s="5" t="s">
        <v>22</v>
      </c>
      <c r="G651" s="21">
        <v>1</v>
      </c>
      <c r="H651" s="22">
        <v>2</v>
      </c>
      <c r="I651" s="22">
        <f t="shared" si="63"/>
        <v>2</v>
      </c>
      <c r="J651" s="5">
        <v>14</v>
      </c>
      <c r="K651" s="23">
        <f t="shared" si="64"/>
        <v>1</v>
      </c>
      <c r="L651" s="58">
        <f>(IFERROR(VLOOKUP(C651,'Current Stocks July-26'!B:K,9,0),0))</f>
        <v>0</v>
      </c>
      <c r="M651" s="24">
        <f t="shared" si="65"/>
        <v>0</v>
      </c>
      <c r="N651" s="25" t="str">
        <f t="shared" si="66"/>
        <v>ORDER NOW</v>
      </c>
      <c r="O651" s="25" t="str">
        <f t="shared" si="67"/>
        <v>CRITICAL</v>
      </c>
      <c r="P651" s="5"/>
      <c r="Q651" s="5"/>
      <c r="R651" s="5"/>
      <c r="S651" s="90">
        <f>VLOOKUP(C651,[3]Sheet1!$C$3:$P$521,14,0)</f>
        <v>46131.52003472222</v>
      </c>
    </row>
    <row r="652" spans="1:19" ht="18.75" hidden="1" x14ac:dyDescent="0.25">
      <c r="A652" s="41">
        <v>556</v>
      </c>
      <c r="B652" s="41" t="s">
        <v>38</v>
      </c>
      <c r="C652" s="41" t="s">
        <v>1245</v>
      </c>
      <c r="D652" s="37" t="s">
        <v>1246</v>
      </c>
      <c r="E652" s="31" t="s">
        <v>22</v>
      </c>
      <c r="F652" s="5" t="s">
        <v>22</v>
      </c>
      <c r="G652" s="21">
        <v>1</v>
      </c>
      <c r="H652" s="22">
        <v>1</v>
      </c>
      <c r="I652" s="22">
        <f t="shared" si="63"/>
        <v>1</v>
      </c>
      <c r="J652" s="5">
        <v>14</v>
      </c>
      <c r="K652" s="23">
        <f t="shared" si="64"/>
        <v>0.5</v>
      </c>
      <c r="L652" s="58">
        <f>(IFERROR(VLOOKUP(C652,'Current Stocks July-26'!B:K,9,0),0))</f>
        <v>0</v>
      </c>
      <c r="M652" s="24">
        <f t="shared" si="65"/>
        <v>0</v>
      </c>
      <c r="N652" s="25" t="str">
        <f t="shared" si="66"/>
        <v>ORDER NOW</v>
      </c>
      <c r="O652" s="25" t="str">
        <f t="shared" si="67"/>
        <v>CRITICAL</v>
      </c>
      <c r="P652" s="5"/>
      <c r="Q652" s="5"/>
      <c r="R652" s="5"/>
      <c r="S652" s="90">
        <f>VLOOKUP(C652,[3]Sheet1!$C$3:$P$521,14,0)</f>
        <v>46131.518773148149</v>
      </c>
    </row>
    <row r="653" spans="1:19" ht="18.75" hidden="1" x14ac:dyDescent="0.25">
      <c r="A653" s="39">
        <v>324</v>
      </c>
      <c r="B653" s="39" t="s">
        <v>361</v>
      </c>
      <c r="C653" s="39" t="s">
        <v>362</v>
      </c>
      <c r="D653" s="27" t="s">
        <v>363</v>
      </c>
      <c r="E653" s="27" t="s">
        <v>364</v>
      </c>
      <c r="F653" s="5" t="s">
        <v>22</v>
      </c>
      <c r="G653" s="21">
        <f>1/500</f>
        <v>2E-3</v>
      </c>
      <c r="H653" s="22">
        <v>6</v>
      </c>
      <c r="I653" s="22">
        <f t="shared" si="63"/>
        <v>3000</v>
      </c>
      <c r="J653" s="5">
        <v>14</v>
      </c>
      <c r="K653" s="23">
        <f t="shared" si="64"/>
        <v>1500</v>
      </c>
      <c r="L653" s="58">
        <f>(IFERROR(VLOOKUP(C653,'Current Stocks July-26'!B:K,9,0),0))</f>
        <v>0</v>
      </c>
      <c r="M653" s="24">
        <f t="shared" si="65"/>
        <v>0</v>
      </c>
      <c r="N653" s="25" t="str">
        <f t="shared" si="66"/>
        <v>ORDER NOW</v>
      </c>
      <c r="O653" s="25" t="str">
        <f t="shared" si="67"/>
        <v>CRITICAL</v>
      </c>
      <c r="P653" s="5"/>
      <c r="Q653" s="5"/>
      <c r="R653" s="5"/>
      <c r="S653" s="90" t="e">
        <f>VLOOKUP(C653,[3]Sheet1!$C$3:$P$521,14,0)</f>
        <v>#N/A</v>
      </c>
    </row>
    <row r="654" spans="1:19" ht="18.75" hidden="1" x14ac:dyDescent="0.25">
      <c r="A654" s="41">
        <v>537</v>
      </c>
      <c r="B654" s="41" t="s">
        <v>38</v>
      </c>
      <c r="C654" s="41" t="s">
        <v>1345</v>
      </c>
      <c r="D654" s="37" t="s">
        <v>1346</v>
      </c>
      <c r="E654" s="31" t="s">
        <v>64</v>
      </c>
      <c r="F654" s="5" t="s">
        <v>49</v>
      </c>
      <c r="G654" s="21">
        <v>1</v>
      </c>
      <c r="H654" s="22">
        <v>1</v>
      </c>
      <c r="I654" s="22">
        <f t="shared" si="63"/>
        <v>1</v>
      </c>
      <c r="J654" s="5">
        <v>14</v>
      </c>
      <c r="K654" s="23">
        <f t="shared" si="64"/>
        <v>0.5</v>
      </c>
      <c r="L654" s="58">
        <f>(IFERROR(VLOOKUP(C654,'Current Stocks July-26'!B:K,9,0),0))</f>
        <v>0</v>
      </c>
      <c r="M654" s="24">
        <f t="shared" si="65"/>
        <v>0</v>
      </c>
      <c r="N654" s="25" t="str">
        <f t="shared" si="66"/>
        <v>ORDER NOW</v>
      </c>
      <c r="O654" s="25" t="str">
        <f t="shared" si="67"/>
        <v>CRITICAL</v>
      </c>
      <c r="P654" s="5"/>
      <c r="Q654" s="5"/>
      <c r="R654" s="5"/>
      <c r="S654" s="90">
        <f>VLOOKUP(C654,[3]Sheet1!$C$3:$P$521,14,0)</f>
        <v>46131.51934027778</v>
      </c>
    </row>
    <row r="655" spans="1:19" ht="18.75" hidden="1" x14ac:dyDescent="0.25">
      <c r="A655" s="39">
        <v>245</v>
      </c>
      <c r="B655" s="39" t="s">
        <v>123</v>
      </c>
      <c r="C655" s="39" t="s">
        <v>1509</v>
      </c>
      <c r="D655" s="27" t="s">
        <v>1510</v>
      </c>
      <c r="E655" s="27" t="s">
        <v>706</v>
      </c>
      <c r="F655" s="5" t="s">
        <v>49</v>
      </c>
      <c r="G655" s="21">
        <v>1</v>
      </c>
      <c r="H655" s="22">
        <v>27.5</v>
      </c>
      <c r="I655" s="22">
        <f t="shared" si="63"/>
        <v>27.5</v>
      </c>
      <c r="J655" s="5">
        <v>14</v>
      </c>
      <c r="K655" s="23">
        <f t="shared" si="64"/>
        <v>13.75</v>
      </c>
      <c r="L655" s="58">
        <f>(IFERROR(VLOOKUP(C655,'Current Stocks July-26'!B:K,9,0),0))</f>
        <v>10</v>
      </c>
      <c r="M655" s="24">
        <f t="shared" si="65"/>
        <v>10.90909090909091</v>
      </c>
      <c r="N655" s="25" t="str">
        <f t="shared" si="66"/>
        <v>ORDER NOW</v>
      </c>
      <c r="O655" s="25" t="str">
        <f t="shared" si="67"/>
        <v>CRITICAL</v>
      </c>
      <c r="P655" s="5"/>
      <c r="Q655" s="5"/>
      <c r="R655" s="5"/>
      <c r="S655" s="90">
        <f>VLOOKUP(C655,[3]Sheet1!$C$3:$P$521,14,0)</f>
        <v>46131.520243055558</v>
      </c>
    </row>
    <row r="656" spans="1:19" ht="18.75" hidden="1" x14ac:dyDescent="0.25">
      <c r="A656" s="41">
        <v>397</v>
      </c>
      <c r="B656" s="41" t="s">
        <v>85</v>
      </c>
      <c r="C656" s="41" t="s">
        <v>1463</v>
      </c>
      <c r="D656" s="31" t="s">
        <v>1464</v>
      </c>
      <c r="E656" s="31" t="s">
        <v>1465</v>
      </c>
      <c r="F656" s="5" t="s">
        <v>49</v>
      </c>
      <c r="G656" s="21">
        <v>0.26455026455026459</v>
      </c>
      <c r="H656" s="22">
        <v>1</v>
      </c>
      <c r="I656" s="22">
        <f t="shared" si="63"/>
        <v>3.7799999999999994</v>
      </c>
      <c r="J656" s="5">
        <v>14</v>
      </c>
      <c r="K656" s="23">
        <f t="shared" si="64"/>
        <v>1.8899999999999997</v>
      </c>
      <c r="L656" s="58">
        <f>(IFERROR(VLOOKUP(C656,'Current Stocks July-26'!B:K,9,0),0))</f>
        <v>19</v>
      </c>
      <c r="M656" s="24">
        <f t="shared" si="65"/>
        <v>150.79365079365081</v>
      </c>
      <c r="N656" s="25" t="str">
        <f t="shared" si="66"/>
        <v>IN STOCK</v>
      </c>
      <c r="O656" s="25" t="str">
        <f t="shared" si="67"/>
        <v>FOLLOW UP DELIVERY</v>
      </c>
      <c r="P656" s="5"/>
      <c r="Q656" s="5"/>
      <c r="R656" s="5"/>
      <c r="S656" s="90">
        <f>VLOOKUP(C656,[3]Sheet1!$C$3:$P$521,14,0)</f>
        <v>46131.519942129627</v>
      </c>
    </row>
    <row r="657" spans="1:19" ht="18.75" hidden="1" x14ac:dyDescent="0.25">
      <c r="A657" s="41">
        <v>536</v>
      </c>
      <c r="B657" s="41" t="s">
        <v>38</v>
      </c>
      <c r="C657" s="41" t="s">
        <v>516</v>
      </c>
      <c r="D657" s="37" t="s">
        <v>517</v>
      </c>
      <c r="E657" s="31" t="s">
        <v>64</v>
      </c>
      <c r="F657" s="5" t="s">
        <v>49</v>
      </c>
      <c r="G657" s="21">
        <v>1</v>
      </c>
      <c r="H657" s="22">
        <v>5</v>
      </c>
      <c r="I657" s="22">
        <f t="shared" si="63"/>
        <v>5</v>
      </c>
      <c r="J657" s="5">
        <v>14</v>
      </c>
      <c r="K657" s="23">
        <f t="shared" si="64"/>
        <v>2.5</v>
      </c>
      <c r="L657" s="58">
        <f>(IFERROR(VLOOKUP(C657,'Current Stocks July-26'!B:K,9,0),0))</f>
        <v>0</v>
      </c>
      <c r="M657" s="24">
        <f t="shared" si="65"/>
        <v>0</v>
      </c>
      <c r="N657" s="25" t="str">
        <f t="shared" si="66"/>
        <v>ORDER NOW</v>
      </c>
      <c r="O657" s="25" t="str">
        <f t="shared" si="67"/>
        <v>CRITICAL</v>
      </c>
      <c r="P657" s="5"/>
      <c r="Q657" s="5"/>
      <c r="R657" s="5"/>
      <c r="S657" s="90">
        <f>VLOOKUP(C657,[3]Sheet1!$C$3:$P$521,14,0)</f>
        <v>46118.497812499998</v>
      </c>
    </row>
    <row r="658" spans="1:19" ht="18.75" hidden="1" x14ac:dyDescent="0.25">
      <c r="A658" s="41">
        <v>565</v>
      </c>
      <c r="B658" s="41" t="s">
        <v>38</v>
      </c>
      <c r="C658" s="41" t="s">
        <v>1390</v>
      </c>
      <c r="D658" s="37" t="s">
        <v>1391</v>
      </c>
      <c r="E658" s="31" t="s">
        <v>22</v>
      </c>
      <c r="F658" s="5" t="s">
        <v>22</v>
      </c>
      <c r="G658" s="21">
        <v>1</v>
      </c>
      <c r="H658" s="22">
        <v>1</v>
      </c>
      <c r="I658" s="22">
        <f t="shared" si="63"/>
        <v>1</v>
      </c>
      <c r="J658" s="5">
        <v>14</v>
      </c>
      <c r="K658" s="23">
        <f t="shared" si="64"/>
        <v>0.5</v>
      </c>
      <c r="L658" s="58">
        <f>(IFERROR(VLOOKUP(C658,'Current Stocks July-26'!B:K,9,0),0))</f>
        <v>0</v>
      </c>
      <c r="M658" s="24">
        <f t="shared" si="65"/>
        <v>0</v>
      </c>
      <c r="N658" s="25" t="str">
        <f t="shared" si="66"/>
        <v>ORDER NOW</v>
      </c>
      <c r="O658" s="25" t="str">
        <f t="shared" si="67"/>
        <v>CRITICAL</v>
      </c>
      <c r="P658" s="5"/>
      <c r="Q658" s="5"/>
      <c r="R658" s="5"/>
      <c r="S658" s="90">
        <f>VLOOKUP(C658,[3]Sheet1!$C$3:$P$521,14,0)</f>
        <v>46131.519537037035</v>
      </c>
    </row>
    <row r="659" spans="1:19" ht="18.75" hidden="1" x14ac:dyDescent="0.25">
      <c r="A659" s="41">
        <v>521</v>
      </c>
      <c r="B659" s="41" t="s">
        <v>38</v>
      </c>
      <c r="C659" s="41" t="s">
        <v>1584</v>
      </c>
      <c r="D659" s="27" t="s">
        <v>1585</v>
      </c>
      <c r="E659" s="27" t="s">
        <v>1586</v>
      </c>
      <c r="F659" s="5" t="s">
        <v>22</v>
      </c>
      <c r="G659" s="21">
        <f>1/(48*0.04)</f>
        <v>0.52083333333333337</v>
      </c>
      <c r="H659" s="22">
        <v>10</v>
      </c>
      <c r="I659" s="22">
        <f t="shared" si="63"/>
        <v>19.2</v>
      </c>
      <c r="J659" s="5">
        <v>14</v>
      </c>
      <c r="K659" s="23">
        <f t="shared" si="64"/>
        <v>9.6</v>
      </c>
      <c r="L659" s="58">
        <f>(IFERROR(VLOOKUP(C659,'Current Stocks July-26'!B:K,9,0),0))</f>
        <v>0</v>
      </c>
      <c r="M659" s="24">
        <f t="shared" si="65"/>
        <v>0</v>
      </c>
      <c r="N659" s="25" t="str">
        <f t="shared" si="66"/>
        <v>ORDER NOW</v>
      </c>
      <c r="O659" s="25" t="str">
        <f t="shared" si="67"/>
        <v>CRITICAL</v>
      </c>
      <c r="P659" s="5"/>
      <c r="Q659" s="5"/>
      <c r="R659" s="5"/>
      <c r="S659" s="90">
        <f>VLOOKUP(C659,[3]Sheet1!$C$3:$P$521,14,0)</f>
        <v>46131.520902777775</v>
      </c>
    </row>
    <row r="660" spans="1:19" ht="18.75" hidden="1" x14ac:dyDescent="0.25">
      <c r="A660" s="41">
        <v>422</v>
      </c>
      <c r="B660" s="41" t="s">
        <v>38</v>
      </c>
      <c r="C660" s="41" t="s">
        <v>1541</v>
      </c>
      <c r="D660" s="27" t="s">
        <v>1542</v>
      </c>
      <c r="E660" s="27" t="s">
        <v>1543</v>
      </c>
      <c r="F660" s="5" t="s">
        <v>22</v>
      </c>
      <c r="G660" s="21">
        <v>5.9523809523809534E-2</v>
      </c>
      <c r="H660" s="22">
        <v>0</v>
      </c>
      <c r="I660" s="22">
        <v>10</v>
      </c>
      <c r="J660" s="5">
        <v>14</v>
      </c>
      <c r="K660" s="23">
        <f t="shared" si="64"/>
        <v>5</v>
      </c>
      <c r="L660" s="58">
        <f>(IFERROR(VLOOKUP(C660,'Current Stocks July-26'!B:K,9,0),0))</f>
        <v>0</v>
      </c>
      <c r="M660" s="24">
        <f t="shared" si="65"/>
        <v>0</v>
      </c>
      <c r="N660" s="25" t="str">
        <f t="shared" si="66"/>
        <v>ORDER NOW</v>
      </c>
      <c r="O660" s="25" t="str">
        <f t="shared" si="67"/>
        <v>CRITICAL</v>
      </c>
      <c r="P660" s="5"/>
      <c r="Q660" s="5"/>
      <c r="R660" s="5"/>
      <c r="S660" s="90" t="e">
        <f>VLOOKUP(C660,[3]Sheet1!$C$3:$P$521,14,0)</f>
        <v>#N/A</v>
      </c>
    </row>
    <row r="661" spans="1:19" ht="18.75" hidden="1" x14ac:dyDescent="0.25">
      <c r="A661" s="4">
        <v>606</v>
      </c>
      <c r="B661" s="4" t="s">
        <v>104</v>
      </c>
      <c r="C661" s="4" t="s">
        <v>1550</v>
      </c>
      <c r="D661" s="71" t="s">
        <v>1551</v>
      </c>
      <c r="E661" s="31" t="s">
        <v>22</v>
      </c>
      <c r="F661" s="5" t="s">
        <v>22</v>
      </c>
      <c r="G661" s="21">
        <v>1</v>
      </c>
      <c r="H661" s="22">
        <v>1</v>
      </c>
      <c r="I661" s="22">
        <f>H661/G661</f>
        <v>1</v>
      </c>
      <c r="J661" s="5">
        <v>14</v>
      </c>
      <c r="K661" s="23">
        <f t="shared" si="64"/>
        <v>0.5</v>
      </c>
      <c r="L661" s="58">
        <f>(IFERROR(VLOOKUP(C661,'Current Stocks July-26'!B:K,9,0),0))</f>
        <v>0</v>
      </c>
      <c r="M661" s="24">
        <f t="shared" si="65"/>
        <v>0</v>
      </c>
      <c r="N661" s="25" t="str">
        <f t="shared" si="66"/>
        <v>ORDER NOW</v>
      </c>
      <c r="O661" s="25" t="str">
        <f t="shared" si="67"/>
        <v>CRITICAL</v>
      </c>
      <c r="P661" s="5"/>
      <c r="Q661" s="5"/>
      <c r="R661" s="5"/>
      <c r="S661" s="90">
        <f>VLOOKUP(C661,[3]Sheet1!$C$3:$P$521,14,0)</f>
        <v>46131.520405092589</v>
      </c>
    </row>
    <row r="662" spans="1:19" ht="18.75" hidden="1" x14ac:dyDescent="0.25">
      <c r="A662" s="41">
        <v>552</v>
      </c>
      <c r="B662" s="41" t="s">
        <v>38</v>
      </c>
      <c r="C662" s="41" t="s">
        <v>1493</v>
      </c>
      <c r="D662" s="37" t="s">
        <v>1494</v>
      </c>
      <c r="E662" s="31" t="s">
        <v>22</v>
      </c>
      <c r="F662" s="5" t="s">
        <v>22</v>
      </c>
      <c r="G662" s="21">
        <v>1</v>
      </c>
      <c r="H662" s="22">
        <v>1</v>
      </c>
      <c r="I662" s="22">
        <f>H662/G662</f>
        <v>1</v>
      </c>
      <c r="J662" s="5">
        <v>14</v>
      </c>
      <c r="K662" s="23">
        <f t="shared" si="64"/>
        <v>0.5</v>
      </c>
      <c r="L662" s="58">
        <f>(IFERROR(VLOOKUP(C662,'Current Stocks July-26'!B:K,9,0),0))</f>
        <v>0</v>
      </c>
      <c r="M662" s="24">
        <f t="shared" si="65"/>
        <v>0</v>
      </c>
      <c r="N662" s="25" t="str">
        <f t="shared" si="66"/>
        <v>ORDER NOW</v>
      </c>
      <c r="O662" s="25" t="str">
        <f t="shared" si="67"/>
        <v>CRITICAL</v>
      </c>
      <c r="P662" s="5"/>
      <c r="Q662" s="5"/>
      <c r="R662" s="5"/>
      <c r="S662" s="90">
        <f>VLOOKUP(C662,[3]Sheet1!$C$3:$P$521,14,0)</f>
        <v>46131.520138888889</v>
      </c>
    </row>
    <row r="663" spans="1:19" ht="18.75" hidden="1" x14ac:dyDescent="0.25">
      <c r="A663" s="19">
        <v>147</v>
      </c>
      <c r="B663" s="19" t="s">
        <v>18</v>
      </c>
      <c r="C663" s="19" t="s">
        <v>741</v>
      </c>
      <c r="D663" s="113" t="s">
        <v>742</v>
      </c>
      <c r="E663" s="27" t="s">
        <v>49</v>
      </c>
      <c r="F663" s="5" t="s">
        <v>49</v>
      </c>
      <c r="G663" s="21">
        <v>1</v>
      </c>
      <c r="H663" s="22">
        <v>0</v>
      </c>
      <c r="I663" s="22">
        <v>200</v>
      </c>
      <c r="J663" s="5">
        <v>14</v>
      </c>
      <c r="K663" s="23">
        <f t="shared" si="64"/>
        <v>100</v>
      </c>
      <c r="L663" s="58">
        <f>(IFERROR(VLOOKUP(C663,'Current Stocks July-26'!B:K,9,0),0))</f>
        <v>0</v>
      </c>
      <c r="M663" s="24">
        <f t="shared" si="65"/>
        <v>0</v>
      </c>
      <c r="N663" s="25" t="str">
        <f t="shared" si="66"/>
        <v>ORDER NOW</v>
      </c>
      <c r="O663" s="25" t="str">
        <f t="shared" si="67"/>
        <v>CRITICAL</v>
      </c>
      <c r="P663" s="5"/>
      <c r="Q663" s="5"/>
      <c r="R663" s="5" t="s">
        <v>30</v>
      </c>
      <c r="S663" s="90">
        <f>VLOOKUP(C663,[3]Sheet1!$C$3:$P$521,14,0)</f>
        <v>46113.430902777778</v>
      </c>
    </row>
    <row r="664" spans="1:19" ht="18.75" hidden="1" x14ac:dyDescent="0.25">
      <c r="A664" s="41">
        <v>352</v>
      </c>
      <c r="B664" s="41" t="s">
        <v>38</v>
      </c>
      <c r="C664" s="41" t="s">
        <v>919</v>
      </c>
      <c r="D664" s="27" t="s">
        <v>920</v>
      </c>
      <c r="E664" s="27" t="s">
        <v>921</v>
      </c>
      <c r="F664" s="5" t="s">
        <v>22</v>
      </c>
      <c r="G664" s="21">
        <f>1/24</f>
        <v>4.1666666666666664E-2</v>
      </c>
      <c r="H664" s="22">
        <v>60.5</v>
      </c>
      <c r="I664" s="22">
        <f>H664/G664</f>
        <v>1452</v>
      </c>
      <c r="J664" s="5">
        <v>14</v>
      </c>
      <c r="K664" s="23">
        <f t="shared" si="64"/>
        <v>726</v>
      </c>
      <c r="L664" s="58">
        <f>(IFERROR(VLOOKUP(C664,'Current Stocks July-26'!B:K,9,0),0))</f>
        <v>2</v>
      </c>
      <c r="M664" s="24">
        <f t="shared" si="65"/>
        <v>4.1322314049586778E-2</v>
      </c>
      <c r="N664" s="25" t="str">
        <f t="shared" si="66"/>
        <v>ORDER NOW</v>
      </c>
      <c r="O664" s="25" t="str">
        <f t="shared" si="67"/>
        <v>CRITICAL</v>
      </c>
      <c r="P664" s="5"/>
      <c r="Q664" s="5"/>
      <c r="R664" s="5"/>
      <c r="S664" s="90">
        <f>VLOOKUP(C664,[3]Sheet1!$C$3:$P$521,14,0)</f>
        <v>46131.51766203704</v>
      </c>
    </row>
    <row r="665" spans="1:19" ht="18.75" hidden="1" x14ac:dyDescent="0.25">
      <c r="A665" s="19">
        <v>176</v>
      </c>
      <c r="B665" s="19" t="s">
        <v>18</v>
      </c>
      <c r="C665" s="19" t="s">
        <v>1590</v>
      </c>
      <c r="D665" s="37" t="s">
        <v>1591</v>
      </c>
      <c r="E665" s="31" t="s">
        <v>22</v>
      </c>
      <c r="F665" s="5" t="s">
        <v>22</v>
      </c>
      <c r="G665" s="21">
        <v>1E-3</v>
      </c>
      <c r="H665" s="22">
        <v>2</v>
      </c>
      <c r="I665" s="22">
        <f>H665/G665</f>
        <v>2000</v>
      </c>
      <c r="J665" s="5">
        <v>14</v>
      </c>
      <c r="K665" s="23">
        <f t="shared" si="64"/>
        <v>1000</v>
      </c>
      <c r="L665" s="58">
        <f>(IFERROR(VLOOKUP(C665,'Current Stocks July-26'!B:K,9,0),0))</f>
        <v>1000</v>
      </c>
      <c r="M665" s="24">
        <f t="shared" si="65"/>
        <v>15</v>
      </c>
      <c r="N665" s="25" t="str">
        <f t="shared" si="66"/>
        <v>IN STOCK</v>
      </c>
      <c r="O665" s="25" t="str">
        <f t="shared" si="67"/>
        <v>FOLLOW UP DELIVERY</v>
      </c>
      <c r="P665" s="5"/>
      <c r="Q665" s="5"/>
      <c r="R665" s="5"/>
      <c r="S665" s="90">
        <f>VLOOKUP(C665,[3]Sheet1!$C$3:$P$521,14,0)</f>
        <v>46131.520925925928</v>
      </c>
    </row>
    <row r="666" spans="1:19" ht="18.75" hidden="1" x14ac:dyDescent="0.25">
      <c r="A666" s="19">
        <v>148</v>
      </c>
      <c r="B666" s="19" t="s">
        <v>18</v>
      </c>
      <c r="C666" s="19" t="s">
        <v>723</v>
      </c>
      <c r="D666" s="29" t="s">
        <v>724</v>
      </c>
      <c r="E666" s="27" t="s">
        <v>49</v>
      </c>
      <c r="F666" s="5" t="s">
        <v>49</v>
      </c>
      <c r="G666" s="21">
        <v>1</v>
      </c>
      <c r="H666" s="22">
        <v>0</v>
      </c>
      <c r="I666" s="22">
        <v>200</v>
      </c>
      <c r="J666" s="5">
        <v>14</v>
      </c>
      <c r="K666" s="23">
        <f t="shared" si="64"/>
        <v>100</v>
      </c>
      <c r="L666" s="58">
        <f>(IFERROR(VLOOKUP(C666,'Current Stocks July-26'!B:K,9,0),0))</f>
        <v>5</v>
      </c>
      <c r="M666" s="24">
        <f t="shared" si="65"/>
        <v>0.75</v>
      </c>
      <c r="N666" s="25" t="str">
        <f t="shared" si="66"/>
        <v>ORDER NOW</v>
      </c>
      <c r="O666" s="25" t="str">
        <f t="shared" si="67"/>
        <v>CRITICAL</v>
      </c>
      <c r="P666" s="5"/>
      <c r="Q666" s="5"/>
      <c r="R666" s="5" t="s">
        <v>30</v>
      </c>
      <c r="S666" s="90">
        <f>VLOOKUP(C666,[3]Sheet1!$C$3:$P$521,14,0)</f>
        <v>46113.430902777778</v>
      </c>
    </row>
    <row r="667" spans="1:19" ht="18.75" hidden="1" x14ac:dyDescent="0.25">
      <c r="A667" s="19">
        <v>145</v>
      </c>
      <c r="B667" s="19" t="s">
        <v>18</v>
      </c>
      <c r="C667" s="19" t="s">
        <v>204</v>
      </c>
      <c r="D667" s="29" t="s">
        <v>205</v>
      </c>
      <c r="E667" s="27" t="s">
        <v>49</v>
      </c>
      <c r="F667" s="5" t="s">
        <v>49</v>
      </c>
      <c r="G667" s="21">
        <v>1</v>
      </c>
      <c r="H667" s="22">
        <v>0</v>
      </c>
      <c r="I667" s="22">
        <v>200</v>
      </c>
      <c r="J667" s="5">
        <v>14</v>
      </c>
      <c r="K667" s="23">
        <f t="shared" si="64"/>
        <v>100</v>
      </c>
      <c r="L667" s="58">
        <f>(IFERROR(VLOOKUP(C667,'Current Stocks July-26'!B:K,9,0),0))</f>
        <v>0</v>
      </c>
      <c r="M667" s="24">
        <f t="shared" si="65"/>
        <v>0</v>
      </c>
      <c r="N667" s="25" t="str">
        <f t="shared" si="66"/>
        <v>ORDER NOW</v>
      </c>
      <c r="O667" s="25" t="str">
        <f t="shared" si="67"/>
        <v>CRITICAL</v>
      </c>
      <c r="P667" s="5"/>
      <c r="Q667" s="5"/>
      <c r="R667" s="5" t="s">
        <v>30</v>
      </c>
      <c r="S667" s="90">
        <f>VLOOKUP(C667,[3]Sheet1!$C$3:$P$521,14,0)</f>
        <v>46113.430891203701</v>
      </c>
    </row>
    <row r="668" spans="1:19" ht="18.75" hidden="1" x14ac:dyDescent="0.25">
      <c r="A668" s="41">
        <v>529</v>
      </c>
      <c r="B668" s="41" t="s">
        <v>38</v>
      </c>
      <c r="C668" s="41" t="s">
        <v>514</v>
      </c>
      <c r="D668" s="37" t="s">
        <v>515</v>
      </c>
      <c r="E668" s="31" t="s">
        <v>22</v>
      </c>
      <c r="F668" s="5" t="s">
        <v>22</v>
      </c>
      <c r="G668" s="21">
        <v>1</v>
      </c>
      <c r="H668" s="22">
        <v>25</v>
      </c>
      <c r="I668" s="22">
        <f>H668/G668</f>
        <v>25</v>
      </c>
      <c r="J668" s="5">
        <v>14</v>
      </c>
      <c r="K668" s="23">
        <f t="shared" si="64"/>
        <v>12.5</v>
      </c>
      <c r="L668" s="58">
        <f>(IFERROR(VLOOKUP(C668,'Current Stocks July-26'!B:K,9,0),0))</f>
        <v>0</v>
      </c>
      <c r="M668" s="24">
        <f t="shared" si="65"/>
        <v>0</v>
      </c>
      <c r="N668" s="25" t="str">
        <f t="shared" si="66"/>
        <v>ORDER NOW</v>
      </c>
      <c r="O668" s="25" t="str">
        <f t="shared" si="67"/>
        <v>CRITICAL</v>
      </c>
      <c r="P668" s="5"/>
      <c r="Q668" s="5"/>
      <c r="R668" s="5"/>
      <c r="S668" s="90">
        <f>VLOOKUP(C668,[3]Sheet1!$C$3:$P$521,14,0)</f>
        <v>46113.430925925924</v>
      </c>
    </row>
    <row r="669" spans="1:19" ht="18.75" hidden="1" x14ac:dyDescent="0.25">
      <c r="A669" s="49">
        <v>590</v>
      </c>
      <c r="B669" s="49" t="s">
        <v>298</v>
      </c>
      <c r="C669" s="49" t="s">
        <v>1507</v>
      </c>
      <c r="D669" s="36" t="s">
        <v>1508</v>
      </c>
      <c r="E669" s="36" t="s">
        <v>49</v>
      </c>
      <c r="F669" s="5" t="s">
        <v>49</v>
      </c>
      <c r="G669" s="21">
        <v>1</v>
      </c>
      <c r="H669" s="22">
        <v>5.5</v>
      </c>
      <c r="I669" s="22">
        <f>H669/G669</f>
        <v>5.5</v>
      </c>
      <c r="J669" s="5">
        <v>14</v>
      </c>
      <c r="K669" s="23">
        <f t="shared" si="64"/>
        <v>2.75</v>
      </c>
      <c r="L669" s="58">
        <f>(IFERROR(VLOOKUP(C669,'Current Stocks July-26'!B:K,9,0),0))</f>
        <v>0</v>
      </c>
      <c r="M669" s="24">
        <f t="shared" si="65"/>
        <v>0</v>
      </c>
      <c r="N669" s="25" t="str">
        <f t="shared" si="66"/>
        <v>ORDER NOW</v>
      </c>
      <c r="O669" s="25" t="str">
        <f t="shared" si="67"/>
        <v>CRITICAL</v>
      </c>
      <c r="P669" s="5"/>
      <c r="Q669" s="5"/>
      <c r="R669" s="5"/>
      <c r="S669" s="90">
        <f>VLOOKUP(C669,[3]Sheet1!$C$3:$P$521,14,0)</f>
        <v>46131.520254629628</v>
      </c>
    </row>
    <row r="670" spans="1:19" ht="18.75" hidden="1" x14ac:dyDescent="0.25">
      <c r="A670" s="41">
        <v>567</v>
      </c>
      <c r="B670" s="41" t="s">
        <v>38</v>
      </c>
      <c r="C670" s="41" t="s">
        <v>1592</v>
      </c>
      <c r="D670" s="27" t="s">
        <v>1593</v>
      </c>
      <c r="E670" s="6" t="s">
        <v>1630</v>
      </c>
      <c r="F670" s="5" t="s">
        <v>22</v>
      </c>
      <c r="G670" s="21">
        <f>1/7.68</f>
        <v>0.13020833333333334</v>
      </c>
      <c r="H670" s="22">
        <v>2</v>
      </c>
      <c r="I670" s="22">
        <f>H670/G670</f>
        <v>15.36</v>
      </c>
      <c r="J670" s="5">
        <v>14</v>
      </c>
      <c r="K670" s="23">
        <f t="shared" si="64"/>
        <v>7.68</v>
      </c>
      <c r="L670" s="58">
        <f>(IFERROR(VLOOKUP(C670,'Current Stocks July-26'!B:K,9,0),0))</f>
        <v>0</v>
      </c>
      <c r="M670" s="24">
        <f t="shared" si="65"/>
        <v>0</v>
      </c>
      <c r="N670" s="25" t="str">
        <f t="shared" si="66"/>
        <v>ORDER NOW</v>
      </c>
      <c r="O670" s="25" t="str">
        <f t="shared" si="67"/>
        <v>CRITICAL</v>
      </c>
      <c r="P670" s="5"/>
      <c r="Q670" s="5"/>
      <c r="R670" s="5"/>
      <c r="S670" s="90">
        <f>VLOOKUP(C670,[3]Sheet1!$C$3:$P$521,14,0)</f>
        <v>46131.520937499998</v>
      </c>
    </row>
  </sheetData>
  <autoFilter ref="A2:R670" xr:uid="{180B6E88-8D45-44BE-9358-99A503011164}">
    <filterColumn colId="3">
      <filters>
        <filter val="Acrylic staff board, size 97 cm * 97 cm, with UV printi( NAMQ )بورد موظفين اكريليك مقاس97 سم *97سم مع الطباعة (نمق)ng"/>
        <filter val="Caramelized Pecan Paper Box 1 PCS (New ID) | علبة بيكان مكرمل ورقية (وردي)"/>
        <filter val="كوب سراميك 110ملي لتقديم الاسبريسو لون وردي مع بيج (نمق)Ceramic cup, 110 ml, for serving espresso pink and beige color"/>
        <filter val="ماء ورد / rose water"/>
        <filter val="ورد مجفف  |  flowers dried"/>
      </filters>
    </filterColumn>
    <sortState xmlns:xlrd2="http://schemas.microsoft.com/office/spreadsheetml/2017/richdata2" ref="A3:R670">
      <sortCondition ref="M2:M670"/>
    </sortState>
  </autoFilter>
  <mergeCells count="2">
    <mergeCell ref="H1:I1"/>
    <mergeCell ref="M1:O1"/>
  </mergeCells>
  <conditionalFormatting sqref="B2">
    <cfRule type="duplicateValues" dxfId="379" priority="60"/>
  </conditionalFormatting>
  <conditionalFormatting sqref="B2:C2">
    <cfRule type="duplicateValues" dxfId="378" priority="67"/>
    <cfRule type="duplicateValues" dxfId="377" priority="68"/>
  </conditionalFormatting>
  <conditionalFormatting sqref="C1:C2">
    <cfRule type="duplicateValues" dxfId="376" priority="64"/>
  </conditionalFormatting>
  <conditionalFormatting sqref="C8:D8">
    <cfRule type="duplicateValues" dxfId="375" priority="42"/>
  </conditionalFormatting>
  <conditionalFormatting sqref="C630:D643 D617:D629">
    <cfRule type="duplicateValues" dxfId="374" priority="46"/>
  </conditionalFormatting>
  <conditionalFormatting sqref="C630:D649 C7:D8 D617:D629">
    <cfRule type="duplicateValues" dxfId="373" priority="44"/>
  </conditionalFormatting>
  <conditionalFormatting sqref="C644:D649 C7:D8">
    <cfRule type="duplicateValues" dxfId="372" priority="43"/>
  </conditionalFormatting>
  <conditionalFormatting sqref="D1:D2">
    <cfRule type="duplicateValues" dxfId="371" priority="65"/>
  </conditionalFormatting>
  <conditionalFormatting sqref="D3:D6 D9:D26 D28:D167">
    <cfRule type="duplicateValues" dxfId="370" priority="3881"/>
  </conditionalFormatting>
  <conditionalFormatting sqref="D3:D6 D9:D26 D28:D188">
    <cfRule type="duplicateValues" dxfId="369" priority="3885"/>
  </conditionalFormatting>
  <conditionalFormatting sqref="D27">
    <cfRule type="duplicateValues" dxfId="368" priority="73"/>
    <cfRule type="duplicateValues" dxfId="367" priority="74"/>
    <cfRule type="duplicateValues" dxfId="366" priority="75"/>
    <cfRule type="duplicateValues" dxfId="365" priority="76"/>
    <cfRule type="duplicateValues" dxfId="364" priority="77"/>
    <cfRule type="duplicateValues" dxfId="363" priority="78"/>
    <cfRule type="duplicateValues" dxfId="362" priority="79"/>
  </conditionalFormatting>
  <conditionalFormatting sqref="D170:D177 D3:D6 D9:D26 D28:D167">
    <cfRule type="duplicateValues" dxfId="361" priority="80"/>
  </conditionalFormatting>
  <conditionalFormatting sqref="D178">
    <cfRule type="duplicateValues" dxfId="360" priority="70"/>
  </conditionalFormatting>
  <conditionalFormatting sqref="D178:D188">
    <cfRule type="duplicateValues" dxfId="359" priority="72"/>
  </conditionalFormatting>
  <conditionalFormatting sqref="D179">
    <cfRule type="duplicateValues" dxfId="358" priority="69"/>
  </conditionalFormatting>
  <conditionalFormatting sqref="D180:D188">
    <cfRule type="duplicateValues" dxfId="357" priority="71"/>
  </conditionalFormatting>
  <conditionalFormatting sqref="D189:D327">
    <cfRule type="duplicateValues" dxfId="356" priority="3764"/>
  </conditionalFormatting>
  <conditionalFormatting sqref="D189:D334">
    <cfRule type="duplicateValues" dxfId="355" priority="3766"/>
    <cfRule type="duplicateValues" dxfId="354" priority="3767"/>
  </conditionalFormatting>
  <conditionalFormatting sqref="D335:D526">
    <cfRule type="duplicateValues" dxfId="353" priority="4051"/>
  </conditionalFormatting>
  <conditionalFormatting sqref="D335:D571">
    <cfRule type="duplicateValues" dxfId="352" priority="4053"/>
  </conditionalFormatting>
  <conditionalFormatting sqref="D335:D579">
    <cfRule type="duplicateValues" dxfId="351" priority="4055"/>
  </conditionalFormatting>
  <conditionalFormatting sqref="D574:D579 D572">
    <cfRule type="duplicateValues" dxfId="350" priority="56"/>
  </conditionalFormatting>
  <conditionalFormatting sqref="D580:D594">
    <cfRule type="duplicateValues" dxfId="349" priority="54"/>
  </conditionalFormatting>
  <conditionalFormatting sqref="D580:D599">
    <cfRule type="duplicateValues" dxfId="348" priority="53"/>
    <cfRule type="duplicateValues" dxfId="347" priority="55"/>
  </conditionalFormatting>
  <conditionalFormatting sqref="D600:D604">
    <cfRule type="duplicateValues" dxfId="346" priority="51"/>
  </conditionalFormatting>
  <conditionalFormatting sqref="D600:D607">
    <cfRule type="duplicateValues" dxfId="345" priority="50"/>
    <cfRule type="duplicateValues" dxfId="344" priority="52"/>
  </conditionalFormatting>
  <conditionalFormatting sqref="D608:D616">
    <cfRule type="duplicateValues" dxfId="343" priority="47"/>
    <cfRule type="duplicateValues" dxfId="342" priority="48"/>
    <cfRule type="duplicateValues" dxfId="341" priority="49"/>
  </conditionalFormatting>
  <conditionalFormatting sqref="D617:D620">
    <cfRule type="duplicateValues" dxfId="340" priority="45"/>
  </conditionalFormatting>
  <conditionalFormatting sqref="D650:D670">
    <cfRule type="duplicateValues" dxfId="339" priority="21"/>
    <cfRule type="duplicateValues" dxfId="338" priority="22"/>
  </conditionalFormatting>
  <conditionalFormatting sqref="D2:O2">
    <cfRule type="duplicateValues" dxfId="337" priority="81"/>
    <cfRule type="duplicateValues" dxfId="336" priority="82"/>
    <cfRule type="duplicateValues" dxfId="335" priority="83"/>
    <cfRule type="duplicateValues" dxfId="334" priority="84"/>
    <cfRule type="duplicateValues" dxfId="333" priority="85"/>
  </conditionalFormatting>
  <conditionalFormatting sqref="E107">
    <cfRule type="duplicateValues" dxfId="332" priority="25"/>
    <cfRule type="duplicateValues" dxfId="331" priority="26"/>
  </conditionalFormatting>
  <conditionalFormatting sqref="E240">
    <cfRule type="duplicateValues" dxfId="330" priority="23"/>
    <cfRule type="duplicateValues" dxfId="329" priority="24"/>
  </conditionalFormatting>
  <conditionalFormatting sqref="E650">
    <cfRule type="duplicateValues" dxfId="328" priority="18"/>
    <cfRule type="duplicateValues" dxfId="327" priority="19"/>
  </conditionalFormatting>
  <conditionalFormatting sqref="E651">
    <cfRule type="duplicateValues" dxfId="326" priority="16"/>
    <cfRule type="duplicateValues" dxfId="325" priority="17"/>
  </conditionalFormatting>
  <conditionalFormatting sqref="E652">
    <cfRule type="duplicateValues" dxfId="324" priority="14"/>
    <cfRule type="duplicateValues" dxfId="323" priority="15"/>
  </conditionalFormatting>
  <conditionalFormatting sqref="E661">
    <cfRule type="duplicateValues" dxfId="322" priority="1"/>
    <cfRule type="duplicateValues" dxfId="321" priority="2"/>
  </conditionalFormatting>
  <conditionalFormatting sqref="E662">
    <cfRule type="duplicateValues" dxfId="320" priority="3"/>
    <cfRule type="duplicateValues" dxfId="319" priority="4"/>
  </conditionalFormatting>
  <conditionalFormatting sqref="E668:E670">
    <cfRule type="duplicateValues" dxfId="318" priority="7"/>
    <cfRule type="duplicateValues" dxfId="317" priority="8"/>
  </conditionalFormatting>
  <conditionalFormatting sqref="M1 M11:M42 M45:M116 M119 M124:M136 M139:M178 M189:M224 M227:M384 M387:M411 M414:M670">
    <cfRule type="cellIs" dxfId="316" priority="66" operator="lessThan">
      <formula>Q3</formula>
    </cfRule>
  </conditionalFormatting>
  <conditionalFormatting sqref="M3">
    <cfRule type="cellIs" dxfId="315" priority="2481" operator="lessThan">
      <formula>Q6</formula>
    </cfRule>
  </conditionalFormatting>
  <conditionalFormatting sqref="M3:M670">
    <cfRule type="cellIs" dxfId="314" priority="20" operator="lessThan">
      <formula>$J3</formula>
    </cfRule>
  </conditionalFormatting>
  <conditionalFormatting sqref="M4">
    <cfRule type="cellIs" dxfId="313" priority="2546" operator="lessThan">
      <formula>Q9</formula>
    </cfRule>
  </conditionalFormatting>
  <conditionalFormatting sqref="M5:M10 M186:M188">
    <cfRule type="cellIs" dxfId="312" priority="2487" operator="lessThan">
      <formula>Q9</formula>
    </cfRule>
  </conditionalFormatting>
  <conditionalFormatting sqref="M43 M117 M120 M122 M137 M225 M385">
    <cfRule type="cellIs" dxfId="311" priority="3747" operator="lessThan">
      <formula>#REF!</formula>
    </cfRule>
  </conditionalFormatting>
  <conditionalFormatting sqref="M44 M118 M121 M123 M138 M226 M386 M413">
    <cfRule type="cellIs" dxfId="310" priority="3746" operator="lessThan">
      <formula>Q45</formula>
    </cfRule>
  </conditionalFormatting>
  <conditionalFormatting sqref="M179">
    <cfRule type="cellIs" dxfId="309" priority="4085" operator="lessThan">
      <formula>Q186</formula>
    </cfRule>
  </conditionalFormatting>
  <conditionalFormatting sqref="M180:M184">
    <cfRule type="cellIs" dxfId="308" priority="4093" operator="lessThan">
      <formula>Q189</formula>
    </cfRule>
  </conditionalFormatting>
  <conditionalFormatting sqref="M185">
    <cfRule type="cellIs" dxfId="307" priority="4077" operator="lessThan">
      <formula>Q193</formula>
    </cfRule>
  </conditionalFormatting>
  <conditionalFormatting sqref="M412">
    <cfRule type="cellIs" dxfId="306" priority="4061" operator="lessThan">
      <formula>#REF!</formula>
    </cfRule>
  </conditionalFormatting>
  <conditionalFormatting sqref="N3:N670">
    <cfRule type="containsText" dxfId="305" priority="28" operator="containsText" text="ORDER NOW">
      <formula>NOT(ISERROR(SEARCH("ORDER NOW",N3)))</formula>
    </cfRule>
  </conditionalFormatting>
  <conditionalFormatting sqref="O3:O670">
    <cfRule type="containsText" dxfId="304" priority="27" operator="containsText" text="CRITICAL">
      <formula>NOT(ISERROR(SEARCH("CRITICAL",O3)))</formula>
    </cfRule>
  </conditionalFormatting>
  <conditionalFormatting sqref="S2">
    <cfRule type="duplicateValues" dxfId="303" priority="9"/>
    <cfRule type="duplicateValues" dxfId="302" priority="10"/>
    <cfRule type="duplicateValues" dxfId="301" priority="11"/>
    <cfRule type="duplicateValues" dxfId="300" priority="12"/>
    <cfRule type="duplicateValues" dxfId="299" priority="1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9E2F1-78F2-46B7-8A78-71FD7FB918AA}">
  <dimension ref="A1:Z507"/>
  <sheetViews>
    <sheetView tabSelected="1" zoomScale="85" zoomScaleNormal="85" workbookViewId="0">
      <pane xSplit="10" ySplit="1" topLeftCell="K2" activePane="bottomRight" state="frozen"/>
      <selection pane="topRight" activeCell="L1" sqref="L1"/>
      <selection pane="bottomLeft" activeCell="A3" sqref="A3"/>
      <selection pane="bottomRight" sqref="A1:XFD1"/>
    </sheetView>
  </sheetViews>
  <sheetFormatPr defaultRowHeight="15" x14ac:dyDescent="0.25"/>
  <cols>
    <col min="1" max="1" width="14.5703125" customWidth="1"/>
    <col min="2" max="2" width="78.140625" style="185" customWidth="1"/>
    <col min="3" max="3" width="96.140625" style="185" customWidth="1"/>
    <col min="4" max="9" width="12.7109375" customWidth="1"/>
    <col min="10" max="10" width="4.42578125" customWidth="1"/>
    <col min="11" max="11" width="21.85546875" style="13" bestFit="1" customWidth="1"/>
    <col min="12" max="12" width="21.85546875" style="13" hidden="1" customWidth="1"/>
    <col min="13" max="13" width="14.42578125" style="13" bestFit="1" customWidth="1"/>
    <col min="14" max="16" width="19.5703125" style="13" customWidth="1"/>
    <col min="17" max="19" width="21.85546875" style="13" customWidth="1"/>
    <col min="20" max="20" width="9.85546875" bestFit="1" customWidth="1"/>
    <col min="21" max="21" width="13.42578125" bestFit="1" customWidth="1"/>
    <col min="22" max="22" width="11.140625" bestFit="1" customWidth="1"/>
    <col min="23" max="23" width="73.140625" bestFit="1" customWidth="1"/>
    <col min="24" max="25" width="26.7109375" bestFit="1" customWidth="1"/>
  </cols>
  <sheetData>
    <row r="1" spans="1:25" ht="30" customHeight="1" x14ac:dyDescent="0.25">
      <c r="A1" s="165" t="s">
        <v>3</v>
      </c>
      <c r="B1" s="166" t="s">
        <v>1652</v>
      </c>
      <c r="C1" s="166" t="s">
        <v>4</v>
      </c>
      <c r="D1" s="167" t="s">
        <v>1653</v>
      </c>
      <c r="E1" s="167" t="s">
        <v>1654</v>
      </c>
      <c r="F1" s="167" t="s">
        <v>1655</v>
      </c>
      <c r="G1" s="167" t="s">
        <v>1656</v>
      </c>
      <c r="H1" s="167" t="s">
        <v>1657</v>
      </c>
      <c r="I1" s="167" t="s">
        <v>1658</v>
      </c>
      <c r="J1" s="167" t="s">
        <v>1659</v>
      </c>
      <c r="K1" s="168" t="s">
        <v>0</v>
      </c>
      <c r="L1" s="168"/>
      <c r="M1" s="169" t="s">
        <v>1660</v>
      </c>
      <c r="N1" s="170" t="s">
        <v>1661</v>
      </c>
      <c r="O1" s="170" t="s">
        <v>14</v>
      </c>
      <c r="P1" s="170" t="s">
        <v>15</v>
      </c>
      <c r="Q1" s="168" t="s">
        <v>1662</v>
      </c>
      <c r="R1" s="168" t="s">
        <v>1663</v>
      </c>
      <c r="S1" s="168" t="s">
        <v>1664</v>
      </c>
      <c r="T1" s="165" t="s">
        <v>10</v>
      </c>
      <c r="U1" s="165" t="s">
        <v>1665</v>
      </c>
      <c r="V1" s="165" t="s">
        <v>1666</v>
      </c>
      <c r="W1" s="165" t="s">
        <v>1636</v>
      </c>
      <c r="X1" s="165" t="s">
        <v>1667</v>
      </c>
      <c r="Y1" s="165" t="s">
        <v>1668</v>
      </c>
    </row>
    <row r="2" spans="1:25" x14ac:dyDescent="0.25">
      <c r="A2" s="36" t="s">
        <v>1306</v>
      </c>
      <c r="B2" s="171" t="s">
        <v>1307</v>
      </c>
      <c r="C2" s="171" t="s">
        <v>1307</v>
      </c>
      <c r="D2" s="172" t="s">
        <v>5062</v>
      </c>
      <c r="E2" s="172" t="s">
        <v>1631</v>
      </c>
      <c r="F2" s="172" t="s">
        <v>1631</v>
      </c>
      <c r="G2" s="172" t="s">
        <v>1631</v>
      </c>
      <c r="H2" s="172" t="s">
        <v>1631</v>
      </c>
      <c r="I2" s="172" t="s">
        <v>1631</v>
      </c>
      <c r="J2" s="36">
        <v>1</v>
      </c>
      <c r="K2" s="58">
        <v>1600000</v>
      </c>
      <c r="L2" s="58"/>
      <c r="M2" s="22">
        <f>IFERROR((VLOOKUP(A2,'Current Stocks July-26'!$B:$K,10,0)),0)</f>
        <v>80000</v>
      </c>
      <c r="N2" s="22">
        <f t="shared" ref="N2:N65" si="0">IFERROR((M2/K2*30),0)</f>
        <v>1.5</v>
      </c>
      <c r="O2" s="22" t="str">
        <f t="shared" ref="O2:O65" si="1">IF(N2&lt;T2,"ORDER NOW","IN STOCK")</f>
        <v>ORDER NOW</v>
      </c>
      <c r="P2" s="22" t="str">
        <f t="shared" ref="P2:P65" si="2">IF(N2&lt;T2,"CRITICAL","FOLLOW UP DELIVERY")</f>
        <v>CRITICAL</v>
      </c>
      <c r="Q2" s="58">
        <f t="shared" ref="Q2:Q65" si="3">K2*((T2+3)/30)</f>
        <v>5760000</v>
      </c>
      <c r="R2" s="58">
        <f t="shared" ref="R2:R65" si="4">Q2+K2</f>
        <v>7360000</v>
      </c>
      <c r="S2" s="58">
        <f t="shared" ref="S2:S65" si="5">MAX((K2+Q2)-M2,0)</f>
        <v>7280000</v>
      </c>
      <c r="T2" s="5">
        <v>105</v>
      </c>
      <c r="U2" s="5" t="s">
        <v>1669</v>
      </c>
      <c r="V2" s="173">
        <f>VLOOKUP(A2,'[1]Final-Short'!$B:$AE,29,0)</f>
        <v>1.47E-2</v>
      </c>
      <c r="W2" s="171" t="str">
        <f>VLOOKUP(A2,'[1]Final-Short'!$B:$AE,30,0)</f>
        <v>GUANGZHOU MAIBAO PACKAGE CO. LTD</v>
      </c>
      <c r="X2" s="58">
        <f t="shared" ref="X2:X65" si="6">S2*V2</f>
        <v>107016</v>
      </c>
      <c r="Y2" s="58">
        <f t="shared" ref="Y2:Y65" si="7">K2*V2</f>
        <v>23520</v>
      </c>
    </row>
    <row r="3" spans="1:25" x14ac:dyDescent="0.25">
      <c r="A3" s="36" t="s">
        <v>833</v>
      </c>
      <c r="B3" s="171" t="s">
        <v>834</v>
      </c>
      <c r="C3" s="171" t="s">
        <v>834</v>
      </c>
      <c r="D3" s="172" t="s">
        <v>5062</v>
      </c>
      <c r="E3" s="172" t="s">
        <v>1631</v>
      </c>
      <c r="F3" s="172" t="s">
        <v>1631</v>
      </c>
      <c r="G3" s="172" t="s">
        <v>1631</v>
      </c>
      <c r="H3" s="172" t="s">
        <v>1631</v>
      </c>
      <c r="I3" s="172" t="s">
        <v>1631</v>
      </c>
      <c r="J3" s="36">
        <v>1</v>
      </c>
      <c r="K3" s="58">
        <v>1000000</v>
      </c>
      <c r="L3" s="58"/>
      <c r="M3" s="22">
        <f>IFERROR((VLOOKUP(A3,'Current Stocks July-26'!$B:$K,10,0)),0)</f>
        <v>186000</v>
      </c>
      <c r="N3" s="22">
        <f t="shared" si="0"/>
        <v>5.58</v>
      </c>
      <c r="O3" s="22" t="str">
        <f t="shared" si="1"/>
        <v>ORDER NOW</v>
      </c>
      <c r="P3" s="22" t="str">
        <f t="shared" si="2"/>
        <v>CRITICAL</v>
      </c>
      <c r="Q3" s="58">
        <f t="shared" si="3"/>
        <v>566666.66666666663</v>
      </c>
      <c r="R3" s="58">
        <f t="shared" si="4"/>
        <v>1566666.6666666665</v>
      </c>
      <c r="S3" s="58">
        <f t="shared" si="5"/>
        <v>1380666.6666666665</v>
      </c>
      <c r="T3" s="5">
        <v>14</v>
      </c>
      <c r="U3" s="5" t="s">
        <v>1669</v>
      </c>
      <c r="V3" s="173">
        <f>VLOOKUP(A3,'[1]Final-Short'!$B:$AE,29,0)</f>
        <v>7.0000000000000007E-2</v>
      </c>
      <c r="W3" s="171" t="str">
        <f>VLOOKUP(A3,'[1]Final-Short'!$B:$AE,30,0)</f>
        <v>شركة اركان الاندلس للتجارة</v>
      </c>
      <c r="X3" s="58">
        <f t="shared" si="6"/>
        <v>96646.666666666672</v>
      </c>
      <c r="Y3" s="58">
        <f t="shared" si="7"/>
        <v>70000</v>
      </c>
    </row>
    <row r="4" spans="1:25" x14ac:dyDescent="0.25">
      <c r="A4" s="36" t="s">
        <v>900</v>
      </c>
      <c r="B4" s="171" t="s">
        <v>901</v>
      </c>
      <c r="C4" s="174" t="s">
        <v>901</v>
      </c>
      <c r="D4" s="172" t="s">
        <v>5062</v>
      </c>
      <c r="E4" s="172" t="s">
        <v>1631</v>
      </c>
      <c r="F4" s="172" t="s">
        <v>1631</v>
      </c>
      <c r="G4" s="172" t="s">
        <v>5062</v>
      </c>
      <c r="H4" s="172" t="s">
        <v>1631</v>
      </c>
      <c r="I4" s="172" t="s">
        <v>1631</v>
      </c>
      <c r="J4" s="36">
        <v>2</v>
      </c>
      <c r="K4" s="58">
        <v>250000</v>
      </c>
      <c r="L4" s="58"/>
      <c r="M4" s="22">
        <f>IFERROR((VLOOKUP(A4,'Current Stocks July-26'!$B:$K,10,0)),0)</f>
        <v>217000</v>
      </c>
      <c r="N4" s="22">
        <f t="shared" si="0"/>
        <v>26.04</v>
      </c>
      <c r="O4" s="22" t="str">
        <f t="shared" si="1"/>
        <v>IN STOCK</v>
      </c>
      <c r="P4" s="22" t="str">
        <f t="shared" si="2"/>
        <v>FOLLOW UP DELIVERY</v>
      </c>
      <c r="Q4" s="58">
        <f t="shared" si="3"/>
        <v>141666.66666666666</v>
      </c>
      <c r="R4" s="58">
        <f t="shared" si="4"/>
        <v>391666.66666666663</v>
      </c>
      <c r="S4" s="58">
        <f t="shared" si="5"/>
        <v>174666.66666666663</v>
      </c>
      <c r="T4" s="5">
        <v>14</v>
      </c>
      <c r="U4" s="5" t="s">
        <v>1669</v>
      </c>
      <c r="V4" s="173">
        <f>VLOOKUP(A4,'[1]Final-Short'!$B:$AE,29,0)</f>
        <v>0.02</v>
      </c>
      <c r="W4" s="171" t="str">
        <f>VLOOKUP(A4,'[1]Final-Short'!$B:$AE,30,0)</f>
        <v xml:space="preserve">Xiamen Twinwin Packing Products Co. Ltd </v>
      </c>
      <c r="X4" s="58">
        <f t="shared" si="6"/>
        <v>3493.3333333333326</v>
      </c>
      <c r="Y4" s="58">
        <f t="shared" si="7"/>
        <v>5000</v>
      </c>
    </row>
    <row r="5" spans="1:25" x14ac:dyDescent="0.25">
      <c r="A5" s="36" t="s">
        <v>997</v>
      </c>
      <c r="B5" s="171" t="s">
        <v>998</v>
      </c>
      <c r="C5" s="171" t="s">
        <v>998</v>
      </c>
      <c r="D5" s="172" t="s">
        <v>5062</v>
      </c>
      <c r="E5" s="172" t="s">
        <v>5062</v>
      </c>
      <c r="F5" s="172" t="s">
        <v>1631</v>
      </c>
      <c r="G5" s="172" t="s">
        <v>1631</v>
      </c>
      <c r="H5" s="172" t="s">
        <v>1631</v>
      </c>
      <c r="I5" s="172" t="s">
        <v>1631</v>
      </c>
      <c r="J5" s="36">
        <v>2</v>
      </c>
      <c r="K5" s="58">
        <v>70000</v>
      </c>
      <c r="L5" s="58"/>
      <c r="M5" s="22">
        <f>IFERROR((VLOOKUP(A5,'Current Stocks July-26'!$B:$K,10,0)),0)</f>
        <v>247250</v>
      </c>
      <c r="N5" s="22">
        <f t="shared" si="0"/>
        <v>105.96428571428571</v>
      </c>
      <c r="O5" s="22" t="str">
        <f t="shared" si="1"/>
        <v>IN STOCK</v>
      </c>
      <c r="P5" s="22" t="str">
        <f t="shared" si="2"/>
        <v>FOLLOW UP DELIVERY</v>
      </c>
      <c r="Q5" s="58">
        <f t="shared" si="3"/>
        <v>23333.333333333332</v>
      </c>
      <c r="R5" s="58">
        <f t="shared" si="4"/>
        <v>93333.333333333328</v>
      </c>
      <c r="S5" s="58">
        <f t="shared" si="5"/>
        <v>0</v>
      </c>
      <c r="T5" s="5">
        <v>7</v>
      </c>
      <c r="U5" s="5" t="s">
        <v>1669</v>
      </c>
      <c r="V5" s="173">
        <f>VLOOKUP(A5,'[1]Final-Short'!$B:$AE,29,0)</f>
        <v>0.23200000000000001</v>
      </c>
      <c r="W5" s="171" t="str">
        <f>VLOOKUP(A5,'[1]Final-Short'!$B:$AE,30,0)</f>
        <v xml:space="preserve">نابكو </v>
      </c>
      <c r="X5" s="58">
        <f t="shared" si="6"/>
        <v>0</v>
      </c>
      <c r="Y5" s="58">
        <f t="shared" si="7"/>
        <v>16240</v>
      </c>
    </row>
    <row r="6" spans="1:25" x14ac:dyDescent="0.25">
      <c r="A6" s="36" t="s">
        <v>891</v>
      </c>
      <c r="B6" s="171" t="s">
        <v>892</v>
      </c>
      <c r="C6" s="171" t="s">
        <v>892</v>
      </c>
      <c r="D6" s="172" t="s">
        <v>5062</v>
      </c>
      <c r="E6" s="172" t="s">
        <v>5062</v>
      </c>
      <c r="F6" s="172" t="s">
        <v>1631</v>
      </c>
      <c r="G6" s="172" t="s">
        <v>1631</v>
      </c>
      <c r="H6" s="172" t="s">
        <v>1631</v>
      </c>
      <c r="I6" s="172" t="s">
        <v>1631</v>
      </c>
      <c r="J6" s="36">
        <v>2</v>
      </c>
      <c r="K6" s="58">
        <v>220000</v>
      </c>
      <c r="L6" s="58"/>
      <c r="M6" s="22">
        <f>IFERROR((VLOOKUP(A6,'Current Stocks July-26'!$B:$K,10,0)),0)</f>
        <v>110200</v>
      </c>
      <c r="N6" s="22">
        <f t="shared" si="0"/>
        <v>15.027272727272726</v>
      </c>
      <c r="O6" s="22" t="str">
        <f t="shared" si="1"/>
        <v>IN STOCK</v>
      </c>
      <c r="P6" s="22" t="str">
        <f t="shared" si="2"/>
        <v>FOLLOW UP DELIVERY</v>
      </c>
      <c r="Q6" s="58">
        <f t="shared" si="3"/>
        <v>73333.333333333328</v>
      </c>
      <c r="R6" s="58">
        <f t="shared" si="4"/>
        <v>293333.33333333331</v>
      </c>
      <c r="S6" s="58">
        <f t="shared" si="5"/>
        <v>183133.33333333331</v>
      </c>
      <c r="T6" s="5">
        <v>7</v>
      </c>
      <c r="U6" s="5" t="s">
        <v>1669</v>
      </c>
      <c r="V6" s="173">
        <f>VLOOKUP(A6,'[1]Final-Short'!$B:$AE,29,0)</f>
        <v>0.11600000000000001</v>
      </c>
      <c r="W6" s="171" t="str">
        <f>VLOOKUP(A6,'[1]Final-Short'!$B:$AE,30,0)</f>
        <v xml:space="preserve">نابكو </v>
      </c>
      <c r="X6" s="58">
        <f t="shared" si="6"/>
        <v>21243.466666666667</v>
      </c>
      <c r="Y6" s="58">
        <f t="shared" si="7"/>
        <v>25520</v>
      </c>
    </row>
    <row r="7" spans="1:25" x14ac:dyDescent="0.25">
      <c r="A7" s="36" t="s">
        <v>1240</v>
      </c>
      <c r="B7" s="171" t="s">
        <v>1241</v>
      </c>
      <c r="C7" s="171" t="s">
        <v>1670</v>
      </c>
      <c r="D7" s="172" t="s">
        <v>5062</v>
      </c>
      <c r="E7" s="172" t="s">
        <v>1631</v>
      </c>
      <c r="F7" s="172" t="s">
        <v>1631</v>
      </c>
      <c r="G7" s="172" t="s">
        <v>1631</v>
      </c>
      <c r="H7" s="172" t="s">
        <v>1631</v>
      </c>
      <c r="I7" s="172" t="s">
        <v>1631</v>
      </c>
      <c r="J7" s="36">
        <v>1</v>
      </c>
      <c r="K7" s="58">
        <v>270000</v>
      </c>
      <c r="L7" s="58"/>
      <c r="M7" s="22">
        <f>IFERROR((VLOOKUP(A7,'Current Stocks July-26'!$B:$K,10,0)),0)</f>
        <v>173900</v>
      </c>
      <c r="N7" s="22">
        <f t="shared" si="0"/>
        <v>19.322222222222219</v>
      </c>
      <c r="O7" s="22" t="str">
        <f t="shared" si="1"/>
        <v>ORDER NOW</v>
      </c>
      <c r="P7" s="22" t="str">
        <f t="shared" si="2"/>
        <v>CRITICAL</v>
      </c>
      <c r="Q7" s="58">
        <f t="shared" si="3"/>
        <v>972000</v>
      </c>
      <c r="R7" s="58">
        <f t="shared" si="4"/>
        <v>1242000</v>
      </c>
      <c r="S7" s="58">
        <f t="shared" si="5"/>
        <v>1068100</v>
      </c>
      <c r="T7" s="5">
        <v>105</v>
      </c>
      <c r="U7" s="5" t="s">
        <v>1669</v>
      </c>
      <c r="V7" s="173">
        <f>VLOOKUP(A7,'[1]Final-Short'!$B:$AE,29,0)</f>
        <v>0.32</v>
      </c>
      <c r="W7" s="171" t="str">
        <f>VLOOKUP(A7,'[1]Final-Short'!$B:$AE,30,0)</f>
        <v>Alpha Pack Packaging Company شركة ألفا باك للتغليف</v>
      </c>
      <c r="X7" s="58">
        <f t="shared" si="6"/>
        <v>341792</v>
      </c>
      <c r="Y7" s="58">
        <f t="shared" si="7"/>
        <v>86400</v>
      </c>
    </row>
    <row r="8" spans="1:25" x14ac:dyDescent="0.25">
      <c r="A8" s="36" t="s">
        <v>1671</v>
      </c>
      <c r="B8" s="171" t="s">
        <v>1672</v>
      </c>
      <c r="C8" s="171" t="s">
        <v>1672</v>
      </c>
      <c r="D8" s="172" t="s">
        <v>5062</v>
      </c>
      <c r="E8" s="172" t="s">
        <v>1631</v>
      </c>
      <c r="F8" s="172" t="s">
        <v>1631</v>
      </c>
      <c r="G8" s="172" t="s">
        <v>1631</v>
      </c>
      <c r="H8" s="172" t="s">
        <v>1631</v>
      </c>
      <c r="I8" s="172" t="s">
        <v>1631</v>
      </c>
      <c r="J8" s="36">
        <v>1</v>
      </c>
      <c r="K8" s="58">
        <v>270000</v>
      </c>
      <c r="L8" s="58"/>
      <c r="M8" s="22">
        <f>IFERROR((VLOOKUP(A8,'Current Stocks July-26'!$B:$K,10,0)),0)</f>
        <v>0</v>
      </c>
      <c r="N8" s="22">
        <f t="shared" si="0"/>
        <v>0</v>
      </c>
      <c r="O8" s="22" t="str">
        <f t="shared" si="1"/>
        <v>ORDER NOW</v>
      </c>
      <c r="P8" s="22" t="str">
        <f t="shared" si="2"/>
        <v>CRITICAL</v>
      </c>
      <c r="Q8" s="58">
        <f t="shared" si="3"/>
        <v>972000</v>
      </c>
      <c r="R8" s="58">
        <f t="shared" si="4"/>
        <v>1242000</v>
      </c>
      <c r="S8" s="58">
        <f t="shared" si="5"/>
        <v>1242000</v>
      </c>
      <c r="T8" s="5">
        <v>105</v>
      </c>
      <c r="U8" s="5" t="s">
        <v>1669</v>
      </c>
      <c r="V8" s="173">
        <f>VLOOKUP(A8,'[1]Final-Short'!$B:$AE,29,0)</f>
        <v>0.35</v>
      </c>
      <c r="W8" s="171" t="str">
        <f>VLOOKUP(A8,'[1]Final-Short'!$B:$AE,30,0)</f>
        <v>Alpha Pack Packaging Company شركة ألفا باك للتغليف</v>
      </c>
      <c r="X8" s="58">
        <f t="shared" si="6"/>
        <v>434700</v>
      </c>
      <c r="Y8" s="58">
        <f t="shared" si="7"/>
        <v>94500</v>
      </c>
    </row>
    <row r="9" spans="1:25" x14ac:dyDescent="0.25">
      <c r="A9" s="36" t="s">
        <v>1263</v>
      </c>
      <c r="B9" s="171" t="s">
        <v>1264</v>
      </c>
      <c r="C9" s="171" t="s">
        <v>1264</v>
      </c>
      <c r="D9" s="172" t="s">
        <v>5062</v>
      </c>
      <c r="E9" s="172" t="s">
        <v>1631</v>
      </c>
      <c r="F9" s="172" t="s">
        <v>1631</v>
      </c>
      <c r="G9" s="172" t="s">
        <v>1631</v>
      </c>
      <c r="H9" s="172" t="s">
        <v>1631</v>
      </c>
      <c r="I9" s="172" t="s">
        <v>1631</v>
      </c>
      <c r="J9" s="36">
        <v>1</v>
      </c>
      <c r="K9" s="58">
        <v>190000</v>
      </c>
      <c r="L9" s="58"/>
      <c r="M9" s="22">
        <f>IFERROR((VLOOKUP(A9,'Current Stocks July-26'!$B:$K,10,0)),0)</f>
        <v>252500</v>
      </c>
      <c r="N9" s="22">
        <f t="shared" si="0"/>
        <v>39.868421052631582</v>
      </c>
      <c r="O9" s="22" t="str">
        <f t="shared" si="1"/>
        <v>ORDER NOW</v>
      </c>
      <c r="P9" s="22" t="str">
        <f t="shared" si="2"/>
        <v>CRITICAL</v>
      </c>
      <c r="Q9" s="58">
        <f t="shared" si="3"/>
        <v>589000</v>
      </c>
      <c r="R9" s="58">
        <f t="shared" si="4"/>
        <v>779000</v>
      </c>
      <c r="S9" s="58">
        <f t="shared" si="5"/>
        <v>526500</v>
      </c>
      <c r="T9" s="5">
        <v>90</v>
      </c>
      <c r="U9" s="5" t="s">
        <v>1669</v>
      </c>
      <c r="V9" s="173">
        <f>VLOOKUP(A9,'[1]Final-Short'!$B:$AE,29,0)</f>
        <v>0.16</v>
      </c>
      <c r="W9" s="171" t="str">
        <f>VLOOKUP(A9,'[1]Final-Short'!$B:$AE,30,0)</f>
        <v>GUANGZHOU MAIBAO PACKAGE CO. LTD</v>
      </c>
      <c r="X9" s="58">
        <f t="shared" si="6"/>
        <v>84240</v>
      </c>
      <c r="Y9" s="58">
        <f t="shared" si="7"/>
        <v>30400</v>
      </c>
    </row>
    <row r="10" spans="1:25" x14ac:dyDescent="0.25">
      <c r="A10" s="36" t="s">
        <v>143</v>
      </c>
      <c r="B10" s="171" t="s">
        <v>144</v>
      </c>
      <c r="C10" s="171" t="s">
        <v>144</v>
      </c>
      <c r="D10" s="172" t="s">
        <v>5062</v>
      </c>
      <c r="E10" s="172" t="s">
        <v>1631</v>
      </c>
      <c r="F10" s="172" t="s">
        <v>1631</v>
      </c>
      <c r="G10" s="172" t="s">
        <v>1631</v>
      </c>
      <c r="H10" s="172" t="s">
        <v>1631</v>
      </c>
      <c r="I10" s="172" t="s">
        <v>1631</v>
      </c>
      <c r="J10" s="36">
        <v>1</v>
      </c>
      <c r="K10" s="175">
        <v>60000</v>
      </c>
      <c r="L10" s="175"/>
      <c r="M10" s="22">
        <f>IFERROR((VLOOKUP(A10,'Current Stocks July-26'!$B:$K,10,0)),0)</f>
        <v>28550</v>
      </c>
      <c r="N10" s="22">
        <f t="shared" si="0"/>
        <v>14.275</v>
      </c>
      <c r="O10" s="22" t="str">
        <f t="shared" si="1"/>
        <v>ORDER NOW</v>
      </c>
      <c r="P10" s="22" t="str">
        <f t="shared" si="2"/>
        <v>CRITICAL</v>
      </c>
      <c r="Q10" s="58">
        <f t="shared" si="3"/>
        <v>186000</v>
      </c>
      <c r="R10" s="58">
        <f t="shared" si="4"/>
        <v>246000</v>
      </c>
      <c r="S10" s="58">
        <f t="shared" si="5"/>
        <v>217450</v>
      </c>
      <c r="T10" s="5">
        <v>90</v>
      </c>
      <c r="U10" s="5" t="s">
        <v>1669</v>
      </c>
      <c r="V10" s="173">
        <f>VLOOKUP(A10,'[1]Final-Short'!$B:$AE,29,0)</f>
        <v>0.34</v>
      </c>
      <c r="W10" s="171" t="str">
        <f>VLOOKUP(A10,'[1]Final-Short'!$B:$AE,30,0)</f>
        <v>Alpha Pack Packaging Company شركة ألفا باك للتغليف</v>
      </c>
      <c r="X10" s="58">
        <f t="shared" si="6"/>
        <v>73933</v>
      </c>
      <c r="Y10" s="58">
        <f t="shared" si="7"/>
        <v>20400</v>
      </c>
    </row>
    <row r="11" spans="1:25" x14ac:dyDescent="0.25">
      <c r="A11" s="36" t="s">
        <v>802</v>
      </c>
      <c r="B11" s="171" t="s">
        <v>803</v>
      </c>
      <c r="C11" s="171" t="s">
        <v>803</v>
      </c>
      <c r="D11" s="172" t="s">
        <v>5062</v>
      </c>
      <c r="E11" s="172" t="s">
        <v>1631</v>
      </c>
      <c r="F11" s="172" t="s">
        <v>1631</v>
      </c>
      <c r="G11" s="172" t="s">
        <v>1631</v>
      </c>
      <c r="H11" s="172" t="s">
        <v>1631</v>
      </c>
      <c r="I11" s="172" t="s">
        <v>1631</v>
      </c>
      <c r="J11" s="36">
        <v>1</v>
      </c>
      <c r="K11" s="58">
        <v>160000</v>
      </c>
      <c r="L11" s="58"/>
      <c r="M11" s="22">
        <f>IFERROR((VLOOKUP(A11,'Current Stocks July-26'!$B:$K,10,0)),0)</f>
        <v>72650</v>
      </c>
      <c r="N11" s="22">
        <f t="shared" si="0"/>
        <v>13.621874999999999</v>
      </c>
      <c r="O11" s="22" t="str">
        <f t="shared" si="1"/>
        <v>ORDER NOW</v>
      </c>
      <c r="P11" s="22" t="str">
        <f t="shared" si="2"/>
        <v>CRITICAL</v>
      </c>
      <c r="Q11" s="58">
        <f t="shared" si="3"/>
        <v>122666.66666666667</v>
      </c>
      <c r="R11" s="58">
        <f t="shared" si="4"/>
        <v>282666.66666666669</v>
      </c>
      <c r="S11" s="58">
        <f t="shared" si="5"/>
        <v>210016.66666666669</v>
      </c>
      <c r="T11" s="5">
        <v>20</v>
      </c>
      <c r="U11" s="5" t="s">
        <v>1669</v>
      </c>
      <c r="V11" s="173">
        <f>VLOOKUP(A11,'[1]Final-Short'!$B:$AE,29,0)</f>
        <v>0.23300000000000001</v>
      </c>
      <c r="W11" s="171" t="str">
        <f>VLOOKUP(A11,'[1]Final-Short'!$B:$AE,30,0)</f>
        <v>Riyadh Green Plastic Factory مصنع الرياض الاخضر للبلاستيك</v>
      </c>
      <c r="X11" s="58">
        <f t="shared" si="6"/>
        <v>48933.883333333339</v>
      </c>
      <c r="Y11" s="58">
        <f t="shared" si="7"/>
        <v>37280</v>
      </c>
    </row>
    <row r="12" spans="1:25" x14ac:dyDescent="0.25">
      <c r="A12" s="36" t="s">
        <v>1205</v>
      </c>
      <c r="B12" s="171" t="s">
        <v>1206</v>
      </c>
      <c r="C12" s="174" t="s">
        <v>1206</v>
      </c>
      <c r="D12" s="172" t="s">
        <v>5062</v>
      </c>
      <c r="E12" s="172" t="s">
        <v>1631</v>
      </c>
      <c r="F12" s="172" t="s">
        <v>1631</v>
      </c>
      <c r="G12" s="172" t="s">
        <v>1631</v>
      </c>
      <c r="H12" s="172" t="s">
        <v>1631</v>
      </c>
      <c r="I12" s="172" t="s">
        <v>1631</v>
      </c>
      <c r="J12" s="36">
        <v>1</v>
      </c>
      <c r="K12" s="176">
        <v>63000</v>
      </c>
      <c r="L12" s="176"/>
      <c r="M12" s="22">
        <f>IFERROR((VLOOKUP(A12,'Current Stocks July-26'!$B:$K,10,0)),0)</f>
        <v>9250</v>
      </c>
      <c r="N12" s="22">
        <f t="shared" si="0"/>
        <v>4.4047619047619051</v>
      </c>
      <c r="O12" s="22" t="str">
        <f t="shared" si="1"/>
        <v>ORDER NOW</v>
      </c>
      <c r="P12" s="22" t="str">
        <f t="shared" si="2"/>
        <v>CRITICAL</v>
      </c>
      <c r="Q12" s="58">
        <f t="shared" si="3"/>
        <v>48300</v>
      </c>
      <c r="R12" s="58">
        <f t="shared" si="4"/>
        <v>111300</v>
      </c>
      <c r="S12" s="58">
        <f t="shared" si="5"/>
        <v>102050</v>
      </c>
      <c r="T12" s="5">
        <v>20</v>
      </c>
      <c r="U12" s="5" t="s">
        <v>1669</v>
      </c>
      <c r="V12" s="173">
        <f>VLOOKUP(A12,'[1]Final-Short'!$B:$AE,29,0)</f>
        <v>0.31</v>
      </c>
      <c r="W12" s="171" t="str">
        <f>VLOOKUP(A12,'[1]Final-Short'!$B:$AE,30,0)</f>
        <v>Riyadh Green Plastic Factory مصنع الرياض الاخضر للبلاستيك</v>
      </c>
      <c r="X12" s="58">
        <f t="shared" si="6"/>
        <v>31635.5</v>
      </c>
      <c r="Y12" s="58">
        <f t="shared" si="7"/>
        <v>19530</v>
      </c>
    </row>
    <row r="13" spans="1:25" x14ac:dyDescent="0.25">
      <c r="A13" s="36" t="s">
        <v>953</v>
      </c>
      <c r="B13" s="171" t="s">
        <v>954</v>
      </c>
      <c r="C13" s="174" t="s">
        <v>954</v>
      </c>
      <c r="D13" s="172" t="s">
        <v>5062</v>
      </c>
      <c r="E13" s="172" t="s">
        <v>1631</v>
      </c>
      <c r="F13" s="172" t="s">
        <v>1631</v>
      </c>
      <c r="G13" s="172" t="s">
        <v>1631</v>
      </c>
      <c r="H13" s="172" t="s">
        <v>1631</v>
      </c>
      <c r="I13" s="172" t="s">
        <v>1631</v>
      </c>
      <c r="J13" s="36">
        <v>1</v>
      </c>
      <c r="K13" s="58">
        <v>250000</v>
      </c>
      <c r="L13" s="58"/>
      <c r="M13" s="22">
        <f>IFERROR((VLOOKUP(A13,'Current Stocks July-26'!$B:$K,10,0)),0)</f>
        <v>56550</v>
      </c>
      <c r="N13" s="22">
        <f t="shared" si="0"/>
        <v>6.7860000000000005</v>
      </c>
      <c r="O13" s="22" t="str">
        <f t="shared" si="1"/>
        <v>ORDER NOW</v>
      </c>
      <c r="P13" s="22" t="str">
        <f t="shared" si="2"/>
        <v>CRITICAL</v>
      </c>
      <c r="Q13" s="58">
        <f t="shared" si="3"/>
        <v>191666.66666666669</v>
      </c>
      <c r="R13" s="58">
        <f t="shared" si="4"/>
        <v>441666.66666666669</v>
      </c>
      <c r="S13" s="58">
        <f t="shared" si="5"/>
        <v>385116.66666666669</v>
      </c>
      <c r="T13" s="5">
        <v>20</v>
      </c>
      <c r="U13" s="5" t="s">
        <v>1669</v>
      </c>
      <c r="V13" s="173">
        <f>VLOOKUP(A13,'[1]Final-Short'!$B:$AE,29,0)</f>
        <v>0.14499999999999999</v>
      </c>
      <c r="W13" s="171" t="str">
        <f>VLOOKUP(A13,'[1]Final-Short'!$B:$AE,30,0)</f>
        <v>Riyadh Green Plastic Factory مصنع الرياض الاخضر للبلاستيك</v>
      </c>
      <c r="X13" s="58">
        <f t="shared" si="6"/>
        <v>55841.916666666664</v>
      </c>
      <c r="Y13" s="58">
        <f t="shared" si="7"/>
        <v>36250</v>
      </c>
    </row>
    <row r="14" spans="1:25" x14ac:dyDescent="0.25">
      <c r="A14" s="36" t="s">
        <v>1450</v>
      </c>
      <c r="B14" s="171" t="s">
        <v>1451</v>
      </c>
      <c r="C14" s="174" t="s">
        <v>1451</v>
      </c>
      <c r="D14" s="172" t="s">
        <v>5062</v>
      </c>
      <c r="E14" s="172" t="s">
        <v>1631</v>
      </c>
      <c r="F14" s="172" t="s">
        <v>1631</v>
      </c>
      <c r="G14" s="172" t="s">
        <v>1631</v>
      </c>
      <c r="H14" s="172" t="s">
        <v>1631</v>
      </c>
      <c r="I14" s="172" t="s">
        <v>1631</v>
      </c>
      <c r="J14" s="36">
        <v>1</v>
      </c>
      <c r="K14" s="58">
        <v>35000</v>
      </c>
      <c r="L14" s="58"/>
      <c r="M14" s="22">
        <f>IFERROR((VLOOKUP(A14,'Current Stocks July-26'!$B:$K,10,0)),0)</f>
        <v>0</v>
      </c>
      <c r="N14" s="22">
        <f t="shared" si="0"/>
        <v>0</v>
      </c>
      <c r="O14" s="22" t="str">
        <f t="shared" si="1"/>
        <v>ORDER NOW</v>
      </c>
      <c r="P14" s="22" t="str">
        <f t="shared" si="2"/>
        <v>CRITICAL</v>
      </c>
      <c r="Q14" s="58">
        <f t="shared" si="3"/>
        <v>26833.333333333336</v>
      </c>
      <c r="R14" s="58">
        <f t="shared" si="4"/>
        <v>61833.333333333336</v>
      </c>
      <c r="S14" s="58">
        <f t="shared" si="5"/>
        <v>61833.333333333336</v>
      </c>
      <c r="T14" s="5">
        <v>20</v>
      </c>
      <c r="U14" s="5" t="s">
        <v>1669</v>
      </c>
      <c r="V14" s="173">
        <f>VLOOKUP(A14,'[1]Final-Short'!$B:$AE,29,0)</f>
        <v>1.0578799999999999</v>
      </c>
      <c r="W14" s="171" t="str">
        <f>VLOOKUP(A14,'[1]Final-Short'!$B:$AE,30,0)</f>
        <v>GUANGZHOU MAIBAO PACKAGE CO. LTD</v>
      </c>
      <c r="X14" s="58">
        <f t="shared" si="6"/>
        <v>65412.246666666666</v>
      </c>
      <c r="Y14" s="58">
        <f t="shared" si="7"/>
        <v>37025.799999999996</v>
      </c>
    </row>
    <row r="15" spans="1:25" x14ac:dyDescent="0.25">
      <c r="A15" s="36" t="s">
        <v>1368</v>
      </c>
      <c r="B15" s="171" t="s">
        <v>1369</v>
      </c>
      <c r="C15" s="171" t="s">
        <v>1369</v>
      </c>
      <c r="D15" s="172" t="s">
        <v>5062</v>
      </c>
      <c r="E15" s="172" t="s">
        <v>1631</v>
      </c>
      <c r="F15" s="172" t="s">
        <v>1631</v>
      </c>
      <c r="G15" s="172" t="s">
        <v>1631</v>
      </c>
      <c r="H15" s="172" t="s">
        <v>1631</v>
      </c>
      <c r="I15" s="172" t="s">
        <v>1631</v>
      </c>
      <c r="J15" s="36">
        <v>1</v>
      </c>
      <c r="K15" s="58">
        <v>40000</v>
      </c>
      <c r="L15" s="58"/>
      <c r="M15" s="22">
        <f>IFERROR((VLOOKUP(A15,'Current Stocks July-26'!$B:$K,10,0)),0)</f>
        <v>82200</v>
      </c>
      <c r="N15" s="22">
        <f t="shared" si="0"/>
        <v>61.650000000000006</v>
      </c>
      <c r="O15" s="22" t="str">
        <f t="shared" si="1"/>
        <v>IN STOCK</v>
      </c>
      <c r="P15" s="22" t="str">
        <f t="shared" si="2"/>
        <v>FOLLOW UP DELIVERY</v>
      </c>
      <c r="Q15" s="58">
        <f t="shared" si="3"/>
        <v>30666.666666666668</v>
      </c>
      <c r="R15" s="58">
        <f t="shared" si="4"/>
        <v>70666.666666666672</v>
      </c>
      <c r="S15" s="58">
        <f t="shared" si="5"/>
        <v>0</v>
      </c>
      <c r="T15" s="5">
        <v>20</v>
      </c>
      <c r="U15" s="5" t="s">
        <v>1669</v>
      </c>
      <c r="V15" s="173">
        <f>VLOOKUP(A15,'[1]Final-Short'!$B:$AE,29,0)</f>
        <v>1.1499999999999999</v>
      </c>
      <c r="W15" s="171" t="str">
        <f>VLOOKUP(A15,'[1]Final-Short'!$B:$AE,30,0)</f>
        <v>شركة الماس باك للتغليف</v>
      </c>
      <c r="X15" s="58">
        <f t="shared" si="6"/>
        <v>0</v>
      </c>
      <c r="Y15" s="58">
        <f t="shared" si="7"/>
        <v>46000</v>
      </c>
    </row>
    <row r="16" spans="1:25" x14ac:dyDescent="0.25">
      <c r="A16" s="36" t="s">
        <v>1266</v>
      </c>
      <c r="B16" s="171" t="s">
        <v>1267</v>
      </c>
      <c r="C16" s="171" t="s">
        <v>1267</v>
      </c>
      <c r="D16" s="172" t="s">
        <v>5062</v>
      </c>
      <c r="E16" s="172" t="s">
        <v>5062</v>
      </c>
      <c r="F16" s="172" t="s">
        <v>1631</v>
      </c>
      <c r="G16" s="172" t="s">
        <v>1631</v>
      </c>
      <c r="H16" s="172" t="s">
        <v>1631</v>
      </c>
      <c r="I16" s="172" t="s">
        <v>1631</v>
      </c>
      <c r="J16" s="36">
        <v>2</v>
      </c>
      <c r="K16" s="58">
        <v>50000</v>
      </c>
      <c r="L16" s="58"/>
      <c r="M16" s="22">
        <f>IFERROR((VLOOKUP(A16,'Current Stocks July-26'!$B:$K,10,0)),0)</f>
        <v>110500</v>
      </c>
      <c r="N16" s="22">
        <f t="shared" si="0"/>
        <v>66.3</v>
      </c>
      <c r="O16" s="22" t="str">
        <f t="shared" si="1"/>
        <v>IN STOCK</v>
      </c>
      <c r="P16" s="22" t="str">
        <f t="shared" si="2"/>
        <v>FOLLOW UP DELIVERY</v>
      </c>
      <c r="Q16" s="58">
        <f t="shared" si="3"/>
        <v>38333.333333333336</v>
      </c>
      <c r="R16" s="58">
        <f t="shared" si="4"/>
        <v>88333.333333333343</v>
      </c>
      <c r="S16" s="58">
        <f t="shared" si="5"/>
        <v>0</v>
      </c>
      <c r="T16" s="5">
        <v>20</v>
      </c>
      <c r="U16" s="5" t="s">
        <v>1669</v>
      </c>
      <c r="V16" s="173">
        <f>VLOOKUP(A16,'[1]Final-Short'!$B:$AE,29,0)</f>
        <v>1</v>
      </c>
      <c r="W16" s="171" t="str">
        <f>VLOOKUP(A16,'[1]Final-Short'!$B:$AE,30,0)</f>
        <v>Alpha Pack Packaging Company شركة ألفا باك للتغليف</v>
      </c>
      <c r="X16" s="58">
        <f t="shared" si="6"/>
        <v>0</v>
      </c>
      <c r="Y16" s="58">
        <f t="shared" si="7"/>
        <v>50000</v>
      </c>
    </row>
    <row r="17" spans="1:26" x14ac:dyDescent="0.25">
      <c r="A17" s="36" t="s">
        <v>934</v>
      </c>
      <c r="B17" s="171" t="s">
        <v>1673</v>
      </c>
      <c r="C17" s="171" t="s">
        <v>1673</v>
      </c>
      <c r="D17" s="172" t="s">
        <v>5062</v>
      </c>
      <c r="E17" s="172" t="s">
        <v>5062</v>
      </c>
      <c r="F17" s="172" t="s">
        <v>1631</v>
      </c>
      <c r="G17" s="172" t="s">
        <v>5062</v>
      </c>
      <c r="H17" s="172" t="s">
        <v>1631</v>
      </c>
      <c r="I17" s="172" t="s">
        <v>1631</v>
      </c>
      <c r="J17" s="36">
        <v>3</v>
      </c>
      <c r="K17" s="58">
        <v>130000</v>
      </c>
      <c r="L17" s="58"/>
      <c r="M17" s="22">
        <f>IFERROR((VLOOKUP(A17,'Current Stocks July-26'!$B:$K,10,0)),0)</f>
        <v>561000</v>
      </c>
      <c r="N17" s="22">
        <f t="shared" si="0"/>
        <v>129.46153846153845</v>
      </c>
      <c r="O17" s="22" t="str">
        <f t="shared" si="1"/>
        <v>IN STOCK</v>
      </c>
      <c r="P17" s="22" t="str">
        <f t="shared" si="2"/>
        <v>FOLLOW UP DELIVERY</v>
      </c>
      <c r="Q17" s="58">
        <f t="shared" si="3"/>
        <v>43333.333333333328</v>
      </c>
      <c r="R17" s="58">
        <f t="shared" si="4"/>
        <v>173333.33333333331</v>
      </c>
      <c r="S17" s="58">
        <f t="shared" si="5"/>
        <v>0</v>
      </c>
      <c r="T17" s="5">
        <v>7</v>
      </c>
      <c r="U17" s="5" t="s">
        <v>30</v>
      </c>
      <c r="V17" s="173">
        <f>VLOOKUP(A17,'[1]Final-Short'!$B:$AE,29,0)</f>
        <v>0.04</v>
      </c>
      <c r="W17" s="171" t="str">
        <f>VLOOKUP(A17,'[1]Final-Short'!$B:$AE,30,0)</f>
        <v>مؤسسة دخيل دخيل الله الحمراني</v>
      </c>
      <c r="X17" s="58">
        <f t="shared" si="6"/>
        <v>0</v>
      </c>
      <c r="Y17" s="58">
        <f t="shared" si="7"/>
        <v>5200</v>
      </c>
    </row>
    <row r="18" spans="1:26" x14ac:dyDescent="0.25">
      <c r="A18" s="36" t="s">
        <v>1226</v>
      </c>
      <c r="B18" s="171" t="s">
        <v>1674</v>
      </c>
      <c r="C18" s="171" t="s">
        <v>1674</v>
      </c>
      <c r="D18" s="172" t="s">
        <v>5062</v>
      </c>
      <c r="E18" s="172" t="s">
        <v>1631</v>
      </c>
      <c r="F18" s="172" t="s">
        <v>1631</v>
      </c>
      <c r="G18" s="172" t="s">
        <v>5062</v>
      </c>
      <c r="H18" s="172" t="s">
        <v>1631</v>
      </c>
      <c r="I18" s="172" t="s">
        <v>1631</v>
      </c>
      <c r="J18" s="36">
        <v>2</v>
      </c>
      <c r="K18" s="58">
        <v>20000</v>
      </c>
      <c r="L18" s="58"/>
      <c r="M18" s="22">
        <f>IFERROR((VLOOKUP(A18,'Current Stocks July-26'!$B:$K,10,0)),0)</f>
        <v>641000</v>
      </c>
      <c r="N18" s="22">
        <f t="shared" si="0"/>
        <v>961.49999999999989</v>
      </c>
      <c r="O18" s="22" t="str">
        <f t="shared" si="1"/>
        <v>IN STOCK</v>
      </c>
      <c r="P18" s="22" t="str">
        <f t="shared" si="2"/>
        <v>FOLLOW UP DELIVERY</v>
      </c>
      <c r="Q18" s="58">
        <f t="shared" si="3"/>
        <v>6666.6666666666661</v>
      </c>
      <c r="R18" s="58">
        <f t="shared" si="4"/>
        <v>26666.666666666664</v>
      </c>
      <c r="S18" s="58">
        <f t="shared" si="5"/>
        <v>0</v>
      </c>
      <c r="T18" s="177">
        <v>7</v>
      </c>
      <c r="U18" s="177" t="s">
        <v>26</v>
      </c>
      <c r="V18" s="173">
        <f>VLOOKUP(A18,'[1]Final-Short'!$B:$AE,29,0)</f>
        <v>3.7499999999999999E-2</v>
      </c>
      <c r="W18" s="171" t="str">
        <f>VLOOKUP(A18,'[1]Final-Short'!$B:$AE,30,0)</f>
        <v>شركة بوابة المبدعون للتجارة</v>
      </c>
      <c r="X18" s="58">
        <f t="shared" si="6"/>
        <v>0</v>
      </c>
      <c r="Y18" s="58">
        <f t="shared" si="7"/>
        <v>750</v>
      </c>
    </row>
    <row r="19" spans="1:26" x14ac:dyDescent="0.25">
      <c r="A19" s="36" t="s">
        <v>90</v>
      </c>
      <c r="B19" s="171" t="s">
        <v>91</v>
      </c>
      <c r="C19" s="171" t="s">
        <v>1675</v>
      </c>
      <c r="D19" s="172" t="s">
        <v>5062</v>
      </c>
      <c r="E19" s="172" t="s">
        <v>5062</v>
      </c>
      <c r="F19" s="172" t="s">
        <v>1631</v>
      </c>
      <c r="G19" s="172" t="s">
        <v>1631</v>
      </c>
      <c r="H19" s="172" t="s">
        <v>1631</v>
      </c>
      <c r="I19" s="172" t="s">
        <v>1631</v>
      </c>
      <c r="J19" s="36">
        <v>2</v>
      </c>
      <c r="K19" s="58">
        <v>220000</v>
      </c>
      <c r="L19" s="58"/>
      <c r="M19" s="22">
        <f>IFERROR((VLOOKUP(A19,'Current Stocks July-26'!$B:$K,10,0)),0)</f>
        <v>322500</v>
      </c>
      <c r="N19" s="22">
        <f t="shared" si="0"/>
        <v>43.977272727272727</v>
      </c>
      <c r="O19" s="22" t="str">
        <f t="shared" si="1"/>
        <v>IN STOCK</v>
      </c>
      <c r="P19" s="22" t="str">
        <f t="shared" si="2"/>
        <v>FOLLOW UP DELIVERY</v>
      </c>
      <c r="Q19" s="58">
        <f t="shared" si="3"/>
        <v>73333.333333333328</v>
      </c>
      <c r="R19" s="58">
        <f t="shared" si="4"/>
        <v>293333.33333333331</v>
      </c>
      <c r="S19" s="58">
        <f t="shared" si="5"/>
        <v>0</v>
      </c>
      <c r="T19" s="5">
        <v>7</v>
      </c>
      <c r="U19" s="5" t="s">
        <v>30</v>
      </c>
      <c r="V19" s="173">
        <f>VLOOKUP(A19,'[1]Final-Short'!$B:$AE,29,0)</f>
        <v>0.1</v>
      </c>
      <c r="W19" s="171" t="str">
        <f>VLOOKUP(A19,'[1]Final-Short'!$B:$AE,30,0)</f>
        <v>Protea Trading Co. شركة بروتيا للتجارة</v>
      </c>
      <c r="X19" s="58">
        <f t="shared" si="6"/>
        <v>0</v>
      </c>
      <c r="Y19" s="58">
        <f t="shared" si="7"/>
        <v>22000</v>
      </c>
    </row>
    <row r="20" spans="1:26" x14ac:dyDescent="0.25">
      <c r="A20" s="36" t="s">
        <v>1101</v>
      </c>
      <c r="B20" s="171" t="s">
        <v>1102</v>
      </c>
      <c r="C20" s="171" t="s">
        <v>1676</v>
      </c>
      <c r="D20" s="172" t="s">
        <v>5062</v>
      </c>
      <c r="E20" s="172" t="s">
        <v>5062</v>
      </c>
      <c r="F20" s="172" t="s">
        <v>1631</v>
      </c>
      <c r="G20" s="172" t="s">
        <v>1631</v>
      </c>
      <c r="H20" s="172" t="s">
        <v>1631</v>
      </c>
      <c r="I20" s="172" t="s">
        <v>1631</v>
      </c>
      <c r="J20" s="36">
        <v>2</v>
      </c>
      <c r="K20" s="58">
        <v>30000</v>
      </c>
      <c r="L20" s="58"/>
      <c r="M20" s="22">
        <f>IFERROR((VLOOKUP(A20,'Current Stocks July-26'!$B:$K,10,0)),0)</f>
        <v>188500</v>
      </c>
      <c r="N20" s="22">
        <f t="shared" si="0"/>
        <v>188.5</v>
      </c>
      <c r="O20" s="22" t="str">
        <f t="shared" si="1"/>
        <v>IN STOCK</v>
      </c>
      <c r="P20" s="22" t="str">
        <f t="shared" si="2"/>
        <v>FOLLOW UP DELIVERY</v>
      </c>
      <c r="Q20" s="58">
        <f t="shared" si="3"/>
        <v>10000</v>
      </c>
      <c r="R20" s="58">
        <f t="shared" si="4"/>
        <v>40000</v>
      </c>
      <c r="S20" s="58">
        <f t="shared" si="5"/>
        <v>0</v>
      </c>
      <c r="T20" s="177">
        <v>7</v>
      </c>
      <c r="U20" s="177" t="s">
        <v>26</v>
      </c>
      <c r="V20" s="173">
        <f>VLOOKUP(A20,'[1]Final-Short'!$B:$AE,29,0)</f>
        <v>8.5000000000000006E-2</v>
      </c>
      <c r="W20" s="171" t="str">
        <f>VLOOKUP(A20,'[1]Final-Short'!$B:$AE,30,0)</f>
        <v>Abdulqader Mohammed Jilani Trading Est "JAWAD" مؤسسة عبد القادر محمد جیلاني للتجارة (جواد)</v>
      </c>
      <c r="X20" s="58">
        <f t="shared" si="6"/>
        <v>0</v>
      </c>
      <c r="Y20" s="58">
        <f t="shared" si="7"/>
        <v>2550</v>
      </c>
    </row>
    <row r="21" spans="1:26" x14ac:dyDescent="0.25">
      <c r="A21" s="36" t="s">
        <v>1677</v>
      </c>
      <c r="B21" s="171" t="s">
        <v>1678</v>
      </c>
      <c r="C21" s="171" t="s">
        <v>1678</v>
      </c>
      <c r="D21" s="172" t="s">
        <v>5062</v>
      </c>
      <c r="E21" s="172" t="s">
        <v>1631</v>
      </c>
      <c r="F21" s="172" t="s">
        <v>1631</v>
      </c>
      <c r="G21" s="172" t="s">
        <v>1631</v>
      </c>
      <c r="H21" s="172" t="s">
        <v>1631</v>
      </c>
      <c r="I21" s="172" t="s">
        <v>1631</v>
      </c>
      <c r="J21" s="36">
        <v>1</v>
      </c>
      <c r="K21" s="58">
        <v>30000</v>
      </c>
      <c r="L21" s="58"/>
      <c r="M21" s="22">
        <f>IFERROR((VLOOKUP(A21,'Current Stocks July-26'!$B:$K,10,0)),0)</f>
        <v>0</v>
      </c>
      <c r="N21" s="22">
        <f t="shared" si="0"/>
        <v>0</v>
      </c>
      <c r="O21" s="22" t="str">
        <f t="shared" si="1"/>
        <v>ORDER NOW</v>
      </c>
      <c r="P21" s="22" t="str">
        <f t="shared" si="2"/>
        <v>CRITICAL</v>
      </c>
      <c r="Q21" s="58">
        <f t="shared" si="3"/>
        <v>108000</v>
      </c>
      <c r="R21" s="58">
        <f t="shared" si="4"/>
        <v>138000</v>
      </c>
      <c r="S21" s="58">
        <f t="shared" si="5"/>
        <v>138000</v>
      </c>
      <c r="T21" s="5">
        <v>105</v>
      </c>
      <c r="U21" s="5" t="s">
        <v>1669</v>
      </c>
      <c r="V21" s="173">
        <f>VLOOKUP(A21,'[1]Final-Short'!$B:$AE,29,0)</f>
        <v>0.12967999999999999</v>
      </c>
      <c r="W21" s="171" t="str">
        <f>VLOOKUP(A21,'[1]Final-Short'!$B:$AE,30,0)</f>
        <v>GUANGZHOU MAIBAO PACKAGE CO. LTD</v>
      </c>
      <c r="X21" s="58">
        <f t="shared" si="6"/>
        <v>17895.84</v>
      </c>
      <c r="Y21" s="58">
        <f t="shared" si="7"/>
        <v>3890.3999999999996</v>
      </c>
    </row>
    <row r="22" spans="1:26" x14ac:dyDescent="0.25">
      <c r="A22" s="36" t="s">
        <v>1140</v>
      </c>
      <c r="B22" s="171" t="s">
        <v>1141</v>
      </c>
      <c r="C22" s="171" t="s">
        <v>1141</v>
      </c>
      <c r="D22" s="172" t="s">
        <v>5062</v>
      </c>
      <c r="E22" s="172" t="s">
        <v>1631</v>
      </c>
      <c r="F22" s="172" t="s">
        <v>1631</v>
      </c>
      <c r="G22" s="172" t="s">
        <v>1631</v>
      </c>
      <c r="H22" s="172" t="s">
        <v>1631</v>
      </c>
      <c r="I22" s="172" t="s">
        <v>5062</v>
      </c>
      <c r="J22" s="36">
        <v>2</v>
      </c>
      <c r="K22" s="58">
        <v>50000</v>
      </c>
      <c r="L22" s="58"/>
      <c r="M22" s="22">
        <f>IFERROR((VLOOKUP(A22,'Current Stocks July-26'!$B:$K,10,0)),0)</f>
        <v>173500</v>
      </c>
      <c r="N22" s="22">
        <f t="shared" si="0"/>
        <v>104.10000000000001</v>
      </c>
      <c r="O22" s="22" t="str">
        <f t="shared" si="1"/>
        <v>ORDER NOW</v>
      </c>
      <c r="P22" s="22" t="str">
        <f t="shared" si="2"/>
        <v>CRITICAL</v>
      </c>
      <c r="Q22" s="58">
        <f t="shared" si="3"/>
        <v>180000</v>
      </c>
      <c r="R22" s="58">
        <f t="shared" si="4"/>
        <v>230000</v>
      </c>
      <c r="S22" s="58">
        <f t="shared" si="5"/>
        <v>56500</v>
      </c>
      <c r="T22" s="5">
        <v>105</v>
      </c>
      <c r="U22" s="5" t="s">
        <v>1669</v>
      </c>
      <c r="V22" s="173">
        <f>VLOOKUP(A22,'[1]Final-Short'!$B:$AE,29,0)</f>
        <v>0.14505000000000001</v>
      </c>
      <c r="W22" s="171" t="str">
        <f>VLOOKUP(A22,'[1]Final-Short'!$B:$AE,30,0)</f>
        <v>GUANGZHOU MAIBAO PACKAGE CO. LTD</v>
      </c>
      <c r="X22" s="58">
        <f t="shared" si="6"/>
        <v>8195.3250000000007</v>
      </c>
      <c r="Y22" s="58">
        <f t="shared" si="7"/>
        <v>7252.5000000000009</v>
      </c>
    </row>
    <row r="23" spans="1:26" x14ac:dyDescent="0.25">
      <c r="A23" s="36" t="s">
        <v>1328</v>
      </c>
      <c r="B23" s="171" t="s">
        <v>1329</v>
      </c>
      <c r="C23" s="171" t="s">
        <v>1329</v>
      </c>
      <c r="D23" s="172" t="s">
        <v>5062</v>
      </c>
      <c r="E23" s="172" t="s">
        <v>1631</v>
      </c>
      <c r="F23" s="172" t="s">
        <v>1631</v>
      </c>
      <c r="G23" s="172" t="s">
        <v>1631</v>
      </c>
      <c r="H23" s="172" t="s">
        <v>1631</v>
      </c>
      <c r="I23" s="172" t="s">
        <v>1631</v>
      </c>
      <c r="J23" s="36">
        <v>1</v>
      </c>
      <c r="K23" s="58">
        <v>430000</v>
      </c>
      <c r="L23" s="58"/>
      <c r="M23" s="22">
        <f>IFERROR((VLOOKUP(A23,'Current Stocks July-26'!$B:$K,10,0)),0)</f>
        <v>936200</v>
      </c>
      <c r="N23" s="22">
        <f t="shared" si="0"/>
        <v>65.316279069767447</v>
      </c>
      <c r="O23" s="22" t="str">
        <f t="shared" si="1"/>
        <v>IN STOCK</v>
      </c>
      <c r="P23" s="22" t="str">
        <f t="shared" si="2"/>
        <v>FOLLOW UP DELIVERY</v>
      </c>
      <c r="Q23" s="58">
        <f t="shared" si="3"/>
        <v>473000.00000000006</v>
      </c>
      <c r="R23" s="58">
        <f t="shared" si="4"/>
        <v>903000</v>
      </c>
      <c r="S23" s="58">
        <f t="shared" si="5"/>
        <v>0</v>
      </c>
      <c r="T23" s="5">
        <v>30</v>
      </c>
      <c r="U23" s="5" t="s">
        <v>1669</v>
      </c>
      <c r="V23" s="173">
        <f>VLOOKUP(A23,'[1]Final-Short'!$B:$AE,29,0)</f>
        <v>0.16994999999999999</v>
      </c>
      <c r="W23" s="171" t="str">
        <f>VLOOKUP(A23,'[1]Final-Short'!$B:$AE,30,0)</f>
        <v>GUANGZHOU MAIBAO PACKAGE CO. LTD</v>
      </c>
      <c r="X23" s="58">
        <f t="shared" si="6"/>
        <v>0</v>
      </c>
      <c r="Y23" s="58">
        <f t="shared" si="7"/>
        <v>73078.5</v>
      </c>
    </row>
    <row r="24" spans="1:26" x14ac:dyDescent="0.25">
      <c r="A24" s="36" t="s">
        <v>1145</v>
      </c>
      <c r="B24" s="171" t="s">
        <v>1146</v>
      </c>
      <c r="C24" s="171" t="s">
        <v>1146</v>
      </c>
      <c r="D24" s="172" t="s">
        <v>5062</v>
      </c>
      <c r="E24" s="172" t="s">
        <v>1631</v>
      </c>
      <c r="F24" s="172" t="s">
        <v>1631</v>
      </c>
      <c r="G24" s="172" t="s">
        <v>1631</v>
      </c>
      <c r="H24" s="172" t="s">
        <v>1631</v>
      </c>
      <c r="I24" s="172" t="s">
        <v>1631</v>
      </c>
      <c r="J24" s="36">
        <v>1</v>
      </c>
      <c r="K24" s="58">
        <v>430000</v>
      </c>
      <c r="L24" s="58"/>
      <c r="M24" s="22">
        <f>IFERROR((VLOOKUP(A24,'Current Stocks July-26'!$B:$K,10,0)),0)</f>
        <v>530280</v>
      </c>
      <c r="N24" s="22">
        <f t="shared" si="0"/>
        <v>36.996279069767446</v>
      </c>
      <c r="O24" s="22" t="str">
        <f t="shared" si="1"/>
        <v>ORDER NOW</v>
      </c>
      <c r="P24" s="22" t="str">
        <f t="shared" si="2"/>
        <v>CRITICAL</v>
      </c>
      <c r="Q24" s="58">
        <f t="shared" si="3"/>
        <v>1548000</v>
      </c>
      <c r="R24" s="58">
        <f t="shared" si="4"/>
        <v>1978000</v>
      </c>
      <c r="S24" s="58">
        <f t="shared" si="5"/>
        <v>1447720</v>
      </c>
      <c r="T24" s="5">
        <v>105</v>
      </c>
      <c r="U24" s="5" t="s">
        <v>1669</v>
      </c>
      <c r="V24" s="173">
        <f>VLOOKUP(A24,'[1]Final-Short'!$B:$AE,29,0)</f>
        <v>0.18490000000000001</v>
      </c>
      <c r="W24" s="171" t="str">
        <f>VLOOKUP(A24,'[1]Final-Short'!$B:$AE,30,0)</f>
        <v>GUANGZHOU MAIBAO PACKAGE CO. LTD</v>
      </c>
      <c r="X24" s="58">
        <f t="shared" si="6"/>
        <v>267683.42800000001</v>
      </c>
      <c r="Y24" s="58">
        <f t="shared" si="7"/>
        <v>79507</v>
      </c>
    </row>
    <row r="25" spans="1:26" x14ac:dyDescent="0.25">
      <c r="A25" s="36" t="s">
        <v>1679</v>
      </c>
      <c r="B25" s="171" t="s">
        <v>1680</v>
      </c>
      <c r="C25" s="171" t="s">
        <v>1406</v>
      </c>
      <c r="D25" s="172" t="s">
        <v>1631</v>
      </c>
      <c r="E25" s="172" t="s">
        <v>1631</v>
      </c>
      <c r="F25" s="172" t="s">
        <v>5062</v>
      </c>
      <c r="G25" s="172" t="s">
        <v>1631</v>
      </c>
      <c r="H25" s="172" t="s">
        <v>1631</v>
      </c>
      <c r="I25" s="172" t="s">
        <v>1631</v>
      </c>
      <c r="J25" s="36">
        <v>1</v>
      </c>
      <c r="K25" s="58">
        <v>490000</v>
      </c>
      <c r="L25" s="58" t="s">
        <v>1681</v>
      </c>
      <c r="M25" s="22">
        <f>IFERROR((VLOOKUP(A25,'Current Stocks July-26'!$B:$K,10,0)),0)</f>
        <v>53500</v>
      </c>
      <c r="N25" s="22">
        <f t="shared" si="0"/>
        <v>3.2755102040816326</v>
      </c>
      <c r="O25" s="22" t="str">
        <f t="shared" si="1"/>
        <v>ORDER NOW</v>
      </c>
      <c r="P25" s="22" t="str">
        <f t="shared" si="2"/>
        <v>CRITICAL</v>
      </c>
      <c r="Q25" s="58">
        <f t="shared" si="3"/>
        <v>1764000</v>
      </c>
      <c r="R25" s="58">
        <f t="shared" si="4"/>
        <v>2254000</v>
      </c>
      <c r="S25" s="58">
        <f t="shared" si="5"/>
        <v>2200500</v>
      </c>
      <c r="T25" s="5">
        <v>105</v>
      </c>
      <c r="U25" s="5" t="s">
        <v>1669</v>
      </c>
      <c r="V25" s="173">
        <f>VLOOKUP(A25,'[1]Final-Short'!$B:$AE,29,0)</f>
        <v>0.1041</v>
      </c>
      <c r="W25" s="171" t="str">
        <f>VLOOKUP(A25,'[1]Final-Short'!$B:$AE,30,0)</f>
        <v>GUANGZHOU MAIBAO PACKAGE CO. LTD</v>
      </c>
      <c r="X25" s="58">
        <f t="shared" si="6"/>
        <v>229072.05</v>
      </c>
      <c r="Y25" s="58">
        <f t="shared" si="7"/>
        <v>51009</v>
      </c>
    </row>
    <row r="26" spans="1:26" x14ac:dyDescent="0.25">
      <c r="A26" s="36" t="s">
        <v>1448</v>
      </c>
      <c r="B26" s="171" t="s">
        <v>1449</v>
      </c>
      <c r="C26" s="171" t="s">
        <v>1449</v>
      </c>
      <c r="D26" s="172" t="s">
        <v>5062</v>
      </c>
      <c r="E26" s="172" t="s">
        <v>1631</v>
      </c>
      <c r="F26" s="172" t="s">
        <v>5062</v>
      </c>
      <c r="G26" s="172" t="s">
        <v>1631</v>
      </c>
      <c r="H26" s="172" t="s">
        <v>1631</v>
      </c>
      <c r="I26" s="172" t="s">
        <v>1631</v>
      </c>
      <c r="J26" s="36">
        <v>2</v>
      </c>
      <c r="K26" s="58">
        <v>310000</v>
      </c>
      <c r="L26" s="58"/>
      <c r="M26" s="22">
        <f>IFERROR((VLOOKUP(A26,'Current Stocks July-26'!$B:$K,10,0)),0)</f>
        <v>768000</v>
      </c>
      <c r="N26" s="22">
        <f t="shared" si="0"/>
        <v>74.322580645161295</v>
      </c>
      <c r="O26" s="22" t="str">
        <f t="shared" si="1"/>
        <v>ORDER NOW</v>
      </c>
      <c r="P26" s="22" t="str">
        <f t="shared" si="2"/>
        <v>CRITICAL</v>
      </c>
      <c r="Q26" s="58">
        <f t="shared" si="3"/>
        <v>1116000</v>
      </c>
      <c r="R26" s="58">
        <f t="shared" si="4"/>
        <v>1426000</v>
      </c>
      <c r="S26" s="58">
        <f t="shared" si="5"/>
        <v>658000</v>
      </c>
      <c r="T26" s="5">
        <v>105</v>
      </c>
      <c r="U26" s="5" t="s">
        <v>1669</v>
      </c>
      <c r="V26" s="173">
        <f>VLOOKUP(A26,'[1]Final-Short'!$B:$AE,29,0)</f>
        <v>9.7280000000000005E-2</v>
      </c>
      <c r="W26" s="171" t="str">
        <f>VLOOKUP(A26,'[1]Final-Short'!$B:$AE,30,0)</f>
        <v>GUANGZHOU MAIBAO PACKAGE CO. LTD</v>
      </c>
      <c r="X26" s="58">
        <f t="shared" si="6"/>
        <v>64010.240000000005</v>
      </c>
      <c r="Y26" s="58">
        <f t="shared" si="7"/>
        <v>30156.800000000003</v>
      </c>
    </row>
    <row r="27" spans="1:26" x14ac:dyDescent="0.25">
      <c r="A27" s="36" t="s">
        <v>1536</v>
      </c>
      <c r="B27" s="171" t="s">
        <v>1537</v>
      </c>
      <c r="C27" s="171" t="s">
        <v>1537</v>
      </c>
      <c r="D27" s="172" t="s">
        <v>1631</v>
      </c>
      <c r="E27" s="172" t="s">
        <v>1631</v>
      </c>
      <c r="F27" s="172" t="s">
        <v>1631</v>
      </c>
      <c r="G27" s="172" t="s">
        <v>1631</v>
      </c>
      <c r="H27" s="172" t="s">
        <v>1631</v>
      </c>
      <c r="I27" s="172" t="s">
        <v>1631</v>
      </c>
      <c r="J27" s="36">
        <v>0</v>
      </c>
      <c r="K27" s="58">
        <v>22000</v>
      </c>
      <c r="L27" s="58" t="s">
        <v>1681</v>
      </c>
      <c r="M27" s="22">
        <f>IFERROR((VLOOKUP(A27,'Current Stocks July-26'!$B:$K,10,0)),0)</f>
        <v>150500</v>
      </c>
      <c r="N27" s="22">
        <f t="shared" si="0"/>
        <v>205.22727272727272</v>
      </c>
      <c r="O27" s="22" t="str">
        <f t="shared" si="1"/>
        <v>IN STOCK</v>
      </c>
      <c r="P27" s="22" t="str">
        <f t="shared" si="2"/>
        <v>FOLLOW UP DELIVERY</v>
      </c>
      <c r="Q27" s="58">
        <f t="shared" si="3"/>
        <v>79200</v>
      </c>
      <c r="R27" s="58">
        <f t="shared" si="4"/>
        <v>101200</v>
      </c>
      <c r="S27" s="58">
        <f t="shared" si="5"/>
        <v>0</v>
      </c>
      <c r="T27" s="5">
        <v>105</v>
      </c>
      <c r="U27" s="5" t="s">
        <v>30</v>
      </c>
      <c r="V27" s="173">
        <f>VLOOKUP(A27,'[1]Final-Short'!$B:$AE,29,0)</f>
        <v>3.6859999999999997E-2</v>
      </c>
      <c r="W27" s="171" t="str">
        <f>VLOOKUP(A27,'[1]Final-Short'!$B:$AE,30,0)</f>
        <v>GUANGZHOU MAIBAO PACKAGE CO. LTD</v>
      </c>
      <c r="X27" s="58">
        <f t="shared" si="6"/>
        <v>0</v>
      </c>
      <c r="Y27" s="58">
        <f t="shared" si="7"/>
        <v>810.92</v>
      </c>
    </row>
    <row r="28" spans="1:26" x14ac:dyDescent="0.25">
      <c r="A28" s="36" t="s">
        <v>1570</v>
      </c>
      <c r="B28" s="171" t="s">
        <v>1571</v>
      </c>
      <c r="C28" s="171" t="s">
        <v>1571</v>
      </c>
      <c r="D28" s="172" t="s">
        <v>5062</v>
      </c>
      <c r="E28" s="172" t="s">
        <v>1631</v>
      </c>
      <c r="F28" s="172" t="s">
        <v>1631</v>
      </c>
      <c r="G28" s="172" t="s">
        <v>1631</v>
      </c>
      <c r="H28" s="172" t="s">
        <v>1631</v>
      </c>
      <c r="I28" s="172" t="s">
        <v>1631</v>
      </c>
      <c r="J28" s="36">
        <v>1</v>
      </c>
      <c r="K28" s="58">
        <v>11000</v>
      </c>
      <c r="L28" s="58"/>
      <c r="M28" s="22">
        <f>IFERROR((VLOOKUP(A28,'Current Stocks July-26'!$B:$K,10,0)),0)</f>
        <v>126000</v>
      </c>
      <c r="N28" s="22">
        <f t="shared" si="0"/>
        <v>343.63636363636363</v>
      </c>
      <c r="O28" s="22" t="str">
        <f t="shared" si="1"/>
        <v>IN STOCK</v>
      </c>
      <c r="P28" s="22" t="str">
        <f t="shared" si="2"/>
        <v>FOLLOW UP DELIVERY</v>
      </c>
      <c r="Q28" s="58">
        <f t="shared" si="3"/>
        <v>39600</v>
      </c>
      <c r="R28" s="58">
        <f t="shared" si="4"/>
        <v>50600</v>
      </c>
      <c r="S28" s="58">
        <f t="shared" si="5"/>
        <v>0</v>
      </c>
      <c r="T28" s="5">
        <v>105</v>
      </c>
      <c r="U28" s="5" t="s">
        <v>30</v>
      </c>
      <c r="V28" s="173">
        <f>VLOOKUP(A28,'[1]Final-Short'!$B:$AE,29,0)</f>
        <v>3.2779999999999997E-2</v>
      </c>
      <c r="W28" s="171" t="str">
        <f>VLOOKUP(A28,'[1]Final-Short'!$B:$AE,30,0)</f>
        <v>GUANGZHOU MAIBAO PACKAGE CO. LTD</v>
      </c>
      <c r="X28" s="58">
        <f t="shared" si="6"/>
        <v>0</v>
      </c>
      <c r="Y28" s="58">
        <f t="shared" si="7"/>
        <v>360.58</v>
      </c>
    </row>
    <row r="29" spans="1:26" x14ac:dyDescent="0.25">
      <c r="A29" s="36" t="s">
        <v>871</v>
      </c>
      <c r="B29" s="171" t="s">
        <v>872</v>
      </c>
      <c r="C29" s="174" t="s">
        <v>872</v>
      </c>
      <c r="D29" s="172" t="s">
        <v>5062</v>
      </c>
      <c r="E29" s="172" t="s">
        <v>1631</v>
      </c>
      <c r="F29" s="172" t="s">
        <v>1631</v>
      </c>
      <c r="G29" s="172" t="s">
        <v>1631</v>
      </c>
      <c r="H29" s="172" t="s">
        <v>1631</v>
      </c>
      <c r="I29" s="172" t="s">
        <v>1631</v>
      </c>
      <c r="J29" s="36">
        <v>1</v>
      </c>
      <c r="K29" s="58">
        <v>90000</v>
      </c>
      <c r="L29" s="58"/>
      <c r="M29" s="22">
        <f>IFERROR((VLOOKUP(A29,'Current Stocks July-26'!$B:$K,10,0)),0)</f>
        <v>0</v>
      </c>
      <c r="N29" s="22">
        <f t="shared" si="0"/>
        <v>0</v>
      </c>
      <c r="O29" s="22" t="str">
        <f t="shared" si="1"/>
        <v>ORDER NOW</v>
      </c>
      <c r="P29" s="22" t="str">
        <f t="shared" si="2"/>
        <v>CRITICAL</v>
      </c>
      <c r="Q29" s="58">
        <f t="shared" si="3"/>
        <v>324000</v>
      </c>
      <c r="R29" s="58">
        <f t="shared" si="4"/>
        <v>414000</v>
      </c>
      <c r="S29" s="58">
        <f t="shared" si="5"/>
        <v>414000</v>
      </c>
      <c r="T29" s="5">
        <v>105</v>
      </c>
      <c r="U29" s="5" t="s">
        <v>1669</v>
      </c>
      <c r="V29" s="173">
        <f>VLOOKUP(A29,'[1]Final-Short'!$B:$AE,29,0)</f>
        <v>0.21023</v>
      </c>
      <c r="W29" s="171" t="str">
        <f>VLOOKUP(A29,'[1]Final-Short'!$B:$AE,30,0)</f>
        <v>GUANGZHOU MAIBAO PACKAGE CO. LTD</v>
      </c>
      <c r="X29" s="58">
        <f t="shared" si="6"/>
        <v>87035.22</v>
      </c>
      <c r="Y29" s="58">
        <f t="shared" si="7"/>
        <v>18920.7</v>
      </c>
    </row>
    <row r="30" spans="1:26" x14ac:dyDescent="0.25">
      <c r="A30" s="36" t="s">
        <v>1275</v>
      </c>
      <c r="B30" s="171" t="s">
        <v>1276</v>
      </c>
      <c r="C30" s="171" t="s">
        <v>1276</v>
      </c>
      <c r="D30" s="172" t="s">
        <v>5062</v>
      </c>
      <c r="E30" s="172" t="s">
        <v>1631</v>
      </c>
      <c r="F30" s="172" t="s">
        <v>1631</v>
      </c>
      <c r="G30" s="172" t="s">
        <v>1631</v>
      </c>
      <c r="H30" s="172" t="s">
        <v>1631</v>
      </c>
      <c r="I30" s="172" t="s">
        <v>1631</v>
      </c>
      <c r="J30" s="36">
        <v>1</v>
      </c>
      <c r="K30" s="58">
        <v>70000</v>
      </c>
      <c r="L30" s="58"/>
      <c r="M30" s="22">
        <f>IFERROR((VLOOKUP(A30,'Current Stocks July-26'!$B:$K,10,0)),0)</f>
        <v>190000</v>
      </c>
      <c r="N30" s="22">
        <f t="shared" si="0"/>
        <v>81.428571428571431</v>
      </c>
      <c r="O30" s="22" t="str">
        <f t="shared" si="1"/>
        <v>ORDER NOW</v>
      </c>
      <c r="P30" s="22" t="str">
        <f t="shared" si="2"/>
        <v>CRITICAL</v>
      </c>
      <c r="Q30" s="58">
        <f t="shared" si="3"/>
        <v>252000</v>
      </c>
      <c r="R30" s="58">
        <f t="shared" si="4"/>
        <v>322000</v>
      </c>
      <c r="S30" s="58">
        <f t="shared" si="5"/>
        <v>132000</v>
      </c>
      <c r="T30" s="5">
        <v>105</v>
      </c>
      <c r="U30" s="5" t="s">
        <v>1669</v>
      </c>
      <c r="V30" s="173">
        <f>VLOOKUP(A30,'[1]Final-Short'!$B:$AE,29,0)</f>
        <v>6.8250000000000005E-2</v>
      </c>
      <c r="W30" s="171" t="str">
        <f>VLOOKUP(A30,'[1]Final-Short'!$B:$AE,30,0)</f>
        <v>GUANGZHOU MAIBAO PACKAGE CO. LTD</v>
      </c>
      <c r="X30" s="58">
        <f t="shared" si="6"/>
        <v>9009</v>
      </c>
      <c r="Y30" s="58">
        <f t="shared" si="7"/>
        <v>4777.5</v>
      </c>
    </row>
    <row r="31" spans="1:26" x14ac:dyDescent="0.25">
      <c r="A31" s="36" t="s">
        <v>762</v>
      </c>
      <c r="B31" s="171" t="s">
        <v>763</v>
      </c>
      <c r="C31" s="171" t="s">
        <v>763</v>
      </c>
      <c r="D31" s="172" t="s">
        <v>5062</v>
      </c>
      <c r="E31" s="172" t="s">
        <v>5062</v>
      </c>
      <c r="F31" s="172" t="s">
        <v>1631</v>
      </c>
      <c r="G31" s="172" t="s">
        <v>1631</v>
      </c>
      <c r="H31" s="172" t="s">
        <v>1631</v>
      </c>
      <c r="I31" s="172" t="s">
        <v>1631</v>
      </c>
      <c r="J31" s="36">
        <v>2</v>
      </c>
      <c r="K31" s="58">
        <v>200000</v>
      </c>
      <c r="L31" s="58"/>
      <c r="M31" s="22">
        <f>IFERROR((VLOOKUP(A31,'Current Stocks July-26'!$B:$K,10,0)),0)</f>
        <v>531500</v>
      </c>
      <c r="N31" s="22">
        <f t="shared" si="0"/>
        <v>79.725000000000009</v>
      </c>
      <c r="O31" s="22" t="str">
        <f t="shared" si="1"/>
        <v>IN STOCK</v>
      </c>
      <c r="P31" s="22" t="str">
        <f t="shared" si="2"/>
        <v>FOLLOW UP DELIVERY</v>
      </c>
      <c r="Q31" s="58">
        <f t="shared" si="3"/>
        <v>66666.666666666657</v>
      </c>
      <c r="R31" s="58">
        <f t="shared" si="4"/>
        <v>266666.66666666663</v>
      </c>
      <c r="S31" s="58">
        <f t="shared" si="5"/>
        <v>0</v>
      </c>
      <c r="T31" s="5">
        <v>7</v>
      </c>
      <c r="U31" s="5" t="s">
        <v>1669</v>
      </c>
      <c r="V31" s="173">
        <f>VLOOKUP(A31,'[1]Final-Short'!$B:$AE,29,0)</f>
        <v>2.5999999999999999E-2</v>
      </c>
      <c r="W31" s="171" t="str">
        <f>VLOOKUP(A31,'[1]Final-Short'!$B:$AE,30,0)</f>
        <v>شركة مطابع الأمل الحديثة</v>
      </c>
      <c r="X31" s="58">
        <f t="shared" si="6"/>
        <v>0</v>
      </c>
      <c r="Y31" s="58">
        <f t="shared" si="7"/>
        <v>5200</v>
      </c>
    </row>
    <row r="32" spans="1:26" x14ac:dyDescent="0.25">
      <c r="A32" s="36" t="s">
        <v>838</v>
      </c>
      <c r="B32" s="171" t="s">
        <v>839</v>
      </c>
      <c r="C32" s="178" t="s">
        <v>839</v>
      </c>
      <c r="D32" s="172" t="s">
        <v>5062</v>
      </c>
      <c r="E32" s="172" t="s">
        <v>1631</v>
      </c>
      <c r="F32" s="172" t="s">
        <v>1631</v>
      </c>
      <c r="G32" s="172" t="s">
        <v>1631</v>
      </c>
      <c r="H32" s="172" t="s">
        <v>1631</v>
      </c>
      <c r="I32" s="172" t="s">
        <v>1631</v>
      </c>
      <c r="J32" s="36">
        <v>1</v>
      </c>
      <c r="K32" s="58">
        <v>200000</v>
      </c>
      <c r="L32" s="58"/>
      <c r="M32" s="22">
        <f>IFERROR((VLOOKUP(A32,'Current Stocks July-26'!$B:$K,10,0)),0)</f>
        <v>68000</v>
      </c>
      <c r="N32" s="22">
        <f t="shared" si="0"/>
        <v>10.200000000000001</v>
      </c>
      <c r="O32" s="22" t="str">
        <f t="shared" si="1"/>
        <v>IN STOCK</v>
      </c>
      <c r="P32" s="22" t="str">
        <f t="shared" si="2"/>
        <v>FOLLOW UP DELIVERY</v>
      </c>
      <c r="Q32" s="58">
        <f t="shared" si="3"/>
        <v>66666.666666666657</v>
      </c>
      <c r="R32" s="58">
        <f t="shared" si="4"/>
        <v>266666.66666666663</v>
      </c>
      <c r="S32" s="58">
        <f t="shared" si="5"/>
        <v>198666.66666666663</v>
      </c>
      <c r="T32" s="5">
        <v>7</v>
      </c>
      <c r="U32" s="5" t="s">
        <v>1669</v>
      </c>
      <c r="V32" s="173">
        <f>VLOOKUP(A32,'[1]Final-Short'!$B:$AE,29,0)</f>
        <v>2.92E-2</v>
      </c>
      <c r="W32" s="171" t="str">
        <f>VLOOKUP(A32,'[1]Final-Short'!$B:$AE,30,0)</f>
        <v>مطابع عبدالمجيد عبدلله الفارس للطباعة</v>
      </c>
      <c r="X32" s="58">
        <f t="shared" si="6"/>
        <v>5801.0666666666657</v>
      </c>
      <c r="Y32" s="58">
        <f t="shared" si="7"/>
        <v>5840</v>
      </c>
      <c r="Z32" t="s">
        <v>1682</v>
      </c>
    </row>
    <row r="33" spans="1:25" x14ac:dyDescent="0.25">
      <c r="A33" s="36" t="s">
        <v>1482</v>
      </c>
      <c r="B33" s="171" t="s">
        <v>1483</v>
      </c>
      <c r="C33" s="171" t="s">
        <v>1483</v>
      </c>
      <c r="D33" s="172" t="s">
        <v>5062</v>
      </c>
      <c r="E33" s="172" t="s">
        <v>5062</v>
      </c>
      <c r="F33" s="172" t="s">
        <v>1631</v>
      </c>
      <c r="G33" s="172" t="s">
        <v>1631</v>
      </c>
      <c r="H33" s="172" t="s">
        <v>1631</v>
      </c>
      <c r="I33" s="172" t="s">
        <v>1631</v>
      </c>
      <c r="J33" s="36">
        <v>2</v>
      </c>
      <c r="K33" s="58">
        <v>40000</v>
      </c>
      <c r="L33" s="58"/>
      <c r="M33" s="22">
        <f>IFERROR((VLOOKUP(A33,'Current Stocks July-26'!$B:$K,10,0)),0)</f>
        <v>77100</v>
      </c>
      <c r="N33" s="22">
        <f t="shared" si="0"/>
        <v>57.825000000000003</v>
      </c>
      <c r="O33" s="22" t="str">
        <f t="shared" si="1"/>
        <v>IN STOCK</v>
      </c>
      <c r="P33" s="22" t="str">
        <f t="shared" si="2"/>
        <v>FOLLOW UP DELIVERY</v>
      </c>
      <c r="Q33" s="58">
        <f t="shared" si="3"/>
        <v>22666.666666666668</v>
      </c>
      <c r="R33" s="58">
        <f t="shared" si="4"/>
        <v>62666.666666666672</v>
      </c>
      <c r="S33" s="58">
        <f t="shared" si="5"/>
        <v>0</v>
      </c>
      <c r="T33" s="5">
        <v>14</v>
      </c>
      <c r="U33" s="5" t="s">
        <v>30</v>
      </c>
      <c r="V33" s="173">
        <f>VLOOKUP(A33,'[1]Final-Short'!$B:$AE,29,0)</f>
        <v>2.0289799999999998</v>
      </c>
      <c r="W33" s="171" t="str">
        <f>VLOOKUP(A33,'[1]Final-Short'!$B:$AE,30,0)</f>
        <v>مؤسسة حسين القطان للتجارة</v>
      </c>
      <c r="X33" s="58">
        <f t="shared" si="6"/>
        <v>0</v>
      </c>
      <c r="Y33" s="58">
        <f t="shared" si="7"/>
        <v>81159.199999999997</v>
      </c>
    </row>
    <row r="34" spans="1:25" x14ac:dyDescent="0.25">
      <c r="A34" s="36" t="s">
        <v>943</v>
      </c>
      <c r="B34" s="171" t="s">
        <v>944</v>
      </c>
      <c r="C34" s="171" t="s">
        <v>944</v>
      </c>
      <c r="D34" s="172" t="s">
        <v>5062</v>
      </c>
      <c r="E34" s="172" t="s">
        <v>5062</v>
      </c>
      <c r="F34" s="172" t="s">
        <v>1631</v>
      </c>
      <c r="G34" s="172" t="s">
        <v>1631</v>
      </c>
      <c r="H34" s="172" t="s">
        <v>1631</v>
      </c>
      <c r="I34" s="172" t="s">
        <v>1631</v>
      </c>
      <c r="J34" s="36">
        <v>2</v>
      </c>
      <c r="K34" s="58">
        <v>150000</v>
      </c>
      <c r="L34" s="58"/>
      <c r="M34" s="22">
        <f>IFERROR((VLOOKUP(A34,'Current Stocks July-26'!$B:$K,10,0)),0)</f>
        <v>348500</v>
      </c>
      <c r="N34" s="22">
        <f t="shared" si="0"/>
        <v>69.7</v>
      </c>
      <c r="O34" s="22" t="str">
        <f t="shared" si="1"/>
        <v>IN STOCK</v>
      </c>
      <c r="P34" s="22" t="str">
        <f t="shared" si="2"/>
        <v>FOLLOW UP DELIVERY</v>
      </c>
      <c r="Q34" s="58">
        <f t="shared" si="3"/>
        <v>50000</v>
      </c>
      <c r="R34" s="58">
        <f t="shared" si="4"/>
        <v>200000</v>
      </c>
      <c r="S34" s="58">
        <f t="shared" si="5"/>
        <v>0</v>
      </c>
      <c r="T34" s="5">
        <v>7</v>
      </c>
      <c r="U34" s="5" t="s">
        <v>1669</v>
      </c>
      <c r="V34" s="173">
        <f>VLOOKUP(A34,'[1]Final-Short'!$B:$AE,29,0)</f>
        <v>0.38</v>
      </c>
      <c r="W34" s="171" t="str">
        <f>VLOOKUP(A34,'[1]Final-Short'!$B:$AE,30,0)</f>
        <v>12 Cups Ltd شركة اثنى عشر كوب المحدوده</v>
      </c>
      <c r="X34" s="58">
        <f t="shared" si="6"/>
        <v>0</v>
      </c>
      <c r="Y34" s="58">
        <f t="shared" si="7"/>
        <v>57000</v>
      </c>
    </row>
    <row r="35" spans="1:25" x14ac:dyDescent="0.25">
      <c r="A35" s="36" t="s">
        <v>1113</v>
      </c>
      <c r="B35" s="171" t="s">
        <v>1114</v>
      </c>
      <c r="C35" s="171" t="s">
        <v>1114</v>
      </c>
      <c r="D35" s="172" t="s">
        <v>5062</v>
      </c>
      <c r="E35" s="172" t="s">
        <v>5062</v>
      </c>
      <c r="F35" s="172" t="s">
        <v>5062</v>
      </c>
      <c r="G35" s="172" t="s">
        <v>1631</v>
      </c>
      <c r="H35" s="172" t="s">
        <v>1631</v>
      </c>
      <c r="I35" s="172" t="s">
        <v>1631</v>
      </c>
      <c r="J35" s="36">
        <v>3</v>
      </c>
      <c r="K35" s="58">
        <v>270000</v>
      </c>
      <c r="L35" s="58"/>
      <c r="M35" s="22">
        <f>IFERROR((VLOOKUP(A35,'Current Stocks July-26'!$B:$K,10,0)),0)</f>
        <v>124100</v>
      </c>
      <c r="N35" s="22">
        <f t="shared" si="0"/>
        <v>13.788888888888888</v>
      </c>
      <c r="O35" s="22" t="str">
        <f t="shared" si="1"/>
        <v>IN STOCK</v>
      </c>
      <c r="P35" s="22" t="str">
        <f t="shared" si="2"/>
        <v>FOLLOW UP DELIVERY</v>
      </c>
      <c r="Q35" s="58">
        <f t="shared" si="3"/>
        <v>90000</v>
      </c>
      <c r="R35" s="58">
        <f t="shared" si="4"/>
        <v>360000</v>
      </c>
      <c r="S35" s="58">
        <f t="shared" si="5"/>
        <v>235900</v>
      </c>
      <c r="T35" s="5">
        <v>7</v>
      </c>
      <c r="U35" s="5" t="s">
        <v>1669</v>
      </c>
      <c r="V35" s="173">
        <f>VLOOKUP(A35,'[1]Final-Short'!$B:$AE,29,0)</f>
        <v>3.6859999999999997E-2</v>
      </c>
      <c r="W35" s="171" t="str">
        <f>VLOOKUP(A35,'[1]Final-Short'!$B:$AE,30,0)</f>
        <v>GUANGZHOU MAIBAO PACKAGE CO. LTD</v>
      </c>
      <c r="X35" s="58">
        <f t="shared" si="6"/>
        <v>8695.2739999999994</v>
      </c>
      <c r="Y35" s="58">
        <f t="shared" si="7"/>
        <v>9952.1999999999989</v>
      </c>
    </row>
    <row r="36" spans="1:25" x14ac:dyDescent="0.25">
      <c r="A36" s="36" t="s">
        <v>777</v>
      </c>
      <c r="B36" s="171" t="s">
        <v>778</v>
      </c>
      <c r="C36" s="179" t="s">
        <v>778</v>
      </c>
      <c r="D36" s="172" t="s">
        <v>5062</v>
      </c>
      <c r="E36" s="172" t="s">
        <v>5062</v>
      </c>
      <c r="F36" s="172" t="s">
        <v>1631</v>
      </c>
      <c r="G36" s="172" t="s">
        <v>1631</v>
      </c>
      <c r="H36" s="172" t="s">
        <v>1631</v>
      </c>
      <c r="I36" s="172" t="s">
        <v>1631</v>
      </c>
      <c r="J36" s="36">
        <v>2</v>
      </c>
      <c r="K36" s="58">
        <v>2000</v>
      </c>
      <c r="L36" s="22" t="s">
        <v>16</v>
      </c>
      <c r="M36" s="22">
        <f>IFERROR((VLOOKUP(A36,'Current Stocks July-26'!$B:$K,10,0)),0)</f>
        <v>447</v>
      </c>
      <c r="N36" s="22">
        <f t="shared" si="0"/>
        <v>6.7050000000000001</v>
      </c>
      <c r="O36" s="22" t="str">
        <f t="shared" si="1"/>
        <v>ORDER NOW</v>
      </c>
      <c r="P36" s="22" t="str">
        <f t="shared" si="2"/>
        <v>CRITICAL</v>
      </c>
      <c r="Q36" s="58">
        <f t="shared" si="3"/>
        <v>666.66666666666663</v>
      </c>
      <c r="R36" s="58">
        <f t="shared" si="4"/>
        <v>2666.6666666666665</v>
      </c>
      <c r="S36" s="58">
        <f t="shared" si="5"/>
        <v>2219.6666666666665</v>
      </c>
      <c r="T36" s="5">
        <v>7</v>
      </c>
      <c r="U36" s="5" t="s">
        <v>1669</v>
      </c>
      <c r="V36" s="173">
        <f>VLOOKUP(A36,'[1]Final-Short'!$B:$AE,29,0)</f>
        <v>7.1230000000000002</v>
      </c>
      <c r="W36" s="171" t="str">
        <f>VLOOKUP(A36,'[1]Final-Short'!$B:$AE,30,0)</f>
        <v>شركة بشريات الموسم للتجارة</v>
      </c>
      <c r="X36" s="58">
        <f t="shared" si="6"/>
        <v>15810.685666666666</v>
      </c>
      <c r="Y36" s="58">
        <f t="shared" si="7"/>
        <v>14246</v>
      </c>
    </row>
    <row r="37" spans="1:25" x14ac:dyDescent="0.25">
      <c r="A37" s="36" t="s">
        <v>854</v>
      </c>
      <c r="B37" s="171" t="s">
        <v>855</v>
      </c>
      <c r="C37" s="171" t="s">
        <v>855</v>
      </c>
      <c r="D37" s="172" t="s">
        <v>5062</v>
      </c>
      <c r="E37" s="172" t="s">
        <v>1631</v>
      </c>
      <c r="F37" s="172" t="s">
        <v>1631</v>
      </c>
      <c r="G37" s="172" t="s">
        <v>1631</v>
      </c>
      <c r="H37" s="172" t="s">
        <v>1631</v>
      </c>
      <c r="I37" s="172" t="s">
        <v>1631</v>
      </c>
      <c r="J37" s="36">
        <v>1</v>
      </c>
      <c r="K37" s="58">
        <v>3000</v>
      </c>
      <c r="L37" s="58"/>
      <c r="M37" s="22">
        <f>IFERROR((VLOOKUP(A37,'Current Stocks July-26'!$B:$K,10,0)),0)</f>
        <v>0</v>
      </c>
      <c r="N37" s="22">
        <f t="shared" si="0"/>
        <v>0</v>
      </c>
      <c r="O37" s="22" t="str">
        <f t="shared" si="1"/>
        <v>ORDER NOW</v>
      </c>
      <c r="P37" s="22" t="str">
        <f t="shared" si="2"/>
        <v>CRITICAL</v>
      </c>
      <c r="Q37" s="58">
        <f t="shared" si="3"/>
        <v>1700</v>
      </c>
      <c r="R37" s="58">
        <f t="shared" si="4"/>
        <v>4700</v>
      </c>
      <c r="S37" s="58">
        <f t="shared" si="5"/>
        <v>4700</v>
      </c>
      <c r="T37" s="5">
        <v>14</v>
      </c>
      <c r="U37" s="5" t="s">
        <v>30</v>
      </c>
      <c r="V37" s="173">
        <f>VLOOKUP(A37,'[1]Final-Short'!$B:$AE,29,0)</f>
        <v>0.2</v>
      </c>
      <c r="W37" s="171" t="str">
        <f>VLOOKUP(A37,'[1]Final-Short'!$B:$AE,30,0)</f>
        <v>شركة مطابع الأمل الحديثة</v>
      </c>
      <c r="X37" s="58">
        <f t="shared" si="6"/>
        <v>940</v>
      </c>
      <c r="Y37" s="58">
        <f t="shared" si="7"/>
        <v>600</v>
      </c>
    </row>
    <row r="38" spans="1:25" x14ac:dyDescent="0.25">
      <c r="A38" s="36" t="s">
        <v>1469</v>
      </c>
      <c r="B38" s="171" t="s">
        <v>1470</v>
      </c>
      <c r="C38" s="171" t="s">
        <v>1470</v>
      </c>
      <c r="D38" s="172" t="s">
        <v>5062</v>
      </c>
      <c r="E38" s="172" t="s">
        <v>1631</v>
      </c>
      <c r="F38" s="172" t="s">
        <v>1631</v>
      </c>
      <c r="G38" s="172" t="s">
        <v>1631</v>
      </c>
      <c r="H38" s="172" t="s">
        <v>1631</v>
      </c>
      <c r="I38" s="172" t="s">
        <v>1631</v>
      </c>
      <c r="J38" s="36">
        <v>1</v>
      </c>
      <c r="K38" s="58">
        <v>200</v>
      </c>
      <c r="L38" s="58"/>
      <c r="M38" s="22">
        <f>IFERROR((VLOOKUP(A38,'Current Stocks July-26'!$B:$K,10,0)),0)</f>
        <v>0</v>
      </c>
      <c r="N38" s="22">
        <f t="shared" si="0"/>
        <v>0</v>
      </c>
      <c r="O38" s="22" t="str">
        <f t="shared" si="1"/>
        <v>ORDER NOW</v>
      </c>
      <c r="P38" s="22" t="str">
        <f t="shared" si="2"/>
        <v>CRITICAL</v>
      </c>
      <c r="Q38" s="58">
        <f t="shared" si="3"/>
        <v>220.00000000000003</v>
      </c>
      <c r="R38" s="58">
        <f t="shared" si="4"/>
        <v>420</v>
      </c>
      <c r="S38" s="58">
        <f t="shared" si="5"/>
        <v>420</v>
      </c>
      <c r="T38" s="5">
        <v>30</v>
      </c>
      <c r="U38" s="5" t="s">
        <v>30</v>
      </c>
      <c r="V38" s="173">
        <f>VLOOKUP(A38,'[1]Final-Short'!$B:$AE,29,0)</f>
        <v>20</v>
      </c>
      <c r="W38" s="171" t="str">
        <f>VLOOKUP(A38,'[1]Final-Short'!$B:$AE,30,0)</f>
        <v>شركة مصنع خزف كهفة للصناعات</v>
      </c>
      <c r="X38" s="58">
        <f t="shared" si="6"/>
        <v>8400</v>
      </c>
      <c r="Y38" s="58">
        <f t="shared" si="7"/>
        <v>4000</v>
      </c>
    </row>
    <row r="39" spans="1:25" x14ac:dyDescent="0.25">
      <c r="A39" s="36" t="s">
        <v>1519</v>
      </c>
      <c r="B39" s="171" t="s">
        <v>1520</v>
      </c>
      <c r="C39" s="171" t="s">
        <v>1520</v>
      </c>
      <c r="D39" s="172" t="s">
        <v>5062</v>
      </c>
      <c r="E39" s="172" t="s">
        <v>1631</v>
      </c>
      <c r="F39" s="172" t="s">
        <v>1631</v>
      </c>
      <c r="G39" s="172" t="s">
        <v>1631</v>
      </c>
      <c r="H39" s="172" t="s">
        <v>1631</v>
      </c>
      <c r="I39" s="172" t="s">
        <v>1631</v>
      </c>
      <c r="J39" s="36">
        <v>1</v>
      </c>
      <c r="K39" s="58">
        <v>80</v>
      </c>
      <c r="L39" s="58"/>
      <c r="M39" s="22">
        <f>IFERROR((VLOOKUP(A39,'Current Stocks July-26'!$B:$K,10,0)),0)</f>
        <v>0</v>
      </c>
      <c r="N39" s="22">
        <f t="shared" si="0"/>
        <v>0</v>
      </c>
      <c r="O39" s="22" t="str">
        <f t="shared" si="1"/>
        <v>ORDER NOW</v>
      </c>
      <c r="P39" s="22" t="str">
        <f t="shared" si="2"/>
        <v>CRITICAL</v>
      </c>
      <c r="Q39" s="58">
        <f t="shared" si="3"/>
        <v>88</v>
      </c>
      <c r="R39" s="58">
        <f t="shared" si="4"/>
        <v>168</v>
      </c>
      <c r="S39" s="58">
        <f t="shared" si="5"/>
        <v>168</v>
      </c>
      <c r="T39" s="5">
        <v>30</v>
      </c>
      <c r="U39" s="5" t="s">
        <v>30</v>
      </c>
      <c r="V39" s="173">
        <f>VLOOKUP(A39,'[1]Final-Short'!$B:$AE,29,0)</f>
        <v>25</v>
      </c>
      <c r="W39" s="171" t="str">
        <f>VLOOKUP(A39,'[1]Final-Short'!$B:$AE,30,0)</f>
        <v>شركة مصنع خزف كهفة للصناعات</v>
      </c>
      <c r="X39" s="58">
        <f t="shared" si="6"/>
        <v>4200</v>
      </c>
      <c r="Y39" s="58">
        <f t="shared" si="7"/>
        <v>2000</v>
      </c>
    </row>
    <row r="40" spans="1:25" x14ac:dyDescent="0.25">
      <c r="A40" s="36" t="s">
        <v>76</v>
      </c>
      <c r="B40" s="171" t="s">
        <v>77</v>
      </c>
      <c r="C40" s="171" t="s">
        <v>77</v>
      </c>
      <c r="D40" s="172" t="s">
        <v>5062</v>
      </c>
      <c r="E40" s="172" t="s">
        <v>1631</v>
      </c>
      <c r="F40" s="172" t="s">
        <v>1631</v>
      </c>
      <c r="G40" s="172" t="s">
        <v>1631</v>
      </c>
      <c r="H40" s="172" t="s">
        <v>1631</v>
      </c>
      <c r="I40" s="172" t="s">
        <v>1631</v>
      </c>
      <c r="J40" s="36">
        <v>1</v>
      </c>
      <c r="K40" s="58">
        <v>80</v>
      </c>
      <c r="L40" s="58"/>
      <c r="M40" s="22">
        <f>IFERROR((VLOOKUP(A40,'Current Stocks July-26'!$B:$K,10,0)),0)</f>
        <v>0</v>
      </c>
      <c r="N40" s="22">
        <f t="shared" si="0"/>
        <v>0</v>
      </c>
      <c r="O40" s="22" t="str">
        <f t="shared" si="1"/>
        <v>ORDER NOW</v>
      </c>
      <c r="P40" s="22" t="str">
        <f t="shared" si="2"/>
        <v>CRITICAL</v>
      </c>
      <c r="Q40" s="58">
        <f t="shared" si="3"/>
        <v>88</v>
      </c>
      <c r="R40" s="58">
        <f t="shared" si="4"/>
        <v>168</v>
      </c>
      <c r="S40" s="58">
        <f t="shared" si="5"/>
        <v>168</v>
      </c>
      <c r="T40" s="5">
        <v>30</v>
      </c>
      <c r="U40" s="5" t="s">
        <v>30</v>
      </c>
      <c r="V40" s="173">
        <f>VLOOKUP(A40,'[1]Final-Short'!$B:$AE,29,0)</f>
        <v>25</v>
      </c>
      <c r="W40" s="171" t="str">
        <f>VLOOKUP(A40,'[1]Final-Short'!$B:$AE,30,0)</f>
        <v>شركة مصنع خزف كهفة للصناعات</v>
      </c>
      <c r="X40" s="58">
        <f t="shared" si="6"/>
        <v>4200</v>
      </c>
      <c r="Y40" s="58">
        <f t="shared" si="7"/>
        <v>2000</v>
      </c>
    </row>
    <row r="41" spans="1:25" x14ac:dyDescent="0.25">
      <c r="A41" s="36" t="s">
        <v>161</v>
      </c>
      <c r="B41" s="171" t="s">
        <v>162</v>
      </c>
      <c r="C41" s="171" t="s">
        <v>162</v>
      </c>
      <c r="D41" s="172" t="s">
        <v>5062</v>
      </c>
      <c r="E41" s="172" t="s">
        <v>1631</v>
      </c>
      <c r="F41" s="172" t="s">
        <v>1631</v>
      </c>
      <c r="G41" s="172" t="s">
        <v>1631</v>
      </c>
      <c r="H41" s="172" t="s">
        <v>1631</v>
      </c>
      <c r="I41" s="172" t="s">
        <v>1631</v>
      </c>
      <c r="J41" s="36">
        <v>1</v>
      </c>
      <c r="K41" s="58">
        <v>70</v>
      </c>
      <c r="L41" s="58"/>
      <c r="M41" s="22">
        <f>IFERROR((VLOOKUP(A41,'Current Stocks July-26'!$B:$K,10,0)),0)</f>
        <v>0</v>
      </c>
      <c r="N41" s="22">
        <f t="shared" si="0"/>
        <v>0</v>
      </c>
      <c r="O41" s="22" t="str">
        <f t="shared" si="1"/>
        <v>ORDER NOW</v>
      </c>
      <c r="P41" s="22" t="str">
        <f t="shared" si="2"/>
        <v>CRITICAL</v>
      </c>
      <c r="Q41" s="58">
        <f t="shared" si="3"/>
        <v>77</v>
      </c>
      <c r="R41" s="58">
        <f t="shared" si="4"/>
        <v>147</v>
      </c>
      <c r="S41" s="58">
        <f t="shared" si="5"/>
        <v>147</v>
      </c>
      <c r="T41" s="5">
        <v>30</v>
      </c>
      <c r="U41" s="5" t="s">
        <v>30</v>
      </c>
      <c r="V41" s="173">
        <f>VLOOKUP(A41,'[1]Final-Short'!$B:$AE,29,0)</f>
        <v>28</v>
      </c>
      <c r="W41" s="171" t="str">
        <f>VLOOKUP(A41,'[1]Final-Short'!$B:$AE,30,0)</f>
        <v>شركة مصنع خزف كهفة للصناعات</v>
      </c>
      <c r="X41" s="58">
        <f t="shared" si="6"/>
        <v>4116</v>
      </c>
      <c r="Y41" s="58">
        <f t="shared" si="7"/>
        <v>1960</v>
      </c>
    </row>
    <row r="42" spans="1:25" x14ac:dyDescent="0.25">
      <c r="A42" s="36" t="s">
        <v>163</v>
      </c>
      <c r="B42" s="171" t="s">
        <v>164</v>
      </c>
      <c r="C42" s="171" t="s">
        <v>164</v>
      </c>
      <c r="D42" s="172" t="s">
        <v>5062</v>
      </c>
      <c r="E42" s="172" t="s">
        <v>1631</v>
      </c>
      <c r="F42" s="172" t="s">
        <v>1631</v>
      </c>
      <c r="G42" s="172" t="s">
        <v>1631</v>
      </c>
      <c r="H42" s="172" t="s">
        <v>1631</v>
      </c>
      <c r="I42" s="172" t="s">
        <v>1631</v>
      </c>
      <c r="J42" s="36">
        <v>1</v>
      </c>
      <c r="K42" s="58">
        <v>250</v>
      </c>
      <c r="L42" s="58"/>
      <c r="M42" s="22">
        <f>IFERROR((VLOOKUP(A42,'Current Stocks July-26'!$B:$K,10,0)),0)</f>
        <v>0</v>
      </c>
      <c r="N42" s="22">
        <f t="shared" si="0"/>
        <v>0</v>
      </c>
      <c r="O42" s="22" t="str">
        <f t="shared" si="1"/>
        <v>ORDER NOW</v>
      </c>
      <c r="P42" s="22" t="str">
        <f t="shared" si="2"/>
        <v>CRITICAL</v>
      </c>
      <c r="Q42" s="58">
        <f t="shared" si="3"/>
        <v>275</v>
      </c>
      <c r="R42" s="58">
        <f t="shared" si="4"/>
        <v>525</v>
      </c>
      <c r="S42" s="58">
        <f t="shared" si="5"/>
        <v>525</v>
      </c>
      <c r="T42" s="5">
        <v>30</v>
      </c>
      <c r="U42" s="5" t="s">
        <v>30</v>
      </c>
      <c r="V42" s="173">
        <f>VLOOKUP(A42,'[1]Final-Short'!$B:$AE,29,0)</f>
        <v>80</v>
      </c>
      <c r="W42" s="171" t="str">
        <f>VLOOKUP(A42,'[1]Final-Short'!$B:$AE,30,0)</f>
        <v>شركة مصنع خزف كهفة للصناعات</v>
      </c>
      <c r="X42" s="58">
        <f t="shared" si="6"/>
        <v>42000</v>
      </c>
      <c r="Y42" s="58">
        <f t="shared" si="7"/>
        <v>20000</v>
      </c>
    </row>
    <row r="43" spans="1:25" x14ac:dyDescent="0.25">
      <c r="A43" s="36" t="s">
        <v>1105</v>
      </c>
      <c r="B43" s="171" t="s">
        <v>1106</v>
      </c>
      <c r="C43" s="171" t="s">
        <v>1106</v>
      </c>
      <c r="D43" s="172" t="s">
        <v>5062</v>
      </c>
      <c r="E43" s="172" t="s">
        <v>1631</v>
      </c>
      <c r="F43" s="172" t="s">
        <v>1631</v>
      </c>
      <c r="G43" s="172" t="s">
        <v>1631</v>
      </c>
      <c r="H43" s="172" t="s">
        <v>1631</v>
      </c>
      <c r="I43" s="172" t="s">
        <v>1631</v>
      </c>
      <c r="J43" s="36">
        <v>1</v>
      </c>
      <c r="K43" s="58">
        <v>60000</v>
      </c>
      <c r="L43" s="58"/>
      <c r="M43" s="22">
        <f>IFERROR((VLOOKUP(A43,'Current Stocks July-26'!$B:$K,10,0)),0)</f>
        <v>0</v>
      </c>
      <c r="N43" s="22">
        <f t="shared" si="0"/>
        <v>0</v>
      </c>
      <c r="O43" s="22" t="str">
        <f t="shared" si="1"/>
        <v>ORDER NOW</v>
      </c>
      <c r="P43" s="22" t="str">
        <f t="shared" si="2"/>
        <v>CRITICAL</v>
      </c>
      <c r="Q43" s="58">
        <f t="shared" si="3"/>
        <v>20000</v>
      </c>
      <c r="R43" s="58">
        <f t="shared" si="4"/>
        <v>80000</v>
      </c>
      <c r="S43" s="58">
        <f t="shared" si="5"/>
        <v>80000</v>
      </c>
      <c r="T43" s="5">
        <v>7</v>
      </c>
      <c r="U43" s="5" t="s">
        <v>30</v>
      </c>
      <c r="V43" s="173">
        <f>VLOOKUP(A43,'[1]Final-Short'!$B:$AE,29,0)</f>
        <v>2.1000000000000001E-2</v>
      </c>
      <c r="W43" s="171" t="str">
        <f>VLOOKUP(A43,'[1]Final-Short'!$B:$AE,30,0)</f>
        <v> مؤسسة دخيل دخيل الله الحمراني</v>
      </c>
      <c r="X43" s="58">
        <f t="shared" si="6"/>
        <v>1680</v>
      </c>
      <c r="Y43" s="58">
        <f t="shared" si="7"/>
        <v>1260</v>
      </c>
    </row>
    <row r="44" spans="1:25" x14ac:dyDescent="0.25">
      <c r="A44" s="36" t="s">
        <v>695</v>
      </c>
      <c r="B44" s="171" t="s">
        <v>696</v>
      </c>
      <c r="C44" s="171" t="s">
        <v>696</v>
      </c>
      <c r="D44" s="172" t="s">
        <v>5062</v>
      </c>
      <c r="E44" s="172" t="s">
        <v>1631</v>
      </c>
      <c r="F44" s="172" t="s">
        <v>1631</v>
      </c>
      <c r="G44" s="172" t="s">
        <v>5062</v>
      </c>
      <c r="H44" s="172" t="s">
        <v>1631</v>
      </c>
      <c r="I44" s="172" t="s">
        <v>5062</v>
      </c>
      <c r="J44" s="36">
        <v>3</v>
      </c>
      <c r="K44" s="58">
        <v>10000</v>
      </c>
      <c r="L44" s="58"/>
      <c r="M44" s="22">
        <f>IFERROR((VLOOKUP(A44,'Current Stocks July-26'!$B:$K,10,0)),0)</f>
        <v>145</v>
      </c>
      <c r="N44" s="22">
        <f t="shared" si="0"/>
        <v>0.435</v>
      </c>
      <c r="O44" s="22" t="str">
        <f t="shared" si="1"/>
        <v>ORDER NOW</v>
      </c>
      <c r="P44" s="22" t="str">
        <f t="shared" si="2"/>
        <v>CRITICAL</v>
      </c>
      <c r="Q44" s="58">
        <f t="shared" si="3"/>
        <v>3333.333333333333</v>
      </c>
      <c r="R44" s="58">
        <f t="shared" si="4"/>
        <v>13333.333333333332</v>
      </c>
      <c r="S44" s="58">
        <f t="shared" si="5"/>
        <v>13188.333333333332</v>
      </c>
      <c r="T44" s="5">
        <v>7</v>
      </c>
      <c r="U44" s="5" t="s">
        <v>30</v>
      </c>
      <c r="V44" s="173">
        <f>VLOOKUP(A44,'[1]Final-Short'!$B:$AE,29,0)</f>
        <v>0.12</v>
      </c>
      <c r="W44" s="171" t="str">
        <f>VLOOKUP(A44,'[1]Final-Short'!$B:$AE,30,0)</f>
        <v>Protea Trading Co. شركة بروتيا للتجارة</v>
      </c>
      <c r="X44" s="58">
        <f t="shared" si="6"/>
        <v>1582.6</v>
      </c>
      <c r="Y44" s="58">
        <f t="shared" si="7"/>
        <v>1200</v>
      </c>
    </row>
    <row r="45" spans="1:25" x14ac:dyDescent="0.25">
      <c r="A45" s="36" t="s">
        <v>948</v>
      </c>
      <c r="B45" s="171" t="s">
        <v>949</v>
      </c>
      <c r="C45" s="171" t="s">
        <v>949</v>
      </c>
      <c r="D45" s="172" t="s">
        <v>5062</v>
      </c>
      <c r="E45" s="172" t="s">
        <v>1631</v>
      </c>
      <c r="F45" s="172" t="s">
        <v>1631</v>
      </c>
      <c r="G45" s="172" t="s">
        <v>1631</v>
      </c>
      <c r="H45" s="172" t="s">
        <v>1631</v>
      </c>
      <c r="I45" s="172" t="s">
        <v>1631</v>
      </c>
      <c r="J45" s="36">
        <v>1</v>
      </c>
      <c r="K45" s="58">
        <v>5000</v>
      </c>
      <c r="L45" s="58"/>
      <c r="M45" s="22">
        <f>IFERROR((VLOOKUP(A45,'Current Stocks July-26'!$B:$K,10,0)),0)</f>
        <v>0</v>
      </c>
      <c r="N45" s="22">
        <f t="shared" si="0"/>
        <v>0</v>
      </c>
      <c r="O45" s="22" t="str">
        <f t="shared" si="1"/>
        <v>ORDER NOW</v>
      </c>
      <c r="P45" s="22" t="str">
        <f t="shared" si="2"/>
        <v>CRITICAL</v>
      </c>
      <c r="Q45" s="58">
        <f t="shared" si="3"/>
        <v>2833.3333333333335</v>
      </c>
      <c r="R45" s="58">
        <f t="shared" si="4"/>
        <v>7833.3333333333339</v>
      </c>
      <c r="S45" s="58">
        <f t="shared" si="5"/>
        <v>7833.3333333333339</v>
      </c>
      <c r="T45" s="5">
        <v>14</v>
      </c>
      <c r="U45" s="5" t="s">
        <v>30</v>
      </c>
      <c r="V45" s="173">
        <f>VLOOKUP(A45,'[1]Final-Short'!$B:$AE,29,0)</f>
        <v>0.1</v>
      </c>
      <c r="W45" s="171" t="str">
        <f>VLOOKUP(A45,'[1]Final-Short'!$B:$AE,30,0)</f>
        <v>شركة مطابع الأمل الحديثة</v>
      </c>
      <c r="X45" s="58">
        <f t="shared" si="6"/>
        <v>783.33333333333348</v>
      </c>
      <c r="Y45" s="58">
        <f t="shared" si="7"/>
        <v>500</v>
      </c>
    </row>
    <row r="46" spans="1:25" x14ac:dyDescent="0.25">
      <c r="A46" s="36" t="s">
        <v>1683</v>
      </c>
      <c r="B46" s="171" t="s">
        <v>1068</v>
      </c>
      <c r="C46" s="171" t="s">
        <v>1068</v>
      </c>
      <c r="D46" s="172" t="s">
        <v>1631</v>
      </c>
      <c r="E46" s="172" t="s">
        <v>1631</v>
      </c>
      <c r="F46" s="172" t="s">
        <v>1631</v>
      </c>
      <c r="G46" s="172" t="s">
        <v>5062</v>
      </c>
      <c r="H46" s="172" t="s">
        <v>1631</v>
      </c>
      <c r="I46" s="172" t="s">
        <v>1631</v>
      </c>
      <c r="J46" s="36">
        <v>1</v>
      </c>
      <c r="K46" s="58">
        <v>4500</v>
      </c>
      <c r="L46" s="58" t="s">
        <v>1681</v>
      </c>
      <c r="M46" s="22">
        <f>IFERROR((VLOOKUP(A46,'Current Stocks July-26'!$B:$K,10,0)),0)</f>
        <v>9347</v>
      </c>
      <c r="N46" s="22">
        <f t="shared" si="0"/>
        <v>62.313333333333325</v>
      </c>
      <c r="O46" s="22" t="str">
        <f t="shared" si="1"/>
        <v>IN STOCK</v>
      </c>
      <c r="P46" s="22" t="str">
        <f t="shared" si="2"/>
        <v>FOLLOW UP DELIVERY</v>
      </c>
      <c r="Q46" s="58">
        <f t="shared" si="3"/>
        <v>1500</v>
      </c>
      <c r="R46" s="58">
        <f t="shared" si="4"/>
        <v>6000</v>
      </c>
      <c r="S46" s="58">
        <f t="shared" si="5"/>
        <v>0</v>
      </c>
      <c r="T46" s="5">
        <v>7</v>
      </c>
      <c r="U46" s="5" t="s">
        <v>30</v>
      </c>
      <c r="V46" s="173">
        <f>VLOOKUP(A46,'[1]Final-Short'!$B:$AE,29,0)</f>
        <v>2.2000000000000002</v>
      </c>
      <c r="W46" s="171" t="str">
        <f>VLOOKUP(A46,'[1]Final-Short'!$B:$AE,30,0)</f>
        <v>شركة الاوراق الذهبية الصناعية</v>
      </c>
      <c r="X46" s="58">
        <f t="shared" si="6"/>
        <v>0</v>
      </c>
      <c r="Y46" s="58">
        <f t="shared" si="7"/>
        <v>9900</v>
      </c>
    </row>
    <row r="47" spans="1:25" x14ac:dyDescent="0.25">
      <c r="A47" s="36" t="s">
        <v>1560</v>
      </c>
      <c r="B47" s="171" t="s">
        <v>1561</v>
      </c>
      <c r="C47" s="171" t="s">
        <v>1561</v>
      </c>
      <c r="D47" s="172" t="s">
        <v>5062</v>
      </c>
      <c r="E47" s="172" t="s">
        <v>1631</v>
      </c>
      <c r="F47" s="172" t="s">
        <v>1631</v>
      </c>
      <c r="G47" s="172" t="s">
        <v>1631</v>
      </c>
      <c r="H47" s="172" t="s">
        <v>1631</v>
      </c>
      <c r="I47" s="172" t="s">
        <v>1631</v>
      </c>
      <c r="J47" s="36">
        <v>1</v>
      </c>
      <c r="K47" s="58">
        <v>19000</v>
      </c>
      <c r="L47" s="58"/>
      <c r="M47" s="22">
        <f>IFERROR((VLOOKUP(A47,'Current Stocks July-26'!$B:$K,10,0)),0)</f>
        <v>18000</v>
      </c>
      <c r="N47" s="22">
        <f t="shared" si="0"/>
        <v>28.421052631578945</v>
      </c>
      <c r="O47" s="22" t="str">
        <f t="shared" si="1"/>
        <v>IN STOCK</v>
      </c>
      <c r="P47" s="22" t="str">
        <f t="shared" si="2"/>
        <v>FOLLOW UP DELIVERY</v>
      </c>
      <c r="Q47" s="58">
        <f t="shared" si="3"/>
        <v>10766.666666666666</v>
      </c>
      <c r="R47" s="58">
        <f t="shared" si="4"/>
        <v>29766.666666666664</v>
      </c>
      <c r="S47" s="58">
        <f t="shared" si="5"/>
        <v>11766.666666666664</v>
      </c>
      <c r="T47" s="5">
        <v>14</v>
      </c>
      <c r="U47" s="5" t="s">
        <v>1669</v>
      </c>
      <c r="V47" s="173">
        <f>VLOOKUP(A47,'[1]Final-Short'!$B:$AE,29,0)</f>
        <v>8.3760000000000001E-2</v>
      </c>
      <c r="W47" s="171" t="str">
        <f>VLOOKUP(A47,'[1]Final-Short'!$B:$AE,30,0)</f>
        <v>شركة مصنع عسق للبلاستيك</v>
      </c>
      <c r="X47" s="58">
        <f t="shared" si="6"/>
        <v>985.57599999999979</v>
      </c>
      <c r="Y47" s="58">
        <f t="shared" si="7"/>
        <v>1591.44</v>
      </c>
    </row>
    <row r="48" spans="1:25" x14ac:dyDescent="0.25">
      <c r="A48" s="36" t="s">
        <v>171</v>
      </c>
      <c r="B48" s="171" t="s">
        <v>172</v>
      </c>
      <c r="C48" s="171" t="s">
        <v>172</v>
      </c>
      <c r="D48" s="172" t="s">
        <v>5062</v>
      </c>
      <c r="E48" s="172" t="s">
        <v>1631</v>
      </c>
      <c r="F48" s="172" t="s">
        <v>1631</v>
      </c>
      <c r="G48" s="172" t="s">
        <v>1631</v>
      </c>
      <c r="H48" s="172" t="s">
        <v>1631</v>
      </c>
      <c r="I48" s="172" t="s">
        <v>1631</v>
      </c>
      <c r="J48" s="36">
        <v>1</v>
      </c>
      <c r="K48" s="175">
        <v>1000</v>
      </c>
      <c r="L48" s="175"/>
      <c r="M48" s="22">
        <f>IFERROR((VLOOKUP(A48,'Current Stocks July-26'!$B:$K,10,0)),0)</f>
        <v>0</v>
      </c>
      <c r="N48" s="22">
        <f t="shared" si="0"/>
        <v>0</v>
      </c>
      <c r="O48" s="22" t="str">
        <f t="shared" si="1"/>
        <v>ORDER NOW</v>
      </c>
      <c r="P48" s="22" t="str">
        <f t="shared" si="2"/>
        <v>CRITICAL</v>
      </c>
      <c r="Q48" s="58">
        <f t="shared" si="3"/>
        <v>333.33333333333331</v>
      </c>
      <c r="R48" s="58">
        <f t="shared" si="4"/>
        <v>1333.3333333333333</v>
      </c>
      <c r="S48" s="58">
        <f t="shared" si="5"/>
        <v>1333.3333333333333</v>
      </c>
      <c r="T48" s="5">
        <v>7</v>
      </c>
      <c r="U48" s="5" t="s">
        <v>30</v>
      </c>
      <c r="V48" s="173">
        <f>VLOOKUP(A48,'[1]Final-Short'!$B:$AE,29,0)</f>
        <v>0.12</v>
      </c>
      <c r="W48" s="171" t="str">
        <f>VLOOKUP(A48,'[1]Final-Short'!$B:$AE,30,0)</f>
        <v>Active Square مؤسسة المربع الفعال التجارية</v>
      </c>
      <c r="X48" s="58">
        <f t="shared" si="6"/>
        <v>159.99999999999997</v>
      </c>
      <c r="Y48" s="58">
        <f t="shared" si="7"/>
        <v>120</v>
      </c>
    </row>
    <row r="49" spans="1:25" x14ac:dyDescent="0.25">
      <c r="A49" s="36" t="s">
        <v>93</v>
      </c>
      <c r="B49" s="171" t="s">
        <v>94</v>
      </c>
      <c r="C49" s="171" t="s">
        <v>94</v>
      </c>
      <c r="D49" s="172" t="s">
        <v>5062</v>
      </c>
      <c r="E49" s="172" t="s">
        <v>5062</v>
      </c>
      <c r="F49" s="172" t="s">
        <v>1631</v>
      </c>
      <c r="G49" s="172" t="s">
        <v>5062</v>
      </c>
      <c r="H49" s="172" t="s">
        <v>1631</v>
      </c>
      <c r="I49" s="172" t="s">
        <v>5062</v>
      </c>
      <c r="J49" s="36">
        <v>4</v>
      </c>
      <c r="K49" s="175">
        <v>50000</v>
      </c>
      <c r="L49" s="175"/>
      <c r="M49" s="22">
        <f>IFERROR((VLOOKUP(A49,'Current Stocks July-26'!$B:$K,10,0)),0)</f>
        <v>159000</v>
      </c>
      <c r="N49" s="22">
        <f t="shared" si="0"/>
        <v>95.4</v>
      </c>
      <c r="O49" s="22" t="str">
        <f t="shared" si="1"/>
        <v>IN STOCK</v>
      </c>
      <c r="P49" s="22" t="str">
        <f t="shared" si="2"/>
        <v>FOLLOW UP DELIVERY</v>
      </c>
      <c r="Q49" s="58">
        <f t="shared" si="3"/>
        <v>28333.333333333332</v>
      </c>
      <c r="R49" s="58">
        <f t="shared" si="4"/>
        <v>78333.333333333328</v>
      </c>
      <c r="S49" s="58">
        <f t="shared" si="5"/>
        <v>0</v>
      </c>
      <c r="T49" s="5">
        <v>14</v>
      </c>
      <c r="U49" s="5" t="s">
        <v>1669</v>
      </c>
      <c r="V49" s="173">
        <f>VLOOKUP(A49,'[1]Final-Short'!$B:$AE,29,0)</f>
        <v>0.125</v>
      </c>
      <c r="W49" s="171" t="str">
        <f>VLOOKUP(A49,'[1]Final-Short'!$B:$AE,30,0)</f>
        <v>Protea Trading Co. شركة بروتيا للتجارة</v>
      </c>
      <c r="X49" s="58">
        <f t="shared" si="6"/>
        <v>0</v>
      </c>
      <c r="Y49" s="58">
        <f t="shared" si="7"/>
        <v>6250</v>
      </c>
    </row>
    <row r="50" spans="1:25" x14ac:dyDescent="0.25">
      <c r="A50" s="36" t="s">
        <v>959</v>
      </c>
      <c r="B50" s="171" t="s">
        <v>960</v>
      </c>
      <c r="C50" s="171" t="s">
        <v>960</v>
      </c>
      <c r="D50" s="172" t="s">
        <v>5062</v>
      </c>
      <c r="E50" s="172" t="s">
        <v>5062</v>
      </c>
      <c r="F50" s="172" t="s">
        <v>1631</v>
      </c>
      <c r="G50" s="172" t="s">
        <v>5062</v>
      </c>
      <c r="H50" s="172" t="s">
        <v>1631</v>
      </c>
      <c r="I50" s="172" t="s">
        <v>5062</v>
      </c>
      <c r="J50" s="36">
        <v>4</v>
      </c>
      <c r="K50" s="58">
        <v>100</v>
      </c>
      <c r="L50" s="58"/>
      <c r="M50" s="22">
        <f>IFERROR((VLOOKUP(A50,'Current Stocks July-26'!$B:$K,10,0)),0)</f>
        <v>326</v>
      </c>
      <c r="N50" s="22">
        <f t="shared" si="0"/>
        <v>97.8</v>
      </c>
      <c r="O50" s="22" t="str">
        <f t="shared" si="1"/>
        <v>IN STOCK</v>
      </c>
      <c r="P50" s="22" t="str">
        <f t="shared" si="2"/>
        <v>FOLLOW UP DELIVERY</v>
      </c>
      <c r="Q50" s="58">
        <f t="shared" si="3"/>
        <v>33.333333333333329</v>
      </c>
      <c r="R50" s="58">
        <f t="shared" si="4"/>
        <v>133.33333333333331</v>
      </c>
      <c r="S50" s="58">
        <f t="shared" si="5"/>
        <v>0</v>
      </c>
      <c r="T50" s="5">
        <v>7</v>
      </c>
      <c r="U50" s="5" t="s">
        <v>1669</v>
      </c>
      <c r="V50" s="173">
        <f>VLOOKUP(A50,'[1]Final-Short'!$B:$AE,29,0)</f>
        <v>43.48</v>
      </c>
      <c r="W50" s="171" t="str">
        <f>VLOOKUP(A50,'[1]Final-Short'!$B:$AE,30,0)</f>
        <v>مؤسسة ركن البيدق التجارية</v>
      </c>
      <c r="X50" s="58">
        <f t="shared" si="6"/>
        <v>0</v>
      </c>
      <c r="Y50" s="58">
        <f t="shared" si="7"/>
        <v>4348</v>
      </c>
    </row>
    <row r="51" spans="1:25" x14ac:dyDescent="0.25">
      <c r="A51" s="36" t="s">
        <v>1458</v>
      </c>
      <c r="B51" s="171" t="s">
        <v>1459</v>
      </c>
      <c r="C51" s="171" t="s">
        <v>1459</v>
      </c>
      <c r="D51" s="172" t="s">
        <v>5062</v>
      </c>
      <c r="E51" s="172" t="s">
        <v>1631</v>
      </c>
      <c r="F51" s="172" t="s">
        <v>1631</v>
      </c>
      <c r="G51" s="172" t="s">
        <v>1631</v>
      </c>
      <c r="H51" s="172" t="s">
        <v>1631</v>
      </c>
      <c r="I51" s="172" t="s">
        <v>1631</v>
      </c>
      <c r="J51" s="36">
        <v>1</v>
      </c>
      <c r="K51" s="58">
        <v>6000</v>
      </c>
      <c r="L51" s="58"/>
      <c r="M51" s="22">
        <f>IFERROR((VLOOKUP(A51,'Current Stocks July-26'!$B:$K,10,0)),0)</f>
        <v>8</v>
      </c>
      <c r="N51" s="22">
        <f t="shared" si="0"/>
        <v>0.04</v>
      </c>
      <c r="O51" s="22" t="str">
        <f t="shared" si="1"/>
        <v>ORDER NOW</v>
      </c>
      <c r="P51" s="22" t="str">
        <f t="shared" si="2"/>
        <v>CRITICAL</v>
      </c>
      <c r="Q51" s="58">
        <f t="shared" si="3"/>
        <v>21600</v>
      </c>
      <c r="R51" s="58">
        <f t="shared" si="4"/>
        <v>27600</v>
      </c>
      <c r="S51" s="58">
        <f t="shared" si="5"/>
        <v>27592</v>
      </c>
      <c r="T51" s="5">
        <v>105</v>
      </c>
      <c r="U51" s="5" t="s">
        <v>30</v>
      </c>
      <c r="V51" s="173">
        <f>VLOOKUP(A51,'[1]Final-Short'!$B:$AE,29,0)</f>
        <v>9.99</v>
      </c>
      <c r="W51" s="171" t="str">
        <f>VLOOKUP(A51,'[1]Final-Short'!$B:$AE,30,0)</f>
        <v>مؤسسة الانتقال التجارية</v>
      </c>
      <c r="X51" s="58">
        <f t="shared" si="6"/>
        <v>275644.08</v>
      </c>
      <c r="Y51" s="58">
        <f t="shared" si="7"/>
        <v>59940</v>
      </c>
    </row>
    <row r="52" spans="1:25" x14ac:dyDescent="0.25">
      <c r="A52" s="36" t="s">
        <v>1446</v>
      </c>
      <c r="B52" s="171" t="s">
        <v>1447</v>
      </c>
      <c r="C52" s="171" t="s">
        <v>1447</v>
      </c>
      <c r="D52" s="172" t="s">
        <v>5062</v>
      </c>
      <c r="E52" s="172" t="s">
        <v>1631</v>
      </c>
      <c r="F52" s="172" t="s">
        <v>1631</v>
      </c>
      <c r="G52" s="172" t="s">
        <v>1631</v>
      </c>
      <c r="H52" s="172" t="s">
        <v>1631</v>
      </c>
      <c r="I52" s="172" t="s">
        <v>1631</v>
      </c>
      <c r="J52" s="36">
        <v>1</v>
      </c>
      <c r="K52" s="58">
        <v>6000</v>
      </c>
      <c r="L52" s="58"/>
      <c r="M52" s="22">
        <f>IFERROR((VLOOKUP(A52,'Current Stocks July-26'!$B:$K,10,0)),0)</f>
        <v>420</v>
      </c>
      <c r="N52" s="22">
        <f t="shared" si="0"/>
        <v>2.1</v>
      </c>
      <c r="O52" s="22" t="str">
        <f t="shared" si="1"/>
        <v>ORDER NOW</v>
      </c>
      <c r="P52" s="22" t="str">
        <f t="shared" si="2"/>
        <v>CRITICAL</v>
      </c>
      <c r="Q52" s="58">
        <f t="shared" si="3"/>
        <v>21600</v>
      </c>
      <c r="R52" s="58">
        <f t="shared" si="4"/>
        <v>27600</v>
      </c>
      <c r="S52" s="58">
        <f t="shared" si="5"/>
        <v>27180</v>
      </c>
      <c r="T52" s="5">
        <v>105</v>
      </c>
      <c r="U52" s="5" t="s">
        <v>30</v>
      </c>
      <c r="V52" s="173">
        <f>VLOOKUP(A52,'[1]Final-Short'!$B:$AE,29,0)</f>
        <v>9.99</v>
      </c>
      <c r="W52" s="171" t="str">
        <f>VLOOKUP(A52,'[1]Final-Short'!$B:$AE,30,0)</f>
        <v>مؤسسة الانتقال التجارية</v>
      </c>
      <c r="X52" s="58">
        <f t="shared" si="6"/>
        <v>271528.2</v>
      </c>
      <c r="Y52" s="58">
        <f t="shared" si="7"/>
        <v>59940</v>
      </c>
    </row>
    <row r="53" spans="1:25" x14ac:dyDescent="0.25">
      <c r="A53" s="36" t="s">
        <v>1343</v>
      </c>
      <c r="B53" s="171" t="s">
        <v>1344</v>
      </c>
      <c r="C53" s="171" t="s">
        <v>1344</v>
      </c>
      <c r="D53" s="172" t="s">
        <v>5062</v>
      </c>
      <c r="E53" s="172" t="s">
        <v>1631</v>
      </c>
      <c r="F53" s="172" t="s">
        <v>1631</v>
      </c>
      <c r="G53" s="172" t="s">
        <v>1631</v>
      </c>
      <c r="H53" s="172" t="s">
        <v>1631</v>
      </c>
      <c r="I53" s="172" t="s">
        <v>1631</v>
      </c>
      <c r="J53" s="36">
        <v>1</v>
      </c>
      <c r="K53" s="58">
        <v>6000</v>
      </c>
      <c r="L53" s="58"/>
      <c r="M53" s="22">
        <f>IFERROR((VLOOKUP(A53,'Current Stocks July-26'!$B:$K,10,0)),0)</f>
        <v>338</v>
      </c>
      <c r="N53" s="22">
        <f t="shared" si="0"/>
        <v>1.69</v>
      </c>
      <c r="O53" s="22" t="str">
        <f t="shared" si="1"/>
        <v>ORDER NOW</v>
      </c>
      <c r="P53" s="22" t="str">
        <f t="shared" si="2"/>
        <v>CRITICAL</v>
      </c>
      <c r="Q53" s="58">
        <f t="shared" si="3"/>
        <v>21600</v>
      </c>
      <c r="R53" s="58">
        <f t="shared" si="4"/>
        <v>27600</v>
      </c>
      <c r="S53" s="58">
        <f t="shared" si="5"/>
        <v>27262</v>
      </c>
      <c r="T53" s="5">
        <v>105</v>
      </c>
      <c r="U53" s="5" t="s">
        <v>30</v>
      </c>
      <c r="V53" s="173">
        <f>VLOOKUP(A53,'[1]Final-Short'!$B:$AE,29,0)</f>
        <v>9.99</v>
      </c>
      <c r="W53" s="171" t="str">
        <f>VLOOKUP(A53,'[1]Final-Short'!$B:$AE,30,0)</f>
        <v>مؤسسة الانتقال التجارية</v>
      </c>
      <c r="X53" s="58">
        <f t="shared" si="6"/>
        <v>272347.38</v>
      </c>
      <c r="Y53" s="58">
        <f t="shared" si="7"/>
        <v>59940</v>
      </c>
    </row>
    <row r="54" spans="1:25" x14ac:dyDescent="0.25">
      <c r="A54" s="36" t="s">
        <v>1297</v>
      </c>
      <c r="B54" s="171" t="s">
        <v>1298</v>
      </c>
      <c r="C54" s="171" t="s">
        <v>1298</v>
      </c>
      <c r="D54" s="172" t="s">
        <v>5062</v>
      </c>
      <c r="E54" s="172" t="s">
        <v>1631</v>
      </c>
      <c r="F54" s="172" t="s">
        <v>1631</v>
      </c>
      <c r="G54" s="172" t="s">
        <v>1631</v>
      </c>
      <c r="H54" s="172" t="s">
        <v>1631</v>
      </c>
      <c r="I54" s="172" t="s">
        <v>1631</v>
      </c>
      <c r="J54" s="36">
        <v>1</v>
      </c>
      <c r="K54" s="58">
        <v>6000</v>
      </c>
      <c r="L54" s="58"/>
      <c r="M54" s="22">
        <f>IFERROR((VLOOKUP(A54,'Current Stocks July-26'!$B:$K,10,0)),0)</f>
        <v>22</v>
      </c>
      <c r="N54" s="22">
        <f t="shared" si="0"/>
        <v>0.11</v>
      </c>
      <c r="O54" s="22" t="str">
        <f t="shared" si="1"/>
        <v>ORDER NOW</v>
      </c>
      <c r="P54" s="22" t="str">
        <f t="shared" si="2"/>
        <v>CRITICAL</v>
      </c>
      <c r="Q54" s="58">
        <f t="shared" si="3"/>
        <v>21600</v>
      </c>
      <c r="R54" s="58">
        <f t="shared" si="4"/>
        <v>27600</v>
      </c>
      <c r="S54" s="58">
        <f t="shared" si="5"/>
        <v>27578</v>
      </c>
      <c r="T54" s="5">
        <v>105</v>
      </c>
      <c r="U54" s="5" t="s">
        <v>30</v>
      </c>
      <c r="V54" s="173">
        <f>VLOOKUP(A54,'[1]Final-Short'!$B:$AE,29,0)</f>
        <v>9.99</v>
      </c>
      <c r="W54" s="171" t="str">
        <f>VLOOKUP(A54,'[1]Final-Short'!$B:$AE,30,0)</f>
        <v>مؤسسة الانتقال التجارية</v>
      </c>
      <c r="X54" s="58">
        <f t="shared" si="6"/>
        <v>275504.22000000003</v>
      </c>
      <c r="Y54" s="58">
        <f t="shared" si="7"/>
        <v>59940</v>
      </c>
    </row>
    <row r="55" spans="1:25" x14ac:dyDescent="0.25">
      <c r="A55" s="36" t="s">
        <v>1500</v>
      </c>
      <c r="B55" s="171" t="s">
        <v>1501</v>
      </c>
      <c r="C55" s="171" t="s">
        <v>1501</v>
      </c>
      <c r="D55" s="172" t="s">
        <v>5062</v>
      </c>
      <c r="E55" s="172" t="s">
        <v>1631</v>
      </c>
      <c r="F55" s="172" t="s">
        <v>1631</v>
      </c>
      <c r="G55" s="172" t="s">
        <v>1631</v>
      </c>
      <c r="H55" s="172" t="s">
        <v>1631</v>
      </c>
      <c r="I55" s="172" t="s">
        <v>1631</v>
      </c>
      <c r="J55" s="36">
        <v>1</v>
      </c>
      <c r="K55" s="58">
        <v>6000</v>
      </c>
      <c r="L55" s="58"/>
      <c r="M55" s="22">
        <f>IFERROR((VLOOKUP(A55,'Current Stocks July-26'!$B:$K,10,0)),0)</f>
        <v>789</v>
      </c>
      <c r="N55" s="22">
        <f t="shared" si="0"/>
        <v>3.9450000000000003</v>
      </c>
      <c r="O55" s="22" t="str">
        <f t="shared" si="1"/>
        <v>ORDER NOW</v>
      </c>
      <c r="P55" s="22" t="str">
        <f t="shared" si="2"/>
        <v>CRITICAL</v>
      </c>
      <c r="Q55" s="58">
        <f t="shared" si="3"/>
        <v>21600</v>
      </c>
      <c r="R55" s="58">
        <f t="shared" si="4"/>
        <v>27600</v>
      </c>
      <c r="S55" s="58">
        <f t="shared" si="5"/>
        <v>26811</v>
      </c>
      <c r="T55" s="5">
        <v>105</v>
      </c>
      <c r="U55" s="5" t="s">
        <v>30</v>
      </c>
      <c r="V55" s="173">
        <f>VLOOKUP(A55,'[1]Final-Short'!$B:$AE,29,0)</f>
        <v>9.99</v>
      </c>
      <c r="W55" s="171" t="str">
        <f>VLOOKUP(A55,'[1]Final-Short'!$B:$AE,30,0)</f>
        <v>مؤسسة الانتقال التجارية</v>
      </c>
      <c r="X55" s="58">
        <f t="shared" si="6"/>
        <v>267841.89</v>
      </c>
      <c r="Y55" s="58">
        <f t="shared" si="7"/>
        <v>59940</v>
      </c>
    </row>
    <row r="56" spans="1:25" x14ac:dyDescent="0.25">
      <c r="A56" s="36" t="s">
        <v>1081</v>
      </c>
      <c r="B56" s="171" t="s">
        <v>1082</v>
      </c>
      <c r="C56" s="171" t="s">
        <v>1082</v>
      </c>
      <c r="D56" s="172" t="s">
        <v>5062</v>
      </c>
      <c r="E56" s="172" t="s">
        <v>5062</v>
      </c>
      <c r="F56" s="172" t="s">
        <v>5062</v>
      </c>
      <c r="G56" s="172" t="s">
        <v>1631</v>
      </c>
      <c r="H56" s="172" t="s">
        <v>1631</v>
      </c>
      <c r="I56" s="172" t="s">
        <v>5062</v>
      </c>
      <c r="J56" s="36">
        <v>4</v>
      </c>
      <c r="K56" s="58">
        <v>1000</v>
      </c>
      <c r="L56" s="58"/>
      <c r="M56" s="22">
        <f>IFERROR((VLOOKUP(A56,'Current Stocks July-26'!$B:$K,10,0)),0)</f>
        <v>5219</v>
      </c>
      <c r="N56" s="22">
        <f t="shared" si="0"/>
        <v>156.57000000000002</v>
      </c>
      <c r="O56" s="22" t="str">
        <f t="shared" si="1"/>
        <v>IN STOCK</v>
      </c>
      <c r="P56" s="22" t="str">
        <f t="shared" si="2"/>
        <v>FOLLOW UP DELIVERY</v>
      </c>
      <c r="Q56" s="58">
        <f t="shared" si="3"/>
        <v>333.33333333333331</v>
      </c>
      <c r="R56" s="58">
        <f t="shared" si="4"/>
        <v>1333.3333333333333</v>
      </c>
      <c r="S56" s="58">
        <f t="shared" si="5"/>
        <v>0</v>
      </c>
      <c r="T56" s="5">
        <v>7</v>
      </c>
      <c r="U56" s="5" t="s">
        <v>30</v>
      </c>
      <c r="V56" s="173">
        <f>VLOOKUP(A56,'[1]Final-Short'!$B:$AE,29,0)</f>
        <v>2.63889</v>
      </c>
      <c r="W56" s="171" t="str">
        <f>VLOOKUP(A56,'[1]Final-Short'!$B:$AE,30,0)</f>
        <v>شركة بوابة المبدعون للتجارة</v>
      </c>
      <c r="X56" s="58">
        <f t="shared" si="6"/>
        <v>0</v>
      </c>
      <c r="Y56" s="58">
        <f t="shared" si="7"/>
        <v>2638.89</v>
      </c>
    </row>
    <row r="57" spans="1:25" x14ac:dyDescent="0.25">
      <c r="A57" s="36" t="s">
        <v>1684</v>
      </c>
      <c r="B57" s="171" t="s">
        <v>1685</v>
      </c>
      <c r="C57" s="171" t="s">
        <v>1685</v>
      </c>
      <c r="D57" s="172" t="s">
        <v>5062</v>
      </c>
      <c r="E57" s="172" t="s">
        <v>1631</v>
      </c>
      <c r="F57" s="172" t="s">
        <v>1631</v>
      </c>
      <c r="G57" s="172" t="s">
        <v>1631</v>
      </c>
      <c r="H57" s="172" t="s">
        <v>1631</v>
      </c>
      <c r="I57" s="172" t="s">
        <v>1631</v>
      </c>
      <c r="J57" s="36">
        <v>1</v>
      </c>
      <c r="K57" s="58">
        <v>1000</v>
      </c>
      <c r="L57" s="58"/>
      <c r="M57" s="22">
        <f>IFERROR((VLOOKUP(A57,'Current Stocks July-26'!$B:$K,10,0)),0)</f>
        <v>20000</v>
      </c>
      <c r="N57" s="22">
        <f t="shared" si="0"/>
        <v>600</v>
      </c>
      <c r="O57" s="22" t="str">
        <f t="shared" si="1"/>
        <v>IN STOCK</v>
      </c>
      <c r="P57" s="22" t="str">
        <f t="shared" si="2"/>
        <v>FOLLOW UP DELIVERY</v>
      </c>
      <c r="Q57" s="58">
        <f t="shared" si="3"/>
        <v>766.66666666666674</v>
      </c>
      <c r="R57" s="58">
        <f t="shared" si="4"/>
        <v>1766.6666666666667</v>
      </c>
      <c r="S57" s="58">
        <f t="shared" si="5"/>
        <v>0</v>
      </c>
      <c r="T57" s="5">
        <v>20</v>
      </c>
      <c r="U57" s="5" t="s">
        <v>1669</v>
      </c>
      <c r="V57" s="173">
        <f>VLOOKUP(A57,'[1]Final-Short'!$B:$AE,29,0)</f>
        <v>2.5499999999999998</v>
      </c>
      <c r="W57" s="171" t="str">
        <f>VLOOKUP(A57,'[1]Final-Short'!$B:$AE,30,0)</f>
        <v>شركة مطابع الأمل الحديثة</v>
      </c>
      <c r="X57" s="58">
        <f t="shared" si="6"/>
        <v>0</v>
      </c>
      <c r="Y57" s="58">
        <f t="shared" si="7"/>
        <v>2550</v>
      </c>
    </row>
    <row r="58" spans="1:25" x14ac:dyDescent="0.25">
      <c r="A58" s="36" t="s">
        <v>1686</v>
      </c>
      <c r="B58" s="171" t="s">
        <v>1687</v>
      </c>
      <c r="C58" s="171" t="s">
        <v>1688</v>
      </c>
      <c r="D58" s="172" t="s">
        <v>5062</v>
      </c>
      <c r="E58" s="172" t="s">
        <v>1631</v>
      </c>
      <c r="F58" s="172" t="s">
        <v>1631</v>
      </c>
      <c r="G58" s="172" t="s">
        <v>1631</v>
      </c>
      <c r="H58" s="172" t="s">
        <v>1631</v>
      </c>
      <c r="I58" s="172" t="s">
        <v>1631</v>
      </c>
      <c r="J58" s="36">
        <v>1</v>
      </c>
      <c r="K58" s="58">
        <v>12000</v>
      </c>
      <c r="L58" s="58"/>
      <c r="M58" s="22">
        <f>IFERROR((VLOOKUP(A58,'Current Stocks July-26'!$B:$K,10,0)),0)</f>
        <v>0</v>
      </c>
      <c r="N58" s="22">
        <f t="shared" si="0"/>
        <v>0</v>
      </c>
      <c r="O58" s="22" t="str">
        <f t="shared" si="1"/>
        <v>ORDER NOW</v>
      </c>
      <c r="P58" s="22" t="str">
        <f t="shared" si="2"/>
        <v>CRITICAL</v>
      </c>
      <c r="Q58" s="58">
        <f t="shared" si="3"/>
        <v>6800</v>
      </c>
      <c r="R58" s="58">
        <f t="shared" si="4"/>
        <v>18800</v>
      </c>
      <c r="S58" s="58">
        <f t="shared" si="5"/>
        <v>18800</v>
      </c>
      <c r="T58" s="5">
        <v>14</v>
      </c>
      <c r="U58" s="5" t="s">
        <v>1669</v>
      </c>
      <c r="V58" s="173">
        <f>VLOOKUP(A58,'[1]Final-Short'!$B:$AE,29,0)</f>
        <v>0.24</v>
      </c>
      <c r="W58" s="171" t="str">
        <f>VLOOKUP(A58,'[1]Final-Short'!$B:$AE,30,0)</f>
        <v>شركة الماس باك للتغليف</v>
      </c>
      <c r="X58" s="58">
        <f t="shared" si="6"/>
        <v>4512</v>
      </c>
      <c r="Y58" s="58">
        <f t="shared" si="7"/>
        <v>2880</v>
      </c>
    </row>
    <row r="59" spans="1:25" x14ac:dyDescent="0.25">
      <c r="A59" s="36" t="s">
        <v>1689</v>
      </c>
      <c r="B59" s="171" t="s">
        <v>1690</v>
      </c>
      <c r="C59" s="171" t="s">
        <v>1691</v>
      </c>
      <c r="D59" s="172" t="s">
        <v>5062</v>
      </c>
      <c r="E59" s="172" t="s">
        <v>1631</v>
      </c>
      <c r="F59" s="172" t="s">
        <v>1631</v>
      </c>
      <c r="G59" s="172" t="s">
        <v>1631</v>
      </c>
      <c r="H59" s="172" t="s">
        <v>1631</v>
      </c>
      <c r="I59" s="172" t="s">
        <v>1631</v>
      </c>
      <c r="J59" s="36">
        <v>1</v>
      </c>
      <c r="K59" s="58">
        <v>12000</v>
      </c>
      <c r="L59" s="58"/>
      <c r="M59" s="22">
        <f>IFERROR((VLOOKUP(A59,'Current Stocks July-26'!$B:$K,10,0)),0)</f>
        <v>0</v>
      </c>
      <c r="N59" s="22">
        <f t="shared" si="0"/>
        <v>0</v>
      </c>
      <c r="O59" s="22" t="str">
        <f t="shared" si="1"/>
        <v>ORDER NOW</v>
      </c>
      <c r="P59" s="22" t="str">
        <f t="shared" si="2"/>
        <v>CRITICAL</v>
      </c>
      <c r="Q59" s="58">
        <f t="shared" si="3"/>
        <v>6800</v>
      </c>
      <c r="R59" s="58">
        <f t="shared" si="4"/>
        <v>18800</v>
      </c>
      <c r="S59" s="58">
        <f t="shared" si="5"/>
        <v>18800</v>
      </c>
      <c r="T59" s="5">
        <v>14</v>
      </c>
      <c r="U59" s="5" t="s">
        <v>1669</v>
      </c>
      <c r="V59" s="173">
        <f>VLOOKUP(A59,'[1]Final-Short'!$B:$AE,29,0)</f>
        <v>0.24</v>
      </c>
      <c r="W59" s="171" t="str">
        <f>VLOOKUP(A59,'[1]Final-Short'!$B:$AE,30,0)</f>
        <v>شركة الماس باك للتغليف</v>
      </c>
      <c r="X59" s="58">
        <f t="shared" si="6"/>
        <v>4512</v>
      </c>
      <c r="Y59" s="58">
        <f t="shared" si="7"/>
        <v>2880</v>
      </c>
    </row>
    <row r="60" spans="1:25" x14ac:dyDescent="0.25">
      <c r="A60" s="36" t="s">
        <v>1692</v>
      </c>
      <c r="B60" s="171" t="s">
        <v>1693</v>
      </c>
      <c r="C60" s="171" t="s">
        <v>1694</v>
      </c>
      <c r="D60" s="172" t="s">
        <v>5062</v>
      </c>
      <c r="E60" s="172" t="s">
        <v>1631</v>
      </c>
      <c r="F60" s="172" t="s">
        <v>1631</v>
      </c>
      <c r="G60" s="172" t="s">
        <v>1631</v>
      </c>
      <c r="H60" s="172" t="s">
        <v>1631</v>
      </c>
      <c r="I60" s="172" t="s">
        <v>1631</v>
      </c>
      <c r="J60" s="36">
        <v>1</v>
      </c>
      <c r="K60" s="58">
        <v>12000</v>
      </c>
      <c r="L60" s="58"/>
      <c r="M60" s="22">
        <f>IFERROR((VLOOKUP(A60,'Current Stocks July-26'!$B:$K,10,0)),0)</f>
        <v>3050</v>
      </c>
      <c r="N60" s="22">
        <f t="shared" si="0"/>
        <v>7.625</v>
      </c>
      <c r="O60" s="22" t="str">
        <f t="shared" si="1"/>
        <v>ORDER NOW</v>
      </c>
      <c r="P60" s="22" t="str">
        <f t="shared" si="2"/>
        <v>CRITICAL</v>
      </c>
      <c r="Q60" s="58">
        <f t="shared" si="3"/>
        <v>6800</v>
      </c>
      <c r="R60" s="58">
        <f t="shared" si="4"/>
        <v>18800</v>
      </c>
      <c r="S60" s="58">
        <f t="shared" si="5"/>
        <v>15750</v>
      </c>
      <c r="T60" s="5">
        <v>14</v>
      </c>
      <c r="U60" s="5" t="s">
        <v>1669</v>
      </c>
      <c r="V60" s="173">
        <f>VLOOKUP(A60,'[1]Final-Short'!$B:$AE,29,0)</f>
        <v>0.24</v>
      </c>
      <c r="W60" s="171" t="str">
        <f>VLOOKUP(A60,'[1]Final-Short'!$B:$AE,30,0)</f>
        <v>شركة الماس باك للتغليف</v>
      </c>
      <c r="X60" s="58">
        <f t="shared" si="6"/>
        <v>3780</v>
      </c>
      <c r="Y60" s="58">
        <f t="shared" si="7"/>
        <v>2880</v>
      </c>
    </row>
    <row r="61" spans="1:25" x14ac:dyDescent="0.25">
      <c r="A61" s="36" t="s">
        <v>1695</v>
      </c>
      <c r="B61" s="171" t="s">
        <v>748</v>
      </c>
      <c r="C61" s="171" t="s">
        <v>748</v>
      </c>
      <c r="D61" s="172" t="s">
        <v>1631</v>
      </c>
      <c r="E61" s="172" t="s">
        <v>1631</v>
      </c>
      <c r="F61" s="172" t="s">
        <v>1631</v>
      </c>
      <c r="G61" s="172" t="s">
        <v>1631</v>
      </c>
      <c r="H61" s="172" t="s">
        <v>1631</v>
      </c>
      <c r="I61" s="172" t="s">
        <v>1631</v>
      </c>
      <c r="J61" s="36">
        <v>0</v>
      </c>
      <c r="K61" s="58">
        <v>90</v>
      </c>
      <c r="L61" s="58"/>
      <c r="M61" s="22">
        <f>IFERROR((VLOOKUP(A61,'Current Stocks July-26'!$B:$K,10,0)),0)</f>
        <v>221</v>
      </c>
      <c r="N61" s="22">
        <f t="shared" si="0"/>
        <v>73.666666666666671</v>
      </c>
      <c r="O61" s="22" t="str">
        <f t="shared" si="1"/>
        <v>IN STOCK</v>
      </c>
      <c r="P61" s="22" t="str">
        <f t="shared" si="2"/>
        <v>FOLLOW UP DELIVERY</v>
      </c>
      <c r="Q61" s="58">
        <f t="shared" si="3"/>
        <v>30</v>
      </c>
      <c r="R61" s="58">
        <f t="shared" si="4"/>
        <v>120</v>
      </c>
      <c r="S61" s="58">
        <f t="shared" si="5"/>
        <v>0</v>
      </c>
      <c r="T61" s="5">
        <v>7</v>
      </c>
      <c r="U61" s="5" t="s">
        <v>30</v>
      </c>
      <c r="V61" s="173">
        <f>VLOOKUP(A61,'[1]Final-Short'!$B:$AE,29,0)</f>
        <v>9.85</v>
      </c>
      <c r="W61" s="171" t="str">
        <f>VLOOKUP(A61,'[1]Final-Short'!$B:$AE,30,0)</f>
        <v>شركة ناف الجود- NAF AL JOOD</v>
      </c>
      <c r="X61" s="58">
        <f t="shared" si="6"/>
        <v>0</v>
      </c>
      <c r="Y61" s="58">
        <f t="shared" si="7"/>
        <v>886.5</v>
      </c>
    </row>
    <row r="62" spans="1:25" x14ac:dyDescent="0.25">
      <c r="A62" s="36" t="s">
        <v>1181</v>
      </c>
      <c r="B62" s="171" t="s">
        <v>1182</v>
      </c>
      <c r="C62" s="171" t="s">
        <v>1182</v>
      </c>
      <c r="D62" s="172" t="s">
        <v>5062</v>
      </c>
      <c r="E62" s="172" t="s">
        <v>5062</v>
      </c>
      <c r="F62" s="172" t="s">
        <v>1631</v>
      </c>
      <c r="G62" s="172" t="s">
        <v>1631</v>
      </c>
      <c r="H62" s="172" t="s">
        <v>1631</v>
      </c>
      <c r="I62" s="172" t="s">
        <v>1631</v>
      </c>
      <c r="J62" s="36">
        <v>2</v>
      </c>
      <c r="K62" s="58">
        <v>150</v>
      </c>
      <c r="L62" s="58"/>
      <c r="M62" s="22">
        <f>IFERROR((VLOOKUP(A62,'Current Stocks July-26'!$B:$K,10,0)),0)</f>
        <v>48</v>
      </c>
      <c r="N62" s="22">
        <f t="shared" si="0"/>
        <v>9.6</v>
      </c>
      <c r="O62" s="22" t="str">
        <f t="shared" si="1"/>
        <v>IN STOCK</v>
      </c>
      <c r="P62" s="22" t="str">
        <f t="shared" si="2"/>
        <v>FOLLOW UP DELIVERY</v>
      </c>
      <c r="Q62" s="58">
        <f t="shared" si="3"/>
        <v>50</v>
      </c>
      <c r="R62" s="58">
        <f t="shared" si="4"/>
        <v>200</v>
      </c>
      <c r="S62" s="58">
        <f t="shared" si="5"/>
        <v>152</v>
      </c>
      <c r="T62" s="5">
        <v>7</v>
      </c>
      <c r="U62" s="5" t="s">
        <v>30</v>
      </c>
      <c r="V62" s="173">
        <f>VLOOKUP(A62,'[1]Final-Short'!$B:$AE,29,0)</f>
        <v>14</v>
      </c>
      <c r="W62" s="171" t="str">
        <f>VLOOKUP(A62,'[1]Final-Short'!$B:$AE,30,0)</f>
        <v>شركة أعمال الضيافة للخدمات التموينية</v>
      </c>
      <c r="X62" s="58">
        <f t="shared" si="6"/>
        <v>2128</v>
      </c>
      <c r="Y62" s="58">
        <f t="shared" si="7"/>
        <v>2100</v>
      </c>
    </row>
    <row r="63" spans="1:25" x14ac:dyDescent="0.25">
      <c r="A63" s="36" t="s">
        <v>1245</v>
      </c>
      <c r="B63" s="171" t="s">
        <v>1246</v>
      </c>
      <c r="C63" s="171" t="s">
        <v>1246</v>
      </c>
      <c r="D63" s="172" t="s">
        <v>1631</v>
      </c>
      <c r="E63" s="172" t="s">
        <v>1631</v>
      </c>
      <c r="F63" s="172" t="s">
        <v>1631</v>
      </c>
      <c r="G63" s="172" t="s">
        <v>5062</v>
      </c>
      <c r="H63" s="172" t="s">
        <v>1631</v>
      </c>
      <c r="I63" s="172" t="s">
        <v>1631</v>
      </c>
      <c r="J63" s="36">
        <v>1</v>
      </c>
      <c r="K63" s="58">
        <v>1</v>
      </c>
      <c r="L63" s="58"/>
      <c r="M63" s="22">
        <f>IFERROR((VLOOKUP(A63,'Current Stocks July-26'!$B:$K,10,0)),0)</f>
        <v>21</v>
      </c>
      <c r="N63" s="22">
        <f t="shared" si="0"/>
        <v>630</v>
      </c>
      <c r="O63" s="22" t="str">
        <f t="shared" si="1"/>
        <v>IN STOCK</v>
      </c>
      <c r="P63" s="22" t="str">
        <f t="shared" si="2"/>
        <v>FOLLOW UP DELIVERY</v>
      </c>
      <c r="Q63" s="58">
        <f t="shared" si="3"/>
        <v>0.33333333333333331</v>
      </c>
      <c r="R63" s="58">
        <f t="shared" si="4"/>
        <v>1.3333333333333333</v>
      </c>
      <c r="S63" s="58">
        <f t="shared" si="5"/>
        <v>0</v>
      </c>
      <c r="T63" s="5">
        <v>7</v>
      </c>
      <c r="U63" s="5" t="s">
        <v>30</v>
      </c>
      <c r="V63" s="173">
        <f>VLOOKUP(A63,'[1]Final-Short'!$B:$AE,29,0)</f>
        <v>35.4</v>
      </c>
      <c r="W63" s="171" t="s">
        <v>1696</v>
      </c>
      <c r="X63" s="58">
        <f t="shared" si="6"/>
        <v>0</v>
      </c>
      <c r="Y63" s="58">
        <f t="shared" si="7"/>
        <v>35.4</v>
      </c>
    </row>
    <row r="64" spans="1:25" x14ac:dyDescent="0.25">
      <c r="A64" s="36" t="s">
        <v>771</v>
      </c>
      <c r="B64" s="171" t="s">
        <v>772</v>
      </c>
      <c r="C64" s="171" t="s">
        <v>772</v>
      </c>
      <c r="D64" s="172" t="s">
        <v>1631</v>
      </c>
      <c r="E64" s="172" t="s">
        <v>1631</v>
      </c>
      <c r="F64" s="172" t="s">
        <v>1631</v>
      </c>
      <c r="G64" s="172" t="s">
        <v>1631</v>
      </c>
      <c r="H64" s="172" t="s">
        <v>1631</v>
      </c>
      <c r="I64" s="172" t="s">
        <v>5062</v>
      </c>
      <c r="J64" s="36">
        <v>1</v>
      </c>
      <c r="K64" s="58">
        <v>1100</v>
      </c>
      <c r="L64" s="58"/>
      <c r="M64" s="22">
        <f>IFERROR((VLOOKUP(A64,'Current Stocks July-26'!$B:$K,10,0)),0)</f>
        <v>3978</v>
      </c>
      <c r="N64" s="22">
        <f t="shared" si="0"/>
        <v>108.49090909090908</v>
      </c>
      <c r="O64" s="22" t="str">
        <f t="shared" si="1"/>
        <v>IN STOCK</v>
      </c>
      <c r="P64" s="22" t="str">
        <f t="shared" si="2"/>
        <v>FOLLOW UP DELIVERY</v>
      </c>
      <c r="Q64" s="58">
        <f t="shared" si="3"/>
        <v>366.66666666666663</v>
      </c>
      <c r="R64" s="58">
        <f t="shared" si="4"/>
        <v>1466.6666666666665</v>
      </c>
      <c r="S64" s="58">
        <f t="shared" si="5"/>
        <v>0</v>
      </c>
      <c r="T64" s="5">
        <v>7</v>
      </c>
      <c r="U64" s="5" t="s">
        <v>1669</v>
      </c>
      <c r="V64" s="173">
        <f>VLOOKUP(A64,'[1]Final-Short'!$B:$AE,29,0)</f>
        <v>24.34667</v>
      </c>
      <c r="W64" s="171" t="s">
        <v>1697</v>
      </c>
      <c r="X64" s="58">
        <f t="shared" si="6"/>
        <v>0</v>
      </c>
      <c r="Y64" s="58">
        <f t="shared" si="7"/>
        <v>26781.337</v>
      </c>
    </row>
    <row r="65" spans="1:25" x14ac:dyDescent="0.25">
      <c r="A65" s="36" t="s">
        <v>716</v>
      </c>
      <c r="B65" s="171" t="s">
        <v>717</v>
      </c>
      <c r="C65" s="171" t="s">
        <v>717</v>
      </c>
      <c r="D65" s="172" t="s">
        <v>1631</v>
      </c>
      <c r="E65" s="172" t="s">
        <v>1631</v>
      </c>
      <c r="F65" s="172" t="s">
        <v>1631</v>
      </c>
      <c r="G65" s="172" t="s">
        <v>1631</v>
      </c>
      <c r="H65" s="172" t="s">
        <v>1631</v>
      </c>
      <c r="I65" s="172" t="s">
        <v>5062</v>
      </c>
      <c r="J65" s="36">
        <v>1</v>
      </c>
      <c r="K65" s="58">
        <v>1500</v>
      </c>
      <c r="L65" s="58"/>
      <c r="M65" s="22">
        <f>IFERROR((VLOOKUP(A65,'Current Stocks July-26'!$B:$K,10,0)),0)</f>
        <v>1500</v>
      </c>
      <c r="N65" s="22">
        <f t="shared" si="0"/>
        <v>30</v>
      </c>
      <c r="O65" s="22" t="str">
        <f t="shared" si="1"/>
        <v>IN STOCK</v>
      </c>
      <c r="P65" s="22" t="str">
        <f t="shared" si="2"/>
        <v>FOLLOW UP DELIVERY</v>
      </c>
      <c r="Q65" s="58">
        <f t="shared" si="3"/>
        <v>850</v>
      </c>
      <c r="R65" s="58">
        <f t="shared" si="4"/>
        <v>2350</v>
      </c>
      <c r="S65" s="58">
        <f t="shared" si="5"/>
        <v>850</v>
      </c>
      <c r="T65" s="5">
        <v>14</v>
      </c>
      <c r="U65" s="5" t="s">
        <v>1669</v>
      </c>
      <c r="V65" s="173">
        <f>VLOOKUP(A65,'[1]Final-Short'!$B:$AE,29,0)</f>
        <v>86</v>
      </c>
      <c r="W65" s="171" t="s">
        <v>1698</v>
      </c>
      <c r="X65" s="58">
        <f t="shared" si="6"/>
        <v>73100</v>
      </c>
      <c r="Y65" s="58">
        <f t="shared" si="7"/>
        <v>129000</v>
      </c>
    </row>
    <row r="66" spans="1:25" x14ac:dyDescent="0.25">
      <c r="A66" s="36" t="s">
        <v>983</v>
      </c>
      <c r="B66" s="171" t="s">
        <v>984</v>
      </c>
      <c r="C66" s="171" t="s">
        <v>984</v>
      </c>
      <c r="D66" s="172" t="s">
        <v>1631</v>
      </c>
      <c r="E66" s="172" t="s">
        <v>1631</v>
      </c>
      <c r="F66" s="172" t="s">
        <v>1631</v>
      </c>
      <c r="G66" s="172" t="s">
        <v>1631</v>
      </c>
      <c r="H66" s="172" t="s">
        <v>1631</v>
      </c>
      <c r="I66" s="172" t="s">
        <v>5062</v>
      </c>
      <c r="J66" s="36">
        <v>1</v>
      </c>
      <c r="K66" s="58">
        <v>100</v>
      </c>
      <c r="L66" s="58"/>
      <c r="M66" s="22">
        <f>IFERROR((VLOOKUP(A66,'Current Stocks July-26'!$B:$K,10,0)),0)</f>
        <v>720</v>
      </c>
      <c r="N66" s="22">
        <f t="shared" ref="N66:N129" si="8">IFERROR((M66/K66*30),0)</f>
        <v>216</v>
      </c>
      <c r="O66" s="22" t="str">
        <f t="shared" ref="O66:O129" si="9">IF(N66&lt;T66,"ORDER NOW","IN STOCK")</f>
        <v>IN STOCK</v>
      </c>
      <c r="P66" s="22" t="str">
        <f t="shared" ref="P66:P129" si="10">IF(N66&lt;T66,"CRITICAL","FOLLOW UP DELIVERY")</f>
        <v>FOLLOW UP DELIVERY</v>
      </c>
      <c r="Q66" s="58">
        <f t="shared" ref="Q66:Q129" si="11">K66*((T66+3)/30)</f>
        <v>33.333333333333329</v>
      </c>
      <c r="R66" s="58">
        <f t="shared" ref="R66:R129" si="12">Q66+K66</f>
        <v>133.33333333333331</v>
      </c>
      <c r="S66" s="58">
        <f t="shared" ref="S66:S129" si="13">MAX((K66+Q66)-M66,0)</f>
        <v>0</v>
      </c>
      <c r="T66" s="5">
        <v>7</v>
      </c>
      <c r="U66" s="5" t="s">
        <v>30</v>
      </c>
      <c r="V66" s="173">
        <f>VLOOKUP(A66,'[1]Final-Short'!$B:$AE,29,0)</f>
        <v>26.05</v>
      </c>
      <c r="W66" s="171" t="s">
        <v>1699</v>
      </c>
      <c r="X66" s="58">
        <f t="shared" ref="X66:X129" si="14">S66*V66</f>
        <v>0</v>
      </c>
      <c r="Y66" s="58">
        <f t="shared" ref="Y66:Y129" si="15">K66*V66</f>
        <v>2605</v>
      </c>
    </row>
    <row r="67" spans="1:25" x14ac:dyDescent="0.25">
      <c r="A67" s="36" t="s">
        <v>396</v>
      </c>
      <c r="B67" s="171" t="s">
        <v>397</v>
      </c>
      <c r="C67" s="171" t="s">
        <v>397</v>
      </c>
      <c r="D67" s="172" t="s">
        <v>1631</v>
      </c>
      <c r="E67" s="172" t="s">
        <v>1631</v>
      </c>
      <c r="F67" s="172" t="s">
        <v>1631</v>
      </c>
      <c r="G67" s="172" t="s">
        <v>1631</v>
      </c>
      <c r="H67" s="172" t="s">
        <v>1631</v>
      </c>
      <c r="I67" s="172" t="s">
        <v>5062</v>
      </c>
      <c r="J67" s="36">
        <v>1</v>
      </c>
      <c r="K67" s="58">
        <v>1500</v>
      </c>
      <c r="L67" s="58"/>
      <c r="M67" s="22">
        <f>IFERROR((VLOOKUP(A67,'Current Stocks July-26'!$B:$K,10,0)),0)</f>
        <v>4320</v>
      </c>
      <c r="N67" s="22">
        <f t="shared" si="8"/>
        <v>86.399999999999991</v>
      </c>
      <c r="O67" s="22" t="str">
        <f t="shared" si="9"/>
        <v>IN STOCK</v>
      </c>
      <c r="P67" s="22" t="str">
        <f t="shared" si="10"/>
        <v>FOLLOW UP DELIVERY</v>
      </c>
      <c r="Q67" s="58">
        <f t="shared" si="11"/>
        <v>500</v>
      </c>
      <c r="R67" s="58">
        <f t="shared" si="12"/>
        <v>2000</v>
      </c>
      <c r="S67" s="58">
        <f t="shared" si="13"/>
        <v>0</v>
      </c>
      <c r="T67" s="5">
        <v>7</v>
      </c>
      <c r="U67" s="5" t="s">
        <v>1669</v>
      </c>
      <c r="V67" s="173">
        <f>VLOOKUP(A67,'[1]Final-Short'!$B:$AE,29,0)</f>
        <v>3.6</v>
      </c>
      <c r="W67" s="171" t="s">
        <v>1700</v>
      </c>
      <c r="X67" s="58">
        <f t="shared" si="14"/>
        <v>0</v>
      </c>
      <c r="Y67" s="58">
        <f t="shared" si="15"/>
        <v>5400</v>
      </c>
    </row>
    <row r="68" spans="1:25" x14ac:dyDescent="0.25">
      <c r="A68" s="36" t="s">
        <v>865</v>
      </c>
      <c r="B68" s="171" t="s">
        <v>866</v>
      </c>
      <c r="C68" s="171" t="s">
        <v>866</v>
      </c>
      <c r="D68" s="172" t="s">
        <v>5062</v>
      </c>
      <c r="E68" s="172" t="s">
        <v>5062</v>
      </c>
      <c r="F68" s="172" t="s">
        <v>1631</v>
      </c>
      <c r="G68" s="172" t="s">
        <v>1631</v>
      </c>
      <c r="H68" s="172" t="s">
        <v>1631</v>
      </c>
      <c r="I68" s="172" t="s">
        <v>1631</v>
      </c>
      <c r="J68" s="36">
        <v>2</v>
      </c>
      <c r="K68" s="58">
        <v>1000</v>
      </c>
      <c r="L68" s="58"/>
      <c r="M68" s="22">
        <f>IFERROR((VLOOKUP(A68,'Current Stocks July-26'!$B:$K,10,0)),0)</f>
        <v>1384</v>
      </c>
      <c r="N68" s="22">
        <f t="shared" si="8"/>
        <v>41.519999999999996</v>
      </c>
      <c r="O68" s="22" t="str">
        <f t="shared" si="9"/>
        <v>IN STOCK</v>
      </c>
      <c r="P68" s="22" t="str">
        <f t="shared" si="10"/>
        <v>FOLLOW UP DELIVERY</v>
      </c>
      <c r="Q68" s="58">
        <f t="shared" si="11"/>
        <v>333.33333333333331</v>
      </c>
      <c r="R68" s="58">
        <f t="shared" si="12"/>
        <v>1333.3333333333333</v>
      </c>
      <c r="S68" s="58">
        <f t="shared" si="13"/>
        <v>0</v>
      </c>
      <c r="T68" s="5">
        <v>7</v>
      </c>
      <c r="U68" s="5" t="s">
        <v>30</v>
      </c>
      <c r="V68" s="173">
        <f>VLOOKUP(A68,'[1]Final-Short'!$B:$AE,29,0)</f>
        <v>14</v>
      </c>
      <c r="W68" s="171" t="str">
        <f>VLOOKUP(A68,'[1]Final-Short'!$B:$AE,30,0)</f>
        <v>شركة أعمال الضيافة للخدمات التموينية</v>
      </c>
      <c r="X68" s="58">
        <f t="shared" si="14"/>
        <v>0</v>
      </c>
      <c r="Y68" s="58">
        <f t="shared" si="15"/>
        <v>14000</v>
      </c>
    </row>
    <row r="69" spans="1:25" x14ac:dyDescent="0.25">
      <c r="A69" s="36" t="s">
        <v>936</v>
      </c>
      <c r="B69" s="171" t="s">
        <v>937</v>
      </c>
      <c r="C69" s="171" t="s">
        <v>937</v>
      </c>
      <c r="D69" s="172" t="s">
        <v>5062</v>
      </c>
      <c r="E69" s="172" t="s">
        <v>1631</v>
      </c>
      <c r="F69" s="172" t="s">
        <v>1631</v>
      </c>
      <c r="G69" s="172" t="s">
        <v>1631</v>
      </c>
      <c r="H69" s="172" t="s">
        <v>1631</v>
      </c>
      <c r="I69" s="172" t="s">
        <v>1631</v>
      </c>
      <c r="J69" s="36">
        <v>1</v>
      </c>
      <c r="K69" s="58">
        <v>3600</v>
      </c>
      <c r="L69" s="58"/>
      <c r="M69" s="22">
        <f>IFERROR((VLOOKUP(A69,'Current Stocks July-26'!$B:$K,10,0)),0)</f>
        <v>7962</v>
      </c>
      <c r="N69" s="22">
        <f t="shared" si="8"/>
        <v>66.349999999999994</v>
      </c>
      <c r="O69" s="22" t="str">
        <f t="shared" si="9"/>
        <v>IN STOCK</v>
      </c>
      <c r="P69" s="22" t="str">
        <f t="shared" si="10"/>
        <v>FOLLOW UP DELIVERY</v>
      </c>
      <c r="Q69" s="58">
        <f t="shared" si="11"/>
        <v>2760</v>
      </c>
      <c r="R69" s="58">
        <f t="shared" si="12"/>
        <v>6360</v>
      </c>
      <c r="S69" s="58">
        <f t="shared" si="13"/>
        <v>0</v>
      </c>
      <c r="T69" s="5">
        <v>20</v>
      </c>
      <c r="U69" s="5" t="s">
        <v>1669</v>
      </c>
      <c r="V69" s="173">
        <f>VLOOKUP(A69,'[1]Final-Short'!$B:$AE,29,0)</f>
        <v>5.5</v>
      </c>
      <c r="W69" s="171" t="str">
        <f>VLOOKUP(A69,'[1]Final-Short'!$B:$AE,30,0)</f>
        <v>HISSAH AHMAD ALAMER TRENDING</v>
      </c>
      <c r="X69" s="58">
        <f t="shared" si="14"/>
        <v>0</v>
      </c>
      <c r="Y69" s="58">
        <f t="shared" si="15"/>
        <v>19800</v>
      </c>
    </row>
    <row r="70" spans="1:25" x14ac:dyDescent="0.25">
      <c r="A70" s="36" t="s">
        <v>538</v>
      </c>
      <c r="B70" s="171" t="s">
        <v>539</v>
      </c>
      <c r="C70" s="171" t="s">
        <v>539</v>
      </c>
      <c r="D70" s="172" t="s">
        <v>1631</v>
      </c>
      <c r="E70" s="172" t="s">
        <v>1631</v>
      </c>
      <c r="F70" s="172" t="s">
        <v>1631</v>
      </c>
      <c r="G70" s="172" t="s">
        <v>5062</v>
      </c>
      <c r="H70" s="172" t="s">
        <v>1631</v>
      </c>
      <c r="I70" s="172" t="s">
        <v>1631</v>
      </c>
      <c r="J70" s="36">
        <v>1</v>
      </c>
      <c r="K70" s="58">
        <v>1</v>
      </c>
      <c r="L70" s="58" t="s">
        <v>1701</v>
      </c>
      <c r="M70" s="22">
        <f>IFERROR((VLOOKUP(A70,'Current Stocks July-26'!$B:$K,10,0)),0)</f>
        <v>0</v>
      </c>
      <c r="N70" s="22">
        <f t="shared" si="8"/>
        <v>0</v>
      </c>
      <c r="O70" s="22" t="str">
        <f t="shared" si="9"/>
        <v>ORDER NOW</v>
      </c>
      <c r="P70" s="22" t="str">
        <f t="shared" si="10"/>
        <v>CRITICAL</v>
      </c>
      <c r="Q70" s="58">
        <f t="shared" si="11"/>
        <v>0.33333333333333331</v>
      </c>
      <c r="R70" s="58">
        <f t="shared" si="12"/>
        <v>1.3333333333333333</v>
      </c>
      <c r="S70" s="58">
        <f t="shared" si="13"/>
        <v>1.3333333333333333</v>
      </c>
      <c r="T70" s="5">
        <v>7</v>
      </c>
      <c r="U70" s="5" t="s">
        <v>30</v>
      </c>
      <c r="V70" s="173">
        <f>VLOOKUP(A70,'[1]Final-Short'!$B:$AE,29,0)</f>
        <v>14.2</v>
      </c>
      <c r="W70" s="171" t="s">
        <v>1696</v>
      </c>
      <c r="X70" s="58">
        <f t="shared" si="14"/>
        <v>18.93333333333333</v>
      </c>
      <c r="Y70" s="58">
        <f t="shared" si="15"/>
        <v>14.2</v>
      </c>
    </row>
    <row r="71" spans="1:25" x14ac:dyDescent="0.25">
      <c r="A71" s="36" t="s">
        <v>111</v>
      </c>
      <c r="B71" s="171" t="s">
        <v>112</v>
      </c>
      <c r="C71" s="171" t="s">
        <v>112</v>
      </c>
      <c r="D71" s="172" t="s">
        <v>1631</v>
      </c>
      <c r="E71" s="172" t="s">
        <v>1631</v>
      </c>
      <c r="F71" s="172" t="s">
        <v>1631</v>
      </c>
      <c r="G71" s="172" t="s">
        <v>1631</v>
      </c>
      <c r="H71" s="172" t="s">
        <v>1631</v>
      </c>
      <c r="I71" s="172" t="s">
        <v>5062</v>
      </c>
      <c r="J71" s="36">
        <v>1</v>
      </c>
      <c r="K71" s="58">
        <v>750</v>
      </c>
      <c r="L71" s="58"/>
      <c r="M71" s="22">
        <f>IFERROR((VLOOKUP(A71,'Current Stocks July-26'!$B:$K,10,0)),0)</f>
        <v>1401</v>
      </c>
      <c r="N71" s="22">
        <f t="shared" si="8"/>
        <v>56.040000000000006</v>
      </c>
      <c r="O71" s="22" t="str">
        <f t="shared" si="9"/>
        <v>IN STOCK</v>
      </c>
      <c r="P71" s="22" t="str">
        <f t="shared" si="10"/>
        <v>FOLLOW UP DELIVERY</v>
      </c>
      <c r="Q71" s="58">
        <f t="shared" si="11"/>
        <v>250</v>
      </c>
      <c r="R71" s="58">
        <f t="shared" si="12"/>
        <v>1000</v>
      </c>
      <c r="S71" s="58">
        <f t="shared" si="13"/>
        <v>0</v>
      </c>
      <c r="T71" s="5">
        <v>7</v>
      </c>
      <c r="U71" s="5" t="s">
        <v>1669</v>
      </c>
      <c r="V71" s="173">
        <f>VLOOKUP(A71,'[1]Final-Short'!$B:$AE,29,0)</f>
        <v>20</v>
      </c>
      <c r="W71" s="171" t="s">
        <v>1702</v>
      </c>
      <c r="X71" s="58">
        <f t="shared" si="14"/>
        <v>0</v>
      </c>
      <c r="Y71" s="58">
        <f t="shared" si="15"/>
        <v>15000</v>
      </c>
    </row>
    <row r="72" spans="1:25" x14ac:dyDescent="0.25">
      <c r="A72" s="36" t="s">
        <v>494</v>
      </c>
      <c r="B72" s="171" t="s">
        <v>495</v>
      </c>
      <c r="C72" s="171" t="s">
        <v>495</v>
      </c>
      <c r="D72" s="172" t="s">
        <v>1631</v>
      </c>
      <c r="E72" s="172" t="s">
        <v>1631</v>
      </c>
      <c r="F72" s="172" t="s">
        <v>1631</v>
      </c>
      <c r="G72" s="172" t="s">
        <v>1631</v>
      </c>
      <c r="H72" s="172" t="s">
        <v>1631</v>
      </c>
      <c r="I72" s="172" t="s">
        <v>5062</v>
      </c>
      <c r="J72" s="36">
        <v>1</v>
      </c>
      <c r="K72" s="58">
        <v>12</v>
      </c>
      <c r="L72" s="58"/>
      <c r="M72" s="22">
        <f>IFERROR((VLOOKUP(A72,'Current Stocks July-26'!$B:$K,10,0)),0)</f>
        <v>8</v>
      </c>
      <c r="N72" s="22">
        <f t="shared" si="8"/>
        <v>20</v>
      </c>
      <c r="O72" s="22" t="str">
        <f t="shared" si="9"/>
        <v>IN STOCK</v>
      </c>
      <c r="P72" s="22" t="str">
        <f t="shared" si="10"/>
        <v>FOLLOW UP DELIVERY</v>
      </c>
      <c r="Q72" s="58">
        <f t="shared" si="11"/>
        <v>4</v>
      </c>
      <c r="R72" s="58">
        <f t="shared" si="12"/>
        <v>16</v>
      </c>
      <c r="S72" s="58">
        <f t="shared" si="13"/>
        <v>8</v>
      </c>
      <c r="T72" s="5">
        <v>7</v>
      </c>
      <c r="U72" s="5" t="s">
        <v>1703</v>
      </c>
      <c r="V72" s="173">
        <f>VLOOKUP(A72,'[1]Final-Short'!$B:$AE,29,0)</f>
        <v>7</v>
      </c>
      <c r="W72" s="171" t="s">
        <v>1700</v>
      </c>
      <c r="X72" s="58">
        <f t="shared" si="14"/>
        <v>56</v>
      </c>
      <c r="Y72" s="58">
        <f t="shared" si="15"/>
        <v>84</v>
      </c>
    </row>
    <row r="73" spans="1:25" x14ac:dyDescent="0.25">
      <c r="A73" s="36" t="s">
        <v>1502</v>
      </c>
      <c r="B73" s="171" t="s">
        <v>1503</v>
      </c>
      <c r="C73" s="171" t="s">
        <v>1503</v>
      </c>
      <c r="D73" s="172" t="s">
        <v>1631</v>
      </c>
      <c r="E73" s="172" t="s">
        <v>1631</v>
      </c>
      <c r="F73" s="172" t="s">
        <v>1631</v>
      </c>
      <c r="G73" s="172" t="s">
        <v>1631</v>
      </c>
      <c r="H73" s="172" t="s">
        <v>1631</v>
      </c>
      <c r="I73" s="172" t="s">
        <v>5062</v>
      </c>
      <c r="J73" s="36">
        <v>1</v>
      </c>
      <c r="K73" s="58">
        <v>45</v>
      </c>
      <c r="L73" s="58"/>
      <c r="M73" s="22">
        <f>IFERROR((VLOOKUP(A73,'Current Stocks July-26'!$B:$K,10,0)),0)</f>
        <v>100</v>
      </c>
      <c r="N73" s="22">
        <f t="shared" si="8"/>
        <v>66.666666666666671</v>
      </c>
      <c r="O73" s="22" t="str">
        <f t="shared" si="9"/>
        <v>IN STOCK</v>
      </c>
      <c r="P73" s="22" t="str">
        <f t="shared" si="10"/>
        <v>FOLLOW UP DELIVERY</v>
      </c>
      <c r="Q73" s="58">
        <f t="shared" si="11"/>
        <v>15</v>
      </c>
      <c r="R73" s="58">
        <f t="shared" si="12"/>
        <v>60</v>
      </c>
      <c r="S73" s="58">
        <f t="shared" si="13"/>
        <v>0</v>
      </c>
      <c r="T73" s="5">
        <v>7</v>
      </c>
      <c r="U73" s="5" t="s">
        <v>1669</v>
      </c>
      <c r="V73" s="173">
        <f>VLOOKUP(A73,'[1]Final-Short'!$B:$AE,29,0)</f>
        <v>6.6</v>
      </c>
      <c r="W73" s="171" t="s">
        <v>1704</v>
      </c>
      <c r="X73" s="58">
        <f t="shared" si="14"/>
        <v>0</v>
      </c>
      <c r="Y73" s="58">
        <f t="shared" si="15"/>
        <v>297</v>
      </c>
    </row>
    <row r="74" spans="1:25" x14ac:dyDescent="0.25">
      <c r="A74" s="36" t="s">
        <v>1269</v>
      </c>
      <c r="B74" s="171" t="s">
        <v>1705</v>
      </c>
      <c r="C74" s="171" t="s">
        <v>1705</v>
      </c>
      <c r="D74" s="172" t="s">
        <v>1631</v>
      </c>
      <c r="E74" s="172" t="s">
        <v>1631</v>
      </c>
      <c r="F74" s="172" t="s">
        <v>1631</v>
      </c>
      <c r="G74" s="172" t="s">
        <v>1631</v>
      </c>
      <c r="H74" s="172" t="s">
        <v>1631</v>
      </c>
      <c r="I74" s="172" t="s">
        <v>5062</v>
      </c>
      <c r="J74" s="36">
        <v>1</v>
      </c>
      <c r="K74" s="58">
        <v>50</v>
      </c>
      <c r="L74" s="58"/>
      <c r="M74" s="22">
        <f>IFERROR((VLOOKUP(A74,'Current Stocks July-26'!$B:$K,10,0)),0)</f>
        <v>55.680000000000007</v>
      </c>
      <c r="N74" s="22">
        <f t="shared" si="8"/>
        <v>33.408000000000001</v>
      </c>
      <c r="O74" s="22" t="str">
        <f t="shared" si="9"/>
        <v>IN STOCK</v>
      </c>
      <c r="P74" s="22" t="str">
        <f t="shared" si="10"/>
        <v>FOLLOW UP DELIVERY</v>
      </c>
      <c r="Q74" s="58">
        <f t="shared" si="11"/>
        <v>16.666666666666664</v>
      </c>
      <c r="R74" s="58">
        <f t="shared" si="12"/>
        <v>66.666666666666657</v>
      </c>
      <c r="S74" s="58">
        <f t="shared" si="13"/>
        <v>10.98666666666665</v>
      </c>
      <c r="T74" s="5">
        <v>7</v>
      </c>
      <c r="U74" s="5" t="s">
        <v>30</v>
      </c>
      <c r="V74" s="173">
        <f>VLOOKUP(A74,'[1]Final-Short'!$B:$AE,29,0)</f>
        <v>48.742139999999999</v>
      </c>
      <c r="W74" s="171" t="s">
        <v>1706</v>
      </c>
      <c r="X74" s="58">
        <f t="shared" si="14"/>
        <v>535.51364479999916</v>
      </c>
      <c r="Y74" s="58">
        <f t="shared" si="15"/>
        <v>2437.107</v>
      </c>
    </row>
    <row r="75" spans="1:25" x14ac:dyDescent="0.25">
      <c r="A75" s="36" t="s">
        <v>1707</v>
      </c>
      <c r="B75" s="171" t="s">
        <v>1708</v>
      </c>
      <c r="C75" s="171" t="s">
        <v>1708</v>
      </c>
      <c r="D75" s="172" t="s">
        <v>1631</v>
      </c>
      <c r="E75" s="172" t="s">
        <v>1631</v>
      </c>
      <c r="F75" s="172" t="s">
        <v>1631</v>
      </c>
      <c r="G75" s="172" t="s">
        <v>1631</v>
      </c>
      <c r="H75" s="172" t="s">
        <v>1631</v>
      </c>
      <c r="I75" s="172" t="s">
        <v>5062</v>
      </c>
      <c r="J75" s="36">
        <v>1</v>
      </c>
      <c r="K75" s="58">
        <v>72</v>
      </c>
      <c r="L75" s="58"/>
      <c r="M75" s="22">
        <f>IFERROR((VLOOKUP(A75,'Current Stocks July-26'!$B:$K,10,0)),0)</f>
        <v>0</v>
      </c>
      <c r="N75" s="22">
        <f t="shared" si="8"/>
        <v>0</v>
      </c>
      <c r="O75" s="22" t="str">
        <f t="shared" si="9"/>
        <v>ORDER NOW</v>
      </c>
      <c r="P75" s="22" t="str">
        <f t="shared" si="10"/>
        <v>CRITICAL</v>
      </c>
      <c r="Q75" s="58">
        <f t="shared" si="11"/>
        <v>24</v>
      </c>
      <c r="R75" s="58">
        <f t="shared" si="12"/>
        <v>96</v>
      </c>
      <c r="S75" s="58">
        <f t="shared" si="13"/>
        <v>96</v>
      </c>
      <c r="T75" s="5">
        <v>7</v>
      </c>
      <c r="U75" s="5" t="s">
        <v>30</v>
      </c>
      <c r="V75" s="173">
        <f>VLOOKUP(A75,'[1]Final-Short'!$B:$AE,29,0)</f>
        <v>20.066669999999998</v>
      </c>
      <c r="W75" s="171" t="s">
        <v>1699</v>
      </c>
      <c r="X75" s="58">
        <f t="shared" si="14"/>
        <v>1926.4003199999997</v>
      </c>
      <c r="Y75" s="58">
        <f t="shared" si="15"/>
        <v>1444.8002399999998</v>
      </c>
    </row>
    <row r="76" spans="1:25" x14ac:dyDescent="0.25">
      <c r="A76" s="36" t="s">
        <v>919</v>
      </c>
      <c r="B76" s="171" t="s">
        <v>920</v>
      </c>
      <c r="C76" s="171" t="s">
        <v>920</v>
      </c>
      <c r="D76" s="172" t="s">
        <v>5062</v>
      </c>
      <c r="E76" s="172" t="s">
        <v>1631</v>
      </c>
      <c r="F76" s="172" t="s">
        <v>1631</v>
      </c>
      <c r="G76" s="172" t="s">
        <v>5062</v>
      </c>
      <c r="H76" s="172" t="s">
        <v>1631</v>
      </c>
      <c r="I76" s="172" t="s">
        <v>1631</v>
      </c>
      <c r="J76" s="36">
        <v>2</v>
      </c>
      <c r="K76" s="58">
        <v>5000</v>
      </c>
      <c r="L76" s="58"/>
      <c r="M76" s="22">
        <f>IFERROR((VLOOKUP(A76,'Current Stocks July-26'!$B:$K,10,0)),0)</f>
        <v>598</v>
      </c>
      <c r="N76" s="22">
        <f t="shared" si="8"/>
        <v>3.5880000000000001</v>
      </c>
      <c r="O76" s="22" t="str">
        <f t="shared" si="9"/>
        <v>ORDER NOW</v>
      </c>
      <c r="P76" s="22" t="str">
        <f t="shared" si="10"/>
        <v>CRITICAL</v>
      </c>
      <c r="Q76" s="58">
        <f t="shared" si="11"/>
        <v>1666.6666666666665</v>
      </c>
      <c r="R76" s="58">
        <f t="shared" si="12"/>
        <v>6666.6666666666661</v>
      </c>
      <c r="S76" s="58">
        <f t="shared" si="13"/>
        <v>6068.6666666666661</v>
      </c>
      <c r="T76" s="5">
        <v>7</v>
      </c>
      <c r="U76" s="5" t="s">
        <v>30</v>
      </c>
      <c r="V76" s="173">
        <f>VLOOKUP(A76,'[1]Final-Short'!$B:$AE,29,0)</f>
        <v>0.21082999999999999</v>
      </c>
      <c r="W76" s="171" t="str">
        <f>VLOOKUP(A76,'[1]Final-Short'!$B:$AE,30,0)</f>
        <v>Tanzeem Al Afkar Trading Company | شركة تنظيم الافكار للتجارة</v>
      </c>
      <c r="X76" s="58">
        <f t="shared" si="14"/>
        <v>1279.4569933333332</v>
      </c>
      <c r="Y76" s="58">
        <f t="shared" si="15"/>
        <v>1054.1499999999999</v>
      </c>
    </row>
    <row r="77" spans="1:25" x14ac:dyDescent="0.25">
      <c r="A77" s="36" t="s">
        <v>497</v>
      </c>
      <c r="B77" s="171" t="s">
        <v>498</v>
      </c>
      <c r="C77" s="171" t="s">
        <v>498</v>
      </c>
      <c r="D77" s="172" t="s">
        <v>1631</v>
      </c>
      <c r="E77" s="172" t="s">
        <v>1631</v>
      </c>
      <c r="F77" s="172" t="s">
        <v>1631</v>
      </c>
      <c r="G77" s="172" t="s">
        <v>1631</v>
      </c>
      <c r="H77" s="172" t="s">
        <v>1631</v>
      </c>
      <c r="I77" s="172" t="s">
        <v>5062</v>
      </c>
      <c r="J77" s="36">
        <v>1</v>
      </c>
      <c r="K77" s="58">
        <v>30</v>
      </c>
      <c r="L77" s="58"/>
      <c r="M77" s="22">
        <f>IFERROR((VLOOKUP(A77,'Current Stocks July-26'!$B:$K,10,0)),0)</f>
        <v>296</v>
      </c>
      <c r="N77" s="22">
        <f t="shared" si="8"/>
        <v>296</v>
      </c>
      <c r="O77" s="22" t="str">
        <f t="shared" si="9"/>
        <v>IN STOCK</v>
      </c>
      <c r="P77" s="22" t="str">
        <f t="shared" si="10"/>
        <v>FOLLOW UP DELIVERY</v>
      </c>
      <c r="Q77" s="58">
        <f t="shared" si="11"/>
        <v>10</v>
      </c>
      <c r="R77" s="58">
        <f t="shared" si="12"/>
        <v>40</v>
      </c>
      <c r="S77" s="58">
        <f t="shared" si="13"/>
        <v>0</v>
      </c>
      <c r="T77" s="5">
        <v>7</v>
      </c>
      <c r="U77" s="5" t="s">
        <v>30</v>
      </c>
      <c r="V77" s="173">
        <f>VLOOKUP(A77,'[1]Final-Short'!$B:$AE,29,0)</f>
        <v>7.5</v>
      </c>
      <c r="W77" s="171" t="s">
        <v>1700</v>
      </c>
      <c r="X77" s="58">
        <f t="shared" si="14"/>
        <v>0</v>
      </c>
      <c r="Y77" s="58">
        <f t="shared" si="15"/>
        <v>225</v>
      </c>
    </row>
    <row r="78" spans="1:25" x14ac:dyDescent="0.25">
      <c r="A78" s="36" t="s">
        <v>1709</v>
      </c>
      <c r="B78" s="171" t="s">
        <v>1551</v>
      </c>
      <c r="C78" s="171" t="s">
        <v>1551</v>
      </c>
      <c r="D78" s="172" t="s">
        <v>1631</v>
      </c>
      <c r="E78" s="172" t="s">
        <v>1631</v>
      </c>
      <c r="F78" s="172" t="s">
        <v>1631</v>
      </c>
      <c r="G78" s="172" t="s">
        <v>1631</v>
      </c>
      <c r="H78" s="172" t="s">
        <v>1631</v>
      </c>
      <c r="I78" s="172" t="s">
        <v>1631</v>
      </c>
      <c r="J78" s="36">
        <v>0</v>
      </c>
      <c r="K78" s="58">
        <v>1</v>
      </c>
      <c r="L78" s="58"/>
      <c r="M78" s="22">
        <f>IFERROR((VLOOKUP(A78,'Current Stocks July-26'!$B:$K,10,0)),0)</f>
        <v>18</v>
      </c>
      <c r="N78" s="22">
        <f t="shared" si="8"/>
        <v>540</v>
      </c>
      <c r="O78" s="22" t="str">
        <f t="shared" si="9"/>
        <v>IN STOCK</v>
      </c>
      <c r="P78" s="22" t="str">
        <f t="shared" si="10"/>
        <v>FOLLOW UP DELIVERY</v>
      </c>
      <c r="Q78" s="58">
        <f t="shared" si="11"/>
        <v>0.33333333333333331</v>
      </c>
      <c r="R78" s="58">
        <f t="shared" si="12"/>
        <v>1.3333333333333333</v>
      </c>
      <c r="S78" s="58">
        <f t="shared" si="13"/>
        <v>0</v>
      </c>
      <c r="T78" s="5">
        <v>7</v>
      </c>
      <c r="U78" s="5" t="s">
        <v>30</v>
      </c>
      <c r="V78" s="173">
        <f>VLOOKUP(A78,'[1]Final-Short'!$B:$AE,29,0)</f>
        <v>9.1666699999999999</v>
      </c>
      <c r="W78" s="171" t="s">
        <v>1706</v>
      </c>
      <c r="X78" s="58">
        <f t="shared" si="14"/>
        <v>0</v>
      </c>
      <c r="Y78" s="58">
        <f t="shared" si="15"/>
        <v>9.1666699999999999</v>
      </c>
    </row>
    <row r="79" spans="1:25" x14ac:dyDescent="0.25">
      <c r="A79" s="36" t="s">
        <v>1401</v>
      </c>
      <c r="B79" s="171" t="s">
        <v>1402</v>
      </c>
      <c r="C79" s="171" t="s">
        <v>1402</v>
      </c>
      <c r="D79" s="172" t="s">
        <v>1631</v>
      </c>
      <c r="E79" s="172" t="s">
        <v>5062</v>
      </c>
      <c r="F79" s="172" t="s">
        <v>1631</v>
      </c>
      <c r="G79" s="172" t="s">
        <v>1631</v>
      </c>
      <c r="H79" s="172" t="s">
        <v>1631</v>
      </c>
      <c r="I79" s="172" t="s">
        <v>1631</v>
      </c>
      <c r="J79" s="36">
        <v>1</v>
      </c>
      <c r="K79" s="180">
        <v>125</v>
      </c>
      <c r="L79" s="180"/>
      <c r="M79" s="22">
        <f>IFERROR((VLOOKUP(A79,'Current Stocks July-26'!$B:$K,10,0)),0)</f>
        <v>25</v>
      </c>
      <c r="N79" s="22">
        <f t="shared" si="8"/>
        <v>6</v>
      </c>
      <c r="O79" s="22" t="str">
        <f t="shared" si="9"/>
        <v>ORDER NOW</v>
      </c>
      <c r="P79" s="22" t="str">
        <f t="shared" si="10"/>
        <v>CRITICAL</v>
      </c>
      <c r="Q79" s="58">
        <f t="shared" si="11"/>
        <v>41.666666666666664</v>
      </c>
      <c r="R79" s="58">
        <f t="shared" si="12"/>
        <v>166.66666666666666</v>
      </c>
      <c r="S79" s="58">
        <f t="shared" si="13"/>
        <v>141.66666666666666</v>
      </c>
      <c r="T79" s="5">
        <v>7</v>
      </c>
      <c r="U79" s="5" t="s">
        <v>30</v>
      </c>
      <c r="V79" s="173">
        <f>VLOOKUP(A79,'[1]Final-Short'!$B:$AE,29,0)</f>
        <v>40</v>
      </c>
      <c r="W79" s="171" t="s">
        <v>1710</v>
      </c>
      <c r="X79" s="58">
        <f t="shared" si="14"/>
        <v>5666.6666666666661</v>
      </c>
      <c r="Y79" s="58">
        <f t="shared" si="15"/>
        <v>5000</v>
      </c>
    </row>
    <row r="80" spans="1:25" x14ac:dyDescent="0.25">
      <c r="A80" s="36" t="s">
        <v>874</v>
      </c>
      <c r="B80" s="171" t="s">
        <v>875</v>
      </c>
      <c r="C80" s="171" t="s">
        <v>875</v>
      </c>
      <c r="D80" s="172" t="s">
        <v>5062</v>
      </c>
      <c r="E80" s="172" t="s">
        <v>1631</v>
      </c>
      <c r="F80" s="172" t="s">
        <v>1631</v>
      </c>
      <c r="G80" s="172" t="s">
        <v>1631</v>
      </c>
      <c r="H80" s="172" t="s">
        <v>1631</v>
      </c>
      <c r="I80" s="172" t="s">
        <v>1631</v>
      </c>
      <c r="J80" s="36">
        <v>1</v>
      </c>
      <c r="K80" s="58">
        <v>300</v>
      </c>
      <c r="L80" s="58"/>
      <c r="M80" s="22">
        <f>IFERROR((VLOOKUP(A80,'Current Stocks July-26'!$B:$K,10,0)),0)</f>
        <v>104</v>
      </c>
      <c r="N80" s="22">
        <f t="shared" si="8"/>
        <v>10.4</v>
      </c>
      <c r="O80" s="22" t="str">
        <f t="shared" si="9"/>
        <v>ORDER NOW</v>
      </c>
      <c r="P80" s="22" t="str">
        <f t="shared" si="10"/>
        <v>CRITICAL</v>
      </c>
      <c r="Q80" s="58">
        <f t="shared" si="11"/>
        <v>170</v>
      </c>
      <c r="R80" s="58">
        <f t="shared" si="12"/>
        <v>470</v>
      </c>
      <c r="S80" s="58">
        <f t="shared" si="13"/>
        <v>366</v>
      </c>
      <c r="T80" s="5">
        <v>14</v>
      </c>
      <c r="U80" s="5" t="s">
        <v>30</v>
      </c>
      <c r="V80" s="173">
        <f>VLOOKUP(A80,'[1]Final-Short'!$B:$AE,29,0)</f>
        <v>65</v>
      </c>
      <c r="W80" s="171" t="str">
        <f>VLOOKUP(A80,'[1]Final-Short'!$B:$AE,30,0)</f>
        <v>شركة اضافات العالمية للتجارة-Edafat</v>
      </c>
      <c r="X80" s="58">
        <f t="shared" si="14"/>
        <v>23790</v>
      </c>
      <c r="Y80" s="58">
        <f t="shared" si="15"/>
        <v>19500</v>
      </c>
    </row>
    <row r="81" spans="1:25" x14ac:dyDescent="0.25">
      <c r="A81" s="36" t="s">
        <v>1711</v>
      </c>
      <c r="B81" s="171" t="s">
        <v>1712</v>
      </c>
      <c r="C81" s="171" t="s">
        <v>1712</v>
      </c>
      <c r="D81" s="172" t="s">
        <v>1631</v>
      </c>
      <c r="E81" s="172" t="s">
        <v>1631</v>
      </c>
      <c r="F81" s="172" t="s">
        <v>1631</v>
      </c>
      <c r="G81" s="172" t="s">
        <v>5062</v>
      </c>
      <c r="H81" s="172" t="s">
        <v>1631</v>
      </c>
      <c r="I81" s="172" t="s">
        <v>1631</v>
      </c>
      <c r="J81" s="36">
        <v>1</v>
      </c>
      <c r="K81" s="58">
        <v>1</v>
      </c>
      <c r="L81" s="58"/>
      <c r="M81" s="22">
        <f>IFERROR((VLOOKUP(A81,'Current Stocks July-26'!$B:$K,10,0)),0)</f>
        <v>0</v>
      </c>
      <c r="N81" s="22">
        <f t="shared" si="8"/>
        <v>0</v>
      </c>
      <c r="O81" s="22" t="str">
        <f t="shared" si="9"/>
        <v>ORDER NOW</v>
      </c>
      <c r="P81" s="22" t="str">
        <f t="shared" si="10"/>
        <v>CRITICAL</v>
      </c>
      <c r="Q81" s="58">
        <f t="shared" si="11"/>
        <v>0.33333333333333331</v>
      </c>
      <c r="R81" s="58">
        <f t="shared" si="12"/>
        <v>1.3333333333333333</v>
      </c>
      <c r="S81" s="58">
        <f t="shared" si="13"/>
        <v>1.3333333333333333</v>
      </c>
      <c r="T81" s="5">
        <v>7</v>
      </c>
      <c r="U81" s="5" t="s">
        <v>30</v>
      </c>
      <c r="V81" s="173">
        <f>VLOOKUP(A81,'[1]Final-Short'!$B:$AE,29,0)</f>
        <v>24</v>
      </c>
      <c r="W81" s="171" t="s">
        <v>1699</v>
      </c>
      <c r="X81" s="58">
        <f t="shared" si="14"/>
        <v>32</v>
      </c>
      <c r="Y81" s="58">
        <f t="shared" si="15"/>
        <v>24</v>
      </c>
    </row>
    <row r="82" spans="1:25" x14ac:dyDescent="0.25">
      <c r="A82" s="36" t="s">
        <v>691</v>
      </c>
      <c r="B82" s="171" t="s">
        <v>692</v>
      </c>
      <c r="C82" s="171" t="s">
        <v>692</v>
      </c>
      <c r="D82" s="172" t="s">
        <v>1631</v>
      </c>
      <c r="E82" s="172" t="s">
        <v>1631</v>
      </c>
      <c r="F82" s="172" t="s">
        <v>1631</v>
      </c>
      <c r="G82" s="172" t="s">
        <v>5062</v>
      </c>
      <c r="H82" s="172" t="s">
        <v>1631</v>
      </c>
      <c r="I82" s="172" t="s">
        <v>5062</v>
      </c>
      <c r="J82" s="36">
        <v>2</v>
      </c>
      <c r="K82" s="58">
        <v>12</v>
      </c>
      <c r="L82" s="58"/>
      <c r="M82" s="22">
        <f>IFERROR((VLOOKUP(A82,'Current Stocks July-26'!$B:$K,10,0)),0)</f>
        <v>10</v>
      </c>
      <c r="N82" s="22">
        <f t="shared" si="8"/>
        <v>25</v>
      </c>
      <c r="O82" s="22" t="str">
        <f t="shared" si="9"/>
        <v>IN STOCK</v>
      </c>
      <c r="P82" s="22" t="str">
        <f t="shared" si="10"/>
        <v>FOLLOW UP DELIVERY</v>
      </c>
      <c r="Q82" s="58">
        <f t="shared" si="11"/>
        <v>4</v>
      </c>
      <c r="R82" s="58">
        <f t="shared" si="12"/>
        <v>16</v>
      </c>
      <c r="S82" s="58">
        <f t="shared" si="13"/>
        <v>6</v>
      </c>
      <c r="T82" s="5">
        <v>7</v>
      </c>
      <c r="U82" s="5" t="s">
        <v>30</v>
      </c>
      <c r="V82" s="173">
        <f>VLOOKUP(A82,'[1]Final-Short'!$B:$AE,29,0)</f>
        <v>10</v>
      </c>
      <c r="W82" s="171" t="s">
        <v>1700</v>
      </c>
      <c r="X82" s="58">
        <f t="shared" si="14"/>
        <v>60</v>
      </c>
      <c r="Y82" s="58">
        <f t="shared" si="15"/>
        <v>120</v>
      </c>
    </row>
    <row r="83" spans="1:25" x14ac:dyDescent="0.25">
      <c r="A83" s="36" t="s">
        <v>1713</v>
      </c>
      <c r="B83" s="171" t="s">
        <v>1714</v>
      </c>
      <c r="C83" s="171" t="s">
        <v>1714</v>
      </c>
      <c r="D83" s="172" t="s">
        <v>1631</v>
      </c>
      <c r="E83" s="172" t="s">
        <v>1631</v>
      </c>
      <c r="F83" s="172" t="s">
        <v>1631</v>
      </c>
      <c r="G83" s="172" t="s">
        <v>1631</v>
      </c>
      <c r="H83" s="172" t="s">
        <v>1631</v>
      </c>
      <c r="I83" s="172" t="s">
        <v>5062</v>
      </c>
      <c r="J83" s="36">
        <v>1</v>
      </c>
      <c r="K83" s="58">
        <v>0</v>
      </c>
      <c r="L83" s="58"/>
      <c r="M83" s="22">
        <f>IFERROR((VLOOKUP(A83,'Current Stocks July-26'!$B:$K,10,0)),0)</f>
        <v>0</v>
      </c>
      <c r="N83" s="22">
        <f t="shared" si="8"/>
        <v>0</v>
      </c>
      <c r="O83" s="22" t="str">
        <f t="shared" si="9"/>
        <v>ORDER NOW</v>
      </c>
      <c r="P83" s="22" t="str">
        <f t="shared" si="10"/>
        <v>CRITICAL</v>
      </c>
      <c r="Q83" s="58">
        <f t="shared" si="11"/>
        <v>0</v>
      </c>
      <c r="R83" s="58">
        <f t="shared" si="12"/>
        <v>0</v>
      </c>
      <c r="S83" s="58">
        <f t="shared" si="13"/>
        <v>0</v>
      </c>
      <c r="T83" s="5">
        <v>7</v>
      </c>
      <c r="U83" s="5" t="s">
        <v>30</v>
      </c>
      <c r="V83" s="173">
        <f>VLOOKUP(A83,'[1]Final-Short'!$B:$AE,29,0)</f>
        <v>4</v>
      </c>
      <c r="W83" s="171" t="s">
        <v>1715</v>
      </c>
      <c r="X83" s="58">
        <f t="shared" si="14"/>
        <v>0</v>
      </c>
      <c r="Y83" s="58">
        <f t="shared" si="15"/>
        <v>0</v>
      </c>
    </row>
    <row r="84" spans="1:25" x14ac:dyDescent="0.25">
      <c r="A84" s="36" t="s">
        <v>978</v>
      </c>
      <c r="B84" s="171" t="s">
        <v>979</v>
      </c>
      <c r="C84" s="171" t="s">
        <v>979</v>
      </c>
      <c r="D84" s="172" t="s">
        <v>1631</v>
      </c>
      <c r="E84" s="172" t="s">
        <v>1631</v>
      </c>
      <c r="F84" s="172" t="s">
        <v>1631</v>
      </c>
      <c r="G84" s="172" t="s">
        <v>1631</v>
      </c>
      <c r="H84" s="172" t="s">
        <v>1631</v>
      </c>
      <c r="I84" s="172" t="s">
        <v>5062</v>
      </c>
      <c r="J84" s="36">
        <v>1</v>
      </c>
      <c r="K84" s="58">
        <v>450</v>
      </c>
      <c r="L84" s="58"/>
      <c r="M84" s="22">
        <f>IFERROR((VLOOKUP(A84,'Current Stocks July-26'!$B:$K,10,0)),0)</f>
        <v>0</v>
      </c>
      <c r="N84" s="22">
        <f t="shared" si="8"/>
        <v>0</v>
      </c>
      <c r="O84" s="22" t="str">
        <f t="shared" si="9"/>
        <v>ORDER NOW</v>
      </c>
      <c r="P84" s="22" t="str">
        <f t="shared" si="10"/>
        <v>CRITICAL</v>
      </c>
      <c r="Q84" s="58">
        <f t="shared" si="11"/>
        <v>150</v>
      </c>
      <c r="R84" s="58">
        <f t="shared" si="12"/>
        <v>600</v>
      </c>
      <c r="S84" s="58">
        <f t="shared" si="13"/>
        <v>600</v>
      </c>
      <c r="T84" s="5">
        <v>7</v>
      </c>
      <c r="U84" s="5" t="s">
        <v>30</v>
      </c>
      <c r="V84" s="173">
        <f>VLOOKUP(A84,'[1]Final-Short'!$B:$AE,29,0)</f>
        <v>25.2</v>
      </c>
      <c r="W84" s="171" t="s">
        <v>1716</v>
      </c>
      <c r="X84" s="58">
        <f t="shared" si="14"/>
        <v>15120</v>
      </c>
      <c r="Y84" s="58">
        <f t="shared" si="15"/>
        <v>11340</v>
      </c>
    </row>
    <row r="85" spans="1:25" x14ac:dyDescent="0.25">
      <c r="A85" s="36" t="s">
        <v>402</v>
      </c>
      <c r="B85" s="171" t="s">
        <v>403</v>
      </c>
      <c r="C85" s="171" t="s">
        <v>645</v>
      </c>
      <c r="D85" s="172" t="s">
        <v>1631</v>
      </c>
      <c r="E85" s="172" t="s">
        <v>1631</v>
      </c>
      <c r="F85" s="172" t="s">
        <v>1631</v>
      </c>
      <c r="G85" s="172" t="s">
        <v>1631</v>
      </c>
      <c r="H85" s="172" t="s">
        <v>1631</v>
      </c>
      <c r="I85" s="172" t="s">
        <v>1631</v>
      </c>
      <c r="J85" s="36">
        <v>0</v>
      </c>
      <c r="K85" s="58">
        <v>90</v>
      </c>
      <c r="L85" s="58"/>
      <c r="M85" s="22">
        <f>IFERROR((VLOOKUP(A85,'Current Stocks July-26'!$B:$K,10,0)),0)</f>
        <v>0</v>
      </c>
      <c r="N85" s="22">
        <f t="shared" si="8"/>
        <v>0</v>
      </c>
      <c r="O85" s="22" t="str">
        <f t="shared" si="9"/>
        <v>ORDER NOW</v>
      </c>
      <c r="P85" s="22" t="str">
        <f t="shared" si="10"/>
        <v>CRITICAL</v>
      </c>
      <c r="Q85" s="58">
        <f t="shared" si="11"/>
        <v>30</v>
      </c>
      <c r="R85" s="58">
        <f t="shared" si="12"/>
        <v>120</v>
      </c>
      <c r="S85" s="58">
        <f t="shared" si="13"/>
        <v>120</v>
      </c>
      <c r="T85" s="5">
        <v>7</v>
      </c>
      <c r="U85" s="5" t="s">
        <v>1669</v>
      </c>
      <c r="V85" s="173">
        <f>VLOOKUP(A85,'[1]Final-Short'!$B:$AE,29,0)</f>
        <v>11</v>
      </c>
      <c r="W85" s="171" t="s">
        <v>1717</v>
      </c>
      <c r="X85" s="58">
        <f t="shared" si="14"/>
        <v>1320</v>
      </c>
      <c r="Y85" s="58">
        <f t="shared" si="15"/>
        <v>990</v>
      </c>
    </row>
    <row r="86" spans="1:25" x14ac:dyDescent="0.25">
      <c r="A86" s="36" t="s">
        <v>387</v>
      </c>
      <c r="B86" s="171" t="s">
        <v>388</v>
      </c>
      <c r="C86" s="171" t="s">
        <v>388</v>
      </c>
      <c r="D86" s="172" t="s">
        <v>1631</v>
      </c>
      <c r="E86" s="172" t="s">
        <v>1631</v>
      </c>
      <c r="F86" s="172" t="s">
        <v>1631</v>
      </c>
      <c r="G86" s="172" t="s">
        <v>1631</v>
      </c>
      <c r="H86" s="172" t="s">
        <v>1631</v>
      </c>
      <c r="I86" s="172" t="s">
        <v>5062</v>
      </c>
      <c r="J86" s="36">
        <v>1</v>
      </c>
      <c r="K86" s="58">
        <v>220</v>
      </c>
      <c r="L86" s="58"/>
      <c r="M86" s="22">
        <f>IFERROR((VLOOKUP(A86,'Current Stocks July-26'!$B:$K,10,0)),0)</f>
        <v>0</v>
      </c>
      <c r="N86" s="22">
        <f t="shared" si="8"/>
        <v>0</v>
      </c>
      <c r="O86" s="22" t="str">
        <f t="shared" si="9"/>
        <v>ORDER NOW</v>
      </c>
      <c r="P86" s="22" t="str">
        <f t="shared" si="10"/>
        <v>CRITICAL</v>
      </c>
      <c r="Q86" s="58">
        <f t="shared" si="11"/>
        <v>73.333333333333329</v>
      </c>
      <c r="R86" s="58">
        <f t="shared" si="12"/>
        <v>293.33333333333331</v>
      </c>
      <c r="S86" s="58">
        <f t="shared" si="13"/>
        <v>293.33333333333331</v>
      </c>
      <c r="T86" s="5">
        <v>7</v>
      </c>
      <c r="U86" s="5" t="s">
        <v>1703</v>
      </c>
      <c r="V86" s="173">
        <f>VLOOKUP(A86,'[1]Final-Short'!$B:$AE,29,0)</f>
        <v>30</v>
      </c>
      <c r="W86" s="171" t="s">
        <v>1718</v>
      </c>
      <c r="X86" s="58">
        <f t="shared" si="14"/>
        <v>8800</v>
      </c>
      <c r="Y86" s="58">
        <f t="shared" si="15"/>
        <v>6600</v>
      </c>
    </row>
    <row r="87" spans="1:25" x14ac:dyDescent="0.25">
      <c r="A87" s="36" t="s">
        <v>1719</v>
      </c>
      <c r="B87" s="171" t="s">
        <v>1720</v>
      </c>
      <c r="C87" s="171" t="s">
        <v>436</v>
      </c>
      <c r="D87" s="172" t="s">
        <v>1631</v>
      </c>
      <c r="E87" s="172" t="s">
        <v>1631</v>
      </c>
      <c r="F87" s="172" t="s">
        <v>1631</v>
      </c>
      <c r="G87" s="172" t="s">
        <v>1631</v>
      </c>
      <c r="H87" s="172" t="s">
        <v>1631</v>
      </c>
      <c r="I87" s="172" t="s">
        <v>1631</v>
      </c>
      <c r="J87" s="36">
        <v>0</v>
      </c>
      <c r="K87" s="58">
        <v>450</v>
      </c>
      <c r="L87" s="58"/>
      <c r="M87" s="22">
        <f>IFERROR((VLOOKUP(A87,'Current Stocks July-26'!$B:$K,10,0)),0)</f>
        <v>0</v>
      </c>
      <c r="N87" s="22">
        <f t="shared" si="8"/>
        <v>0</v>
      </c>
      <c r="O87" s="22" t="str">
        <f t="shared" si="9"/>
        <v>ORDER NOW</v>
      </c>
      <c r="P87" s="22" t="str">
        <f t="shared" si="10"/>
        <v>CRITICAL</v>
      </c>
      <c r="Q87" s="58">
        <f t="shared" si="11"/>
        <v>150</v>
      </c>
      <c r="R87" s="58">
        <f t="shared" si="12"/>
        <v>600</v>
      </c>
      <c r="S87" s="58">
        <f t="shared" si="13"/>
        <v>600</v>
      </c>
      <c r="T87" s="5">
        <v>7</v>
      </c>
      <c r="U87" s="5" t="s">
        <v>1669</v>
      </c>
      <c r="V87" s="173">
        <f>VLOOKUP(A87,'[1]Final-Short'!$B:$AE,29,0)</f>
        <v>51</v>
      </c>
      <c r="W87" s="171" t="s">
        <v>1704</v>
      </c>
      <c r="X87" s="58">
        <f t="shared" si="14"/>
        <v>30600</v>
      </c>
      <c r="Y87" s="58">
        <f t="shared" si="15"/>
        <v>22950</v>
      </c>
    </row>
    <row r="88" spans="1:25" x14ac:dyDescent="0.25">
      <c r="A88" s="36" t="s">
        <v>1558</v>
      </c>
      <c r="B88" s="171" t="s">
        <v>1559</v>
      </c>
      <c r="C88" s="171" t="s">
        <v>1559</v>
      </c>
      <c r="D88" s="172" t="s">
        <v>1631</v>
      </c>
      <c r="E88" s="172" t="s">
        <v>1631</v>
      </c>
      <c r="F88" s="172" t="s">
        <v>1631</v>
      </c>
      <c r="G88" s="172" t="s">
        <v>1631</v>
      </c>
      <c r="H88" s="172" t="s">
        <v>1631</v>
      </c>
      <c r="I88" s="172" t="s">
        <v>5062</v>
      </c>
      <c r="J88" s="36">
        <v>1</v>
      </c>
      <c r="K88" s="58">
        <v>500</v>
      </c>
      <c r="L88" s="58"/>
      <c r="M88" s="22">
        <f>IFERROR((VLOOKUP(A88,'Current Stocks July-26'!$B:$K,10,0)),0)</f>
        <v>180</v>
      </c>
      <c r="N88" s="22">
        <f t="shared" si="8"/>
        <v>10.799999999999999</v>
      </c>
      <c r="O88" s="22" t="str">
        <f t="shared" si="9"/>
        <v>IN STOCK</v>
      </c>
      <c r="P88" s="22" t="str">
        <f t="shared" si="10"/>
        <v>FOLLOW UP DELIVERY</v>
      </c>
      <c r="Q88" s="58">
        <f t="shared" si="11"/>
        <v>166.66666666666666</v>
      </c>
      <c r="R88" s="58">
        <f t="shared" si="12"/>
        <v>666.66666666666663</v>
      </c>
      <c r="S88" s="58">
        <f t="shared" si="13"/>
        <v>486.66666666666663</v>
      </c>
      <c r="T88" s="5">
        <v>7</v>
      </c>
      <c r="U88" s="5" t="s">
        <v>30</v>
      </c>
      <c r="V88" s="173">
        <f>VLOOKUP(A88,'[1]Final-Short'!$B:$AE,29,0)</f>
        <v>13.84259</v>
      </c>
      <c r="W88" s="171" t="s">
        <v>1700</v>
      </c>
      <c r="X88" s="58">
        <f t="shared" si="14"/>
        <v>6736.7271333333329</v>
      </c>
      <c r="Y88" s="58">
        <f t="shared" si="15"/>
        <v>6921.2950000000001</v>
      </c>
    </row>
    <row r="89" spans="1:25" x14ac:dyDescent="0.25">
      <c r="A89" s="36" t="s">
        <v>1552</v>
      </c>
      <c r="B89" s="171" t="s">
        <v>1553</v>
      </c>
      <c r="C89" s="171" t="s">
        <v>1553</v>
      </c>
      <c r="D89" s="172" t="s">
        <v>1631</v>
      </c>
      <c r="E89" s="172" t="s">
        <v>1631</v>
      </c>
      <c r="F89" s="172" t="s">
        <v>1631</v>
      </c>
      <c r="G89" s="172" t="s">
        <v>1631</v>
      </c>
      <c r="H89" s="172" t="s">
        <v>1631</v>
      </c>
      <c r="I89" s="172" t="s">
        <v>5062</v>
      </c>
      <c r="J89" s="36">
        <v>1</v>
      </c>
      <c r="K89" s="58">
        <v>60</v>
      </c>
      <c r="L89" s="58"/>
      <c r="M89" s="22">
        <f>IFERROR((VLOOKUP(A89,'Current Stocks July-26'!$B:$K,10,0)),0)</f>
        <v>3240</v>
      </c>
      <c r="N89" s="22">
        <f t="shared" si="8"/>
        <v>1620</v>
      </c>
      <c r="O89" s="22" t="str">
        <f t="shared" si="9"/>
        <v>IN STOCK</v>
      </c>
      <c r="P89" s="22" t="str">
        <f t="shared" si="10"/>
        <v>FOLLOW UP DELIVERY</v>
      </c>
      <c r="Q89" s="58">
        <f t="shared" si="11"/>
        <v>20</v>
      </c>
      <c r="R89" s="58">
        <f t="shared" si="12"/>
        <v>80</v>
      </c>
      <c r="S89" s="58">
        <f t="shared" si="13"/>
        <v>0</v>
      </c>
      <c r="T89" s="5">
        <v>7</v>
      </c>
      <c r="U89" s="5" t="s">
        <v>1669</v>
      </c>
      <c r="V89" s="173">
        <f>VLOOKUP(A89,'[1]Final-Short'!$B:$AE,29,0)</f>
        <v>17</v>
      </c>
      <c r="W89" s="171" t="s">
        <v>1721</v>
      </c>
      <c r="X89" s="58">
        <f t="shared" si="14"/>
        <v>0</v>
      </c>
      <c r="Y89" s="58">
        <f t="shared" si="15"/>
        <v>1020</v>
      </c>
    </row>
    <row r="90" spans="1:25" x14ac:dyDescent="0.25">
      <c r="A90" s="36" t="s">
        <v>1722</v>
      </c>
      <c r="B90" s="171" t="s">
        <v>1723</v>
      </c>
      <c r="C90" s="171" t="s">
        <v>1723</v>
      </c>
      <c r="D90" s="172" t="s">
        <v>1631</v>
      </c>
      <c r="E90" s="172" t="s">
        <v>1631</v>
      </c>
      <c r="F90" s="172" t="s">
        <v>1631</v>
      </c>
      <c r="G90" s="172" t="s">
        <v>1631</v>
      </c>
      <c r="H90" s="172" t="s">
        <v>1631</v>
      </c>
      <c r="I90" s="172" t="s">
        <v>5062</v>
      </c>
      <c r="J90" s="36">
        <v>1</v>
      </c>
      <c r="K90" s="58">
        <v>180</v>
      </c>
      <c r="L90" s="58"/>
      <c r="M90" s="22">
        <f>IFERROR((VLOOKUP(A90,'Current Stocks July-26'!$B:$K,10,0)),0)</f>
        <v>0</v>
      </c>
      <c r="N90" s="22">
        <f t="shared" si="8"/>
        <v>0</v>
      </c>
      <c r="O90" s="22" t="str">
        <f t="shared" si="9"/>
        <v>ORDER NOW</v>
      </c>
      <c r="P90" s="22" t="str">
        <f t="shared" si="10"/>
        <v>CRITICAL</v>
      </c>
      <c r="Q90" s="58">
        <f t="shared" si="11"/>
        <v>60</v>
      </c>
      <c r="R90" s="58">
        <f t="shared" si="12"/>
        <v>240</v>
      </c>
      <c r="S90" s="58">
        <f t="shared" si="13"/>
        <v>240</v>
      </c>
      <c r="T90" s="5">
        <v>7</v>
      </c>
      <c r="U90" s="5" t="s">
        <v>30</v>
      </c>
      <c r="V90" s="173">
        <f>VLOOKUP(A90,'[1]Final-Short'!$B:$AE,29,0)</f>
        <v>29</v>
      </c>
      <c r="W90" s="171" t="s">
        <v>1724</v>
      </c>
      <c r="X90" s="58">
        <f t="shared" si="14"/>
        <v>6960</v>
      </c>
      <c r="Y90" s="58">
        <f t="shared" si="15"/>
        <v>5220</v>
      </c>
    </row>
    <row r="91" spans="1:25" x14ac:dyDescent="0.25">
      <c r="A91" s="36" t="s">
        <v>1725</v>
      </c>
      <c r="B91" s="171" t="s">
        <v>1726</v>
      </c>
      <c r="C91" s="171" t="s">
        <v>1726</v>
      </c>
      <c r="D91" s="172" t="s">
        <v>1631</v>
      </c>
      <c r="E91" s="172" t="s">
        <v>1631</v>
      </c>
      <c r="F91" s="172" t="s">
        <v>1631</v>
      </c>
      <c r="G91" s="172" t="s">
        <v>1631</v>
      </c>
      <c r="H91" s="172" t="s">
        <v>1631</v>
      </c>
      <c r="I91" s="172" t="s">
        <v>5062</v>
      </c>
      <c r="J91" s="36">
        <v>1</v>
      </c>
      <c r="K91" s="58">
        <v>85</v>
      </c>
      <c r="L91" s="58"/>
      <c r="M91" s="22">
        <f>IFERROR((VLOOKUP(A91,'Current Stocks July-26'!$B:$K,10,0)),0)</f>
        <v>0</v>
      </c>
      <c r="N91" s="22">
        <f t="shared" si="8"/>
        <v>0</v>
      </c>
      <c r="O91" s="22" t="str">
        <f t="shared" si="9"/>
        <v>ORDER NOW</v>
      </c>
      <c r="P91" s="22" t="str">
        <f t="shared" si="10"/>
        <v>CRITICAL</v>
      </c>
      <c r="Q91" s="58">
        <f t="shared" si="11"/>
        <v>28.333333333333332</v>
      </c>
      <c r="R91" s="58">
        <f t="shared" si="12"/>
        <v>113.33333333333333</v>
      </c>
      <c r="S91" s="58">
        <f t="shared" si="13"/>
        <v>113.33333333333333</v>
      </c>
      <c r="T91" s="5">
        <v>7</v>
      </c>
      <c r="U91" s="5" t="s">
        <v>30</v>
      </c>
      <c r="V91" s="173">
        <f>VLOOKUP(A91,'[1]Final-Short'!$B:$AE,29,0)</f>
        <v>20.225000000000001</v>
      </c>
      <c r="W91" s="171" t="s">
        <v>1699</v>
      </c>
      <c r="X91" s="58">
        <f t="shared" si="14"/>
        <v>2292.1666666666665</v>
      </c>
      <c r="Y91" s="58">
        <f t="shared" si="15"/>
        <v>1719.1250000000002</v>
      </c>
    </row>
    <row r="92" spans="1:25" x14ac:dyDescent="0.25">
      <c r="A92" s="36" t="s">
        <v>1292</v>
      </c>
      <c r="B92" s="171" t="s">
        <v>1293</v>
      </c>
      <c r="C92" s="171" t="s">
        <v>1293</v>
      </c>
      <c r="D92" s="172" t="s">
        <v>1631</v>
      </c>
      <c r="E92" s="172" t="s">
        <v>1631</v>
      </c>
      <c r="F92" s="172" t="s">
        <v>1631</v>
      </c>
      <c r="G92" s="172" t="s">
        <v>1631</v>
      </c>
      <c r="H92" s="172" t="s">
        <v>1631</v>
      </c>
      <c r="I92" s="172" t="s">
        <v>5062</v>
      </c>
      <c r="J92" s="36">
        <v>1</v>
      </c>
      <c r="K92" s="58">
        <v>0</v>
      </c>
      <c r="L92" s="58"/>
      <c r="M92" s="22">
        <f>IFERROR((VLOOKUP(A92,'Current Stocks July-26'!$B:$K,10,0)),0)</f>
        <v>90</v>
      </c>
      <c r="N92" s="22">
        <f t="shared" si="8"/>
        <v>0</v>
      </c>
      <c r="O92" s="22" t="str">
        <f t="shared" si="9"/>
        <v>ORDER NOW</v>
      </c>
      <c r="P92" s="22" t="str">
        <f t="shared" si="10"/>
        <v>CRITICAL</v>
      </c>
      <c r="Q92" s="58">
        <f t="shared" si="11"/>
        <v>0</v>
      </c>
      <c r="R92" s="58">
        <f t="shared" si="12"/>
        <v>0</v>
      </c>
      <c r="S92" s="58">
        <f t="shared" si="13"/>
        <v>0</v>
      </c>
      <c r="T92" s="5">
        <v>7</v>
      </c>
      <c r="U92" s="5" t="s">
        <v>30</v>
      </c>
      <c r="V92" s="173">
        <f>VLOOKUP(A92,'[1]Final-Short'!$B:$AE,29,0)</f>
        <v>35.65</v>
      </c>
      <c r="W92" s="171" t="s">
        <v>1700</v>
      </c>
      <c r="X92" s="58">
        <f t="shared" si="14"/>
        <v>0</v>
      </c>
      <c r="Y92" s="58">
        <f t="shared" si="15"/>
        <v>0</v>
      </c>
    </row>
    <row r="93" spans="1:25" x14ac:dyDescent="0.25">
      <c r="A93" s="36" t="s">
        <v>1727</v>
      </c>
      <c r="B93" s="171" t="s">
        <v>1728</v>
      </c>
      <c r="C93" s="171" t="s">
        <v>1728</v>
      </c>
      <c r="D93" s="172" t="s">
        <v>1631</v>
      </c>
      <c r="E93" s="172" t="s">
        <v>1631</v>
      </c>
      <c r="F93" s="172" t="s">
        <v>1631</v>
      </c>
      <c r="G93" s="172" t="s">
        <v>1631</v>
      </c>
      <c r="H93" s="172" t="s">
        <v>1631</v>
      </c>
      <c r="I93" s="172" t="s">
        <v>5062</v>
      </c>
      <c r="J93" s="36">
        <v>1</v>
      </c>
      <c r="K93" s="58">
        <v>150</v>
      </c>
      <c r="L93" s="58"/>
      <c r="M93" s="22">
        <f>IFERROR((VLOOKUP(A93,'Current Stocks July-26'!$B:$K,10,0)),0)</f>
        <v>100</v>
      </c>
      <c r="N93" s="22">
        <f t="shared" si="8"/>
        <v>20</v>
      </c>
      <c r="O93" s="22" t="str">
        <f t="shared" si="9"/>
        <v>IN STOCK</v>
      </c>
      <c r="P93" s="22" t="str">
        <f t="shared" si="10"/>
        <v>FOLLOW UP DELIVERY</v>
      </c>
      <c r="Q93" s="58">
        <f t="shared" si="11"/>
        <v>85</v>
      </c>
      <c r="R93" s="58">
        <f t="shared" si="12"/>
        <v>235</v>
      </c>
      <c r="S93" s="58">
        <f t="shared" si="13"/>
        <v>135</v>
      </c>
      <c r="T93" s="5">
        <v>14</v>
      </c>
      <c r="U93" s="5" t="s">
        <v>30</v>
      </c>
      <c r="V93" s="173">
        <f>VLOOKUP(A93,'[1]Final-Short'!$B:$AE,29,0)</f>
        <v>99.375</v>
      </c>
      <c r="W93" s="171" t="s">
        <v>1702</v>
      </c>
      <c r="X93" s="58">
        <f t="shared" si="14"/>
        <v>13415.625</v>
      </c>
      <c r="Y93" s="58">
        <f t="shared" si="15"/>
        <v>14906.25</v>
      </c>
    </row>
    <row r="94" spans="1:25" x14ac:dyDescent="0.25">
      <c r="A94" s="6" t="s">
        <v>518</v>
      </c>
      <c r="B94" s="171" t="s">
        <v>519</v>
      </c>
      <c r="C94" s="171" t="s">
        <v>492</v>
      </c>
      <c r="D94" s="172" t="s">
        <v>1631</v>
      </c>
      <c r="E94" s="172" t="s">
        <v>1631</v>
      </c>
      <c r="F94" s="172" t="s">
        <v>1631</v>
      </c>
      <c r="G94" s="172" t="s">
        <v>5062</v>
      </c>
      <c r="H94" s="172" t="s">
        <v>1631</v>
      </c>
      <c r="I94" s="172" t="s">
        <v>5062</v>
      </c>
      <c r="J94" s="36">
        <v>2</v>
      </c>
      <c r="K94" s="58">
        <v>1</v>
      </c>
      <c r="L94" s="58"/>
      <c r="M94" s="22">
        <f>IFERROR((VLOOKUP(A94,'Current Stocks July-26'!$B:$K,10,0)),0)</f>
        <v>10</v>
      </c>
      <c r="N94" s="22">
        <f t="shared" si="8"/>
        <v>300</v>
      </c>
      <c r="O94" s="22" t="str">
        <f t="shared" si="9"/>
        <v>IN STOCK</v>
      </c>
      <c r="P94" s="22" t="str">
        <f t="shared" si="10"/>
        <v>FOLLOW UP DELIVERY</v>
      </c>
      <c r="Q94" s="58">
        <f t="shared" si="11"/>
        <v>0.33333333333333331</v>
      </c>
      <c r="R94" s="58">
        <f t="shared" si="12"/>
        <v>1.3333333333333333</v>
      </c>
      <c r="S94" s="58">
        <f t="shared" si="13"/>
        <v>0</v>
      </c>
      <c r="T94" s="5">
        <v>7</v>
      </c>
      <c r="U94" s="5" t="s">
        <v>1729</v>
      </c>
      <c r="V94" s="173">
        <f>VLOOKUP(A94,'[1]Final-Short'!$B:$AE,29,0)</f>
        <v>53</v>
      </c>
      <c r="W94" s="171" t="s">
        <v>1700</v>
      </c>
      <c r="X94" s="58">
        <f t="shared" si="14"/>
        <v>0</v>
      </c>
      <c r="Y94" s="58">
        <f t="shared" si="15"/>
        <v>53</v>
      </c>
    </row>
    <row r="95" spans="1:25" x14ac:dyDescent="0.25">
      <c r="A95" s="36" t="s">
        <v>1202</v>
      </c>
      <c r="B95" s="171" t="s">
        <v>1203</v>
      </c>
      <c r="C95" s="171" t="s">
        <v>1203</v>
      </c>
      <c r="D95" s="172" t="s">
        <v>1631</v>
      </c>
      <c r="E95" s="172" t="s">
        <v>1631</v>
      </c>
      <c r="F95" s="172" t="s">
        <v>1631</v>
      </c>
      <c r="G95" s="172" t="s">
        <v>1631</v>
      </c>
      <c r="H95" s="172" t="s">
        <v>1631</v>
      </c>
      <c r="I95" s="172" t="s">
        <v>5062</v>
      </c>
      <c r="J95" s="36">
        <v>1</v>
      </c>
      <c r="K95" s="58">
        <v>102</v>
      </c>
      <c r="L95" s="58"/>
      <c r="M95" s="22">
        <f>IFERROR((VLOOKUP(A95,'Current Stocks July-26'!$B:$K,10,0)),0)</f>
        <v>193.79999999999998</v>
      </c>
      <c r="N95" s="22">
        <f t="shared" si="8"/>
        <v>57</v>
      </c>
      <c r="O95" s="22" t="str">
        <f t="shared" si="9"/>
        <v>IN STOCK</v>
      </c>
      <c r="P95" s="22" t="str">
        <f t="shared" si="10"/>
        <v>FOLLOW UP DELIVERY</v>
      </c>
      <c r="Q95" s="58">
        <f t="shared" si="11"/>
        <v>34</v>
      </c>
      <c r="R95" s="58">
        <f t="shared" si="12"/>
        <v>136</v>
      </c>
      <c r="S95" s="58">
        <f t="shared" si="13"/>
        <v>0</v>
      </c>
      <c r="T95" s="5">
        <v>7</v>
      </c>
      <c r="U95" s="5" t="s">
        <v>1669</v>
      </c>
      <c r="V95" s="195">
        <f>VLOOKUP(A95,'[1]Final-Short'!$B:$AE,29,0)</f>
        <v>155.26316</v>
      </c>
      <c r="W95" s="185" t="s">
        <v>1730</v>
      </c>
      <c r="X95" s="58">
        <f t="shared" si="14"/>
        <v>0</v>
      </c>
      <c r="Y95" s="58">
        <f t="shared" si="15"/>
        <v>15836.84232</v>
      </c>
    </row>
    <row r="96" spans="1:25" x14ac:dyDescent="0.25">
      <c r="A96" s="36" t="s">
        <v>1165</v>
      </c>
      <c r="B96" s="171" t="s">
        <v>1166</v>
      </c>
      <c r="C96" s="171" t="s">
        <v>1166</v>
      </c>
      <c r="D96" s="172" t="s">
        <v>1631</v>
      </c>
      <c r="E96" s="172" t="s">
        <v>1631</v>
      </c>
      <c r="F96" s="172" t="s">
        <v>1631</v>
      </c>
      <c r="G96" s="172" t="s">
        <v>1631</v>
      </c>
      <c r="H96" s="172" t="s">
        <v>1631</v>
      </c>
      <c r="I96" s="172" t="s">
        <v>5062</v>
      </c>
      <c r="J96" s="36">
        <v>1</v>
      </c>
      <c r="K96" s="58">
        <v>380</v>
      </c>
      <c r="L96" s="58"/>
      <c r="M96" s="22">
        <f>IFERROR((VLOOKUP(A96,'Current Stocks July-26'!$B:$K,10,0)),0)</f>
        <v>734.2</v>
      </c>
      <c r="N96" s="22">
        <f t="shared" si="8"/>
        <v>57.963157894736845</v>
      </c>
      <c r="O96" s="22" t="str">
        <f t="shared" si="9"/>
        <v>IN STOCK</v>
      </c>
      <c r="P96" s="22" t="str">
        <f t="shared" si="10"/>
        <v>FOLLOW UP DELIVERY</v>
      </c>
      <c r="Q96" s="58">
        <f t="shared" si="11"/>
        <v>126.66666666666666</v>
      </c>
      <c r="R96" s="58">
        <f t="shared" si="12"/>
        <v>506.66666666666663</v>
      </c>
      <c r="S96" s="58">
        <f t="shared" si="13"/>
        <v>0</v>
      </c>
      <c r="T96" s="5">
        <v>7</v>
      </c>
      <c r="U96" s="5" t="s">
        <v>30</v>
      </c>
      <c r="V96" s="173">
        <f>VLOOKUP(A96,'[1]Final-Short'!$B:$AE,29,0)</f>
        <v>9.7430599999999998</v>
      </c>
      <c r="W96" s="171" t="s">
        <v>1700</v>
      </c>
      <c r="X96" s="58">
        <f t="shared" si="14"/>
        <v>0</v>
      </c>
      <c r="Y96" s="58">
        <f t="shared" si="15"/>
        <v>3702.3627999999999</v>
      </c>
    </row>
    <row r="97" spans="1:25" x14ac:dyDescent="0.25">
      <c r="A97" s="36" t="s">
        <v>464</v>
      </c>
      <c r="B97" s="171" t="s">
        <v>465</v>
      </c>
      <c r="C97" s="171" t="s">
        <v>465</v>
      </c>
      <c r="D97" s="172" t="s">
        <v>1631</v>
      </c>
      <c r="E97" s="172" t="s">
        <v>1631</v>
      </c>
      <c r="F97" s="172" t="s">
        <v>1631</v>
      </c>
      <c r="G97" s="172" t="s">
        <v>1631</v>
      </c>
      <c r="H97" s="172" t="s">
        <v>1631</v>
      </c>
      <c r="I97" s="172" t="s">
        <v>5062</v>
      </c>
      <c r="J97" s="36">
        <v>1</v>
      </c>
      <c r="K97" s="58">
        <v>45</v>
      </c>
      <c r="L97" s="58"/>
      <c r="M97" s="22">
        <f>IFERROR((VLOOKUP(A97,'Current Stocks July-26'!$B:$K,10,0)),0)</f>
        <v>575</v>
      </c>
      <c r="N97" s="22">
        <f t="shared" si="8"/>
        <v>383.33333333333337</v>
      </c>
      <c r="O97" s="22" t="str">
        <f t="shared" si="9"/>
        <v>IN STOCK</v>
      </c>
      <c r="P97" s="22" t="str">
        <f t="shared" si="10"/>
        <v>FOLLOW UP DELIVERY</v>
      </c>
      <c r="Q97" s="58">
        <f t="shared" si="11"/>
        <v>25.5</v>
      </c>
      <c r="R97" s="58">
        <f t="shared" si="12"/>
        <v>70.5</v>
      </c>
      <c r="S97" s="58">
        <f t="shared" si="13"/>
        <v>0</v>
      </c>
      <c r="T97" s="5">
        <v>14</v>
      </c>
      <c r="U97" s="5" t="s">
        <v>30</v>
      </c>
      <c r="V97" s="173">
        <f>VLOOKUP(A97,'[1]Final-Short'!$B:$AE,29,0)</f>
        <v>60.5</v>
      </c>
      <c r="W97" s="171" t="s">
        <v>1698</v>
      </c>
      <c r="X97" s="58">
        <f t="shared" si="14"/>
        <v>0</v>
      </c>
      <c r="Y97" s="58">
        <f t="shared" si="15"/>
        <v>2722.5</v>
      </c>
    </row>
    <row r="98" spans="1:25" x14ac:dyDescent="0.25">
      <c r="A98" s="36" t="s">
        <v>1381</v>
      </c>
      <c r="B98" s="171" t="s">
        <v>1382</v>
      </c>
      <c r="C98" s="171" t="s">
        <v>1382</v>
      </c>
      <c r="D98" s="172" t="s">
        <v>5062</v>
      </c>
      <c r="E98" s="172" t="s">
        <v>1631</v>
      </c>
      <c r="F98" s="172" t="s">
        <v>1631</v>
      </c>
      <c r="G98" s="172" t="s">
        <v>1631</v>
      </c>
      <c r="H98" s="172" t="s">
        <v>1631</v>
      </c>
      <c r="I98" s="172" t="s">
        <v>1631</v>
      </c>
      <c r="J98" s="36">
        <v>1</v>
      </c>
      <c r="K98" s="58">
        <v>4500</v>
      </c>
      <c r="L98" s="58"/>
      <c r="M98" s="22">
        <f>IFERROR((VLOOKUP(A98,'Current Stocks July-26'!$B:$K,10,0)),0)</f>
        <v>8800</v>
      </c>
      <c r="N98" s="22">
        <f t="shared" si="8"/>
        <v>58.666666666666664</v>
      </c>
      <c r="O98" s="22" t="str">
        <f t="shared" si="9"/>
        <v>IN STOCK</v>
      </c>
      <c r="P98" s="22" t="str">
        <f t="shared" si="10"/>
        <v>FOLLOW UP DELIVERY</v>
      </c>
      <c r="Q98" s="58">
        <f t="shared" si="11"/>
        <v>2550</v>
      </c>
      <c r="R98" s="58">
        <f t="shared" si="12"/>
        <v>7050</v>
      </c>
      <c r="S98" s="58">
        <f t="shared" si="13"/>
        <v>0</v>
      </c>
      <c r="T98" s="5">
        <v>14</v>
      </c>
      <c r="U98" s="5" t="s">
        <v>1669</v>
      </c>
      <c r="V98" s="173">
        <f>VLOOKUP(A98,'[1]Final-Short'!$B:$AE,29,0)</f>
        <v>30</v>
      </c>
      <c r="W98" s="171" t="str">
        <f>VLOOKUP(A98,'[1]Final-Short'!$B:$AE,30,0)</f>
        <v>شركة شمس القهوة للتجارة المحدودة</v>
      </c>
      <c r="X98" s="58">
        <f t="shared" si="14"/>
        <v>0</v>
      </c>
      <c r="Y98" s="58">
        <f t="shared" si="15"/>
        <v>135000</v>
      </c>
    </row>
    <row r="99" spans="1:25" x14ac:dyDescent="0.25">
      <c r="A99" s="36" t="s">
        <v>1052</v>
      </c>
      <c r="B99" s="171" t="s">
        <v>1053</v>
      </c>
      <c r="C99" s="171" t="s">
        <v>1053</v>
      </c>
      <c r="D99" s="172" t="s">
        <v>1631</v>
      </c>
      <c r="E99" s="172" t="s">
        <v>1631</v>
      </c>
      <c r="F99" s="172" t="s">
        <v>1631</v>
      </c>
      <c r="G99" s="172" t="s">
        <v>1631</v>
      </c>
      <c r="H99" s="172" t="s">
        <v>1631</v>
      </c>
      <c r="I99" s="172" t="s">
        <v>5062</v>
      </c>
      <c r="J99" s="36">
        <v>1</v>
      </c>
      <c r="K99" s="180">
        <v>5500</v>
      </c>
      <c r="L99" s="180"/>
      <c r="M99" s="22">
        <f>IFERROR((VLOOKUP(A99,'Current Stocks July-26'!$B:$K,10,0)),0)</f>
        <v>0.32000000000005002</v>
      </c>
      <c r="N99" s="22">
        <f t="shared" si="8"/>
        <v>1.7454545454548185E-3</v>
      </c>
      <c r="O99" s="22" t="str">
        <f t="shared" si="9"/>
        <v>ORDER NOW</v>
      </c>
      <c r="P99" s="22" t="str">
        <f t="shared" si="10"/>
        <v>CRITICAL</v>
      </c>
      <c r="Q99" s="58">
        <f t="shared" si="11"/>
        <v>1833.3333333333333</v>
      </c>
      <c r="R99" s="58">
        <f t="shared" si="12"/>
        <v>7333.333333333333</v>
      </c>
      <c r="S99" s="58">
        <f t="shared" si="13"/>
        <v>7333.0133333333333</v>
      </c>
      <c r="T99" s="5">
        <v>7</v>
      </c>
      <c r="U99" s="5" t="s">
        <v>1669</v>
      </c>
      <c r="V99" s="173">
        <f>VLOOKUP(A99,'[1]Final-Short'!$B:$AE,29,0)</f>
        <v>20.08915</v>
      </c>
      <c r="W99" s="171" t="s">
        <v>1731</v>
      </c>
      <c r="X99" s="58">
        <f t="shared" si="14"/>
        <v>147314.00480533333</v>
      </c>
      <c r="Y99" s="58">
        <f t="shared" si="15"/>
        <v>110490.325</v>
      </c>
    </row>
    <row r="100" spans="1:25" x14ac:dyDescent="0.25">
      <c r="A100" s="36" t="s">
        <v>1511</v>
      </c>
      <c r="B100" s="171" t="s">
        <v>59</v>
      </c>
      <c r="C100" s="171" t="s">
        <v>59</v>
      </c>
      <c r="D100" s="172" t="s">
        <v>5062</v>
      </c>
      <c r="E100" s="172" t="s">
        <v>5062</v>
      </c>
      <c r="F100" s="172" t="s">
        <v>1631</v>
      </c>
      <c r="G100" s="172" t="s">
        <v>1631</v>
      </c>
      <c r="H100" s="172" t="s">
        <v>1631</v>
      </c>
      <c r="I100" s="172" t="s">
        <v>1631</v>
      </c>
      <c r="J100" s="36">
        <v>2</v>
      </c>
      <c r="K100" s="58">
        <v>10</v>
      </c>
      <c r="L100" s="58"/>
      <c r="M100" s="22">
        <f>IFERROR((VLOOKUP(A100,'Current Stocks July-26'!$B:$K,10,0)),0)</f>
        <v>89</v>
      </c>
      <c r="N100" s="22">
        <f t="shared" si="8"/>
        <v>267</v>
      </c>
      <c r="O100" s="22" t="str">
        <f t="shared" si="9"/>
        <v>IN STOCK</v>
      </c>
      <c r="P100" s="22" t="str">
        <f t="shared" si="10"/>
        <v>FOLLOW UP DELIVERY</v>
      </c>
      <c r="Q100" s="58">
        <f t="shared" si="11"/>
        <v>3.333333333333333</v>
      </c>
      <c r="R100" s="58">
        <f t="shared" si="12"/>
        <v>13.333333333333332</v>
      </c>
      <c r="S100" s="58">
        <f t="shared" si="13"/>
        <v>0</v>
      </c>
      <c r="T100" s="5">
        <v>7</v>
      </c>
      <c r="U100" s="5" t="s">
        <v>30</v>
      </c>
      <c r="V100" s="173">
        <f>VLOOKUP(A100,'[1]Final-Short'!$B:$AE,29,0)</f>
        <v>42.142859999999999</v>
      </c>
      <c r="W100" s="171" t="s">
        <v>1700</v>
      </c>
      <c r="X100" s="58">
        <f t="shared" si="14"/>
        <v>0</v>
      </c>
      <c r="Y100" s="58">
        <f t="shared" si="15"/>
        <v>421.42859999999996</v>
      </c>
    </row>
    <row r="101" spans="1:25" x14ac:dyDescent="0.25">
      <c r="A101" s="36" t="s">
        <v>688</v>
      </c>
      <c r="B101" s="171" t="s">
        <v>689</v>
      </c>
      <c r="C101" s="171" t="s">
        <v>689</v>
      </c>
      <c r="D101" s="172" t="s">
        <v>1631</v>
      </c>
      <c r="E101" s="172" t="s">
        <v>1631</v>
      </c>
      <c r="F101" s="172" t="s">
        <v>1631</v>
      </c>
      <c r="G101" s="172" t="s">
        <v>5062</v>
      </c>
      <c r="H101" s="172" t="s">
        <v>1631</v>
      </c>
      <c r="I101" s="172" t="s">
        <v>1631</v>
      </c>
      <c r="J101" s="36">
        <v>1</v>
      </c>
      <c r="K101" s="58">
        <v>854.40000000000009</v>
      </c>
      <c r="L101" s="58"/>
      <c r="M101" s="22">
        <f>IFERROR((VLOOKUP(A101,'Current Stocks July-26'!$B:$K,10,0)),0)</f>
        <v>174</v>
      </c>
      <c r="N101" s="22">
        <f t="shared" si="8"/>
        <v>6.1095505617977519</v>
      </c>
      <c r="O101" s="22" t="str">
        <f t="shared" si="9"/>
        <v>ORDER NOW</v>
      </c>
      <c r="P101" s="22" t="str">
        <f t="shared" si="10"/>
        <v>CRITICAL</v>
      </c>
      <c r="Q101" s="58">
        <f t="shared" si="11"/>
        <v>284.8</v>
      </c>
      <c r="R101" s="58">
        <f t="shared" si="12"/>
        <v>1139.2</v>
      </c>
      <c r="S101" s="58">
        <f t="shared" si="13"/>
        <v>965.2</v>
      </c>
      <c r="T101" s="5">
        <v>7</v>
      </c>
      <c r="U101" s="5" t="s">
        <v>1669</v>
      </c>
      <c r="V101" s="173">
        <f>VLOOKUP(A101,'[1]Final-Short'!$B:$AE,29,0)</f>
        <v>8.3333300000000001</v>
      </c>
      <c r="W101" s="171" t="s">
        <v>1732</v>
      </c>
      <c r="X101" s="58">
        <f t="shared" si="14"/>
        <v>8043.3301160000001</v>
      </c>
      <c r="Y101" s="58">
        <f t="shared" si="15"/>
        <v>7119.9971520000008</v>
      </c>
    </row>
    <row r="102" spans="1:25" x14ac:dyDescent="0.25">
      <c r="A102" s="36" t="s">
        <v>1047</v>
      </c>
      <c r="B102" s="171" t="s">
        <v>1048</v>
      </c>
      <c r="C102" s="171" t="s">
        <v>1048</v>
      </c>
      <c r="D102" s="172" t="s">
        <v>5062</v>
      </c>
      <c r="E102" s="172" t="s">
        <v>1631</v>
      </c>
      <c r="F102" s="172" t="s">
        <v>1631</v>
      </c>
      <c r="G102" s="172" t="s">
        <v>1631</v>
      </c>
      <c r="H102" s="172" t="s">
        <v>1631</v>
      </c>
      <c r="I102" s="172" t="s">
        <v>5062</v>
      </c>
      <c r="J102" s="36">
        <v>2</v>
      </c>
      <c r="K102" s="180">
        <v>70</v>
      </c>
      <c r="L102" s="180"/>
      <c r="M102" s="22">
        <f>IFERROR((VLOOKUP(A102,'Current Stocks July-26'!$B:$K,10,0)),0)</f>
        <v>14.49799999999999</v>
      </c>
      <c r="N102" s="22">
        <f t="shared" si="8"/>
        <v>6.2134285714285671</v>
      </c>
      <c r="O102" s="22" t="str">
        <f t="shared" si="9"/>
        <v>ORDER NOW</v>
      </c>
      <c r="P102" s="22" t="str">
        <f t="shared" si="10"/>
        <v>CRITICAL</v>
      </c>
      <c r="Q102" s="58">
        <f t="shared" si="11"/>
        <v>39.666666666666664</v>
      </c>
      <c r="R102" s="58">
        <f t="shared" si="12"/>
        <v>109.66666666666666</v>
      </c>
      <c r="S102" s="58">
        <f t="shared" si="13"/>
        <v>95.168666666666667</v>
      </c>
      <c r="T102" s="5">
        <v>14</v>
      </c>
      <c r="U102" s="5" t="s">
        <v>1669</v>
      </c>
      <c r="V102" s="173">
        <f>VLOOKUP(A102,'[1]Final-Short'!$B:$AE,29,0)</f>
        <v>31.17914</v>
      </c>
      <c r="W102" s="171" t="str">
        <f>VLOOKUP(A102,'[1]Final-Short'!$B:$AE,30,0)</f>
        <v>Tanzeem Al Afkar Trading Company | شركة تنظيم الافكار للتجارة</v>
      </c>
      <c r="X102" s="58">
        <f t="shared" si="14"/>
        <v>2967.2771816133331</v>
      </c>
      <c r="Y102" s="58">
        <f t="shared" si="15"/>
        <v>2182.5398</v>
      </c>
    </row>
    <row r="103" spans="1:25" x14ac:dyDescent="0.25">
      <c r="A103" s="36" t="s">
        <v>548</v>
      </c>
      <c r="B103" s="171" t="s">
        <v>549</v>
      </c>
      <c r="C103" s="171" t="s">
        <v>549</v>
      </c>
      <c r="D103" s="172" t="s">
        <v>5062</v>
      </c>
      <c r="E103" s="172" t="s">
        <v>1631</v>
      </c>
      <c r="F103" s="172" t="s">
        <v>1631</v>
      </c>
      <c r="G103" s="172" t="s">
        <v>1631</v>
      </c>
      <c r="H103" s="172" t="s">
        <v>1631</v>
      </c>
      <c r="I103" s="172" t="s">
        <v>1631</v>
      </c>
      <c r="J103" s="36">
        <v>1</v>
      </c>
      <c r="K103" s="180">
        <v>6</v>
      </c>
      <c r="L103" s="180"/>
      <c r="M103" s="22">
        <f>IFERROR((VLOOKUP(A103,'Current Stocks July-26'!$B:$K,10,0)),0)</f>
        <v>350</v>
      </c>
      <c r="N103" s="22">
        <f t="shared" si="8"/>
        <v>1750</v>
      </c>
      <c r="O103" s="22" t="str">
        <f t="shared" si="9"/>
        <v>IN STOCK</v>
      </c>
      <c r="P103" s="22" t="str">
        <f t="shared" si="10"/>
        <v>FOLLOW UP DELIVERY</v>
      </c>
      <c r="Q103" s="58">
        <f t="shared" si="11"/>
        <v>2</v>
      </c>
      <c r="R103" s="58">
        <f t="shared" si="12"/>
        <v>8</v>
      </c>
      <c r="S103" s="58">
        <f t="shared" si="13"/>
        <v>0</v>
      </c>
      <c r="T103" s="5">
        <v>7</v>
      </c>
      <c r="U103" s="5" t="s">
        <v>30</v>
      </c>
      <c r="V103" s="173">
        <f>VLOOKUP(A103,'[1]Final-Short'!$B:$AE,29,0)</f>
        <v>88</v>
      </c>
      <c r="W103" s="171" t="str">
        <f>VLOOKUP(A103,'[1]Final-Short'!$B:$AE,30,0)</f>
        <v>مؤسسة سلالات القهوة للتجارة</v>
      </c>
      <c r="X103" s="58">
        <f t="shared" si="14"/>
        <v>0</v>
      </c>
      <c r="Y103" s="58">
        <f t="shared" si="15"/>
        <v>528</v>
      </c>
    </row>
    <row r="104" spans="1:25" x14ac:dyDescent="0.25">
      <c r="A104" s="36" t="s">
        <v>1161</v>
      </c>
      <c r="B104" s="171" t="s">
        <v>1162</v>
      </c>
      <c r="C104" s="171" t="s">
        <v>1162</v>
      </c>
      <c r="D104" s="172" t="s">
        <v>5062</v>
      </c>
      <c r="E104" s="172" t="s">
        <v>5062</v>
      </c>
      <c r="F104" s="172" t="s">
        <v>1631</v>
      </c>
      <c r="G104" s="172" t="s">
        <v>1631</v>
      </c>
      <c r="H104" s="172" t="s">
        <v>1631</v>
      </c>
      <c r="I104" s="172" t="s">
        <v>1631</v>
      </c>
      <c r="J104" s="36">
        <v>2</v>
      </c>
      <c r="K104" s="180">
        <v>200</v>
      </c>
      <c r="L104" s="180"/>
      <c r="M104" s="22">
        <f>IFERROR((VLOOKUP(A104,'Current Stocks July-26'!$B:$K,10,0)),0)</f>
        <v>0</v>
      </c>
      <c r="N104" s="22">
        <f t="shared" si="8"/>
        <v>0</v>
      </c>
      <c r="O104" s="22" t="str">
        <f t="shared" si="9"/>
        <v>ORDER NOW</v>
      </c>
      <c r="P104" s="22" t="str">
        <f t="shared" si="10"/>
        <v>CRITICAL</v>
      </c>
      <c r="Q104" s="58">
        <f t="shared" si="11"/>
        <v>66.666666666666657</v>
      </c>
      <c r="R104" s="58">
        <f t="shared" si="12"/>
        <v>266.66666666666663</v>
      </c>
      <c r="S104" s="58">
        <f t="shared" si="13"/>
        <v>266.66666666666663</v>
      </c>
      <c r="T104" s="5">
        <v>7</v>
      </c>
      <c r="U104" s="5" t="s">
        <v>30</v>
      </c>
      <c r="V104" s="195">
        <f>VLOOKUP(A104,'[1]Final-Short'!$B:$AE,29,0)</f>
        <v>105</v>
      </c>
      <c r="W104" s="171" t="str">
        <f>VLOOKUP(A104,'[1]Final-Short'!$B:$AE,30,0)</f>
        <v>12 Cups Ltd شركة اثنى عشر كوب المحدوده</v>
      </c>
      <c r="X104" s="58">
        <f t="shared" si="14"/>
        <v>27999.999999999996</v>
      </c>
      <c r="Y104" s="58">
        <f t="shared" si="15"/>
        <v>21000</v>
      </c>
    </row>
    <row r="105" spans="1:25" x14ac:dyDescent="0.25">
      <c r="A105" s="36" t="s">
        <v>550</v>
      </c>
      <c r="B105" s="171" t="s">
        <v>551</v>
      </c>
      <c r="C105" s="171" t="s">
        <v>551</v>
      </c>
      <c r="D105" s="172" t="s">
        <v>5062</v>
      </c>
      <c r="E105" s="172" t="s">
        <v>1631</v>
      </c>
      <c r="F105" s="172" t="s">
        <v>1631</v>
      </c>
      <c r="G105" s="172" t="s">
        <v>1631</v>
      </c>
      <c r="H105" s="172" t="s">
        <v>1631</v>
      </c>
      <c r="I105" s="172" t="s">
        <v>1631</v>
      </c>
      <c r="J105" s="36">
        <v>1</v>
      </c>
      <c r="K105" s="180">
        <v>22</v>
      </c>
      <c r="L105" s="180"/>
      <c r="M105" s="22">
        <f>IFERROR((VLOOKUP(A105,'Current Stocks July-26'!$B:$K,10,0)),0)</f>
        <v>0</v>
      </c>
      <c r="N105" s="22">
        <f t="shared" si="8"/>
        <v>0</v>
      </c>
      <c r="O105" s="22" t="str">
        <f t="shared" si="9"/>
        <v>ORDER NOW</v>
      </c>
      <c r="P105" s="22" t="str">
        <f t="shared" si="10"/>
        <v>CRITICAL</v>
      </c>
      <c r="Q105" s="58">
        <f t="shared" si="11"/>
        <v>7.333333333333333</v>
      </c>
      <c r="R105" s="58">
        <f t="shared" si="12"/>
        <v>29.333333333333332</v>
      </c>
      <c r="S105" s="58">
        <f t="shared" si="13"/>
        <v>29.333333333333332</v>
      </c>
      <c r="T105" s="5">
        <v>7</v>
      </c>
      <c r="U105" s="5" t="s">
        <v>1729</v>
      </c>
      <c r="V105" s="173">
        <v>105</v>
      </c>
      <c r="W105" s="171" t="str">
        <f>VLOOKUP(A105,'[1]Final-Short'!$B:$AE,30,0)</f>
        <v>12 Cups Ltd شركة اثنى عشر كوب المحدوده</v>
      </c>
      <c r="X105" s="58">
        <f t="shared" si="14"/>
        <v>3080</v>
      </c>
      <c r="Y105" s="58">
        <f t="shared" si="15"/>
        <v>2310</v>
      </c>
    </row>
    <row r="106" spans="1:25" x14ac:dyDescent="0.25">
      <c r="A106" s="36" t="s">
        <v>1299</v>
      </c>
      <c r="B106" s="171" t="s">
        <v>1300</v>
      </c>
      <c r="C106" s="171" t="s">
        <v>1300</v>
      </c>
      <c r="D106" s="172" t="s">
        <v>5062</v>
      </c>
      <c r="E106" s="172" t="s">
        <v>1631</v>
      </c>
      <c r="F106" s="172" t="s">
        <v>1631</v>
      </c>
      <c r="G106" s="172" t="s">
        <v>1631</v>
      </c>
      <c r="H106" s="172" t="s">
        <v>1631</v>
      </c>
      <c r="I106" s="172" t="s">
        <v>1631</v>
      </c>
      <c r="J106" s="36">
        <v>1</v>
      </c>
      <c r="K106" s="180">
        <v>11</v>
      </c>
      <c r="L106" s="180"/>
      <c r="M106" s="22">
        <f>IFERROR((VLOOKUP(A106,'Current Stocks July-26'!$B:$K,10,0)),0)</f>
        <v>0</v>
      </c>
      <c r="N106" s="22">
        <f t="shared" si="8"/>
        <v>0</v>
      </c>
      <c r="O106" s="22" t="str">
        <f t="shared" si="9"/>
        <v>ORDER NOW</v>
      </c>
      <c r="P106" s="22" t="str">
        <f t="shared" si="10"/>
        <v>CRITICAL</v>
      </c>
      <c r="Q106" s="58">
        <f t="shared" si="11"/>
        <v>3.6666666666666665</v>
      </c>
      <c r="R106" s="58">
        <f t="shared" si="12"/>
        <v>14.666666666666666</v>
      </c>
      <c r="S106" s="58">
        <f t="shared" si="13"/>
        <v>14.666666666666666</v>
      </c>
      <c r="T106" s="5">
        <v>7</v>
      </c>
      <c r="U106" s="5" t="s">
        <v>1729</v>
      </c>
      <c r="V106" s="173">
        <f>VLOOKUP(A106,'[1]Final-Short'!$B:$AE,29,0)</f>
        <v>1050</v>
      </c>
      <c r="W106" s="171" t="str">
        <f>VLOOKUP(A106,'[1]Final-Short'!$B:$AE,30,0)</f>
        <v>شركة بشريات الموسم للتجارة</v>
      </c>
      <c r="X106" s="58">
        <f t="shared" si="14"/>
        <v>15400</v>
      </c>
      <c r="Y106" s="58">
        <f t="shared" si="15"/>
        <v>11550</v>
      </c>
    </row>
    <row r="107" spans="1:25" x14ac:dyDescent="0.25">
      <c r="A107" s="36" t="s">
        <v>1063</v>
      </c>
      <c r="B107" s="171" t="s">
        <v>1064</v>
      </c>
      <c r="C107" s="171" t="s">
        <v>1064</v>
      </c>
      <c r="D107" s="172" t="s">
        <v>5062</v>
      </c>
      <c r="E107" s="172" t="s">
        <v>5062</v>
      </c>
      <c r="F107" s="172" t="s">
        <v>1631</v>
      </c>
      <c r="G107" s="172" t="s">
        <v>1631</v>
      </c>
      <c r="H107" s="172" t="s">
        <v>1631</v>
      </c>
      <c r="I107" s="172" t="s">
        <v>1631</v>
      </c>
      <c r="J107" s="36">
        <v>2</v>
      </c>
      <c r="K107" s="180">
        <v>8</v>
      </c>
      <c r="L107" s="180"/>
      <c r="M107" s="22">
        <f>IFERROR((VLOOKUP(A107,'Current Stocks July-26'!$B:$K,10,0)),0)</f>
        <v>2</v>
      </c>
      <c r="N107" s="22">
        <f t="shared" si="8"/>
        <v>7.5</v>
      </c>
      <c r="O107" s="22" t="str">
        <f t="shared" si="9"/>
        <v>IN STOCK</v>
      </c>
      <c r="P107" s="22" t="str">
        <f t="shared" si="10"/>
        <v>FOLLOW UP DELIVERY</v>
      </c>
      <c r="Q107" s="58">
        <f t="shared" si="11"/>
        <v>2.6666666666666665</v>
      </c>
      <c r="R107" s="58">
        <f t="shared" si="12"/>
        <v>10.666666666666666</v>
      </c>
      <c r="S107" s="58">
        <f t="shared" si="13"/>
        <v>8.6666666666666661</v>
      </c>
      <c r="T107" s="5">
        <v>7</v>
      </c>
      <c r="U107" s="5" t="s">
        <v>1729</v>
      </c>
      <c r="V107" s="173">
        <f>VLOOKUP(A107,'[1]Final-Short'!$B:$AE,29,0)</f>
        <v>4400</v>
      </c>
      <c r="W107" s="171" t="str">
        <f>VLOOKUP(A107,'[1]Final-Short'!$B:$AE,30,0)</f>
        <v>EL-Reem شركة الريم الذهبية</v>
      </c>
      <c r="X107" s="58">
        <f t="shared" si="14"/>
        <v>38133.333333333328</v>
      </c>
      <c r="Y107" s="58">
        <f t="shared" si="15"/>
        <v>35200</v>
      </c>
    </row>
    <row r="108" spans="1:25" x14ac:dyDescent="0.25">
      <c r="A108" s="36" t="s">
        <v>1507</v>
      </c>
      <c r="B108" s="171" t="s">
        <v>1508</v>
      </c>
      <c r="C108" s="171" t="s">
        <v>1508</v>
      </c>
      <c r="D108" s="172" t="s">
        <v>5062</v>
      </c>
      <c r="E108" s="172" t="s">
        <v>1631</v>
      </c>
      <c r="F108" s="172" t="s">
        <v>1631</v>
      </c>
      <c r="G108" s="172" t="s">
        <v>1631</v>
      </c>
      <c r="H108" s="172" t="s">
        <v>1631</v>
      </c>
      <c r="I108" s="172" t="s">
        <v>1631</v>
      </c>
      <c r="J108" s="36">
        <v>1</v>
      </c>
      <c r="K108" s="180">
        <v>10</v>
      </c>
      <c r="L108" s="180"/>
      <c r="M108" s="22">
        <f>IFERROR((VLOOKUP(A108,'Current Stocks July-26'!$B:$K,10,0)),0)</f>
        <v>383</v>
      </c>
      <c r="N108" s="22">
        <f t="shared" si="8"/>
        <v>1149</v>
      </c>
      <c r="O108" s="22" t="str">
        <f t="shared" si="9"/>
        <v>IN STOCK</v>
      </c>
      <c r="P108" s="22" t="str">
        <f t="shared" si="10"/>
        <v>FOLLOW UP DELIVERY</v>
      </c>
      <c r="Q108" s="58">
        <f t="shared" si="11"/>
        <v>3.333333333333333</v>
      </c>
      <c r="R108" s="58">
        <f t="shared" si="12"/>
        <v>13.333333333333332</v>
      </c>
      <c r="S108" s="58">
        <f t="shared" si="13"/>
        <v>0</v>
      </c>
      <c r="T108" s="5">
        <v>7</v>
      </c>
      <c r="U108" s="5" t="s">
        <v>30</v>
      </c>
      <c r="V108" s="173">
        <f>VLOOKUP(A108,'[1]Final-Short'!$B:$AE,29,0)</f>
        <v>84</v>
      </c>
      <c r="W108" s="171" t="str">
        <f>VLOOKUP(A108,'[1]Final-Short'!$B:$AE,30,0)</f>
        <v>سبيشلتي هاب ,, Archive</v>
      </c>
      <c r="X108" s="58">
        <f t="shared" si="14"/>
        <v>0</v>
      </c>
      <c r="Y108" s="58">
        <f t="shared" si="15"/>
        <v>840</v>
      </c>
    </row>
    <row r="109" spans="1:25" x14ac:dyDescent="0.25">
      <c r="A109" s="36" t="s">
        <v>1011</v>
      </c>
      <c r="B109" s="171" t="s">
        <v>1012</v>
      </c>
      <c r="C109" s="171" t="s">
        <v>1012</v>
      </c>
      <c r="D109" s="172" t="s">
        <v>5062</v>
      </c>
      <c r="E109" s="172" t="s">
        <v>5062</v>
      </c>
      <c r="F109" s="172" t="s">
        <v>1631</v>
      </c>
      <c r="G109" s="172" t="s">
        <v>1631</v>
      </c>
      <c r="H109" s="172" t="s">
        <v>1631</v>
      </c>
      <c r="I109" s="172" t="s">
        <v>1631</v>
      </c>
      <c r="J109" s="36">
        <v>2</v>
      </c>
      <c r="K109" s="180">
        <v>20</v>
      </c>
      <c r="L109" s="180"/>
      <c r="M109" s="22">
        <f>IFERROR((VLOOKUP(A109,'Current Stocks July-26'!$B:$K,10,0)),0)</f>
        <v>29</v>
      </c>
      <c r="N109" s="22">
        <f t="shared" si="8"/>
        <v>43.5</v>
      </c>
      <c r="O109" s="22" t="str">
        <f t="shared" si="9"/>
        <v>IN STOCK</v>
      </c>
      <c r="P109" s="22" t="str">
        <f t="shared" si="10"/>
        <v>FOLLOW UP DELIVERY</v>
      </c>
      <c r="Q109" s="58">
        <f t="shared" si="11"/>
        <v>6.6666666666666661</v>
      </c>
      <c r="R109" s="58">
        <f t="shared" si="12"/>
        <v>26.666666666666664</v>
      </c>
      <c r="S109" s="58">
        <f t="shared" si="13"/>
        <v>0</v>
      </c>
      <c r="T109" s="5">
        <v>7</v>
      </c>
      <c r="U109" s="5" t="s">
        <v>30</v>
      </c>
      <c r="V109" s="173">
        <f>VLOOKUP(A109,'[1]Final-Short'!$B:$AE,29,0)</f>
        <v>175</v>
      </c>
      <c r="W109" s="171" t="str">
        <f>VLOOKUP(A109,'[1]Final-Short'!$B:$AE,30,0)</f>
        <v>مؤسسة مستر شيف</v>
      </c>
      <c r="X109" s="58">
        <f t="shared" si="14"/>
        <v>0</v>
      </c>
      <c r="Y109" s="58">
        <f t="shared" si="15"/>
        <v>3500</v>
      </c>
    </row>
    <row r="110" spans="1:25" x14ac:dyDescent="0.25">
      <c r="A110" s="36" t="s">
        <v>1733</v>
      </c>
      <c r="B110" s="171" t="s">
        <v>1733</v>
      </c>
      <c r="C110" s="171" t="s">
        <v>233</v>
      </c>
      <c r="D110" s="172" t="s">
        <v>1631</v>
      </c>
      <c r="E110" s="172" t="s">
        <v>1631</v>
      </c>
      <c r="F110" s="172" t="s">
        <v>1631</v>
      </c>
      <c r="G110" s="172" t="s">
        <v>1631</v>
      </c>
      <c r="H110" s="172" t="s">
        <v>1631</v>
      </c>
      <c r="I110" s="172" t="s">
        <v>1631</v>
      </c>
      <c r="J110" s="36">
        <v>0</v>
      </c>
      <c r="K110" s="180">
        <v>11</v>
      </c>
      <c r="L110" s="180"/>
      <c r="M110" s="22">
        <f>IFERROR((VLOOKUP(A110,'Current Stocks July-26'!$B:$K,10,0)),0)</f>
        <v>0</v>
      </c>
      <c r="N110" s="22">
        <f t="shared" si="8"/>
        <v>0</v>
      </c>
      <c r="O110" s="22" t="str">
        <f t="shared" si="9"/>
        <v>ORDER NOW</v>
      </c>
      <c r="P110" s="22" t="str">
        <f t="shared" si="10"/>
        <v>CRITICAL</v>
      </c>
      <c r="Q110" s="58">
        <f t="shared" si="11"/>
        <v>3.6666666666666665</v>
      </c>
      <c r="R110" s="58">
        <f t="shared" si="12"/>
        <v>14.666666666666666</v>
      </c>
      <c r="S110" s="58">
        <f t="shared" si="13"/>
        <v>14.666666666666666</v>
      </c>
      <c r="T110" s="5">
        <v>7</v>
      </c>
      <c r="U110" s="5" t="s">
        <v>30</v>
      </c>
      <c r="V110" s="173" t="e">
        <f>VLOOKUP(A110,'[1]Final-Short'!$B:$AE,29,0)</f>
        <v>#REF!</v>
      </c>
      <c r="W110" s="171">
        <f>VLOOKUP(A110,'[1]Final-Short'!$B:$AE,30,0)</f>
        <v>0</v>
      </c>
      <c r="X110" s="58" t="e">
        <f t="shared" si="14"/>
        <v>#REF!</v>
      </c>
      <c r="Y110" s="58" t="e">
        <f t="shared" si="15"/>
        <v>#REF!</v>
      </c>
    </row>
    <row r="111" spans="1:25" x14ac:dyDescent="0.25">
      <c r="A111" s="36" t="s">
        <v>1734</v>
      </c>
      <c r="B111" s="171" t="s">
        <v>1735</v>
      </c>
      <c r="C111" s="171" t="s">
        <v>1735</v>
      </c>
      <c r="D111" s="172" t="s">
        <v>5062</v>
      </c>
      <c r="E111" s="172" t="s">
        <v>5062</v>
      </c>
      <c r="F111" s="172" t="s">
        <v>1631</v>
      </c>
      <c r="G111" s="172" t="s">
        <v>1631</v>
      </c>
      <c r="H111" s="172" t="s">
        <v>1631</v>
      </c>
      <c r="I111" s="172" t="s">
        <v>1631</v>
      </c>
      <c r="J111" s="36">
        <v>2</v>
      </c>
      <c r="K111" s="180">
        <v>10</v>
      </c>
      <c r="L111" s="180"/>
      <c r="M111" s="22">
        <f>IFERROR((VLOOKUP(A111,'Current Stocks July-26'!$B:$K,10,0)),0)</f>
        <v>100</v>
      </c>
      <c r="N111" s="22">
        <f t="shared" si="8"/>
        <v>300</v>
      </c>
      <c r="O111" s="22" t="str">
        <f t="shared" si="9"/>
        <v>IN STOCK</v>
      </c>
      <c r="P111" s="22" t="str">
        <f t="shared" si="10"/>
        <v>FOLLOW UP DELIVERY</v>
      </c>
      <c r="Q111" s="58">
        <f t="shared" si="11"/>
        <v>3.333333333333333</v>
      </c>
      <c r="R111" s="58">
        <f t="shared" si="12"/>
        <v>13.333333333333332</v>
      </c>
      <c r="S111" s="58">
        <f t="shared" si="13"/>
        <v>0</v>
      </c>
      <c r="T111" s="5">
        <v>7</v>
      </c>
      <c r="U111" s="5" t="s">
        <v>1729</v>
      </c>
      <c r="V111" s="173">
        <f>VLOOKUP(A111,'[1]Final-Short'!$B:$AE,29,0)</f>
        <v>118.2608</v>
      </c>
      <c r="W111" s="171" t="str">
        <f>VLOOKUP(A111,'[1]Final-Short'!$B:$AE,30,0)</f>
        <v>Petty Cash Musab Taha</v>
      </c>
      <c r="X111" s="58">
        <f t="shared" si="14"/>
        <v>0</v>
      </c>
      <c r="Y111" s="58">
        <f t="shared" si="15"/>
        <v>1182.6079999999999</v>
      </c>
    </row>
    <row r="112" spans="1:25" x14ac:dyDescent="0.25">
      <c r="A112" s="36" t="s">
        <v>1384</v>
      </c>
      <c r="B112" s="171" t="s">
        <v>1385</v>
      </c>
      <c r="C112" s="171" t="s">
        <v>1385</v>
      </c>
      <c r="D112" s="172" t="s">
        <v>5062</v>
      </c>
      <c r="E112" s="172" t="s">
        <v>5062</v>
      </c>
      <c r="F112" s="172" t="s">
        <v>1631</v>
      </c>
      <c r="G112" s="172" t="s">
        <v>1631</v>
      </c>
      <c r="H112" s="172" t="s">
        <v>1631</v>
      </c>
      <c r="I112" s="172" t="s">
        <v>1631</v>
      </c>
      <c r="J112" s="36">
        <v>2</v>
      </c>
      <c r="K112" s="180">
        <v>50</v>
      </c>
      <c r="L112" s="180"/>
      <c r="M112" s="22">
        <f>IFERROR((VLOOKUP(A112,'Current Stocks July-26'!$B:$K,10,0)),0)</f>
        <v>25</v>
      </c>
      <c r="N112" s="22">
        <f t="shared" si="8"/>
        <v>15</v>
      </c>
      <c r="O112" s="22" t="str">
        <f t="shared" si="9"/>
        <v>IN STOCK</v>
      </c>
      <c r="P112" s="22" t="str">
        <f t="shared" si="10"/>
        <v>FOLLOW UP DELIVERY</v>
      </c>
      <c r="Q112" s="58">
        <f t="shared" si="11"/>
        <v>28.333333333333332</v>
      </c>
      <c r="R112" s="58">
        <f t="shared" si="12"/>
        <v>78.333333333333329</v>
      </c>
      <c r="S112" s="58">
        <f t="shared" si="13"/>
        <v>53.333333333333329</v>
      </c>
      <c r="T112" s="5">
        <v>14</v>
      </c>
      <c r="U112" s="5" t="s">
        <v>30</v>
      </c>
      <c r="V112" s="173">
        <f>VLOOKUP(A112,'[1]Final-Short'!$B:$AE,29,0)</f>
        <v>7</v>
      </c>
      <c r="W112" s="171" t="str">
        <f>VLOOKUP(A112,'[1]Final-Short'!$B:$AE,30,0)</f>
        <v>مؤسسة مستر شيف</v>
      </c>
      <c r="X112" s="58">
        <f t="shared" si="14"/>
        <v>373.33333333333331</v>
      </c>
      <c r="Y112" s="58">
        <f t="shared" si="15"/>
        <v>350</v>
      </c>
    </row>
    <row r="113" spans="1:25" x14ac:dyDescent="0.25">
      <c r="A113" s="36" t="s">
        <v>1154</v>
      </c>
      <c r="B113" s="171" t="s">
        <v>1736</v>
      </c>
      <c r="C113" s="171" t="s">
        <v>1155</v>
      </c>
      <c r="D113" s="172" t="s">
        <v>5062</v>
      </c>
      <c r="E113" s="172" t="s">
        <v>1631</v>
      </c>
      <c r="F113" s="172" t="s">
        <v>1631</v>
      </c>
      <c r="G113" s="172" t="s">
        <v>1631</v>
      </c>
      <c r="H113" s="172" t="s">
        <v>1631</v>
      </c>
      <c r="I113" s="172" t="s">
        <v>1631</v>
      </c>
      <c r="J113" s="36">
        <v>1</v>
      </c>
      <c r="K113" s="180">
        <v>50</v>
      </c>
      <c r="L113" s="180"/>
      <c r="M113" s="22">
        <f>IFERROR((VLOOKUP(A113,'Current Stocks July-26'!$B:$K,10,0)),0)</f>
        <v>105</v>
      </c>
      <c r="N113" s="22">
        <f t="shared" si="8"/>
        <v>63</v>
      </c>
      <c r="O113" s="22" t="str">
        <f t="shared" si="9"/>
        <v>IN STOCK</v>
      </c>
      <c r="P113" s="22" t="str">
        <f t="shared" si="10"/>
        <v>FOLLOW UP DELIVERY</v>
      </c>
      <c r="Q113" s="58">
        <f t="shared" si="11"/>
        <v>16.666666666666664</v>
      </c>
      <c r="R113" s="58">
        <f t="shared" si="12"/>
        <v>66.666666666666657</v>
      </c>
      <c r="S113" s="58">
        <f t="shared" si="13"/>
        <v>0</v>
      </c>
      <c r="T113" s="5">
        <v>7</v>
      </c>
      <c r="U113" s="5" t="s">
        <v>30</v>
      </c>
      <c r="V113" s="173">
        <f>VLOOKUP(A113,'[1]Final-Short'!$B:$AE,29,0)</f>
        <v>30</v>
      </c>
      <c r="W113" s="171" t="str">
        <f>VLOOKUP(A113,'[1]Final-Short'!$B:$AE,30,0)</f>
        <v>12 Cups Ltd شركة اثنى عشر كوب المحدوده</v>
      </c>
      <c r="X113" s="58">
        <f t="shared" si="14"/>
        <v>0</v>
      </c>
      <c r="Y113" s="58">
        <f t="shared" si="15"/>
        <v>1500</v>
      </c>
    </row>
    <row r="114" spans="1:25" x14ac:dyDescent="0.25">
      <c r="A114" s="36" t="s">
        <v>784</v>
      </c>
      <c r="B114" s="171" t="s">
        <v>785</v>
      </c>
      <c r="C114" s="171" t="s">
        <v>785</v>
      </c>
      <c r="D114" s="172" t="s">
        <v>5062</v>
      </c>
      <c r="E114" s="172" t="s">
        <v>5062</v>
      </c>
      <c r="F114" s="172" t="s">
        <v>1631</v>
      </c>
      <c r="G114" s="172" t="s">
        <v>1631</v>
      </c>
      <c r="H114" s="172" t="s">
        <v>1631</v>
      </c>
      <c r="I114" s="172" t="s">
        <v>1631</v>
      </c>
      <c r="J114" s="36">
        <v>2</v>
      </c>
      <c r="K114" s="180">
        <v>50</v>
      </c>
      <c r="L114" s="180"/>
      <c r="M114" s="22">
        <f>IFERROR((VLOOKUP(A114,'Current Stocks July-26'!$B:$K,10,0)),0)</f>
        <v>0</v>
      </c>
      <c r="N114" s="22">
        <f t="shared" si="8"/>
        <v>0</v>
      </c>
      <c r="O114" s="22" t="str">
        <f t="shared" si="9"/>
        <v>ORDER NOW</v>
      </c>
      <c r="P114" s="22" t="str">
        <f t="shared" si="10"/>
        <v>CRITICAL</v>
      </c>
      <c r="Q114" s="58">
        <f t="shared" si="11"/>
        <v>16.666666666666664</v>
      </c>
      <c r="R114" s="58">
        <f t="shared" si="12"/>
        <v>66.666666666666657</v>
      </c>
      <c r="S114" s="58">
        <f t="shared" si="13"/>
        <v>66.666666666666657</v>
      </c>
      <c r="T114" s="5">
        <v>7</v>
      </c>
      <c r="U114" s="5" t="s">
        <v>30</v>
      </c>
      <c r="V114" s="173">
        <f>VLOOKUP(A114,'[1]Final-Short'!$B:$AE,29,0)</f>
        <v>50</v>
      </c>
      <c r="W114" s="171" t="str">
        <f>VLOOKUP(A114,'[1]Final-Short'!$B:$AE,30,0)</f>
        <v>شركة بشريات الموسم للتجارة</v>
      </c>
      <c r="X114" s="58">
        <f t="shared" si="14"/>
        <v>3333.333333333333</v>
      </c>
      <c r="Y114" s="58">
        <f t="shared" si="15"/>
        <v>2500</v>
      </c>
    </row>
    <row r="115" spans="1:25" x14ac:dyDescent="0.25">
      <c r="A115" s="36" t="s">
        <v>678</v>
      </c>
      <c r="B115" s="171" t="s">
        <v>679</v>
      </c>
      <c r="C115" s="171" t="s">
        <v>679</v>
      </c>
      <c r="D115" s="172" t="s">
        <v>5062</v>
      </c>
      <c r="E115" s="172" t="s">
        <v>1631</v>
      </c>
      <c r="F115" s="172" t="s">
        <v>1631</v>
      </c>
      <c r="G115" s="172" t="s">
        <v>1631</v>
      </c>
      <c r="H115" s="172" t="s">
        <v>1631</v>
      </c>
      <c r="I115" s="172" t="s">
        <v>1631</v>
      </c>
      <c r="J115" s="36">
        <v>1</v>
      </c>
      <c r="K115" s="180">
        <v>10</v>
      </c>
      <c r="L115" s="180"/>
      <c r="M115" s="22">
        <f>IFERROR((VLOOKUP(A115,'Current Stocks July-26'!$B:$K,10,0)),0)</f>
        <v>10</v>
      </c>
      <c r="N115" s="22">
        <f t="shared" si="8"/>
        <v>30</v>
      </c>
      <c r="O115" s="22" t="str">
        <f t="shared" si="9"/>
        <v>IN STOCK</v>
      </c>
      <c r="P115" s="22" t="str">
        <f t="shared" si="10"/>
        <v>FOLLOW UP DELIVERY</v>
      </c>
      <c r="Q115" s="58">
        <f t="shared" si="11"/>
        <v>3.333333333333333</v>
      </c>
      <c r="R115" s="58">
        <f t="shared" si="12"/>
        <v>13.333333333333332</v>
      </c>
      <c r="S115" s="58">
        <f t="shared" si="13"/>
        <v>3.3333333333333321</v>
      </c>
      <c r="T115" s="5">
        <v>7</v>
      </c>
      <c r="U115" s="5" t="s">
        <v>30</v>
      </c>
      <c r="V115" s="173">
        <f>VLOOKUP(A115,'[1]Final-Short'!$B:$AE,29,0)</f>
        <v>495.24</v>
      </c>
      <c r="W115" s="171" t="str">
        <f>VLOOKUP(A115,'[1]Final-Short'!$B:$AE,30,0)</f>
        <v>سبيشلتي هاب ,, Archive</v>
      </c>
      <c r="X115" s="58">
        <f t="shared" si="14"/>
        <v>1650.7999999999995</v>
      </c>
      <c r="Y115" s="58">
        <f t="shared" si="15"/>
        <v>4952.3999999999996</v>
      </c>
    </row>
    <row r="116" spans="1:25" x14ac:dyDescent="0.25">
      <c r="A116" s="36" t="s">
        <v>673</v>
      </c>
      <c r="B116" s="171" t="s">
        <v>1737</v>
      </c>
      <c r="C116" s="171" t="s">
        <v>674</v>
      </c>
      <c r="D116" s="172" t="s">
        <v>5062</v>
      </c>
      <c r="E116" s="172" t="s">
        <v>1631</v>
      </c>
      <c r="F116" s="172" t="s">
        <v>1631</v>
      </c>
      <c r="G116" s="172" t="s">
        <v>1631</v>
      </c>
      <c r="H116" s="172" t="s">
        <v>1631</v>
      </c>
      <c r="I116" s="172" t="s">
        <v>1631</v>
      </c>
      <c r="J116" s="36">
        <v>1</v>
      </c>
      <c r="K116" s="22">
        <v>0</v>
      </c>
      <c r="L116" s="22" t="s">
        <v>1738</v>
      </c>
      <c r="M116" s="22">
        <f>IFERROR((VLOOKUP(A116,'Current Stocks July-26'!$B:$K,10,0)),0)</f>
        <v>0</v>
      </c>
      <c r="N116" s="22">
        <f t="shared" si="8"/>
        <v>0</v>
      </c>
      <c r="O116" s="22" t="str">
        <f t="shared" si="9"/>
        <v>ORDER NOW</v>
      </c>
      <c r="P116" s="22" t="str">
        <f t="shared" si="10"/>
        <v>CRITICAL</v>
      </c>
      <c r="Q116" s="58">
        <f t="shared" si="11"/>
        <v>0</v>
      </c>
      <c r="R116" s="58">
        <f t="shared" si="12"/>
        <v>0</v>
      </c>
      <c r="S116" s="58">
        <f t="shared" si="13"/>
        <v>0</v>
      </c>
      <c r="T116" s="5">
        <v>7</v>
      </c>
      <c r="U116" s="5" t="s">
        <v>1729</v>
      </c>
      <c r="V116" s="173">
        <f>VLOOKUP(A116,'[1]Final-Short'!$B:$AE,29,0)</f>
        <v>1475</v>
      </c>
      <c r="W116" s="171" t="str">
        <f>VLOOKUP(A116,'[1]Final-Short'!$B:$AE,30,0)</f>
        <v>مؤسسة حسن محمد حبيب للتجارة</v>
      </c>
      <c r="X116" s="58">
        <f t="shared" si="14"/>
        <v>0</v>
      </c>
      <c r="Y116" s="58">
        <f t="shared" si="15"/>
        <v>0</v>
      </c>
    </row>
    <row r="117" spans="1:25" x14ac:dyDescent="0.25">
      <c r="A117" s="36" t="s">
        <v>333</v>
      </c>
      <c r="B117" s="171" t="s">
        <v>334</v>
      </c>
      <c r="C117" s="171" t="s">
        <v>334</v>
      </c>
      <c r="D117" s="172" t="s">
        <v>5062</v>
      </c>
      <c r="E117" s="172" t="s">
        <v>5062</v>
      </c>
      <c r="F117" s="172" t="s">
        <v>1631</v>
      </c>
      <c r="G117" s="172" t="s">
        <v>1631</v>
      </c>
      <c r="H117" s="172" t="s">
        <v>1631</v>
      </c>
      <c r="I117" s="172" t="s">
        <v>1631</v>
      </c>
      <c r="J117" s="36">
        <v>2</v>
      </c>
      <c r="K117" s="180">
        <v>4</v>
      </c>
      <c r="L117" s="180"/>
      <c r="M117" s="22">
        <f>IFERROR((VLOOKUP(A117,'Current Stocks July-26'!$B:$K,10,0)),0)</f>
        <v>43</v>
      </c>
      <c r="N117" s="22">
        <f t="shared" si="8"/>
        <v>322.5</v>
      </c>
      <c r="O117" s="22" t="str">
        <f t="shared" si="9"/>
        <v>IN STOCK</v>
      </c>
      <c r="P117" s="22" t="str">
        <f t="shared" si="10"/>
        <v>FOLLOW UP DELIVERY</v>
      </c>
      <c r="Q117" s="58">
        <f t="shared" si="11"/>
        <v>1.3333333333333333</v>
      </c>
      <c r="R117" s="58">
        <f t="shared" si="12"/>
        <v>5.333333333333333</v>
      </c>
      <c r="S117" s="58">
        <f t="shared" si="13"/>
        <v>0</v>
      </c>
      <c r="T117" s="5">
        <v>7</v>
      </c>
      <c r="U117" s="5" t="s">
        <v>1729</v>
      </c>
      <c r="V117" s="173">
        <f>VLOOKUP(A117,'[1]Final-Short'!$B:$AE,29,0)</f>
        <v>20</v>
      </c>
      <c r="W117" s="171" t="str">
        <f>VLOOKUP(A117,'[1]Final-Short'!$B:$AE,30,0)</f>
        <v>مؤسسة مستر شيف</v>
      </c>
      <c r="X117" s="58">
        <f t="shared" si="14"/>
        <v>0</v>
      </c>
      <c r="Y117" s="58">
        <f t="shared" si="15"/>
        <v>80</v>
      </c>
    </row>
    <row r="118" spans="1:25" x14ac:dyDescent="0.25">
      <c r="A118" s="36" t="s">
        <v>1739</v>
      </c>
      <c r="B118" s="171" t="s">
        <v>1740</v>
      </c>
      <c r="C118" s="171" t="s">
        <v>1740</v>
      </c>
      <c r="D118" s="172" t="s">
        <v>1631</v>
      </c>
      <c r="E118" s="172" t="s">
        <v>1631</v>
      </c>
      <c r="F118" s="172" t="s">
        <v>1631</v>
      </c>
      <c r="G118" s="172" t="s">
        <v>1631</v>
      </c>
      <c r="H118" s="172" t="s">
        <v>1631</v>
      </c>
      <c r="I118" s="172" t="s">
        <v>1631</v>
      </c>
      <c r="J118" s="36">
        <v>0</v>
      </c>
      <c r="K118" s="180">
        <v>20</v>
      </c>
      <c r="L118" s="180" t="s">
        <v>1701</v>
      </c>
      <c r="M118" s="22">
        <f>IFERROR((VLOOKUP(A118,'Current Stocks July-26'!$B:$K,10,0)),0)</f>
        <v>0</v>
      </c>
      <c r="N118" s="22">
        <f t="shared" si="8"/>
        <v>0</v>
      </c>
      <c r="O118" s="22" t="str">
        <f t="shared" si="9"/>
        <v>ORDER NOW</v>
      </c>
      <c r="P118" s="22" t="str">
        <f t="shared" si="10"/>
        <v>CRITICAL</v>
      </c>
      <c r="Q118" s="58">
        <f t="shared" si="11"/>
        <v>6.6666666666666661</v>
      </c>
      <c r="R118" s="58">
        <f t="shared" si="12"/>
        <v>26.666666666666664</v>
      </c>
      <c r="S118" s="58">
        <f t="shared" si="13"/>
        <v>26.666666666666664</v>
      </c>
      <c r="T118" s="5">
        <v>7</v>
      </c>
      <c r="U118" s="5" t="s">
        <v>30</v>
      </c>
      <c r="V118" s="173">
        <f>VLOOKUP(A118,'[1]Final-Short'!$B:$AE,29,0)</f>
        <v>3.3</v>
      </c>
      <c r="W118" s="171" t="str">
        <f>VLOOKUP(A118,'[1]Final-Short'!$B:$AE,30,0)</f>
        <v>مؤسسة عمد المختصة التجارية</v>
      </c>
      <c r="X118" s="58">
        <f t="shared" si="14"/>
        <v>87.999999999999986</v>
      </c>
      <c r="Y118" s="58">
        <f t="shared" si="15"/>
        <v>66</v>
      </c>
    </row>
    <row r="119" spans="1:25" x14ac:dyDescent="0.25">
      <c r="A119" s="36" t="s">
        <v>755</v>
      </c>
      <c r="B119" s="171" t="s">
        <v>756</v>
      </c>
      <c r="C119" s="171" t="s">
        <v>756</v>
      </c>
      <c r="D119" s="172" t="s">
        <v>5062</v>
      </c>
      <c r="E119" s="172" t="s">
        <v>1631</v>
      </c>
      <c r="F119" s="172" t="s">
        <v>1631</v>
      </c>
      <c r="G119" s="172" t="s">
        <v>1631</v>
      </c>
      <c r="H119" s="172" t="s">
        <v>1631</v>
      </c>
      <c r="I119" s="172" t="s">
        <v>1631</v>
      </c>
      <c r="J119" s="36">
        <v>1</v>
      </c>
      <c r="K119" s="180">
        <v>15</v>
      </c>
      <c r="L119" s="180"/>
      <c r="M119" s="22">
        <f>IFERROR((VLOOKUP(A119,'Current Stocks July-26'!$B:$K,10,0)),0)</f>
        <v>0</v>
      </c>
      <c r="N119" s="22">
        <f t="shared" si="8"/>
        <v>0</v>
      </c>
      <c r="O119" s="22" t="str">
        <f t="shared" si="9"/>
        <v>ORDER NOW</v>
      </c>
      <c r="P119" s="22" t="str">
        <f t="shared" si="10"/>
        <v>CRITICAL</v>
      </c>
      <c r="Q119" s="58">
        <f t="shared" si="11"/>
        <v>5</v>
      </c>
      <c r="R119" s="58">
        <f t="shared" si="12"/>
        <v>20</v>
      </c>
      <c r="S119" s="58">
        <f t="shared" si="13"/>
        <v>20</v>
      </c>
      <c r="T119" s="5">
        <v>7</v>
      </c>
      <c r="U119" s="5" t="s">
        <v>30</v>
      </c>
      <c r="V119" s="173">
        <f>VLOOKUP(A119,'[1]Final-Short'!$B:$AE,29,0)</f>
        <v>15</v>
      </c>
      <c r="W119" s="171" t="str">
        <f>VLOOKUP(A119,'[1]Final-Short'!$B:$AE,30,0)</f>
        <v>شركة شمس القهوة للتجارة المحدودة</v>
      </c>
      <c r="X119" s="58">
        <f t="shared" si="14"/>
        <v>300</v>
      </c>
      <c r="Y119" s="58">
        <f t="shared" si="15"/>
        <v>225</v>
      </c>
    </row>
    <row r="120" spans="1:25" x14ac:dyDescent="0.25">
      <c r="A120" s="36" t="s">
        <v>1163</v>
      </c>
      <c r="B120" s="171" t="s">
        <v>1164</v>
      </c>
      <c r="C120" s="171" t="s">
        <v>1164</v>
      </c>
      <c r="D120" s="172" t="s">
        <v>5062</v>
      </c>
      <c r="E120" s="172" t="s">
        <v>1631</v>
      </c>
      <c r="F120" s="172" t="s">
        <v>1631</v>
      </c>
      <c r="G120" s="172" t="s">
        <v>1631</v>
      </c>
      <c r="H120" s="172" t="s">
        <v>1631</v>
      </c>
      <c r="I120" s="172" t="s">
        <v>1631</v>
      </c>
      <c r="J120" s="36">
        <v>1</v>
      </c>
      <c r="K120" s="180">
        <v>20</v>
      </c>
      <c r="L120" s="180"/>
      <c r="M120" s="22">
        <f>IFERROR((VLOOKUP(A120,'Current Stocks July-26'!$B:$K,10,0)),0)</f>
        <v>219</v>
      </c>
      <c r="N120" s="22">
        <f t="shared" si="8"/>
        <v>328.5</v>
      </c>
      <c r="O120" s="22" t="str">
        <f t="shared" si="9"/>
        <v>IN STOCK</v>
      </c>
      <c r="P120" s="22" t="str">
        <f t="shared" si="10"/>
        <v>FOLLOW UP DELIVERY</v>
      </c>
      <c r="Q120" s="58">
        <f t="shared" si="11"/>
        <v>6.6666666666666661</v>
      </c>
      <c r="R120" s="58">
        <f t="shared" si="12"/>
        <v>26.666666666666664</v>
      </c>
      <c r="S120" s="58">
        <f t="shared" si="13"/>
        <v>0</v>
      </c>
      <c r="T120" s="5">
        <v>7</v>
      </c>
      <c r="U120" s="5" t="s">
        <v>30</v>
      </c>
      <c r="V120" s="173">
        <f>VLOOKUP(A120,'[1]Final-Short'!$B:$AE,29,0)</f>
        <v>108.7</v>
      </c>
      <c r="W120" s="171" t="str">
        <f>VLOOKUP(A120,'[1]Final-Short'!$B:$AE,30,0)</f>
        <v>مؤسسة زاهي الرياض للتجارة   ZAAHI ALRIYADH TRADING EST</v>
      </c>
      <c r="X120" s="58">
        <f t="shared" si="14"/>
        <v>0</v>
      </c>
      <c r="Y120" s="58">
        <f t="shared" si="15"/>
        <v>2174</v>
      </c>
    </row>
    <row r="121" spans="1:25" x14ac:dyDescent="0.25">
      <c r="A121" s="36" t="s">
        <v>1108</v>
      </c>
      <c r="B121" s="171" t="s">
        <v>1109</v>
      </c>
      <c r="C121" s="171" t="s">
        <v>1109</v>
      </c>
      <c r="D121" s="172" t="s">
        <v>5062</v>
      </c>
      <c r="E121" s="172" t="s">
        <v>5062</v>
      </c>
      <c r="F121" s="172" t="s">
        <v>1631</v>
      </c>
      <c r="G121" s="172" t="s">
        <v>1631</v>
      </c>
      <c r="H121" s="172" t="s">
        <v>1631</v>
      </c>
      <c r="I121" s="172" t="s">
        <v>1631</v>
      </c>
      <c r="J121" s="36">
        <v>2</v>
      </c>
      <c r="K121" s="180">
        <v>120</v>
      </c>
      <c r="L121" s="180"/>
      <c r="M121" s="22">
        <f>IFERROR((VLOOKUP(A121,'Current Stocks July-26'!$B:$K,10,0)),0)</f>
        <v>0</v>
      </c>
      <c r="N121" s="22">
        <f t="shared" si="8"/>
        <v>0</v>
      </c>
      <c r="O121" s="22" t="str">
        <f t="shared" si="9"/>
        <v>ORDER NOW</v>
      </c>
      <c r="P121" s="22" t="str">
        <f t="shared" si="10"/>
        <v>CRITICAL</v>
      </c>
      <c r="Q121" s="58">
        <f t="shared" si="11"/>
        <v>40</v>
      </c>
      <c r="R121" s="58">
        <f t="shared" si="12"/>
        <v>160</v>
      </c>
      <c r="S121" s="58">
        <f t="shared" si="13"/>
        <v>160</v>
      </c>
      <c r="T121" s="5">
        <v>7</v>
      </c>
      <c r="U121" s="5" t="s">
        <v>30</v>
      </c>
      <c r="V121" s="173">
        <f>VLOOKUP(A121,'[1]Final-Short'!$B:$AE,29,0)</f>
        <v>18</v>
      </c>
      <c r="W121" s="171" t="str">
        <f>VLOOKUP(A121,'[1]Final-Short'!$B:$AE,30,0)</f>
        <v>شركة بشريات الموسم للتجارة</v>
      </c>
      <c r="X121" s="58">
        <f t="shared" si="14"/>
        <v>2880</v>
      </c>
      <c r="Y121" s="58">
        <f t="shared" si="15"/>
        <v>2160</v>
      </c>
    </row>
    <row r="122" spans="1:25" x14ac:dyDescent="0.25">
      <c r="A122" s="36" t="s">
        <v>739</v>
      </c>
      <c r="B122" s="171" t="s">
        <v>740</v>
      </c>
      <c r="C122" s="171" t="s">
        <v>740</v>
      </c>
      <c r="D122" s="172" t="s">
        <v>5062</v>
      </c>
      <c r="E122" s="172" t="s">
        <v>5062</v>
      </c>
      <c r="F122" s="172" t="s">
        <v>1631</v>
      </c>
      <c r="G122" s="172" t="s">
        <v>1631</v>
      </c>
      <c r="H122" s="172" t="s">
        <v>1631</v>
      </c>
      <c r="I122" s="172" t="s">
        <v>1631</v>
      </c>
      <c r="J122" s="36">
        <v>2</v>
      </c>
      <c r="K122" s="180">
        <v>50</v>
      </c>
      <c r="L122" s="180"/>
      <c r="M122" s="22">
        <f>IFERROR((VLOOKUP(A122,'Current Stocks July-26'!$B:$K,10,0)),0)</f>
        <v>83</v>
      </c>
      <c r="N122" s="22">
        <f t="shared" si="8"/>
        <v>49.8</v>
      </c>
      <c r="O122" s="22" t="str">
        <f t="shared" si="9"/>
        <v>IN STOCK</v>
      </c>
      <c r="P122" s="22" t="str">
        <f t="shared" si="10"/>
        <v>FOLLOW UP DELIVERY</v>
      </c>
      <c r="Q122" s="58">
        <f t="shared" si="11"/>
        <v>16.666666666666664</v>
      </c>
      <c r="R122" s="58">
        <f t="shared" si="12"/>
        <v>66.666666666666657</v>
      </c>
      <c r="S122" s="58">
        <f t="shared" si="13"/>
        <v>0</v>
      </c>
      <c r="T122" s="5">
        <v>7</v>
      </c>
      <c r="U122" s="5" t="s">
        <v>30</v>
      </c>
      <c r="V122" s="173">
        <f>VLOOKUP(A122,'[1]Final-Short'!$B:$AE,29,0)</f>
        <v>52</v>
      </c>
      <c r="W122" s="171" t="str">
        <f>VLOOKUP(A122,'[1]Final-Short'!$B:$AE,30,0)</f>
        <v>شركة بشريات الموسم للتجارة</v>
      </c>
      <c r="X122" s="58">
        <f t="shared" si="14"/>
        <v>0</v>
      </c>
      <c r="Y122" s="58">
        <f t="shared" si="15"/>
        <v>2600</v>
      </c>
    </row>
    <row r="123" spans="1:25" x14ac:dyDescent="0.25">
      <c r="A123" s="36" t="s">
        <v>1337</v>
      </c>
      <c r="B123" s="171" t="s">
        <v>1338</v>
      </c>
      <c r="C123" s="171" t="s">
        <v>1338</v>
      </c>
      <c r="D123" s="172" t="s">
        <v>5062</v>
      </c>
      <c r="E123" s="172" t="s">
        <v>5062</v>
      </c>
      <c r="F123" s="172" t="s">
        <v>1631</v>
      </c>
      <c r="G123" s="172" t="s">
        <v>1631</v>
      </c>
      <c r="H123" s="172" t="s">
        <v>1631</v>
      </c>
      <c r="I123" s="172" t="s">
        <v>1631</v>
      </c>
      <c r="J123" s="36">
        <v>2</v>
      </c>
      <c r="K123" s="180">
        <v>15</v>
      </c>
      <c r="L123" s="180"/>
      <c r="M123" s="22">
        <f>IFERROR((VLOOKUP(A123,'Current Stocks July-26'!$B:$K,10,0)),0)</f>
        <v>26</v>
      </c>
      <c r="N123" s="22">
        <f t="shared" si="8"/>
        <v>52</v>
      </c>
      <c r="O123" s="22" t="str">
        <f t="shared" si="9"/>
        <v>IN STOCK</v>
      </c>
      <c r="P123" s="22" t="str">
        <f t="shared" si="10"/>
        <v>FOLLOW UP DELIVERY</v>
      </c>
      <c r="Q123" s="58">
        <f t="shared" si="11"/>
        <v>5</v>
      </c>
      <c r="R123" s="58">
        <f t="shared" si="12"/>
        <v>20</v>
      </c>
      <c r="S123" s="58">
        <f t="shared" si="13"/>
        <v>0</v>
      </c>
      <c r="T123" s="5">
        <v>7</v>
      </c>
      <c r="U123" s="5" t="s">
        <v>30</v>
      </c>
      <c r="V123" s="173">
        <f>VLOOKUP(A123,'[1]Final-Short'!$B:$AE,29,0)</f>
        <v>60</v>
      </c>
      <c r="W123" s="171" t="str">
        <f>VLOOKUP(A123,'[1]Final-Short'!$B:$AE,30,0)</f>
        <v>Petty Cash Hanafy</v>
      </c>
      <c r="X123" s="58">
        <f t="shared" si="14"/>
        <v>0</v>
      </c>
      <c r="Y123" s="58">
        <f t="shared" si="15"/>
        <v>900</v>
      </c>
    </row>
    <row r="124" spans="1:25" x14ac:dyDescent="0.25">
      <c r="A124" s="36" t="s">
        <v>676</v>
      </c>
      <c r="B124" s="171" t="s">
        <v>677</v>
      </c>
      <c r="C124" s="171" t="s">
        <v>677</v>
      </c>
      <c r="D124" s="172" t="s">
        <v>5062</v>
      </c>
      <c r="E124" s="172" t="s">
        <v>1631</v>
      </c>
      <c r="F124" s="172" t="s">
        <v>1631</v>
      </c>
      <c r="G124" s="172" t="s">
        <v>1631</v>
      </c>
      <c r="H124" s="172" t="s">
        <v>1631</v>
      </c>
      <c r="I124" s="172" t="s">
        <v>1631</v>
      </c>
      <c r="J124" s="36">
        <v>1</v>
      </c>
      <c r="K124" s="180">
        <v>70</v>
      </c>
      <c r="L124" s="180"/>
      <c r="M124" s="22">
        <f>IFERROR((VLOOKUP(A124,'Current Stocks July-26'!$B:$K,10,0)),0)</f>
        <v>0</v>
      </c>
      <c r="N124" s="22">
        <f t="shared" si="8"/>
        <v>0</v>
      </c>
      <c r="O124" s="22" t="str">
        <f t="shared" si="9"/>
        <v>ORDER NOW</v>
      </c>
      <c r="P124" s="22" t="str">
        <f t="shared" si="10"/>
        <v>CRITICAL</v>
      </c>
      <c r="Q124" s="58">
        <f t="shared" si="11"/>
        <v>23.333333333333332</v>
      </c>
      <c r="R124" s="58">
        <f t="shared" si="12"/>
        <v>93.333333333333329</v>
      </c>
      <c r="S124" s="58">
        <f t="shared" si="13"/>
        <v>93.333333333333329</v>
      </c>
      <c r="T124" s="5">
        <v>7</v>
      </c>
      <c r="U124" s="5" t="s">
        <v>30</v>
      </c>
      <c r="V124" s="173">
        <f>VLOOKUP(A124,'[1]Final-Short'!$B:$AE,29,0)</f>
        <v>123.81</v>
      </c>
      <c r="W124" s="171" t="str">
        <f>VLOOKUP(A124,'[1]Final-Short'!$B:$AE,30,0)</f>
        <v>سبيشلتي هاب ,, Archive</v>
      </c>
      <c r="X124" s="58">
        <f t="shared" si="14"/>
        <v>11555.6</v>
      </c>
      <c r="Y124" s="58">
        <f t="shared" si="15"/>
        <v>8666.7000000000007</v>
      </c>
    </row>
    <row r="125" spans="1:25" x14ac:dyDescent="0.25">
      <c r="A125" s="36" t="s">
        <v>1741</v>
      </c>
      <c r="B125" s="171" t="s">
        <v>1742</v>
      </c>
      <c r="C125" s="171" t="s">
        <v>1317</v>
      </c>
      <c r="D125" s="172" t="s">
        <v>1631</v>
      </c>
      <c r="E125" s="172" t="s">
        <v>1631</v>
      </c>
      <c r="F125" s="172" t="s">
        <v>1631</v>
      </c>
      <c r="G125" s="172" t="s">
        <v>1631</v>
      </c>
      <c r="H125" s="172" t="s">
        <v>1631</v>
      </c>
      <c r="I125" s="172" t="s">
        <v>1631</v>
      </c>
      <c r="J125" s="36">
        <v>0</v>
      </c>
      <c r="K125" s="180">
        <v>25</v>
      </c>
      <c r="L125" s="180" t="s">
        <v>1681</v>
      </c>
      <c r="M125" s="22">
        <f>IFERROR((VLOOKUP(A125,'Current Stocks July-26'!$B:$K,10,0)),0)</f>
        <v>37</v>
      </c>
      <c r="N125" s="22">
        <f t="shared" si="8"/>
        <v>44.4</v>
      </c>
      <c r="O125" s="22" t="str">
        <f t="shared" si="9"/>
        <v>IN STOCK</v>
      </c>
      <c r="P125" s="22" t="str">
        <f t="shared" si="10"/>
        <v>FOLLOW UP DELIVERY</v>
      </c>
      <c r="Q125" s="58">
        <f t="shared" si="11"/>
        <v>8.3333333333333321</v>
      </c>
      <c r="R125" s="58">
        <f t="shared" si="12"/>
        <v>33.333333333333329</v>
      </c>
      <c r="S125" s="58">
        <f t="shared" si="13"/>
        <v>0</v>
      </c>
      <c r="T125" s="5">
        <v>7</v>
      </c>
      <c r="U125" s="5" t="s">
        <v>1729</v>
      </c>
      <c r="V125" s="173">
        <f>VLOOKUP(A125,'[1]Final-Short'!$B:$AE,29,0)</f>
        <v>16</v>
      </c>
      <c r="W125" s="171" t="str">
        <f>VLOOKUP(A125,'[1]Final-Short'!$B:$AE,30,0)</f>
        <v>مؤسسة مستر شيف</v>
      </c>
      <c r="X125" s="58">
        <f t="shared" si="14"/>
        <v>0</v>
      </c>
      <c r="Y125" s="58">
        <f t="shared" si="15"/>
        <v>400</v>
      </c>
    </row>
    <row r="126" spans="1:25" x14ac:dyDescent="0.25">
      <c r="A126" s="36" t="s">
        <v>245</v>
      </c>
      <c r="B126" s="171" t="s">
        <v>1743</v>
      </c>
      <c r="C126" s="171" t="s">
        <v>246</v>
      </c>
      <c r="D126" s="172" t="s">
        <v>5062</v>
      </c>
      <c r="E126" s="172" t="s">
        <v>1631</v>
      </c>
      <c r="F126" s="172" t="s">
        <v>1631</v>
      </c>
      <c r="G126" s="172" t="s">
        <v>1631</v>
      </c>
      <c r="H126" s="172" t="s">
        <v>1631</v>
      </c>
      <c r="I126" s="172" t="s">
        <v>1631</v>
      </c>
      <c r="J126" s="36">
        <v>1</v>
      </c>
      <c r="K126" s="180">
        <v>6</v>
      </c>
      <c r="L126" s="180"/>
      <c r="M126" s="22">
        <f>IFERROR((VLOOKUP(A126,'Current Stocks July-26'!$B:$K,10,0)),0)</f>
        <v>0</v>
      </c>
      <c r="N126" s="22">
        <f t="shared" si="8"/>
        <v>0</v>
      </c>
      <c r="O126" s="22" t="str">
        <f t="shared" si="9"/>
        <v>ORDER NOW</v>
      </c>
      <c r="P126" s="22" t="str">
        <f t="shared" si="10"/>
        <v>CRITICAL</v>
      </c>
      <c r="Q126" s="58">
        <f t="shared" si="11"/>
        <v>2</v>
      </c>
      <c r="R126" s="58">
        <f t="shared" si="12"/>
        <v>8</v>
      </c>
      <c r="S126" s="58">
        <f t="shared" si="13"/>
        <v>8</v>
      </c>
      <c r="T126" s="5">
        <v>7</v>
      </c>
      <c r="U126" s="5" t="s">
        <v>30</v>
      </c>
      <c r="V126" s="173">
        <f>VLOOKUP(A126,'[1]Final-Short'!$B:$AE,29,0)</f>
        <v>158.30000000000001</v>
      </c>
      <c r="W126" s="171" t="str">
        <f>VLOOKUP(A126,'[1]Final-Short'!$B:$AE,30,0)</f>
        <v>سبيشلتي هاب ,, Archive</v>
      </c>
      <c r="X126" s="58">
        <f t="shared" si="14"/>
        <v>1266.4000000000001</v>
      </c>
      <c r="Y126" s="58">
        <f t="shared" si="15"/>
        <v>949.80000000000007</v>
      </c>
    </row>
    <row r="127" spans="1:25" x14ac:dyDescent="0.25">
      <c r="A127" s="36" t="s">
        <v>667</v>
      </c>
      <c r="B127" s="171" t="s">
        <v>668</v>
      </c>
      <c r="C127" s="171" t="s">
        <v>668</v>
      </c>
      <c r="D127" s="172" t="s">
        <v>5062</v>
      </c>
      <c r="E127" s="172" t="s">
        <v>5062</v>
      </c>
      <c r="F127" s="172" t="s">
        <v>1631</v>
      </c>
      <c r="G127" s="172" t="s">
        <v>1631</v>
      </c>
      <c r="H127" s="172" t="s">
        <v>1631</v>
      </c>
      <c r="I127" s="172" t="s">
        <v>1631</v>
      </c>
      <c r="J127" s="36">
        <v>2</v>
      </c>
      <c r="K127" s="180">
        <v>150</v>
      </c>
      <c r="L127" s="180"/>
      <c r="M127" s="22">
        <f>IFERROR((VLOOKUP(A127,'Current Stocks July-26'!$B:$K,10,0)),0)</f>
        <v>0</v>
      </c>
      <c r="N127" s="22">
        <f t="shared" si="8"/>
        <v>0</v>
      </c>
      <c r="O127" s="22" t="str">
        <f t="shared" si="9"/>
        <v>ORDER NOW</v>
      </c>
      <c r="P127" s="22" t="str">
        <f t="shared" si="10"/>
        <v>CRITICAL</v>
      </c>
      <c r="Q127" s="58">
        <f t="shared" si="11"/>
        <v>50</v>
      </c>
      <c r="R127" s="58">
        <f t="shared" si="12"/>
        <v>200</v>
      </c>
      <c r="S127" s="58">
        <f t="shared" si="13"/>
        <v>200</v>
      </c>
      <c r="T127" s="5">
        <v>7</v>
      </c>
      <c r="U127" s="5" t="s">
        <v>30</v>
      </c>
      <c r="V127" s="173">
        <f>VLOOKUP(A127,'[1]Final-Short'!$B:$AE,29,0)</f>
        <v>21.739000000000001</v>
      </c>
      <c r="W127" s="171" t="str">
        <f>VLOOKUP(A127,'[1]Final-Short'!$B:$AE,30,0)</f>
        <v>Hofuf Shelves Trading Est. مؤسسة هفوف الرفوف للتجارة</v>
      </c>
      <c r="X127" s="58">
        <f t="shared" si="14"/>
        <v>4347.8</v>
      </c>
      <c r="Y127" s="58">
        <f t="shared" si="15"/>
        <v>3260.85</v>
      </c>
    </row>
    <row r="128" spans="1:25" x14ac:dyDescent="0.25">
      <c r="A128" s="36" t="s">
        <v>680</v>
      </c>
      <c r="B128" s="171" t="s">
        <v>1744</v>
      </c>
      <c r="C128" s="171" t="s">
        <v>681</v>
      </c>
      <c r="D128" s="172" t="s">
        <v>5062</v>
      </c>
      <c r="E128" s="172" t="s">
        <v>5062</v>
      </c>
      <c r="F128" s="172" t="s">
        <v>1631</v>
      </c>
      <c r="G128" s="172" t="s">
        <v>1631</v>
      </c>
      <c r="H128" s="172" t="s">
        <v>1631</v>
      </c>
      <c r="I128" s="172" t="s">
        <v>1631</v>
      </c>
      <c r="J128" s="36">
        <v>2</v>
      </c>
      <c r="K128" s="180">
        <v>60</v>
      </c>
      <c r="L128" s="180"/>
      <c r="M128" s="22">
        <f>IFERROR((VLOOKUP(A128,'Current Stocks July-26'!$B:$K,10,0)),0)</f>
        <v>0</v>
      </c>
      <c r="N128" s="22">
        <f t="shared" si="8"/>
        <v>0</v>
      </c>
      <c r="O128" s="22" t="str">
        <f t="shared" si="9"/>
        <v>ORDER NOW</v>
      </c>
      <c r="P128" s="22" t="str">
        <f t="shared" si="10"/>
        <v>CRITICAL</v>
      </c>
      <c r="Q128" s="58">
        <f t="shared" si="11"/>
        <v>20</v>
      </c>
      <c r="R128" s="58">
        <f t="shared" si="12"/>
        <v>80</v>
      </c>
      <c r="S128" s="58">
        <f t="shared" si="13"/>
        <v>80</v>
      </c>
      <c r="T128" s="5">
        <v>7</v>
      </c>
      <c r="U128" s="5" t="s">
        <v>30</v>
      </c>
      <c r="V128" s="173">
        <f>VLOOKUP(A128,'[1]Final-Short'!$B:$AE,29,0)</f>
        <v>17.390999999999998</v>
      </c>
      <c r="W128" s="171" t="str">
        <f>VLOOKUP(A128,'[1]Final-Short'!$B:$AE,30,0)</f>
        <v>Hofuf Shelves Trading Est. مؤسسة هفوف الرفوف للتجارة</v>
      </c>
      <c r="X128" s="58">
        <f t="shared" si="14"/>
        <v>1391.2799999999997</v>
      </c>
      <c r="Y128" s="58">
        <f t="shared" si="15"/>
        <v>1043.4599999999998</v>
      </c>
    </row>
    <row r="129" spans="1:25" x14ac:dyDescent="0.25">
      <c r="A129" s="36" t="s">
        <v>707</v>
      </c>
      <c r="B129" s="171" t="s">
        <v>708</v>
      </c>
      <c r="C129" s="171" t="s">
        <v>708</v>
      </c>
      <c r="D129" s="172" t="s">
        <v>5062</v>
      </c>
      <c r="E129" s="172" t="s">
        <v>1631</v>
      </c>
      <c r="F129" s="172" t="s">
        <v>1631</v>
      </c>
      <c r="G129" s="172" t="s">
        <v>1631</v>
      </c>
      <c r="H129" s="172" t="s">
        <v>1631</v>
      </c>
      <c r="I129" s="172" t="s">
        <v>1631</v>
      </c>
      <c r="J129" s="36">
        <v>1</v>
      </c>
      <c r="K129" s="180">
        <v>50</v>
      </c>
      <c r="L129" s="180"/>
      <c r="M129" s="22">
        <f>IFERROR((VLOOKUP(A129,'Current Stocks July-26'!$B:$K,10,0)),0)</f>
        <v>0</v>
      </c>
      <c r="N129" s="22">
        <f t="shared" si="8"/>
        <v>0</v>
      </c>
      <c r="O129" s="22" t="str">
        <f t="shared" si="9"/>
        <v>ORDER NOW</v>
      </c>
      <c r="P129" s="22" t="str">
        <f t="shared" si="10"/>
        <v>CRITICAL</v>
      </c>
      <c r="Q129" s="58">
        <f t="shared" si="11"/>
        <v>16.666666666666664</v>
      </c>
      <c r="R129" s="58">
        <f t="shared" si="12"/>
        <v>66.666666666666657</v>
      </c>
      <c r="S129" s="58">
        <f t="shared" si="13"/>
        <v>66.666666666666657</v>
      </c>
      <c r="T129" s="5">
        <v>7</v>
      </c>
      <c r="U129" s="5" t="s">
        <v>30</v>
      </c>
      <c r="V129" s="173">
        <f>VLOOKUP(A129,'[1]Final-Short'!$B:$AE,29,0)</f>
        <v>34.78</v>
      </c>
      <c r="W129" s="171" t="str">
        <f>VLOOKUP(A129,'[1]Final-Short'!$B:$AE,30,0)</f>
        <v>شركة نثال الوادي لتقنية المياة</v>
      </c>
      <c r="X129" s="58">
        <f t="shared" si="14"/>
        <v>2318.6666666666665</v>
      </c>
      <c r="Y129" s="58">
        <f t="shared" si="15"/>
        <v>1739</v>
      </c>
    </row>
    <row r="130" spans="1:25" x14ac:dyDescent="0.25">
      <c r="A130" s="36" t="s">
        <v>1230</v>
      </c>
      <c r="B130" s="171" t="s">
        <v>1745</v>
      </c>
      <c r="C130" s="171" t="s">
        <v>1231</v>
      </c>
      <c r="D130" s="172" t="s">
        <v>5062</v>
      </c>
      <c r="E130" s="172" t="s">
        <v>1631</v>
      </c>
      <c r="F130" s="172" t="s">
        <v>1631</v>
      </c>
      <c r="G130" s="172" t="s">
        <v>1631</v>
      </c>
      <c r="H130" s="172" t="s">
        <v>1631</v>
      </c>
      <c r="I130" s="172" t="s">
        <v>1631</v>
      </c>
      <c r="J130" s="36">
        <v>1</v>
      </c>
      <c r="K130" s="180">
        <v>50</v>
      </c>
      <c r="L130" s="180"/>
      <c r="M130" s="22">
        <f>IFERROR((VLOOKUP(A130,'Current Stocks July-26'!$B:$K,10,0)),0)</f>
        <v>46</v>
      </c>
      <c r="N130" s="22">
        <f t="shared" ref="N130:N193" si="16">IFERROR((M130/K130*30),0)</f>
        <v>27.6</v>
      </c>
      <c r="O130" s="22" t="str">
        <f t="shared" ref="O130:O193" si="17">IF(N130&lt;T130,"ORDER NOW","IN STOCK")</f>
        <v>IN STOCK</v>
      </c>
      <c r="P130" s="22" t="str">
        <f t="shared" ref="P130:P193" si="18">IF(N130&lt;T130,"CRITICAL","FOLLOW UP DELIVERY")</f>
        <v>FOLLOW UP DELIVERY</v>
      </c>
      <c r="Q130" s="58">
        <f t="shared" ref="Q130:Q193" si="19">K130*((T130+3)/30)</f>
        <v>16.666666666666664</v>
      </c>
      <c r="R130" s="58">
        <f t="shared" ref="R130:R193" si="20">Q130+K130</f>
        <v>66.666666666666657</v>
      </c>
      <c r="S130" s="58">
        <f t="shared" ref="S130:S193" si="21">MAX((K130+Q130)-M130,0)</f>
        <v>20.666666666666657</v>
      </c>
      <c r="T130" s="5">
        <v>7</v>
      </c>
      <c r="U130" s="5" t="s">
        <v>30</v>
      </c>
      <c r="V130" s="173">
        <f>VLOOKUP(A130,'[1]Final-Short'!$B:$AE,29,0)</f>
        <v>6</v>
      </c>
      <c r="W130" s="171" t="str">
        <f>VLOOKUP(A130,'[1]Final-Short'!$B:$AE,30,0)</f>
        <v>شركة نثال الوادي لتقنية المياة</v>
      </c>
      <c r="X130" s="58">
        <f t="shared" ref="X130:X193" si="22">S130*V130</f>
        <v>123.99999999999994</v>
      </c>
      <c r="Y130" s="58">
        <f t="shared" ref="Y130:Y193" si="23">K130*V130</f>
        <v>300</v>
      </c>
    </row>
    <row r="131" spans="1:25" x14ac:dyDescent="0.25">
      <c r="A131" s="36" t="s">
        <v>721</v>
      </c>
      <c r="B131" s="171" t="s">
        <v>722</v>
      </c>
      <c r="C131" s="171" t="s">
        <v>722</v>
      </c>
      <c r="D131" s="172" t="s">
        <v>5062</v>
      </c>
      <c r="E131" s="172" t="s">
        <v>5062</v>
      </c>
      <c r="F131" s="172" t="s">
        <v>1631</v>
      </c>
      <c r="G131" s="172" t="s">
        <v>1631</v>
      </c>
      <c r="H131" s="172" t="s">
        <v>1631</v>
      </c>
      <c r="I131" s="172" t="s">
        <v>1631</v>
      </c>
      <c r="J131" s="36">
        <v>2</v>
      </c>
      <c r="K131" s="180">
        <v>430</v>
      </c>
      <c r="L131" s="180"/>
      <c r="M131" s="22">
        <f>IFERROR((VLOOKUP(A131,'Current Stocks July-26'!$B:$K,10,0)),0)</f>
        <v>301</v>
      </c>
      <c r="N131" s="22">
        <f t="shared" si="16"/>
        <v>21</v>
      </c>
      <c r="O131" s="22" t="str">
        <f t="shared" si="17"/>
        <v>IN STOCK</v>
      </c>
      <c r="P131" s="22" t="str">
        <f t="shared" si="18"/>
        <v>FOLLOW UP DELIVERY</v>
      </c>
      <c r="Q131" s="58">
        <f t="shared" si="19"/>
        <v>143.33333333333331</v>
      </c>
      <c r="R131" s="58">
        <f t="shared" si="20"/>
        <v>573.33333333333326</v>
      </c>
      <c r="S131" s="58">
        <f t="shared" si="21"/>
        <v>272.33333333333326</v>
      </c>
      <c r="T131" s="5">
        <v>7</v>
      </c>
      <c r="U131" s="5" t="s">
        <v>1669</v>
      </c>
      <c r="V131" s="173">
        <f>VLOOKUP(A131,'[1]Final-Short'!$B:$AE,29,0)</f>
        <v>45.832999999999998</v>
      </c>
      <c r="W131" s="171" t="str">
        <f>VLOOKUP(A131,'[1]Final-Short'!$B:$AE,30,0)</f>
        <v>شركة بشريات الموسم للتجارة</v>
      </c>
      <c r="X131" s="58">
        <f t="shared" si="22"/>
        <v>12481.853666666662</v>
      </c>
      <c r="Y131" s="58">
        <f t="shared" si="23"/>
        <v>19708.189999999999</v>
      </c>
    </row>
    <row r="132" spans="1:25" x14ac:dyDescent="0.25">
      <c r="A132" s="36" t="s">
        <v>1746</v>
      </c>
      <c r="B132" s="171" t="s">
        <v>1747</v>
      </c>
      <c r="C132" s="171" t="s">
        <v>1747</v>
      </c>
      <c r="D132" s="172" t="s">
        <v>5062</v>
      </c>
      <c r="E132" s="172" t="s">
        <v>5062</v>
      </c>
      <c r="F132" s="172" t="s">
        <v>1631</v>
      </c>
      <c r="G132" s="172" t="s">
        <v>1631</v>
      </c>
      <c r="H132" s="172" t="s">
        <v>1631</v>
      </c>
      <c r="I132" s="172" t="s">
        <v>1631</v>
      </c>
      <c r="J132" s="36">
        <v>2</v>
      </c>
      <c r="K132" s="180">
        <v>8</v>
      </c>
      <c r="L132" s="180"/>
      <c r="M132" s="22">
        <f>IFERROR((VLOOKUP(A132,'Current Stocks July-26'!$B:$K,10,0)),0)</f>
        <v>0</v>
      </c>
      <c r="N132" s="22">
        <f t="shared" si="16"/>
        <v>0</v>
      </c>
      <c r="O132" s="22" t="str">
        <f t="shared" si="17"/>
        <v>ORDER NOW</v>
      </c>
      <c r="P132" s="22" t="str">
        <f t="shared" si="18"/>
        <v>CRITICAL</v>
      </c>
      <c r="Q132" s="58">
        <f t="shared" si="19"/>
        <v>2.6666666666666665</v>
      </c>
      <c r="R132" s="58">
        <f t="shared" si="20"/>
        <v>10.666666666666666</v>
      </c>
      <c r="S132" s="58">
        <f t="shared" si="21"/>
        <v>10.666666666666666</v>
      </c>
      <c r="T132" s="5">
        <v>7</v>
      </c>
      <c r="U132" s="5" t="s">
        <v>1669</v>
      </c>
      <c r="V132" s="195">
        <f>VLOOKUP(A132,'[1]Final-Short'!$B:$AE,29,0)</f>
        <v>45.832999999999998</v>
      </c>
      <c r="W132" s="171" t="str">
        <f>VLOOKUP(A132,'[1]Final-Short'!$B:$AE,30,0)</f>
        <v>شركة بشريات الموسم للتجارة</v>
      </c>
      <c r="X132" s="58">
        <f t="shared" si="22"/>
        <v>488.88533333333328</v>
      </c>
      <c r="Y132" s="58">
        <f t="shared" si="23"/>
        <v>366.66399999999999</v>
      </c>
    </row>
    <row r="133" spans="1:25" x14ac:dyDescent="0.25">
      <c r="A133" s="36" t="s">
        <v>733</v>
      </c>
      <c r="B133" s="171" t="s">
        <v>734</v>
      </c>
      <c r="C133" s="171" t="s">
        <v>734</v>
      </c>
      <c r="D133" s="172" t="s">
        <v>5062</v>
      </c>
      <c r="E133" s="172" t="s">
        <v>5062</v>
      </c>
      <c r="F133" s="172" t="s">
        <v>1631</v>
      </c>
      <c r="G133" s="172" t="s">
        <v>1631</v>
      </c>
      <c r="H133" s="172" t="s">
        <v>1631</v>
      </c>
      <c r="I133" s="172" t="s">
        <v>1631</v>
      </c>
      <c r="J133" s="36">
        <v>2</v>
      </c>
      <c r="K133" s="180">
        <v>300</v>
      </c>
      <c r="L133" s="180"/>
      <c r="M133" s="22">
        <f>IFERROR((VLOOKUP(A133,'Current Stocks July-26'!$B:$K,10,0)),0)</f>
        <v>0</v>
      </c>
      <c r="N133" s="22">
        <f t="shared" si="16"/>
        <v>0</v>
      </c>
      <c r="O133" s="22" t="str">
        <f t="shared" si="17"/>
        <v>ORDER NOW</v>
      </c>
      <c r="P133" s="22" t="str">
        <f t="shared" si="18"/>
        <v>CRITICAL</v>
      </c>
      <c r="Q133" s="58">
        <f t="shared" si="19"/>
        <v>100</v>
      </c>
      <c r="R133" s="58">
        <f t="shared" si="20"/>
        <v>400</v>
      </c>
      <c r="S133" s="58">
        <f t="shared" si="21"/>
        <v>400</v>
      </c>
      <c r="T133" s="5">
        <v>7</v>
      </c>
      <c r="U133" s="5" t="s">
        <v>30</v>
      </c>
      <c r="V133" s="173">
        <f>VLOOKUP(A133,'[1]Final-Short'!$B:$AE,29,0)</f>
        <v>29.585000000000001</v>
      </c>
      <c r="W133" s="171" t="str">
        <f>VLOOKUP(A133,'[1]Final-Short'!$B:$AE,30,0)</f>
        <v>شركة بشريات الموسم للتجارة</v>
      </c>
      <c r="X133" s="58">
        <f t="shared" si="22"/>
        <v>11834</v>
      </c>
      <c r="Y133" s="58">
        <f t="shared" si="23"/>
        <v>8875.5</v>
      </c>
    </row>
    <row r="134" spans="1:25" x14ac:dyDescent="0.25">
      <c r="A134" s="36" t="s">
        <v>782</v>
      </c>
      <c r="B134" s="171" t="s">
        <v>783</v>
      </c>
      <c r="C134" s="171" t="s">
        <v>783</v>
      </c>
      <c r="D134" s="172" t="s">
        <v>5062</v>
      </c>
      <c r="E134" s="172" t="s">
        <v>5062</v>
      </c>
      <c r="F134" s="172" t="s">
        <v>1631</v>
      </c>
      <c r="G134" s="172" t="s">
        <v>1631</v>
      </c>
      <c r="H134" s="172" t="s">
        <v>1631</v>
      </c>
      <c r="I134" s="172" t="s">
        <v>1631</v>
      </c>
      <c r="J134" s="36">
        <v>2</v>
      </c>
      <c r="K134" s="180">
        <v>75</v>
      </c>
      <c r="L134" s="180"/>
      <c r="M134" s="22">
        <f>IFERROR((VLOOKUP(A134,'Current Stocks July-26'!$B:$K,10,0)),0)</f>
        <v>181</v>
      </c>
      <c r="N134" s="22">
        <f t="shared" si="16"/>
        <v>72.400000000000006</v>
      </c>
      <c r="O134" s="22" t="str">
        <f t="shared" si="17"/>
        <v>IN STOCK</v>
      </c>
      <c r="P134" s="22" t="str">
        <f t="shared" si="18"/>
        <v>FOLLOW UP DELIVERY</v>
      </c>
      <c r="Q134" s="58">
        <f t="shared" si="19"/>
        <v>25</v>
      </c>
      <c r="R134" s="58">
        <f t="shared" si="20"/>
        <v>100</v>
      </c>
      <c r="S134" s="58">
        <f t="shared" si="21"/>
        <v>0</v>
      </c>
      <c r="T134" s="5">
        <v>7</v>
      </c>
      <c r="U134" s="5" t="s">
        <v>30</v>
      </c>
      <c r="V134" s="173">
        <f>VLOOKUP(A134,'[1]Final-Short'!$B:$AE,29,0)</f>
        <v>29.585000000000001</v>
      </c>
      <c r="W134" s="171" t="str">
        <f>VLOOKUP(A134,'[1]Final-Short'!$B:$AE,30,0)</f>
        <v>شركة بشريات الموسم للتجارة</v>
      </c>
      <c r="X134" s="58">
        <f t="shared" si="22"/>
        <v>0</v>
      </c>
      <c r="Y134" s="58">
        <f t="shared" si="23"/>
        <v>2218.875</v>
      </c>
    </row>
    <row r="135" spans="1:25" x14ac:dyDescent="0.25">
      <c r="A135" s="36" t="s">
        <v>752</v>
      </c>
      <c r="B135" s="171" t="s">
        <v>1748</v>
      </c>
      <c r="C135" s="171" t="s">
        <v>1748</v>
      </c>
      <c r="D135" s="172" t="s">
        <v>5062</v>
      </c>
      <c r="E135" s="172" t="s">
        <v>5062</v>
      </c>
      <c r="F135" s="172" t="s">
        <v>1631</v>
      </c>
      <c r="G135" s="172" t="s">
        <v>1631</v>
      </c>
      <c r="H135" s="172" t="s">
        <v>1631</v>
      </c>
      <c r="I135" s="172" t="s">
        <v>1631</v>
      </c>
      <c r="J135" s="36">
        <v>2</v>
      </c>
      <c r="K135" s="58">
        <v>350</v>
      </c>
      <c r="L135" s="58"/>
      <c r="M135" s="22">
        <f>IFERROR((VLOOKUP(A135,'Current Stocks July-26'!$B:$K,10,0)),0)</f>
        <v>0</v>
      </c>
      <c r="N135" s="22">
        <f t="shared" si="16"/>
        <v>0</v>
      </c>
      <c r="O135" s="22" t="str">
        <f t="shared" si="17"/>
        <v>ORDER NOW</v>
      </c>
      <c r="P135" s="22" t="str">
        <f t="shared" si="18"/>
        <v>CRITICAL</v>
      </c>
      <c r="Q135" s="58">
        <f t="shared" si="19"/>
        <v>116.66666666666666</v>
      </c>
      <c r="R135" s="58">
        <f t="shared" si="20"/>
        <v>466.66666666666663</v>
      </c>
      <c r="S135" s="58">
        <f t="shared" si="21"/>
        <v>466.66666666666663</v>
      </c>
      <c r="T135" s="5">
        <v>7</v>
      </c>
      <c r="U135" s="5" t="s">
        <v>1669</v>
      </c>
      <c r="V135" s="173">
        <f>VLOOKUP(A135,'[1]Final-Short'!$B:$AE,29,0)</f>
        <v>150</v>
      </c>
      <c r="W135" s="171" t="str">
        <f>VLOOKUP(A135,'[1]Final-Short'!$B:$AE,30,0)</f>
        <v>مؤسسة منحنى الحمص للتجارة - Profilers</v>
      </c>
      <c r="X135" s="58">
        <f t="shared" si="22"/>
        <v>70000</v>
      </c>
      <c r="Y135" s="58">
        <f t="shared" si="23"/>
        <v>52500</v>
      </c>
    </row>
    <row r="136" spans="1:25" x14ac:dyDescent="0.25">
      <c r="A136" s="36" t="s">
        <v>1089</v>
      </c>
      <c r="B136" s="171" t="s">
        <v>1090</v>
      </c>
      <c r="C136" s="171" t="s">
        <v>1090</v>
      </c>
      <c r="D136" s="172" t="s">
        <v>5062</v>
      </c>
      <c r="E136" s="172" t="s">
        <v>5062</v>
      </c>
      <c r="F136" s="172" t="s">
        <v>1631</v>
      </c>
      <c r="G136" s="172" t="s">
        <v>1631</v>
      </c>
      <c r="H136" s="172" t="s">
        <v>1631</v>
      </c>
      <c r="I136" s="172" t="s">
        <v>1631</v>
      </c>
      <c r="J136" s="36">
        <v>2</v>
      </c>
      <c r="K136" s="58">
        <v>100</v>
      </c>
      <c r="L136" s="58"/>
      <c r="M136" s="22">
        <f>IFERROR((VLOOKUP(A136,'Current Stocks July-26'!$B:$K,10,0)),0)</f>
        <v>0</v>
      </c>
      <c r="N136" s="22">
        <f t="shared" si="16"/>
        <v>0</v>
      </c>
      <c r="O136" s="22" t="str">
        <f t="shared" si="17"/>
        <v>ORDER NOW</v>
      </c>
      <c r="P136" s="22" t="str">
        <f t="shared" si="18"/>
        <v>CRITICAL</v>
      </c>
      <c r="Q136" s="58">
        <f t="shared" si="19"/>
        <v>33.333333333333329</v>
      </c>
      <c r="R136" s="58">
        <f t="shared" si="20"/>
        <v>133.33333333333331</v>
      </c>
      <c r="S136" s="58">
        <f t="shared" si="21"/>
        <v>133.33333333333331</v>
      </c>
      <c r="T136" s="5">
        <v>7</v>
      </c>
      <c r="U136" s="5" t="s">
        <v>1669</v>
      </c>
      <c r="V136" s="173">
        <f>VLOOKUP(A136,'[1]Final-Short'!$B:$AE,29,0)</f>
        <v>150</v>
      </c>
      <c r="W136" s="171" t="str">
        <f>VLOOKUP(A136,'[1]Final-Short'!$B:$AE,30,0)</f>
        <v>مؤسسة منحنى الحمص للتجارة - Profilers</v>
      </c>
      <c r="X136" s="58">
        <f t="shared" si="22"/>
        <v>19999.999999999996</v>
      </c>
      <c r="Y136" s="58">
        <f t="shared" si="23"/>
        <v>15000</v>
      </c>
    </row>
    <row r="137" spans="1:25" x14ac:dyDescent="0.25">
      <c r="A137" s="36" t="s">
        <v>124</v>
      </c>
      <c r="B137" s="171" t="s">
        <v>125</v>
      </c>
      <c r="C137" s="171" t="s">
        <v>125</v>
      </c>
      <c r="D137" s="172" t="s">
        <v>5062</v>
      </c>
      <c r="E137" s="172" t="s">
        <v>5062</v>
      </c>
      <c r="F137" s="172" t="s">
        <v>1631</v>
      </c>
      <c r="G137" s="172" t="s">
        <v>1631</v>
      </c>
      <c r="H137" s="172" t="s">
        <v>1631</v>
      </c>
      <c r="I137" s="172" t="s">
        <v>1631</v>
      </c>
      <c r="J137" s="36">
        <v>2</v>
      </c>
      <c r="K137" s="58">
        <v>127</v>
      </c>
      <c r="L137" s="58"/>
      <c r="M137" s="22">
        <f>IFERROR((VLOOKUP(A137,'Current Stocks July-26'!$B:$K,10,0)),0)</f>
        <v>5</v>
      </c>
      <c r="N137" s="22">
        <f t="shared" si="16"/>
        <v>1.1811023622047243</v>
      </c>
      <c r="O137" s="22" t="str">
        <f t="shared" si="17"/>
        <v>ORDER NOW</v>
      </c>
      <c r="P137" s="22" t="str">
        <f t="shared" si="18"/>
        <v>CRITICAL</v>
      </c>
      <c r="Q137" s="58">
        <f t="shared" si="19"/>
        <v>42.333333333333329</v>
      </c>
      <c r="R137" s="58">
        <f t="shared" si="20"/>
        <v>169.33333333333331</v>
      </c>
      <c r="S137" s="58">
        <f t="shared" si="21"/>
        <v>164.33333333333331</v>
      </c>
      <c r="T137" s="5">
        <v>7</v>
      </c>
      <c r="U137" s="5" t="s">
        <v>30</v>
      </c>
      <c r="V137" s="173">
        <f>VLOOKUP(A137,'[1]Final-Short'!$B:$AE,29,0)</f>
        <v>50</v>
      </c>
      <c r="W137" s="171" t="str">
        <f>VLOOKUP(A137,'[1]Final-Short'!$B:$AE,30,0)</f>
        <v>شركة بشريات الموسم للتجارة</v>
      </c>
      <c r="X137" s="58">
        <f t="shared" si="22"/>
        <v>8216.6666666666661</v>
      </c>
      <c r="Y137" s="58">
        <f t="shared" si="23"/>
        <v>6350</v>
      </c>
    </row>
    <row r="138" spans="1:25" x14ac:dyDescent="0.25">
      <c r="A138" s="36" t="s">
        <v>247</v>
      </c>
      <c r="B138" s="171" t="s">
        <v>248</v>
      </c>
      <c r="C138" s="171" t="s">
        <v>248</v>
      </c>
      <c r="D138" s="172" t="s">
        <v>5062</v>
      </c>
      <c r="E138" s="172" t="s">
        <v>5062</v>
      </c>
      <c r="F138" s="172" t="s">
        <v>1631</v>
      </c>
      <c r="G138" s="172" t="s">
        <v>1631</v>
      </c>
      <c r="H138" s="172" t="s">
        <v>1631</v>
      </c>
      <c r="I138" s="172" t="s">
        <v>1631</v>
      </c>
      <c r="J138" s="36">
        <v>2</v>
      </c>
      <c r="K138" s="58">
        <v>370</v>
      </c>
      <c r="L138" s="58"/>
      <c r="M138" s="22">
        <f>IFERROR((VLOOKUP(A138,'Current Stocks July-26'!$B:$K,10,0)),0)</f>
        <v>0</v>
      </c>
      <c r="N138" s="22">
        <f t="shared" si="16"/>
        <v>0</v>
      </c>
      <c r="O138" s="22" t="str">
        <f t="shared" si="17"/>
        <v>ORDER NOW</v>
      </c>
      <c r="P138" s="22" t="str">
        <f t="shared" si="18"/>
        <v>CRITICAL</v>
      </c>
      <c r="Q138" s="58">
        <f t="shared" si="19"/>
        <v>123.33333333333333</v>
      </c>
      <c r="R138" s="58">
        <f t="shared" si="20"/>
        <v>493.33333333333331</v>
      </c>
      <c r="S138" s="58">
        <f t="shared" si="21"/>
        <v>493.33333333333331</v>
      </c>
      <c r="T138" s="5">
        <v>7</v>
      </c>
      <c r="U138" s="5" t="s">
        <v>30</v>
      </c>
      <c r="V138" s="173">
        <f>VLOOKUP(A138,'[1]Final-Short'!$B:$AE,29,0)</f>
        <v>115</v>
      </c>
      <c r="W138" s="171" t="str">
        <f>VLOOKUP(A138,'[1]Final-Short'!$B:$AE,30,0)</f>
        <v>12 Cups Ltd شركة اثنى عشر كوب المحدوده</v>
      </c>
      <c r="X138" s="58">
        <f t="shared" si="22"/>
        <v>56733.333333333328</v>
      </c>
      <c r="Y138" s="58">
        <f t="shared" si="23"/>
        <v>42550</v>
      </c>
    </row>
    <row r="139" spans="1:25" x14ac:dyDescent="0.25">
      <c r="A139" s="36" t="s">
        <v>886</v>
      </c>
      <c r="B139" s="171" t="s">
        <v>887</v>
      </c>
      <c r="C139" s="171" t="s">
        <v>887</v>
      </c>
      <c r="D139" s="172" t="s">
        <v>5062</v>
      </c>
      <c r="E139" s="172" t="s">
        <v>1631</v>
      </c>
      <c r="F139" s="172" t="s">
        <v>1631</v>
      </c>
      <c r="G139" s="172" t="s">
        <v>1631</v>
      </c>
      <c r="H139" s="172" t="s">
        <v>1631</v>
      </c>
      <c r="I139" s="172" t="s">
        <v>1631</v>
      </c>
      <c r="J139" s="36">
        <v>1</v>
      </c>
      <c r="K139" s="58">
        <v>10</v>
      </c>
      <c r="L139" s="58"/>
      <c r="M139" s="22">
        <f>IFERROR((VLOOKUP(A139,'Current Stocks July-26'!$B:$K,10,0)),0)</f>
        <v>0</v>
      </c>
      <c r="N139" s="22">
        <f t="shared" si="16"/>
        <v>0</v>
      </c>
      <c r="O139" s="22" t="str">
        <f t="shared" si="17"/>
        <v>ORDER NOW</v>
      </c>
      <c r="P139" s="22" t="str">
        <f t="shared" si="18"/>
        <v>CRITICAL</v>
      </c>
      <c r="Q139" s="58">
        <f t="shared" si="19"/>
        <v>3.333333333333333</v>
      </c>
      <c r="R139" s="58">
        <f t="shared" si="20"/>
        <v>13.333333333333332</v>
      </c>
      <c r="S139" s="58">
        <f t="shared" si="21"/>
        <v>13.333333333333332</v>
      </c>
      <c r="T139" s="5">
        <v>7</v>
      </c>
      <c r="U139" s="5" t="s">
        <v>30</v>
      </c>
      <c r="V139" s="173">
        <f>VLOOKUP(A139,'[1]Final-Short'!$B:$AE,29,0)</f>
        <v>17</v>
      </c>
      <c r="W139" s="171" t="str">
        <f>VLOOKUP(A139,'[1]Final-Short'!$B:$AE,30,0)</f>
        <v>شركة بشريات الموسم للتجارة</v>
      </c>
      <c r="X139" s="58">
        <f t="shared" si="22"/>
        <v>226.66666666666666</v>
      </c>
      <c r="Y139" s="58">
        <f t="shared" si="23"/>
        <v>170</v>
      </c>
    </row>
    <row r="140" spans="1:25" x14ac:dyDescent="0.25">
      <c r="A140" s="36" t="s">
        <v>857</v>
      </c>
      <c r="B140" s="171" t="s">
        <v>858</v>
      </c>
      <c r="C140" s="171" t="s">
        <v>858</v>
      </c>
      <c r="D140" s="172" t="s">
        <v>5062</v>
      </c>
      <c r="E140" s="172" t="s">
        <v>5062</v>
      </c>
      <c r="F140" s="172" t="s">
        <v>1631</v>
      </c>
      <c r="G140" s="172" t="s">
        <v>5062</v>
      </c>
      <c r="H140" s="172" t="s">
        <v>1631</v>
      </c>
      <c r="I140" s="172" t="s">
        <v>5062</v>
      </c>
      <c r="J140" s="36">
        <v>4</v>
      </c>
      <c r="K140" s="58">
        <v>7100</v>
      </c>
      <c r="L140" s="58"/>
      <c r="M140" s="22">
        <f>IFERROR((VLOOKUP(A140,'Current Stocks July-26'!$B:$K,10,0)),0)</f>
        <v>5514</v>
      </c>
      <c r="N140" s="22">
        <f t="shared" si="16"/>
        <v>23.298591549295775</v>
      </c>
      <c r="O140" s="22" t="str">
        <f t="shared" si="17"/>
        <v>IN STOCK</v>
      </c>
      <c r="P140" s="22" t="str">
        <f t="shared" si="18"/>
        <v>FOLLOW UP DELIVERY</v>
      </c>
      <c r="Q140" s="58">
        <f t="shared" si="19"/>
        <v>2366.6666666666665</v>
      </c>
      <c r="R140" s="58">
        <f t="shared" si="20"/>
        <v>9466.6666666666661</v>
      </c>
      <c r="S140" s="58">
        <f t="shared" si="21"/>
        <v>3952.6666666666661</v>
      </c>
      <c r="T140" s="5">
        <v>7</v>
      </c>
      <c r="U140" s="5" t="s">
        <v>1669</v>
      </c>
      <c r="V140" s="173">
        <f>VLOOKUP(A140,'[1]Final-Short'!$B:$AE,29,0)</f>
        <v>8.1666699999999999</v>
      </c>
      <c r="W140" s="171" t="str">
        <f>VLOOKUP(A140,'[1]Final-Short'!$B:$AE,30,0)</f>
        <v>شركة اركان الاندلس للتجارة</v>
      </c>
      <c r="X140" s="58">
        <f t="shared" si="22"/>
        <v>32280.124286666662</v>
      </c>
      <c r="Y140" s="58">
        <f t="shared" si="23"/>
        <v>57983.356999999996</v>
      </c>
    </row>
    <row r="141" spans="1:25" x14ac:dyDescent="0.25">
      <c r="A141" s="36" t="s">
        <v>846</v>
      </c>
      <c r="B141" s="171" t="s">
        <v>847</v>
      </c>
      <c r="C141" s="171" t="s">
        <v>847</v>
      </c>
      <c r="D141" s="172" t="s">
        <v>5062</v>
      </c>
      <c r="E141" s="172" t="s">
        <v>5062</v>
      </c>
      <c r="F141" s="172" t="s">
        <v>1631</v>
      </c>
      <c r="G141" s="172" t="s">
        <v>5062</v>
      </c>
      <c r="H141" s="172" t="s">
        <v>1631</v>
      </c>
      <c r="I141" s="172" t="s">
        <v>1631</v>
      </c>
      <c r="J141" s="36">
        <v>3</v>
      </c>
      <c r="K141" s="58">
        <v>110</v>
      </c>
      <c r="L141" s="58"/>
      <c r="M141" s="22">
        <f>IFERROR((VLOOKUP(A141,'Current Stocks July-26'!$B:$K,10,0)),0)</f>
        <v>614</v>
      </c>
      <c r="N141" s="22">
        <f t="shared" si="16"/>
        <v>167.45454545454547</v>
      </c>
      <c r="O141" s="22" t="str">
        <f t="shared" si="17"/>
        <v>IN STOCK</v>
      </c>
      <c r="P141" s="22" t="str">
        <f t="shared" si="18"/>
        <v>FOLLOW UP DELIVERY</v>
      </c>
      <c r="Q141" s="58">
        <f t="shared" si="19"/>
        <v>36.666666666666664</v>
      </c>
      <c r="R141" s="58">
        <f t="shared" si="20"/>
        <v>146.66666666666666</v>
      </c>
      <c r="S141" s="58">
        <f t="shared" si="21"/>
        <v>0</v>
      </c>
      <c r="T141" s="5">
        <v>7</v>
      </c>
      <c r="U141" s="5" t="s">
        <v>30</v>
      </c>
      <c r="V141" s="173">
        <f>VLOOKUP(A141,'[1]Final-Short'!$B:$AE,29,0)</f>
        <v>109</v>
      </c>
      <c r="W141" s="171" t="str">
        <f>VLOOKUP(A141,'[1]Final-Short'!$B:$AE,30,0)</f>
        <v xml:space="preserve">بروتيا </v>
      </c>
      <c r="X141" s="58">
        <f t="shared" si="22"/>
        <v>0</v>
      </c>
      <c r="Y141" s="58">
        <f t="shared" si="23"/>
        <v>11990</v>
      </c>
    </row>
    <row r="142" spans="1:25" x14ac:dyDescent="0.25">
      <c r="A142" s="36" t="s">
        <v>877</v>
      </c>
      <c r="B142" s="171" t="s">
        <v>878</v>
      </c>
      <c r="C142" s="171" t="s">
        <v>878</v>
      </c>
      <c r="D142" s="172" t="s">
        <v>5062</v>
      </c>
      <c r="E142" s="172" t="s">
        <v>5062</v>
      </c>
      <c r="F142" s="172" t="s">
        <v>1631</v>
      </c>
      <c r="G142" s="172" t="s">
        <v>1631</v>
      </c>
      <c r="H142" s="172" t="s">
        <v>1631</v>
      </c>
      <c r="I142" s="172" t="s">
        <v>1631</v>
      </c>
      <c r="J142" s="36">
        <v>2</v>
      </c>
      <c r="K142" s="58">
        <v>2</v>
      </c>
      <c r="L142" s="58"/>
      <c r="M142" s="22">
        <f>IFERROR((VLOOKUP(A142,'Current Stocks July-26'!$B:$K,10,0)),0)</f>
        <v>20</v>
      </c>
      <c r="N142" s="22">
        <f t="shared" si="16"/>
        <v>300</v>
      </c>
      <c r="O142" s="22" t="str">
        <f t="shared" si="17"/>
        <v>IN STOCK</v>
      </c>
      <c r="P142" s="22" t="str">
        <f t="shared" si="18"/>
        <v>FOLLOW UP DELIVERY</v>
      </c>
      <c r="Q142" s="58">
        <f t="shared" si="19"/>
        <v>0.66666666666666663</v>
      </c>
      <c r="R142" s="58">
        <f t="shared" si="20"/>
        <v>2.6666666666666665</v>
      </c>
      <c r="S142" s="58">
        <f t="shared" si="21"/>
        <v>0</v>
      </c>
      <c r="T142" s="5">
        <v>7</v>
      </c>
      <c r="U142" s="5" t="s">
        <v>30</v>
      </c>
      <c r="V142" s="173">
        <f>VLOOKUP(A142,'[1]Final-Short'!$B:$AE,29,0)</f>
        <v>4.3</v>
      </c>
      <c r="W142" s="171" t="str">
        <f>VLOOKUP(A142,'[1]Final-Short'!$B:$AE,30,0)</f>
        <v>Petty Cash Hanafy</v>
      </c>
      <c r="X142" s="58">
        <f t="shared" si="22"/>
        <v>0</v>
      </c>
      <c r="Y142" s="58">
        <f t="shared" si="23"/>
        <v>8.6</v>
      </c>
    </row>
    <row r="143" spans="1:25" x14ac:dyDescent="0.25">
      <c r="A143" s="36" t="s">
        <v>1476</v>
      </c>
      <c r="B143" s="171" t="s">
        <v>1477</v>
      </c>
      <c r="C143" s="171" t="s">
        <v>1477</v>
      </c>
      <c r="D143" s="172" t="s">
        <v>5062</v>
      </c>
      <c r="E143" s="172" t="s">
        <v>5062</v>
      </c>
      <c r="F143" s="172" t="s">
        <v>1631</v>
      </c>
      <c r="G143" s="172" t="s">
        <v>1631</v>
      </c>
      <c r="H143" s="172" t="s">
        <v>1631</v>
      </c>
      <c r="I143" s="172" t="s">
        <v>1631</v>
      </c>
      <c r="J143" s="36">
        <v>2</v>
      </c>
      <c r="K143" s="58">
        <v>3</v>
      </c>
      <c r="L143" s="58"/>
      <c r="M143" s="22">
        <f>IFERROR((VLOOKUP(A143,'Current Stocks July-26'!$B:$K,10,0)),0)</f>
        <v>8</v>
      </c>
      <c r="N143" s="22">
        <f t="shared" si="16"/>
        <v>80</v>
      </c>
      <c r="O143" s="22" t="str">
        <f t="shared" si="17"/>
        <v>IN STOCK</v>
      </c>
      <c r="P143" s="22" t="str">
        <f t="shared" si="18"/>
        <v>FOLLOW UP DELIVERY</v>
      </c>
      <c r="Q143" s="58">
        <f t="shared" si="19"/>
        <v>1</v>
      </c>
      <c r="R143" s="58">
        <f t="shared" si="20"/>
        <v>4</v>
      </c>
      <c r="S143" s="58">
        <f t="shared" si="21"/>
        <v>0</v>
      </c>
      <c r="T143" s="5">
        <v>7</v>
      </c>
      <c r="U143" s="5" t="s">
        <v>30</v>
      </c>
      <c r="V143" s="173">
        <f>VLOOKUP(A143,'[1]Final-Short'!$B:$AE,29,0)</f>
        <v>4.3</v>
      </c>
      <c r="W143" s="171" t="str">
        <f>VLOOKUP(A143,'[1]Final-Short'!$B:$AE,30,0)</f>
        <v>Petty Cash Hanafy</v>
      </c>
      <c r="X143" s="58">
        <f t="shared" si="22"/>
        <v>0</v>
      </c>
      <c r="Y143" s="58">
        <f t="shared" si="23"/>
        <v>12.899999999999999</v>
      </c>
    </row>
    <row r="144" spans="1:25" x14ac:dyDescent="0.25">
      <c r="A144" s="36" t="s">
        <v>669</v>
      </c>
      <c r="B144" s="171" t="s">
        <v>670</v>
      </c>
      <c r="C144" s="171" t="s">
        <v>670</v>
      </c>
      <c r="D144" s="172" t="s">
        <v>5062</v>
      </c>
      <c r="E144" s="172" t="s">
        <v>1631</v>
      </c>
      <c r="F144" s="172" t="s">
        <v>1631</v>
      </c>
      <c r="G144" s="172" t="s">
        <v>1631</v>
      </c>
      <c r="H144" s="172" t="s">
        <v>1631</v>
      </c>
      <c r="I144" s="172" t="s">
        <v>1631</v>
      </c>
      <c r="J144" s="36">
        <v>1</v>
      </c>
      <c r="K144" s="58">
        <v>50</v>
      </c>
      <c r="L144" s="58"/>
      <c r="M144" s="22">
        <f>IFERROR((VLOOKUP(A144,'Current Stocks July-26'!$B:$K,10,0)),0)</f>
        <v>0</v>
      </c>
      <c r="N144" s="22">
        <f t="shared" si="16"/>
        <v>0</v>
      </c>
      <c r="O144" s="22" t="str">
        <f t="shared" si="17"/>
        <v>ORDER NOW</v>
      </c>
      <c r="P144" s="22" t="str">
        <f t="shared" si="18"/>
        <v>CRITICAL</v>
      </c>
      <c r="Q144" s="58">
        <f t="shared" si="19"/>
        <v>16.666666666666664</v>
      </c>
      <c r="R144" s="58">
        <f t="shared" si="20"/>
        <v>66.666666666666657</v>
      </c>
      <c r="S144" s="58">
        <f t="shared" si="21"/>
        <v>66.666666666666657</v>
      </c>
      <c r="T144" s="5">
        <v>7</v>
      </c>
      <c r="U144" s="5" t="s">
        <v>30</v>
      </c>
      <c r="V144" s="173">
        <f>VLOOKUP(A144,'[1]Final-Short'!$B:$AE,29,0)</f>
        <v>7.22</v>
      </c>
      <c r="W144" s="171" t="str">
        <f>VLOOKUP(A144,'[1]Final-Short'!$B:$AE,30,0)</f>
        <v>شركة ابراهيم الجفالي</v>
      </c>
      <c r="X144" s="58">
        <f t="shared" si="22"/>
        <v>481.33333333333326</v>
      </c>
      <c r="Y144" s="58">
        <f t="shared" si="23"/>
        <v>361</v>
      </c>
    </row>
    <row r="145" spans="1:25" x14ac:dyDescent="0.25">
      <c r="A145" s="36" t="s">
        <v>1070</v>
      </c>
      <c r="B145" s="171" t="s">
        <v>1071</v>
      </c>
      <c r="C145" s="171" t="s">
        <v>1071</v>
      </c>
      <c r="D145" s="172" t="s">
        <v>5062</v>
      </c>
      <c r="E145" s="172" t="s">
        <v>1631</v>
      </c>
      <c r="F145" s="172" t="s">
        <v>1631</v>
      </c>
      <c r="G145" s="172" t="s">
        <v>1631</v>
      </c>
      <c r="H145" s="172" t="s">
        <v>1631</v>
      </c>
      <c r="I145" s="172" t="s">
        <v>1631</v>
      </c>
      <c r="J145" s="36">
        <v>1</v>
      </c>
      <c r="K145" s="58">
        <v>22</v>
      </c>
      <c r="L145" s="58"/>
      <c r="M145" s="22">
        <f>IFERROR((VLOOKUP(A145,'Current Stocks July-26'!$B:$K,10,0)),0)</f>
        <v>275</v>
      </c>
      <c r="N145" s="22">
        <f t="shared" si="16"/>
        <v>375</v>
      </c>
      <c r="O145" s="22" t="str">
        <f t="shared" si="17"/>
        <v>IN STOCK</v>
      </c>
      <c r="P145" s="22" t="str">
        <f t="shared" si="18"/>
        <v>FOLLOW UP DELIVERY</v>
      </c>
      <c r="Q145" s="58">
        <f t="shared" si="19"/>
        <v>7.333333333333333</v>
      </c>
      <c r="R145" s="58">
        <f t="shared" si="20"/>
        <v>29.333333333333332</v>
      </c>
      <c r="S145" s="58">
        <f t="shared" si="21"/>
        <v>0</v>
      </c>
      <c r="T145" s="5">
        <v>7</v>
      </c>
      <c r="U145" s="5" t="s">
        <v>30</v>
      </c>
      <c r="V145" s="173">
        <f>VLOOKUP(A145,'[1]Final-Short'!$B:$AE,29,0)</f>
        <v>68</v>
      </c>
      <c r="W145" s="171" t="str">
        <f>VLOOKUP(A145,'[1]Final-Short'!$B:$AE,30,0)</f>
        <v>شركة نابكو للتجارة والتوزيع</v>
      </c>
      <c r="X145" s="58">
        <f t="shared" si="22"/>
        <v>0</v>
      </c>
      <c r="Y145" s="58">
        <f t="shared" si="23"/>
        <v>1496</v>
      </c>
    </row>
    <row r="146" spans="1:25" x14ac:dyDescent="0.25">
      <c r="A146" s="36" t="s">
        <v>841</v>
      </c>
      <c r="B146" s="171" t="s">
        <v>1749</v>
      </c>
      <c r="C146" s="171" t="s">
        <v>842</v>
      </c>
      <c r="D146" s="172" t="s">
        <v>5062</v>
      </c>
      <c r="E146" s="172" t="s">
        <v>1631</v>
      </c>
      <c r="F146" s="172" t="s">
        <v>1631</v>
      </c>
      <c r="G146" s="172" t="s">
        <v>1631</v>
      </c>
      <c r="H146" s="172" t="s">
        <v>1631</v>
      </c>
      <c r="I146" s="172" t="s">
        <v>1631</v>
      </c>
      <c r="J146" s="36">
        <v>1</v>
      </c>
      <c r="K146" s="58">
        <v>10</v>
      </c>
      <c r="L146" s="58"/>
      <c r="M146" s="22">
        <f>IFERROR((VLOOKUP(A146,'Current Stocks July-26'!$B:$K,10,0)),0)</f>
        <v>0</v>
      </c>
      <c r="N146" s="22">
        <f t="shared" si="16"/>
        <v>0</v>
      </c>
      <c r="O146" s="22" t="str">
        <f t="shared" si="17"/>
        <v>ORDER NOW</v>
      </c>
      <c r="P146" s="22" t="str">
        <f t="shared" si="18"/>
        <v>CRITICAL</v>
      </c>
      <c r="Q146" s="58">
        <f t="shared" si="19"/>
        <v>3.333333333333333</v>
      </c>
      <c r="R146" s="58">
        <f t="shared" si="20"/>
        <v>13.333333333333332</v>
      </c>
      <c r="S146" s="58">
        <f t="shared" si="21"/>
        <v>13.333333333333332</v>
      </c>
      <c r="T146" s="5">
        <v>7</v>
      </c>
      <c r="U146" s="5" t="s">
        <v>30</v>
      </c>
      <c r="V146" s="173">
        <f>VLOOKUP(A146,'[1]Final-Short'!$B:$AE,29,0)</f>
        <v>235</v>
      </c>
      <c r="W146" s="171" t="str">
        <f>VLOOKUP(A146,'[1]Final-Short'!$B:$AE,30,0)</f>
        <v>شركة نابكو للتجارة والتوزيع</v>
      </c>
      <c r="X146" s="58">
        <f t="shared" si="22"/>
        <v>3133.333333333333</v>
      </c>
      <c r="Y146" s="58">
        <f t="shared" si="23"/>
        <v>2350</v>
      </c>
    </row>
    <row r="147" spans="1:25" x14ac:dyDescent="0.25">
      <c r="A147" s="36" t="s">
        <v>1055</v>
      </c>
      <c r="B147" s="171" t="s">
        <v>1750</v>
      </c>
      <c r="C147" s="171" t="s">
        <v>1056</v>
      </c>
      <c r="D147" s="172" t="s">
        <v>5062</v>
      </c>
      <c r="E147" s="172" t="s">
        <v>5062</v>
      </c>
      <c r="F147" s="172" t="s">
        <v>1631</v>
      </c>
      <c r="G147" s="172" t="s">
        <v>5062</v>
      </c>
      <c r="H147" s="172" t="s">
        <v>1631</v>
      </c>
      <c r="I147" s="172" t="s">
        <v>1631</v>
      </c>
      <c r="J147" s="36">
        <v>3</v>
      </c>
      <c r="K147" s="58">
        <v>43</v>
      </c>
      <c r="L147" s="58"/>
      <c r="M147" s="22">
        <f>IFERROR((VLOOKUP(A147,'Current Stocks July-26'!$B:$K,10,0)),0)</f>
        <v>671</v>
      </c>
      <c r="N147" s="22">
        <f t="shared" si="16"/>
        <v>468.1395348837209</v>
      </c>
      <c r="O147" s="22" t="str">
        <f t="shared" si="17"/>
        <v>IN STOCK</v>
      </c>
      <c r="P147" s="22" t="str">
        <f t="shared" si="18"/>
        <v>FOLLOW UP DELIVERY</v>
      </c>
      <c r="Q147" s="58">
        <f t="shared" si="19"/>
        <v>14.333333333333332</v>
      </c>
      <c r="R147" s="58">
        <f t="shared" si="20"/>
        <v>57.333333333333329</v>
      </c>
      <c r="S147" s="58">
        <f t="shared" si="21"/>
        <v>0</v>
      </c>
      <c r="T147" s="5">
        <v>7</v>
      </c>
      <c r="U147" s="5" t="s">
        <v>30</v>
      </c>
      <c r="V147" s="173">
        <f>VLOOKUP(A147,'[1]Final-Short'!$B:$AE,29,0)</f>
        <v>50.75</v>
      </c>
      <c r="W147" s="171" t="str">
        <f>VLOOKUP(A147,'[1]Final-Short'!$B:$AE,30,0)</f>
        <v>شركة نابكو للتجارة والتوزيع</v>
      </c>
      <c r="X147" s="58">
        <f t="shared" si="22"/>
        <v>0</v>
      </c>
      <c r="Y147" s="58">
        <f t="shared" si="23"/>
        <v>2182.25</v>
      </c>
    </row>
    <row r="148" spans="1:25" x14ac:dyDescent="0.25">
      <c r="A148" s="36" t="s">
        <v>780</v>
      </c>
      <c r="B148" s="171" t="s">
        <v>781</v>
      </c>
      <c r="C148" s="171" t="s">
        <v>781</v>
      </c>
      <c r="D148" s="172" t="s">
        <v>5062</v>
      </c>
      <c r="E148" s="172" t="s">
        <v>5062</v>
      </c>
      <c r="F148" s="172" t="s">
        <v>1631</v>
      </c>
      <c r="G148" s="172" t="s">
        <v>1631</v>
      </c>
      <c r="H148" s="172" t="s">
        <v>1631</v>
      </c>
      <c r="I148" s="172" t="s">
        <v>1631</v>
      </c>
      <c r="J148" s="36">
        <v>2</v>
      </c>
      <c r="K148" s="58">
        <v>60</v>
      </c>
      <c r="L148" s="58"/>
      <c r="M148" s="22">
        <f>IFERROR((VLOOKUP(A148,'Current Stocks July-26'!$B:$K,10,0)),0)</f>
        <v>600</v>
      </c>
      <c r="N148" s="22">
        <f t="shared" si="16"/>
        <v>300</v>
      </c>
      <c r="O148" s="22" t="str">
        <f t="shared" si="17"/>
        <v>IN STOCK</v>
      </c>
      <c r="P148" s="22" t="str">
        <f t="shared" si="18"/>
        <v>FOLLOW UP DELIVERY</v>
      </c>
      <c r="Q148" s="58">
        <f t="shared" si="19"/>
        <v>20</v>
      </c>
      <c r="R148" s="58">
        <f t="shared" si="20"/>
        <v>80</v>
      </c>
      <c r="S148" s="58">
        <f t="shared" si="21"/>
        <v>0</v>
      </c>
      <c r="T148" s="5">
        <v>7</v>
      </c>
      <c r="U148" s="5" t="s">
        <v>30</v>
      </c>
      <c r="V148" s="173">
        <f>VLOOKUP(A148,'[1]Final-Short'!$B:$AE,29,0)</f>
        <v>44.5</v>
      </c>
      <c r="W148" s="171" t="str">
        <f>VLOOKUP(A148,'[1]Final-Short'!$B:$AE,30,0)</f>
        <v>شركة نابكو للتجارة والتوزيع</v>
      </c>
      <c r="X148" s="58">
        <f t="shared" si="22"/>
        <v>0</v>
      </c>
      <c r="Y148" s="58">
        <f t="shared" si="23"/>
        <v>2670</v>
      </c>
    </row>
    <row r="149" spans="1:25" x14ac:dyDescent="0.25">
      <c r="A149" s="36" t="s">
        <v>791</v>
      </c>
      <c r="B149" s="171" t="s">
        <v>792</v>
      </c>
      <c r="C149" s="171" t="s">
        <v>792</v>
      </c>
      <c r="D149" s="172" t="s">
        <v>5062</v>
      </c>
      <c r="E149" s="172" t="s">
        <v>5062</v>
      </c>
      <c r="F149" s="172" t="s">
        <v>1631</v>
      </c>
      <c r="G149" s="172" t="s">
        <v>5062</v>
      </c>
      <c r="H149" s="172" t="s">
        <v>1631</v>
      </c>
      <c r="I149" s="172" t="s">
        <v>1631</v>
      </c>
      <c r="J149" s="36">
        <v>3</v>
      </c>
      <c r="K149" s="58">
        <v>20</v>
      </c>
      <c r="L149" s="58"/>
      <c r="M149" s="22">
        <f>IFERROR((VLOOKUP(A149,'Current Stocks July-26'!$B:$K,10,0)),0)</f>
        <v>2564</v>
      </c>
      <c r="N149" s="22">
        <f t="shared" si="16"/>
        <v>3845.9999999999995</v>
      </c>
      <c r="O149" s="22" t="str">
        <f t="shared" si="17"/>
        <v>IN STOCK</v>
      </c>
      <c r="P149" s="22" t="str">
        <f t="shared" si="18"/>
        <v>FOLLOW UP DELIVERY</v>
      </c>
      <c r="Q149" s="58">
        <f t="shared" si="19"/>
        <v>6.6666666666666661</v>
      </c>
      <c r="R149" s="58">
        <f t="shared" si="20"/>
        <v>26.666666666666664</v>
      </c>
      <c r="S149" s="58">
        <f t="shared" si="21"/>
        <v>0</v>
      </c>
      <c r="T149" s="5">
        <v>7</v>
      </c>
      <c r="U149" s="5" t="s">
        <v>30</v>
      </c>
      <c r="V149" s="173">
        <f>VLOOKUP(A149,'[1]Final-Short'!$B:$AE,29,0)</f>
        <v>308</v>
      </c>
      <c r="W149" s="171" t="str">
        <f>VLOOKUP(A149,'[1]Final-Short'!$B:$AE,30,0)</f>
        <v>شركة نابكو للتجارة والتوزيع</v>
      </c>
      <c r="X149" s="58">
        <f t="shared" si="22"/>
        <v>0</v>
      </c>
      <c r="Y149" s="58">
        <f t="shared" si="23"/>
        <v>6160</v>
      </c>
    </row>
    <row r="150" spans="1:25" x14ac:dyDescent="0.25">
      <c r="A150" s="36" t="s">
        <v>765</v>
      </c>
      <c r="B150" s="171" t="s">
        <v>766</v>
      </c>
      <c r="C150" s="171" t="s">
        <v>766</v>
      </c>
      <c r="D150" s="172" t="s">
        <v>5062</v>
      </c>
      <c r="E150" s="172" t="s">
        <v>5062</v>
      </c>
      <c r="F150" s="172" t="s">
        <v>1631</v>
      </c>
      <c r="G150" s="172" t="s">
        <v>5062</v>
      </c>
      <c r="H150" s="172" t="s">
        <v>1631</v>
      </c>
      <c r="I150" s="172" t="s">
        <v>1631</v>
      </c>
      <c r="J150" s="36">
        <v>3</v>
      </c>
      <c r="K150" s="58">
        <v>1300</v>
      </c>
      <c r="L150" s="58"/>
      <c r="M150" s="22">
        <f>IFERROR((VLOOKUP(A150,'Current Stocks July-26'!$B:$K,10,0)),0)</f>
        <v>2173</v>
      </c>
      <c r="N150" s="22">
        <f t="shared" si="16"/>
        <v>50.146153846153851</v>
      </c>
      <c r="O150" s="22" t="str">
        <f t="shared" si="17"/>
        <v>IN STOCK</v>
      </c>
      <c r="P150" s="22" t="str">
        <f t="shared" si="18"/>
        <v>FOLLOW UP DELIVERY</v>
      </c>
      <c r="Q150" s="58">
        <f t="shared" si="19"/>
        <v>433.33333333333331</v>
      </c>
      <c r="R150" s="58">
        <f t="shared" si="20"/>
        <v>1733.3333333333333</v>
      </c>
      <c r="S150" s="58">
        <f t="shared" si="21"/>
        <v>0</v>
      </c>
      <c r="T150" s="5">
        <v>7</v>
      </c>
      <c r="U150" s="5" t="s">
        <v>30</v>
      </c>
      <c r="V150" s="173">
        <f>VLOOKUP(A150,'[1]Final-Short'!$B:$AE,29,0)</f>
        <v>68.75</v>
      </c>
      <c r="W150" s="171" t="str">
        <f>VLOOKUP(A150,'[1]Final-Short'!$B:$AE,30,0)</f>
        <v>شركة نابكو للتجارة والتوزيع</v>
      </c>
      <c r="X150" s="58">
        <f t="shared" si="22"/>
        <v>0</v>
      </c>
      <c r="Y150" s="58">
        <f t="shared" si="23"/>
        <v>89375</v>
      </c>
    </row>
    <row r="151" spans="1:25" x14ac:dyDescent="0.25">
      <c r="A151" s="36" t="s">
        <v>879</v>
      </c>
      <c r="B151" s="171" t="s">
        <v>880</v>
      </c>
      <c r="C151" s="171" t="s">
        <v>880</v>
      </c>
      <c r="D151" s="172" t="s">
        <v>5062</v>
      </c>
      <c r="E151" s="172" t="s">
        <v>1631</v>
      </c>
      <c r="F151" s="172" t="s">
        <v>1631</v>
      </c>
      <c r="G151" s="172" t="s">
        <v>5062</v>
      </c>
      <c r="H151" s="172" t="s">
        <v>1631</v>
      </c>
      <c r="I151" s="172" t="s">
        <v>1631</v>
      </c>
      <c r="J151" s="36">
        <v>2</v>
      </c>
      <c r="K151" s="58">
        <v>25</v>
      </c>
      <c r="L151" s="58"/>
      <c r="M151" s="22">
        <f>IFERROR((VLOOKUP(A151,'Current Stocks July-26'!$B:$K,10,0)),0)</f>
        <v>236</v>
      </c>
      <c r="N151" s="22">
        <f t="shared" si="16"/>
        <v>283.2</v>
      </c>
      <c r="O151" s="22" t="str">
        <f t="shared" si="17"/>
        <v>IN STOCK</v>
      </c>
      <c r="P151" s="22" t="str">
        <f t="shared" si="18"/>
        <v>FOLLOW UP DELIVERY</v>
      </c>
      <c r="Q151" s="58">
        <f t="shared" si="19"/>
        <v>8.3333333333333321</v>
      </c>
      <c r="R151" s="58">
        <f t="shared" si="20"/>
        <v>33.333333333333329</v>
      </c>
      <c r="S151" s="58">
        <f t="shared" si="21"/>
        <v>0</v>
      </c>
      <c r="T151" s="5">
        <v>7</v>
      </c>
      <c r="U151" s="5" t="s">
        <v>30</v>
      </c>
      <c r="V151" s="173">
        <f>VLOOKUP(A151,'[1]Final-Short'!$B:$AE,29,0)</f>
        <v>122.5</v>
      </c>
      <c r="W151" s="171" t="str">
        <f>VLOOKUP(A151,'[1]Final-Short'!$B:$AE,30,0)</f>
        <v>شركة نابكو للتجارة والتوزيع</v>
      </c>
      <c r="X151" s="58">
        <f t="shared" si="22"/>
        <v>0</v>
      </c>
      <c r="Y151" s="58">
        <f t="shared" si="23"/>
        <v>3062.5</v>
      </c>
    </row>
    <row r="152" spans="1:25" x14ac:dyDescent="0.25">
      <c r="A152" s="36" t="s">
        <v>711</v>
      </c>
      <c r="B152" s="171" t="s">
        <v>712</v>
      </c>
      <c r="C152" s="171" t="s">
        <v>712</v>
      </c>
      <c r="D152" s="172" t="s">
        <v>5062</v>
      </c>
      <c r="E152" s="172" t="s">
        <v>1631</v>
      </c>
      <c r="F152" s="172" t="s">
        <v>1631</v>
      </c>
      <c r="G152" s="172" t="s">
        <v>1631</v>
      </c>
      <c r="H152" s="172" t="s">
        <v>1631</v>
      </c>
      <c r="I152" s="172" t="s">
        <v>1631</v>
      </c>
      <c r="J152" s="36">
        <v>1</v>
      </c>
      <c r="K152" s="58">
        <v>10</v>
      </c>
      <c r="L152" s="58"/>
      <c r="M152" s="22">
        <f>IFERROR((VLOOKUP(A152,'Current Stocks July-26'!$B:$K,10,0)),0)</f>
        <v>123</v>
      </c>
      <c r="N152" s="22">
        <f t="shared" si="16"/>
        <v>369</v>
      </c>
      <c r="O152" s="22" t="str">
        <f t="shared" si="17"/>
        <v>IN STOCK</v>
      </c>
      <c r="P152" s="22" t="str">
        <f t="shared" si="18"/>
        <v>FOLLOW UP DELIVERY</v>
      </c>
      <c r="Q152" s="58">
        <f t="shared" si="19"/>
        <v>3.333333333333333</v>
      </c>
      <c r="R152" s="58">
        <f t="shared" si="20"/>
        <v>13.333333333333332</v>
      </c>
      <c r="S152" s="58">
        <f t="shared" si="21"/>
        <v>0</v>
      </c>
      <c r="T152" s="5">
        <v>7</v>
      </c>
      <c r="U152" s="5" t="s">
        <v>30</v>
      </c>
      <c r="V152" s="173">
        <f>VLOOKUP(A152,'[1]Final-Short'!$B:$AE,29,0)</f>
        <v>71.5</v>
      </c>
      <c r="W152" s="171" t="str">
        <f>VLOOKUP(A152,'[1]Final-Short'!$B:$AE,30,0)</f>
        <v>شركة نابكو للتجارة والتوزيع</v>
      </c>
      <c r="X152" s="58">
        <f t="shared" si="22"/>
        <v>0</v>
      </c>
      <c r="Y152" s="58">
        <f t="shared" si="23"/>
        <v>715</v>
      </c>
    </row>
    <row r="153" spans="1:25" x14ac:dyDescent="0.25">
      <c r="A153" s="36" t="s">
        <v>704</v>
      </c>
      <c r="B153" s="171" t="s">
        <v>705</v>
      </c>
      <c r="C153" s="171" t="s">
        <v>705</v>
      </c>
      <c r="D153" s="172" t="s">
        <v>5062</v>
      </c>
      <c r="E153" s="172" t="s">
        <v>1631</v>
      </c>
      <c r="F153" s="172" t="s">
        <v>1631</v>
      </c>
      <c r="G153" s="172" t="s">
        <v>1631</v>
      </c>
      <c r="H153" s="172" t="s">
        <v>1631</v>
      </c>
      <c r="I153" s="172" t="s">
        <v>1631</v>
      </c>
      <c r="J153" s="36">
        <v>1</v>
      </c>
      <c r="K153" s="58">
        <v>45</v>
      </c>
      <c r="L153" s="58"/>
      <c r="M153" s="22">
        <f>IFERROR((VLOOKUP(A153,'Current Stocks July-26'!$B:$K,10,0)),0)</f>
        <v>330.04</v>
      </c>
      <c r="N153" s="22">
        <f t="shared" si="16"/>
        <v>220.02666666666667</v>
      </c>
      <c r="O153" s="22" t="str">
        <f t="shared" si="17"/>
        <v>IN STOCK</v>
      </c>
      <c r="P153" s="22" t="str">
        <f t="shared" si="18"/>
        <v>FOLLOW UP DELIVERY</v>
      </c>
      <c r="Q153" s="58">
        <f t="shared" si="19"/>
        <v>15</v>
      </c>
      <c r="R153" s="58">
        <f t="shared" si="20"/>
        <v>60</v>
      </c>
      <c r="S153" s="58">
        <f t="shared" si="21"/>
        <v>0</v>
      </c>
      <c r="T153" s="5">
        <v>7</v>
      </c>
      <c r="U153" s="5" t="s">
        <v>30</v>
      </c>
      <c r="V153" s="173">
        <f>VLOOKUP(A153,'[1]Final-Short'!$B:$AE,29,0)</f>
        <v>33</v>
      </c>
      <c r="W153" s="171" t="str">
        <f>VLOOKUP(A153,'[1]Final-Short'!$B:$AE,30,0)</f>
        <v>شركة نابكو للتجارة والتوزيع</v>
      </c>
      <c r="X153" s="58">
        <f t="shared" si="22"/>
        <v>0</v>
      </c>
      <c r="Y153" s="58">
        <f t="shared" si="23"/>
        <v>1485</v>
      </c>
    </row>
    <row r="154" spans="1:25" x14ac:dyDescent="0.25">
      <c r="A154" s="36" t="s">
        <v>757</v>
      </c>
      <c r="B154" s="171" t="s">
        <v>758</v>
      </c>
      <c r="C154" s="171" t="s">
        <v>758</v>
      </c>
      <c r="D154" s="172" t="s">
        <v>5062</v>
      </c>
      <c r="E154" s="172" t="s">
        <v>5062</v>
      </c>
      <c r="F154" s="172" t="s">
        <v>1631</v>
      </c>
      <c r="G154" s="172" t="s">
        <v>5062</v>
      </c>
      <c r="H154" s="172" t="s">
        <v>1631</v>
      </c>
      <c r="I154" s="172" t="s">
        <v>1631</v>
      </c>
      <c r="J154" s="36">
        <v>3</v>
      </c>
      <c r="K154" s="58">
        <v>60</v>
      </c>
      <c r="L154" s="58"/>
      <c r="M154" s="22">
        <f>IFERROR((VLOOKUP(A154,'Current Stocks July-26'!$B:$K,10,0)),0)</f>
        <v>228</v>
      </c>
      <c r="N154" s="22">
        <f t="shared" si="16"/>
        <v>114</v>
      </c>
      <c r="O154" s="22" t="str">
        <f t="shared" si="17"/>
        <v>IN STOCK</v>
      </c>
      <c r="P154" s="22" t="str">
        <f t="shared" si="18"/>
        <v>FOLLOW UP DELIVERY</v>
      </c>
      <c r="Q154" s="58">
        <f t="shared" si="19"/>
        <v>20</v>
      </c>
      <c r="R154" s="58">
        <f t="shared" si="20"/>
        <v>80</v>
      </c>
      <c r="S154" s="58">
        <f t="shared" si="21"/>
        <v>0</v>
      </c>
      <c r="T154" s="5">
        <v>7</v>
      </c>
      <c r="U154" s="5" t="s">
        <v>30</v>
      </c>
      <c r="V154" s="173">
        <f>VLOOKUP(A154,'[1]Final-Short'!$B:$AE,29,0)</f>
        <v>57.75</v>
      </c>
      <c r="W154" s="171" t="str">
        <f>VLOOKUP(A154,'[1]Final-Short'!$B:$AE,30,0)</f>
        <v>شركة نابكو للتجارة والتوزيع</v>
      </c>
      <c r="X154" s="58">
        <f t="shared" si="22"/>
        <v>0</v>
      </c>
      <c r="Y154" s="58">
        <f t="shared" si="23"/>
        <v>3465</v>
      </c>
    </row>
    <row r="155" spans="1:25" x14ac:dyDescent="0.25">
      <c r="A155" s="36" t="s">
        <v>1509</v>
      </c>
      <c r="B155" s="171" t="s">
        <v>1751</v>
      </c>
      <c r="C155" s="171" t="s">
        <v>1510</v>
      </c>
      <c r="D155" s="172" t="s">
        <v>5062</v>
      </c>
      <c r="E155" s="172" t="s">
        <v>1631</v>
      </c>
      <c r="F155" s="172" t="s">
        <v>1631</v>
      </c>
      <c r="G155" s="172" t="s">
        <v>1631</v>
      </c>
      <c r="H155" s="172" t="s">
        <v>1631</v>
      </c>
      <c r="I155" s="172" t="s">
        <v>1631</v>
      </c>
      <c r="J155" s="36">
        <v>1</v>
      </c>
      <c r="K155" s="58">
        <v>25</v>
      </c>
      <c r="L155" s="58"/>
      <c r="M155" s="22">
        <f>IFERROR((VLOOKUP(A155,'Current Stocks July-26'!$B:$K,10,0)),0)</f>
        <v>565</v>
      </c>
      <c r="N155" s="22">
        <f t="shared" si="16"/>
        <v>678</v>
      </c>
      <c r="O155" s="22" t="str">
        <f t="shared" si="17"/>
        <v>IN STOCK</v>
      </c>
      <c r="P155" s="22" t="str">
        <f t="shared" si="18"/>
        <v>FOLLOW UP DELIVERY</v>
      </c>
      <c r="Q155" s="58">
        <f t="shared" si="19"/>
        <v>8.3333333333333321</v>
      </c>
      <c r="R155" s="58">
        <f t="shared" si="20"/>
        <v>33.333333333333329</v>
      </c>
      <c r="S155" s="58">
        <f t="shared" si="21"/>
        <v>0</v>
      </c>
      <c r="T155" s="5">
        <v>7</v>
      </c>
      <c r="U155" s="5" t="s">
        <v>30</v>
      </c>
      <c r="V155" s="173">
        <f>VLOOKUP(A155,'[1]Final-Short'!$B:$AE,29,0)</f>
        <v>50</v>
      </c>
      <c r="W155" s="171" t="str">
        <f>VLOOKUP(A155,'[1]Final-Short'!$B:$AE,30,0)</f>
        <v>شركة نابكو للتجارة والتوزيع</v>
      </c>
      <c r="X155" s="58">
        <f t="shared" si="22"/>
        <v>0</v>
      </c>
      <c r="Y155" s="58">
        <f t="shared" si="23"/>
        <v>1250</v>
      </c>
    </row>
    <row r="156" spans="1:25" x14ac:dyDescent="0.25">
      <c r="A156" s="36" t="s">
        <v>1030</v>
      </c>
      <c r="B156" s="171" t="s">
        <v>1031</v>
      </c>
      <c r="C156" s="171" t="s">
        <v>1031</v>
      </c>
      <c r="D156" s="172" t="s">
        <v>5062</v>
      </c>
      <c r="E156" s="172" t="s">
        <v>1631</v>
      </c>
      <c r="F156" s="172" t="s">
        <v>1631</v>
      </c>
      <c r="G156" s="172" t="s">
        <v>1631</v>
      </c>
      <c r="H156" s="172" t="s">
        <v>1631</v>
      </c>
      <c r="I156" s="172" t="s">
        <v>1631</v>
      </c>
      <c r="J156" s="36">
        <v>1</v>
      </c>
      <c r="K156" s="58">
        <v>95</v>
      </c>
      <c r="L156" s="58"/>
      <c r="M156" s="22">
        <f>IFERROR((VLOOKUP(A156,'Current Stocks July-26'!$B:$K,10,0)),0)</f>
        <v>253</v>
      </c>
      <c r="N156" s="22">
        <f t="shared" si="16"/>
        <v>79.89473684210526</v>
      </c>
      <c r="O156" s="22" t="str">
        <f t="shared" si="17"/>
        <v>IN STOCK</v>
      </c>
      <c r="P156" s="22" t="str">
        <f t="shared" si="18"/>
        <v>FOLLOW UP DELIVERY</v>
      </c>
      <c r="Q156" s="58">
        <f t="shared" si="19"/>
        <v>31.666666666666664</v>
      </c>
      <c r="R156" s="58">
        <f t="shared" si="20"/>
        <v>126.66666666666666</v>
      </c>
      <c r="S156" s="58">
        <f t="shared" si="21"/>
        <v>0</v>
      </c>
      <c r="T156" s="5">
        <v>7</v>
      </c>
      <c r="U156" s="5" t="s">
        <v>30</v>
      </c>
      <c r="V156" s="173">
        <f>VLOOKUP(A156,'[1]Final-Short'!$B:$AE,29,0)</f>
        <v>40.75</v>
      </c>
      <c r="W156" s="171" t="str">
        <f>VLOOKUP(A156,'[1]Final-Short'!$B:$AE,30,0)</f>
        <v>شركة نابكو للتجارة والتوزيع</v>
      </c>
      <c r="X156" s="58">
        <f t="shared" si="22"/>
        <v>0</v>
      </c>
      <c r="Y156" s="58">
        <f t="shared" si="23"/>
        <v>3871.25</v>
      </c>
    </row>
    <row r="157" spans="1:25" x14ac:dyDescent="0.25">
      <c r="A157" s="36" t="s">
        <v>1073</v>
      </c>
      <c r="B157" s="171" t="s">
        <v>1074</v>
      </c>
      <c r="C157" s="171" t="s">
        <v>1074</v>
      </c>
      <c r="D157" s="172" t="s">
        <v>5062</v>
      </c>
      <c r="E157" s="172" t="s">
        <v>5062</v>
      </c>
      <c r="F157" s="172" t="s">
        <v>1631</v>
      </c>
      <c r="G157" s="172" t="s">
        <v>1631</v>
      </c>
      <c r="H157" s="172" t="s">
        <v>1631</v>
      </c>
      <c r="I157" s="172" t="s">
        <v>1631</v>
      </c>
      <c r="J157" s="36">
        <v>2</v>
      </c>
      <c r="K157" s="58">
        <v>8</v>
      </c>
      <c r="L157" s="58"/>
      <c r="M157" s="22">
        <f>IFERROR((VLOOKUP(A157,'Current Stocks July-26'!$B:$K,10,0)),0)</f>
        <v>0</v>
      </c>
      <c r="N157" s="22">
        <f t="shared" si="16"/>
        <v>0</v>
      </c>
      <c r="O157" s="22" t="str">
        <f t="shared" si="17"/>
        <v>ORDER NOW</v>
      </c>
      <c r="P157" s="22" t="str">
        <f t="shared" si="18"/>
        <v>CRITICAL</v>
      </c>
      <c r="Q157" s="58">
        <f t="shared" si="19"/>
        <v>2.6666666666666665</v>
      </c>
      <c r="R157" s="58">
        <f t="shared" si="20"/>
        <v>10.666666666666666</v>
      </c>
      <c r="S157" s="58">
        <f t="shared" si="21"/>
        <v>10.666666666666666</v>
      </c>
      <c r="T157" s="5">
        <v>7</v>
      </c>
      <c r="U157" s="5" t="s">
        <v>30</v>
      </c>
      <c r="V157" s="173">
        <f>VLOOKUP(A157,'[1]Final-Short'!$B:$AE,29,0)</f>
        <v>210</v>
      </c>
      <c r="W157" s="171" t="str">
        <f>VLOOKUP(A157,'[1]Final-Short'!$B:$AE,30,0)</f>
        <v>شركة قصر البلاستيك للتجارة</v>
      </c>
      <c r="X157" s="58">
        <f t="shared" si="22"/>
        <v>2240</v>
      </c>
      <c r="Y157" s="58">
        <f t="shared" si="23"/>
        <v>1680</v>
      </c>
    </row>
    <row r="158" spans="1:25" x14ac:dyDescent="0.25">
      <c r="A158" s="36" t="s">
        <v>925</v>
      </c>
      <c r="B158" s="171" t="s">
        <v>926</v>
      </c>
      <c r="C158" s="171" t="s">
        <v>926</v>
      </c>
      <c r="D158" s="172" t="s">
        <v>5062</v>
      </c>
      <c r="E158" s="172" t="s">
        <v>5062</v>
      </c>
      <c r="F158" s="172" t="s">
        <v>1631</v>
      </c>
      <c r="G158" s="172" t="s">
        <v>1631</v>
      </c>
      <c r="H158" s="172" t="s">
        <v>1631</v>
      </c>
      <c r="I158" s="172" t="s">
        <v>1631</v>
      </c>
      <c r="J158" s="36">
        <v>2</v>
      </c>
      <c r="K158" s="58">
        <v>4</v>
      </c>
      <c r="L158" s="58"/>
      <c r="M158" s="22">
        <f>IFERROR((VLOOKUP(A158,'Current Stocks July-26'!$B:$K,10,0)),0)</f>
        <v>0</v>
      </c>
      <c r="N158" s="22">
        <f t="shared" si="16"/>
        <v>0</v>
      </c>
      <c r="O158" s="22" t="str">
        <f t="shared" si="17"/>
        <v>ORDER NOW</v>
      </c>
      <c r="P158" s="22" t="str">
        <f t="shared" si="18"/>
        <v>CRITICAL</v>
      </c>
      <c r="Q158" s="58">
        <f t="shared" si="19"/>
        <v>1.3333333333333333</v>
      </c>
      <c r="R158" s="58">
        <f t="shared" si="20"/>
        <v>5.333333333333333</v>
      </c>
      <c r="S158" s="58">
        <f t="shared" si="21"/>
        <v>5.333333333333333</v>
      </c>
      <c r="T158" s="5">
        <v>7</v>
      </c>
      <c r="U158" s="5" t="s">
        <v>30</v>
      </c>
      <c r="V158" s="173">
        <f>VLOOKUP(A158,'[1]Final-Short'!$B:$AE,29,0)</f>
        <v>190</v>
      </c>
      <c r="W158" s="171" t="str">
        <f>VLOOKUP(A158,'[1]Final-Short'!$B:$AE,30,0)</f>
        <v>مؤسسة مستر شيف</v>
      </c>
      <c r="X158" s="58">
        <f t="shared" si="22"/>
        <v>1013.3333333333333</v>
      </c>
      <c r="Y158" s="58">
        <f t="shared" si="23"/>
        <v>760</v>
      </c>
    </row>
    <row r="159" spans="1:25" x14ac:dyDescent="0.25">
      <c r="A159" s="36" t="s">
        <v>1000</v>
      </c>
      <c r="B159" s="171" t="s">
        <v>1001</v>
      </c>
      <c r="C159" s="171" t="s">
        <v>1001</v>
      </c>
      <c r="D159" s="172" t="s">
        <v>5062</v>
      </c>
      <c r="E159" s="172" t="s">
        <v>5062</v>
      </c>
      <c r="F159" s="172" t="s">
        <v>1631</v>
      </c>
      <c r="G159" s="172" t="s">
        <v>1631</v>
      </c>
      <c r="H159" s="172" t="s">
        <v>1631</v>
      </c>
      <c r="I159" s="172" t="s">
        <v>1631</v>
      </c>
      <c r="J159" s="36">
        <v>2</v>
      </c>
      <c r="K159" s="58">
        <v>15</v>
      </c>
      <c r="L159" s="58"/>
      <c r="M159" s="22">
        <f>IFERROR((VLOOKUP(A159,'Current Stocks July-26'!$B:$K,10,0)),0)</f>
        <v>19</v>
      </c>
      <c r="N159" s="22">
        <f t="shared" si="16"/>
        <v>38</v>
      </c>
      <c r="O159" s="22" t="str">
        <f t="shared" si="17"/>
        <v>IN STOCK</v>
      </c>
      <c r="P159" s="22" t="str">
        <f t="shared" si="18"/>
        <v>FOLLOW UP DELIVERY</v>
      </c>
      <c r="Q159" s="58">
        <f t="shared" si="19"/>
        <v>5</v>
      </c>
      <c r="R159" s="58">
        <f t="shared" si="20"/>
        <v>20</v>
      </c>
      <c r="S159" s="58">
        <f t="shared" si="21"/>
        <v>1</v>
      </c>
      <c r="T159" s="5">
        <v>7</v>
      </c>
      <c r="U159" s="5" t="s">
        <v>30</v>
      </c>
      <c r="V159" s="173">
        <f>VLOOKUP(A159,'[1]Final-Short'!$B:$AE,29,0)</f>
        <v>145</v>
      </c>
      <c r="W159" s="171" t="str">
        <f>VLOOKUP(A159,'[1]Final-Short'!$B:$AE,30,0)</f>
        <v>شركة قصر البلاستيك للتجارة</v>
      </c>
      <c r="X159" s="58">
        <f t="shared" si="22"/>
        <v>145</v>
      </c>
      <c r="Y159" s="58">
        <f t="shared" si="23"/>
        <v>2175</v>
      </c>
    </row>
    <row r="160" spans="1:25" x14ac:dyDescent="0.25">
      <c r="A160" s="36" t="s">
        <v>964</v>
      </c>
      <c r="B160" s="171" t="s">
        <v>965</v>
      </c>
      <c r="C160" s="171" t="s">
        <v>965</v>
      </c>
      <c r="D160" s="172" t="s">
        <v>5062</v>
      </c>
      <c r="E160" s="172" t="s">
        <v>5062</v>
      </c>
      <c r="F160" s="172" t="s">
        <v>1631</v>
      </c>
      <c r="G160" s="172" t="s">
        <v>5062</v>
      </c>
      <c r="H160" s="172" t="s">
        <v>1631</v>
      </c>
      <c r="I160" s="172" t="s">
        <v>5062</v>
      </c>
      <c r="J160" s="36">
        <v>4</v>
      </c>
      <c r="K160" s="58">
        <v>14700</v>
      </c>
      <c r="L160" s="58"/>
      <c r="M160" s="22">
        <f>IFERROR((VLOOKUP(A160,'Current Stocks July-26'!$B:$K,10,0)),0)</f>
        <v>8837</v>
      </c>
      <c r="N160" s="22">
        <f t="shared" si="16"/>
        <v>18.034693877551017</v>
      </c>
      <c r="O160" s="22" t="str">
        <f t="shared" si="17"/>
        <v>IN STOCK</v>
      </c>
      <c r="P160" s="22" t="str">
        <f t="shared" si="18"/>
        <v>FOLLOW UP DELIVERY</v>
      </c>
      <c r="Q160" s="58">
        <f t="shared" si="19"/>
        <v>4900</v>
      </c>
      <c r="R160" s="58">
        <f t="shared" si="20"/>
        <v>19600</v>
      </c>
      <c r="S160" s="58">
        <f t="shared" si="21"/>
        <v>10763</v>
      </c>
      <c r="T160" s="5">
        <v>7</v>
      </c>
      <c r="U160" s="5" t="s">
        <v>1669</v>
      </c>
      <c r="V160" s="173">
        <f>VLOOKUP(A160,'[1]Final-Short'!$B:$AE,29,0)</f>
        <v>3.7</v>
      </c>
      <c r="W160" s="171" t="str">
        <f>VLOOKUP(A160,'[1]Final-Short'!$B:$AE,30,0)</f>
        <v>Alshaya International Trading Co.</v>
      </c>
      <c r="X160" s="58">
        <f t="shared" si="22"/>
        <v>39823.1</v>
      </c>
      <c r="Y160" s="58">
        <f t="shared" si="23"/>
        <v>54390</v>
      </c>
    </row>
    <row r="161" spans="1:25" x14ac:dyDescent="0.25">
      <c r="A161" s="36" t="s">
        <v>1199</v>
      </c>
      <c r="B161" s="171" t="s">
        <v>1200</v>
      </c>
      <c r="C161" s="171" t="s">
        <v>1200</v>
      </c>
      <c r="D161" s="172" t="s">
        <v>5062</v>
      </c>
      <c r="E161" s="172" t="s">
        <v>5062</v>
      </c>
      <c r="F161" s="172" t="s">
        <v>1631</v>
      </c>
      <c r="G161" s="172" t="s">
        <v>1631</v>
      </c>
      <c r="H161" s="172" t="s">
        <v>1631</v>
      </c>
      <c r="I161" s="172" t="s">
        <v>1631</v>
      </c>
      <c r="J161" s="36">
        <v>2</v>
      </c>
      <c r="K161" s="58">
        <v>42</v>
      </c>
      <c r="L161" s="58"/>
      <c r="M161" s="22">
        <f>IFERROR((VLOOKUP(A161,'Current Stocks July-26'!$B:$K,10,0)),0)</f>
        <v>224</v>
      </c>
      <c r="N161" s="22">
        <f t="shared" si="16"/>
        <v>160</v>
      </c>
      <c r="O161" s="22" t="str">
        <f t="shared" si="17"/>
        <v>IN STOCK</v>
      </c>
      <c r="P161" s="22" t="str">
        <f t="shared" si="18"/>
        <v>FOLLOW UP DELIVERY</v>
      </c>
      <c r="Q161" s="58">
        <f t="shared" si="19"/>
        <v>14</v>
      </c>
      <c r="R161" s="58">
        <f t="shared" si="20"/>
        <v>56</v>
      </c>
      <c r="S161" s="58">
        <f t="shared" si="21"/>
        <v>0</v>
      </c>
      <c r="T161" s="5">
        <v>7</v>
      </c>
      <c r="U161" s="5" t="s">
        <v>1669</v>
      </c>
      <c r="V161" s="195">
        <f>VLOOKUP(A161,'[1]Final-Short'!$B:$AE,29,0)</f>
        <v>8.75</v>
      </c>
      <c r="W161" s="171" t="str">
        <f>VLOOKUP(A161,'[1]Final-Short'!$B:$AE,30,0)</f>
        <v>شركة بوابة المبدعون للتجارة</v>
      </c>
      <c r="X161" s="58">
        <f t="shared" si="22"/>
        <v>0</v>
      </c>
      <c r="Y161" s="58">
        <f t="shared" si="23"/>
        <v>367.5</v>
      </c>
    </row>
    <row r="162" spans="1:25" x14ac:dyDescent="0.25">
      <c r="A162" s="36" t="s">
        <v>261</v>
      </c>
      <c r="B162" s="171" t="s">
        <v>262</v>
      </c>
      <c r="C162" s="171" t="s">
        <v>262</v>
      </c>
      <c r="D162" s="172" t="s">
        <v>5062</v>
      </c>
      <c r="E162" s="172" t="s">
        <v>1631</v>
      </c>
      <c r="F162" s="172" t="s">
        <v>1631</v>
      </c>
      <c r="G162" s="172" t="s">
        <v>1631</v>
      </c>
      <c r="H162" s="172" t="s">
        <v>1631</v>
      </c>
      <c r="I162" s="172" t="s">
        <v>1631</v>
      </c>
      <c r="J162" s="36">
        <v>1</v>
      </c>
      <c r="K162" s="58">
        <v>15</v>
      </c>
      <c r="L162" s="58"/>
      <c r="M162" s="22">
        <f>IFERROR((VLOOKUP(A162,'Current Stocks July-26'!$B:$K,10,0)),0)</f>
        <v>0</v>
      </c>
      <c r="N162" s="22">
        <f t="shared" si="16"/>
        <v>0</v>
      </c>
      <c r="O162" s="22" t="str">
        <f t="shared" si="17"/>
        <v>ORDER NOW</v>
      </c>
      <c r="P162" s="22" t="str">
        <f t="shared" si="18"/>
        <v>CRITICAL</v>
      </c>
      <c r="Q162" s="58">
        <f t="shared" si="19"/>
        <v>5</v>
      </c>
      <c r="R162" s="58">
        <f t="shared" si="20"/>
        <v>20</v>
      </c>
      <c r="S162" s="58">
        <f t="shared" si="21"/>
        <v>20</v>
      </c>
      <c r="T162" s="5">
        <v>7</v>
      </c>
      <c r="U162" s="5" t="s">
        <v>1729</v>
      </c>
      <c r="V162" s="173">
        <f>VLOOKUP(A162,'[1]Final-Short'!$B:$AE,29,0)</f>
        <v>0</v>
      </c>
      <c r="W162" s="181"/>
      <c r="X162" s="58">
        <f t="shared" si="22"/>
        <v>0</v>
      </c>
      <c r="Y162" s="58">
        <f t="shared" si="23"/>
        <v>0</v>
      </c>
    </row>
    <row r="163" spans="1:25" x14ac:dyDescent="0.25">
      <c r="A163" s="36" t="s">
        <v>1413</v>
      </c>
      <c r="B163" s="171" t="s">
        <v>1414</v>
      </c>
      <c r="C163" s="171" t="s">
        <v>1414</v>
      </c>
      <c r="D163" s="172" t="s">
        <v>5062</v>
      </c>
      <c r="E163" s="172" t="s">
        <v>1631</v>
      </c>
      <c r="F163" s="172" t="s">
        <v>1631</v>
      </c>
      <c r="G163" s="172" t="s">
        <v>5062</v>
      </c>
      <c r="H163" s="172" t="s">
        <v>1631</v>
      </c>
      <c r="I163" s="172" t="s">
        <v>1631</v>
      </c>
      <c r="J163" s="36">
        <v>2</v>
      </c>
      <c r="K163" s="58">
        <v>25</v>
      </c>
      <c r="L163" s="180" t="s">
        <v>1701</v>
      </c>
      <c r="M163" s="22">
        <f>IFERROR((VLOOKUP(A163,'Current Stocks July-26'!$B:$K,10,0)),0)</f>
        <v>0</v>
      </c>
      <c r="N163" s="22">
        <f t="shared" si="16"/>
        <v>0</v>
      </c>
      <c r="O163" s="22" t="str">
        <f t="shared" si="17"/>
        <v>ORDER NOW</v>
      </c>
      <c r="P163" s="22" t="str">
        <f t="shared" si="18"/>
        <v>CRITICAL</v>
      </c>
      <c r="Q163" s="58">
        <f t="shared" si="19"/>
        <v>8.3333333333333321</v>
      </c>
      <c r="R163" s="58">
        <f t="shared" si="20"/>
        <v>33.333333333333329</v>
      </c>
      <c r="S163" s="58">
        <f t="shared" si="21"/>
        <v>33.333333333333329</v>
      </c>
      <c r="T163" s="5">
        <v>7</v>
      </c>
      <c r="U163" s="5" t="s">
        <v>30</v>
      </c>
      <c r="V163" s="173">
        <f>VLOOKUP(A163,'[1]Final-Short'!$B:$AE,29,0)</f>
        <v>10.5</v>
      </c>
      <c r="W163" s="171" t="s">
        <v>1752</v>
      </c>
      <c r="X163" s="58">
        <f t="shared" si="22"/>
        <v>349.99999999999994</v>
      </c>
      <c r="Y163" s="58">
        <f t="shared" si="23"/>
        <v>262.5</v>
      </c>
    </row>
    <row r="164" spans="1:25" x14ac:dyDescent="0.25">
      <c r="A164" s="36" t="s">
        <v>1044</v>
      </c>
      <c r="B164" s="171" t="s">
        <v>1753</v>
      </c>
      <c r="C164" s="171" t="s">
        <v>1753</v>
      </c>
      <c r="D164" s="172" t="s">
        <v>5062</v>
      </c>
      <c r="E164" s="172" t="s">
        <v>5062</v>
      </c>
      <c r="F164" s="172" t="s">
        <v>1631</v>
      </c>
      <c r="G164" s="172" t="s">
        <v>5062</v>
      </c>
      <c r="H164" s="172" t="s">
        <v>1631</v>
      </c>
      <c r="I164" s="172" t="s">
        <v>5062</v>
      </c>
      <c r="J164" s="36">
        <v>4</v>
      </c>
      <c r="K164" s="58">
        <v>45000</v>
      </c>
      <c r="L164" s="58"/>
      <c r="M164" s="22">
        <f>IFERROR((VLOOKUP(A164,'Current Stocks July-26'!$B:$K,10,0)),0)</f>
        <v>390</v>
      </c>
      <c r="N164" s="22">
        <f t="shared" si="16"/>
        <v>0.26</v>
      </c>
      <c r="O164" s="22" t="str">
        <f t="shared" si="17"/>
        <v>ORDER NOW</v>
      </c>
      <c r="P164" s="22" t="str">
        <f t="shared" si="18"/>
        <v>CRITICAL</v>
      </c>
      <c r="Q164" s="58">
        <f t="shared" si="19"/>
        <v>15000</v>
      </c>
      <c r="R164" s="58">
        <f t="shared" si="20"/>
        <v>60000</v>
      </c>
      <c r="S164" s="58">
        <f t="shared" si="21"/>
        <v>59610</v>
      </c>
      <c r="T164" s="5">
        <v>7</v>
      </c>
      <c r="U164" s="5" t="s">
        <v>30</v>
      </c>
      <c r="V164" s="173">
        <f>VLOOKUP(A164,'[1]Final-Short'!$B:$AE,29,0)</f>
        <v>3.5000000000000003E-2</v>
      </c>
      <c r="W164" s="171" t="s">
        <v>1754</v>
      </c>
      <c r="X164" s="58">
        <f t="shared" si="22"/>
        <v>2086.3500000000004</v>
      </c>
      <c r="Y164" s="58">
        <f t="shared" si="23"/>
        <v>1575.0000000000002</v>
      </c>
    </row>
    <row r="165" spans="1:25" x14ac:dyDescent="0.25">
      <c r="A165" s="36" t="s">
        <v>1039</v>
      </c>
      <c r="B165" s="171" t="s">
        <v>1040</v>
      </c>
      <c r="C165" s="171" t="s">
        <v>1040</v>
      </c>
      <c r="D165" s="172" t="s">
        <v>5062</v>
      </c>
      <c r="E165" s="172" t="s">
        <v>5062</v>
      </c>
      <c r="F165" s="172" t="s">
        <v>1631</v>
      </c>
      <c r="G165" s="172" t="s">
        <v>1631</v>
      </c>
      <c r="H165" s="172" t="s">
        <v>1631</v>
      </c>
      <c r="I165" s="172" t="s">
        <v>5062</v>
      </c>
      <c r="J165" s="36">
        <v>3</v>
      </c>
      <c r="K165" s="58">
        <v>60000</v>
      </c>
      <c r="L165" s="58"/>
      <c r="M165" s="22">
        <f>IFERROR((VLOOKUP(A165,'Current Stocks July-26'!$B:$K,10,0)),0)</f>
        <v>50400</v>
      </c>
      <c r="N165" s="22">
        <f t="shared" si="16"/>
        <v>25.2</v>
      </c>
      <c r="O165" s="22" t="str">
        <f t="shared" si="17"/>
        <v>IN STOCK</v>
      </c>
      <c r="P165" s="22" t="str">
        <f t="shared" si="18"/>
        <v>FOLLOW UP DELIVERY</v>
      </c>
      <c r="Q165" s="58">
        <f t="shared" si="19"/>
        <v>20000</v>
      </c>
      <c r="R165" s="58">
        <f t="shared" si="20"/>
        <v>80000</v>
      </c>
      <c r="S165" s="58">
        <f t="shared" si="21"/>
        <v>29600</v>
      </c>
      <c r="T165" s="5">
        <v>7</v>
      </c>
      <c r="U165" s="5" t="s">
        <v>30</v>
      </c>
      <c r="V165" s="173">
        <f>VLOOKUP(A165,'[1]Final-Short'!$B:$AE,29,0)</f>
        <v>0.13500000000000001</v>
      </c>
      <c r="W165" s="171" t="s">
        <v>1755</v>
      </c>
      <c r="X165" s="58">
        <f t="shared" si="22"/>
        <v>3996.0000000000005</v>
      </c>
      <c r="Y165" s="58">
        <f t="shared" si="23"/>
        <v>8100.0000000000009</v>
      </c>
    </row>
    <row r="166" spans="1:25" x14ac:dyDescent="0.25">
      <c r="A166" s="36" t="s">
        <v>767</v>
      </c>
      <c r="B166" s="171" t="s">
        <v>1756</v>
      </c>
      <c r="C166" s="171" t="s">
        <v>1756</v>
      </c>
      <c r="D166" s="172" t="s">
        <v>5062</v>
      </c>
      <c r="E166" s="172" t="s">
        <v>5062</v>
      </c>
      <c r="F166" s="172" t="s">
        <v>1631</v>
      </c>
      <c r="G166" s="172" t="s">
        <v>5062</v>
      </c>
      <c r="H166" s="172" t="s">
        <v>1631</v>
      </c>
      <c r="I166" s="172" t="s">
        <v>5062</v>
      </c>
      <c r="J166" s="36">
        <v>4</v>
      </c>
      <c r="K166" s="58">
        <v>500000</v>
      </c>
      <c r="L166" s="58"/>
      <c r="M166" s="22">
        <f>IFERROR((VLOOKUP(A166,'Current Stocks July-26'!$B:$K,10,0)),0)</f>
        <v>2429</v>
      </c>
      <c r="N166" s="22">
        <f t="shared" si="16"/>
        <v>0.14574000000000001</v>
      </c>
      <c r="O166" s="22" t="str">
        <f t="shared" si="17"/>
        <v>ORDER NOW</v>
      </c>
      <c r="P166" s="22" t="str">
        <f t="shared" si="18"/>
        <v>CRITICAL</v>
      </c>
      <c r="Q166" s="58">
        <f t="shared" si="19"/>
        <v>166666.66666666666</v>
      </c>
      <c r="R166" s="58">
        <f t="shared" si="20"/>
        <v>666666.66666666663</v>
      </c>
      <c r="S166" s="58">
        <f t="shared" si="21"/>
        <v>664237.66666666663</v>
      </c>
      <c r="T166" s="5">
        <v>7</v>
      </c>
      <c r="U166" s="5" t="s">
        <v>1669</v>
      </c>
      <c r="V166" s="173">
        <f>VLOOKUP(A166,'[1]Final-Short'!$B:$AE,29,0)</f>
        <v>7.2999999999999995E-2</v>
      </c>
      <c r="W166" s="171" t="s">
        <v>1754</v>
      </c>
      <c r="X166" s="58">
        <f t="shared" si="22"/>
        <v>48489.349666666662</v>
      </c>
      <c r="Y166" s="58">
        <f t="shared" si="23"/>
        <v>36500</v>
      </c>
    </row>
    <row r="167" spans="1:25" x14ac:dyDescent="0.25">
      <c r="A167" s="36" t="s">
        <v>709</v>
      </c>
      <c r="B167" s="171" t="s">
        <v>710</v>
      </c>
      <c r="C167" s="171" t="s">
        <v>710</v>
      </c>
      <c r="D167" s="172" t="s">
        <v>5062</v>
      </c>
      <c r="E167" s="172" t="s">
        <v>1631</v>
      </c>
      <c r="F167" s="172" t="s">
        <v>1631</v>
      </c>
      <c r="G167" s="172" t="s">
        <v>5062</v>
      </c>
      <c r="H167" s="172" t="s">
        <v>1631</v>
      </c>
      <c r="I167" s="172" t="s">
        <v>5062</v>
      </c>
      <c r="J167" s="36">
        <v>3</v>
      </c>
      <c r="K167" s="58">
        <v>19500</v>
      </c>
      <c r="L167" s="58"/>
      <c r="M167" s="22">
        <f>IFERROR((VLOOKUP(A167,'Current Stocks July-26'!$B:$K,10,0)),0)</f>
        <v>260</v>
      </c>
      <c r="N167" s="22">
        <f t="shared" si="16"/>
        <v>0.4</v>
      </c>
      <c r="O167" s="22" t="str">
        <f t="shared" si="17"/>
        <v>ORDER NOW</v>
      </c>
      <c r="P167" s="22" t="str">
        <f t="shared" si="18"/>
        <v>CRITICAL</v>
      </c>
      <c r="Q167" s="58">
        <f t="shared" si="19"/>
        <v>6500</v>
      </c>
      <c r="R167" s="58">
        <f t="shared" si="20"/>
        <v>26000</v>
      </c>
      <c r="S167" s="58">
        <f t="shared" si="21"/>
        <v>25740</v>
      </c>
      <c r="T167" s="5">
        <v>7</v>
      </c>
      <c r="U167" s="5" t="s">
        <v>1669</v>
      </c>
      <c r="V167" s="173">
        <f>VLOOKUP(A167,'[1]Final-Short'!$B:$AE,29,0)</f>
        <v>3.9E-2</v>
      </c>
      <c r="W167" s="171" t="s">
        <v>1757</v>
      </c>
      <c r="X167" s="58">
        <f t="shared" si="22"/>
        <v>1003.86</v>
      </c>
      <c r="Y167" s="58">
        <f t="shared" si="23"/>
        <v>760.5</v>
      </c>
    </row>
    <row r="168" spans="1:25" x14ac:dyDescent="0.25">
      <c r="A168" s="36" t="s">
        <v>1193</v>
      </c>
      <c r="B168" s="171" t="s">
        <v>1194</v>
      </c>
      <c r="C168" s="171" t="s">
        <v>1194</v>
      </c>
      <c r="D168" s="172" t="s">
        <v>5062</v>
      </c>
      <c r="E168" s="172" t="s">
        <v>5062</v>
      </c>
      <c r="F168" s="172" t="s">
        <v>1631</v>
      </c>
      <c r="G168" s="172" t="s">
        <v>5062</v>
      </c>
      <c r="H168" s="172" t="s">
        <v>1631</v>
      </c>
      <c r="I168" s="172" t="s">
        <v>5062</v>
      </c>
      <c r="J168" s="36">
        <v>4</v>
      </c>
      <c r="K168" s="58">
        <v>92000</v>
      </c>
      <c r="L168" s="58"/>
      <c r="M168" s="22">
        <f>IFERROR((VLOOKUP(A168,'Current Stocks July-26'!$B:$K,10,0)),0)</f>
        <v>4410</v>
      </c>
      <c r="N168" s="22">
        <f t="shared" si="16"/>
        <v>1.4380434782608695</v>
      </c>
      <c r="O168" s="22" t="str">
        <f t="shared" si="17"/>
        <v>ORDER NOW</v>
      </c>
      <c r="P168" s="22" t="str">
        <f t="shared" si="18"/>
        <v>CRITICAL</v>
      </c>
      <c r="Q168" s="58">
        <f t="shared" si="19"/>
        <v>30666.666666666664</v>
      </c>
      <c r="R168" s="58">
        <f t="shared" si="20"/>
        <v>122666.66666666666</v>
      </c>
      <c r="S168" s="58">
        <f t="shared" si="21"/>
        <v>118256.66666666666</v>
      </c>
      <c r="T168" s="5">
        <v>7</v>
      </c>
      <c r="U168" s="5" t="s">
        <v>30</v>
      </c>
      <c r="V168" s="173">
        <f>VLOOKUP(A168,'[1]Final-Short'!$B:$AE,29,0)</f>
        <v>4.4999999999999998E-2</v>
      </c>
      <c r="W168" s="171" t="s">
        <v>1754</v>
      </c>
      <c r="X168" s="58">
        <f t="shared" si="22"/>
        <v>5321.5499999999993</v>
      </c>
      <c r="Y168" s="58">
        <f t="shared" si="23"/>
        <v>4140</v>
      </c>
    </row>
    <row r="169" spans="1:25" x14ac:dyDescent="0.25">
      <c r="A169" s="36" t="s">
        <v>969</v>
      </c>
      <c r="B169" s="171" t="s">
        <v>970</v>
      </c>
      <c r="C169" s="171" t="s">
        <v>970</v>
      </c>
      <c r="D169" s="172" t="s">
        <v>5062</v>
      </c>
      <c r="E169" s="172" t="s">
        <v>5062</v>
      </c>
      <c r="F169" s="172" t="s">
        <v>1631</v>
      </c>
      <c r="G169" s="172" t="s">
        <v>1631</v>
      </c>
      <c r="H169" s="172" t="s">
        <v>1631</v>
      </c>
      <c r="I169" s="172" t="s">
        <v>1631</v>
      </c>
      <c r="J169" s="36">
        <v>2</v>
      </c>
      <c r="K169" s="58">
        <v>3800</v>
      </c>
      <c r="L169" s="58"/>
      <c r="M169" s="22">
        <f>IFERROR((VLOOKUP(A169,'Current Stocks July-26'!$B:$K,10,0)),0)</f>
        <v>140</v>
      </c>
      <c r="N169" s="22">
        <f t="shared" si="16"/>
        <v>1.1052631578947367</v>
      </c>
      <c r="O169" s="22" t="str">
        <f t="shared" si="17"/>
        <v>ORDER NOW</v>
      </c>
      <c r="P169" s="22" t="str">
        <f t="shared" si="18"/>
        <v>CRITICAL</v>
      </c>
      <c r="Q169" s="58">
        <f t="shared" si="19"/>
        <v>1266.6666666666665</v>
      </c>
      <c r="R169" s="58">
        <f t="shared" si="20"/>
        <v>5066.6666666666661</v>
      </c>
      <c r="S169" s="58">
        <f t="shared" si="21"/>
        <v>4926.6666666666661</v>
      </c>
      <c r="T169" s="5">
        <v>7</v>
      </c>
      <c r="U169" s="5" t="s">
        <v>1669</v>
      </c>
      <c r="V169" s="173">
        <f>VLOOKUP(A169,'[1]Final-Short'!$B:$AE,29,0)</f>
        <v>8.2500000000000004E-2</v>
      </c>
      <c r="W169" s="171" t="s">
        <v>1758</v>
      </c>
      <c r="X169" s="58">
        <f t="shared" si="22"/>
        <v>406.45</v>
      </c>
      <c r="Y169" s="58">
        <f t="shared" si="23"/>
        <v>313.5</v>
      </c>
    </row>
    <row r="170" spans="1:25" x14ac:dyDescent="0.25">
      <c r="A170" s="36" t="s">
        <v>266</v>
      </c>
      <c r="B170" s="171" t="s">
        <v>267</v>
      </c>
      <c r="C170" s="171" t="s">
        <v>267</v>
      </c>
      <c r="D170" s="172" t="s">
        <v>5062</v>
      </c>
      <c r="E170" s="172" t="s">
        <v>5062</v>
      </c>
      <c r="F170" s="172" t="s">
        <v>1631</v>
      </c>
      <c r="G170" s="172" t="s">
        <v>1631</v>
      </c>
      <c r="H170" s="172" t="s">
        <v>1631</v>
      </c>
      <c r="I170" s="172" t="s">
        <v>1631</v>
      </c>
      <c r="J170" s="36">
        <v>2</v>
      </c>
      <c r="K170" s="58">
        <v>500</v>
      </c>
      <c r="L170" s="58"/>
      <c r="M170" s="22">
        <f>IFERROR((VLOOKUP(A170,'Current Stocks July-26'!$B:$K,10,0)),0)</f>
        <v>0</v>
      </c>
      <c r="N170" s="22">
        <f t="shared" si="16"/>
        <v>0</v>
      </c>
      <c r="O170" s="22" t="str">
        <f t="shared" si="17"/>
        <v>ORDER NOW</v>
      </c>
      <c r="P170" s="22" t="str">
        <f t="shared" si="18"/>
        <v>CRITICAL</v>
      </c>
      <c r="Q170" s="58">
        <f t="shared" si="19"/>
        <v>166.66666666666666</v>
      </c>
      <c r="R170" s="58">
        <f t="shared" si="20"/>
        <v>666.66666666666663</v>
      </c>
      <c r="S170" s="58">
        <f t="shared" si="21"/>
        <v>666.66666666666663</v>
      </c>
      <c r="T170" s="5">
        <v>7</v>
      </c>
      <c r="U170" s="5" t="s">
        <v>1669</v>
      </c>
      <c r="V170" s="173">
        <f>VLOOKUP(A170,'[1]Final-Short'!$B:$AE,29,0)</f>
        <v>70</v>
      </c>
      <c r="W170" s="171" t="s">
        <v>1759</v>
      </c>
      <c r="X170" s="58">
        <f t="shared" si="22"/>
        <v>46666.666666666664</v>
      </c>
      <c r="Y170" s="58">
        <f t="shared" si="23"/>
        <v>35000</v>
      </c>
    </row>
    <row r="171" spans="1:25" x14ac:dyDescent="0.25">
      <c r="A171" s="36" t="s">
        <v>71</v>
      </c>
      <c r="B171" s="171" t="s">
        <v>1760</v>
      </c>
      <c r="C171" s="171" t="s">
        <v>72</v>
      </c>
      <c r="D171" s="172" t="s">
        <v>5062</v>
      </c>
      <c r="E171" s="172" t="s">
        <v>1631</v>
      </c>
      <c r="F171" s="172" t="s">
        <v>1631</v>
      </c>
      <c r="G171" s="172" t="s">
        <v>1631</v>
      </c>
      <c r="H171" s="172" t="s">
        <v>1631</v>
      </c>
      <c r="I171" s="172" t="s">
        <v>1631</v>
      </c>
      <c r="J171" s="36">
        <v>1</v>
      </c>
      <c r="K171" s="180">
        <v>100</v>
      </c>
      <c r="L171" s="180"/>
      <c r="M171" s="22">
        <f>IFERROR((VLOOKUP(A171,'Current Stocks July-26'!$B:$K,10,0)),0)</f>
        <v>1692</v>
      </c>
      <c r="N171" s="22">
        <f t="shared" si="16"/>
        <v>507.6</v>
      </c>
      <c r="O171" s="22" t="str">
        <f t="shared" si="17"/>
        <v>IN STOCK</v>
      </c>
      <c r="P171" s="22" t="str">
        <f t="shared" si="18"/>
        <v>FOLLOW UP DELIVERY</v>
      </c>
      <c r="Q171" s="58">
        <f t="shared" si="19"/>
        <v>33.333333333333329</v>
      </c>
      <c r="R171" s="58">
        <f t="shared" si="20"/>
        <v>133.33333333333331</v>
      </c>
      <c r="S171" s="58">
        <f t="shared" si="21"/>
        <v>0</v>
      </c>
      <c r="T171" s="5">
        <v>7</v>
      </c>
      <c r="U171" s="5" t="s">
        <v>1729</v>
      </c>
      <c r="V171" s="173">
        <f>VLOOKUP(A171,'[1]Final-Short'!$B:$AE,29,0)</f>
        <v>0.66635</v>
      </c>
      <c r="W171" s="171" t="s">
        <v>1761</v>
      </c>
      <c r="X171" s="58">
        <f t="shared" si="22"/>
        <v>0</v>
      </c>
      <c r="Y171" s="58">
        <f t="shared" si="23"/>
        <v>66.635000000000005</v>
      </c>
    </row>
    <row r="172" spans="1:25" x14ac:dyDescent="0.25">
      <c r="A172" s="36" t="s">
        <v>1124</v>
      </c>
      <c r="B172" s="171" t="s">
        <v>1762</v>
      </c>
      <c r="C172" s="171" t="s">
        <v>1125</v>
      </c>
      <c r="D172" s="172" t="s">
        <v>5062</v>
      </c>
      <c r="E172" s="172" t="s">
        <v>5062</v>
      </c>
      <c r="F172" s="172" t="s">
        <v>1631</v>
      </c>
      <c r="G172" s="172" t="s">
        <v>1631</v>
      </c>
      <c r="H172" s="172" t="s">
        <v>1631</v>
      </c>
      <c r="I172" s="172" t="s">
        <v>1631</v>
      </c>
      <c r="J172" s="36">
        <v>2</v>
      </c>
      <c r="K172" s="180">
        <v>1</v>
      </c>
      <c r="L172" s="180"/>
      <c r="M172" s="22">
        <f>IFERROR((VLOOKUP(A172,'Current Stocks July-26'!$B:$K,10,0)),0)</f>
        <v>0</v>
      </c>
      <c r="N172" s="22">
        <f t="shared" si="16"/>
        <v>0</v>
      </c>
      <c r="O172" s="22" t="str">
        <f t="shared" si="17"/>
        <v>ORDER NOW</v>
      </c>
      <c r="P172" s="22" t="str">
        <f t="shared" si="18"/>
        <v>CRITICAL</v>
      </c>
      <c r="Q172" s="58">
        <f t="shared" si="19"/>
        <v>0.33333333333333331</v>
      </c>
      <c r="R172" s="58">
        <f t="shared" si="20"/>
        <v>1.3333333333333333</v>
      </c>
      <c r="S172" s="58">
        <f t="shared" si="21"/>
        <v>1.3333333333333333</v>
      </c>
      <c r="T172" s="5">
        <v>7</v>
      </c>
      <c r="U172" s="5" t="s">
        <v>1729</v>
      </c>
      <c r="V172" s="173">
        <f>VLOOKUP(A172,'[1]Final-Short'!$B:$AE,29,0)</f>
        <v>65</v>
      </c>
      <c r="W172" s="171" t="s">
        <v>1763</v>
      </c>
      <c r="X172" s="58">
        <f t="shared" si="22"/>
        <v>86.666666666666657</v>
      </c>
      <c r="Y172" s="58">
        <f t="shared" si="23"/>
        <v>65</v>
      </c>
    </row>
    <row r="173" spans="1:25" x14ac:dyDescent="0.25">
      <c r="A173" s="36" t="s">
        <v>283</v>
      </c>
      <c r="B173" s="171" t="s">
        <v>284</v>
      </c>
      <c r="C173" s="171" t="s">
        <v>284</v>
      </c>
      <c r="D173" s="172" t="s">
        <v>5062</v>
      </c>
      <c r="E173" s="172" t="s">
        <v>5062</v>
      </c>
      <c r="F173" s="172" t="s">
        <v>1631</v>
      </c>
      <c r="G173" s="172" t="s">
        <v>1631</v>
      </c>
      <c r="H173" s="172" t="s">
        <v>1631</v>
      </c>
      <c r="I173" s="172" t="s">
        <v>1631</v>
      </c>
      <c r="J173" s="36">
        <v>2</v>
      </c>
      <c r="K173" s="180">
        <v>350</v>
      </c>
      <c r="L173" s="180"/>
      <c r="M173" s="22">
        <f>IFERROR((VLOOKUP(A173,'Current Stocks July-26'!$B:$K,10,0)),0)</f>
        <v>0</v>
      </c>
      <c r="N173" s="22">
        <f t="shared" si="16"/>
        <v>0</v>
      </c>
      <c r="O173" s="22" t="str">
        <f t="shared" si="17"/>
        <v>ORDER NOW</v>
      </c>
      <c r="P173" s="22" t="str">
        <f t="shared" si="18"/>
        <v>CRITICAL</v>
      </c>
      <c r="Q173" s="58">
        <f t="shared" si="19"/>
        <v>116.66666666666666</v>
      </c>
      <c r="R173" s="58">
        <f t="shared" si="20"/>
        <v>466.66666666666663</v>
      </c>
      <c r="S173" s="58">
        <f t="shared" si="21"/>
        <v>466.66666666666663</v>
      </c>
      <c r="T173" s="5">
        <v>7</v>
      </c>
      <c r="U173" s="5" t="s">
        <v>30</v>
      </c>
      <c r="V173" s="173">
        <f>VLOOKUP(A173,'[1]Final-Short'!$B:$AE,29,0)</f>
        <v>5</v>
      </c>
      <c r="W173" s="171" t="s">
        <v>1764</v>
      </c>
      <c r="X173" s="58">
        <f t="shared" si="22"/>
        <v>2333.333333333333</v>
      </c>
      <c r="Y173" s="58">
        <f t="shared" si="23"/>
        <v>1750</v>
      </c>
    </row>
    <row r="174" spans="1:25" x14ac:dyDescent="0.25">
      <c r="A174" s="36" t="s">
        <v>671</v>
      </c>
      <c r="B174" s="171" t="s">
        <v>1765</v>
      </c>
      <c r="C174" s="171" t="s">
        <v>672</v>
      </c>
      <c r="D174" s="172" t="s">
        <v>5062</v>
      </c>
      <c r="E174" s="172" t="s">
        <v>5062</v>
      </c>
      <c r="F174" s="172" t="s">
        <v>1631</v>
      </c>
      <c r="G174" s="172" t="s">
        <v>1631</v>
      </c>
      <c r="H174" s="172" t="s">
        <v>1631</v>
      </c>
      <c r="I174" s="172" t="s">
        <v>1631</v>
      </c>
      <c r="J174" s="36">
        <v>2</v>
      </c>
      <c r="K174" s="180">
        <v>30</v>
      </c>
      <c r="L174" s="180"/>
      <c r="M174" s="22">
        <f>IFERROR((VLOOKUP(A174,'Current Stocks July-26'!$B:$K,10,0)),0)</f>
        <v>0</v>
      </c>
      <c r="N174" s="22">
        <f t="shared" si="16"/>
        <v>0</v>
      </c>
      <c r="O174" s="22" t="str">
        <f t="shared" si="17"/>
        <v>ORDER NOW</v>
      </c>
      <c r="P174" s="22" t="str">
        <f t="shared" si="18"/>
        <v>CRITICAL</v>
      </c>
      <c r="Q174" s="58">
        <f t="shared" si="19"/>
        <v>10</v>
      </c>
      <c r="R174" s="58">
        <f t="shared" si="20"/>
        <v>40</v>
      </c>
      <c r="S174" s="58">
        <f t="shared" si="21"/>
        <v>40</v>
      </c>
      <c r="T174" s="5">
        <v>7</v>
      </c>
      <c r="U174" s="5" t="s">
        <v>30</v>
      </c>
      <c r="V174" s="173">
        <f>VLOOKUP(A174,'[1]Final-Short'!$B:$AE,29,0)</f>
        <v>90</v>
      </c>
      <c r="W174" s="171" t="s">
        <v>1766</v>
      </c>
      <c r="X174" s="58">
        <f t="shared" si="22"/>
        <v>3600</v>
      </c>
      <c r="Y174" s="58">
        <f t="shared" si="23"/>
        <v>2700</v>
      </c>
    </row>
    <row r="175" spans="1:25" x14ac:dyDescent="0.25">
      <c r="A175" s="36" t="s">
        <v>1426</v>
      </c>
      <c r="B175" s="171" t="s">
        <v>1427</v>
      </c>
      <c r="C175" s="171" t="s">
        <v>1427</v>
      </c>
      <c r="D175" s="172" t="s">
        <v>5062</v>
      </c>
      <c r="E175" s="172" t="s">
        <v>5062</v>
      </c>
      <c r="F175" s="172" t="s">
        <v>1631</v>
      </c>
      <c r="G175" s="172" t="s">
        <v>1631</v>
      </c>
      <c r="H175" s="172" t="s">
        <v>1631</v>
      </c>
      <c r="I175" s="172" t="s">
        <v>1631</v>
      </c>
      <c r="J175" s="36">
        <v>2</v>
      </c>
      <c r="K175" s="180">
        <v>6</v>
      </c>
      <c r="L175" s="180"/>
      <c r="M175" s="22">
        <f>IFERROR((VLOOKUP(A175,'Current Stocks July-26'!$B:$K,10,0)),0)</f>
        <v>11</v>
      </c>
      <c r="N175" s="22">
        <f t="shared" si="16"/>
        <v>55</v>
      </c>
      <c r="O175" s="22" t="str">
        <f t="shared" si="17"/>
        <v>IN STOCK</v>
      </c>
      <c r="P175" s="22" t="str">
        <f t="shared" si="18"/>
        <v>FOLLOW UP DELIVERY</v>
      </c>
      <c r="Q175" s="58">
        <f t="shared" si="19"/>
        <v>2</v>
      </c>
      <c r="R175" s="58">
        <f t="shared" si="20"/>
        <v>8</v>
      </c>
      <c r="S175" s="58">
        <f t="shared" si="21"/>
        <v>0</v>
      </c>
      <c r="T175" s="5">
        <v>7</v>
      </c>
      <c r="U175" s="5" t="s">
        <v>30</v>
      </c>
      <c r="V175" s="173">
        <f>VLOOKUP(A175,'[1]Final-Short'!$B:$AE,29,0)</f>
        <v>190</v>
      </c>
      <c r="W175" s="171" t="s">
        <v>1718</v>
      </c>
      <c r="X175" s="58">
        <f t="shared" si="22"/>
        <v>0</v>
      </c>
      <c r="Y175" s="58">
        <f t="shared" si="23"/>
        <v>1140</v>
      </c>
    </row>
    <row r="176" spans="1:25" x14ac:dyDescent="0.25">
      <c r="A176" s="36" t="s">
        <v>285</v>
      </c>
      <c r="B176" s="171" t="s">
        <v>286</v>
      </c>
      <c r="C176" s="171" t="s">
        <v>286</v>
      </c>
      <c r="D176" s="172" t="s">
        <v>5062</v>
      </c>
      <c r="E176" s="172" t="s">
        <v>5062</v>
      </c>
      <c r="F176" s="172" t="s">
        <v>1631</v>
      </c>
      <c r="G176" s="172" t="s">
        <v>1631</v>
      </c>
      <c r="H176" s="172" t="s">
        <v>1631</v>
      </c>
      <c r="I176" s="172" t="s">
        <v>1631</v>
      </c>
      <c r="J176" s="36">
        <v>2</v>
      </c>
      <c r="K176" s="180">
        <v>20</v>
      </c>
      <c r="L176" s="180"/>
      <c r="M176" s="22">
        <f>IFERROR((VLOOKUP(A176,'Current Stocks July-26'!$B:$K,10,0)),0)</f>
        <v>0</v>
      </c>
      <c r="N176" s="22">
        <f t="shared" si="16"/>
        <v>0</v>
      </c>
      <c r="O176" s="22" t="str">
        <f t="shared" si="17"/>
        <v>ORDER NOW</v>
      </c>
      <c r="P176" s="22" t="str">
        <f t="shared" si="18"/>
        <v>CRITICAL</v>
      </c>
      <c r="Q176" s="58">
        <f t="shared" si="19"/>
        <v>6.6666666666666661</v>
      </c>
      <c r="R176" s="58">
        <f t="shared" si="20"/>
        <v>26.666666666666664</v>
      </c>
      <c r="S176" s="58">
        <f t="shared" si="21"/>
        <v>26.666666666666664</v>
      </c>
      <c r="T176" s="5">
        <v>7</v>
      </c>
      <c r="U176" s="5" t="s">
        <v>30</v>
      </c>
      <c r="V176" s="173">
        <f>VLOOKUP(A176,'[1]Final-Short'!$B:$AE,29,0)</f>
        <v>20</v>
      </c>
      <c r="W176" s="171" t="s">
        <v>1764</v>
      </c>
      <c r="X176" s="58">
        <f t="shared" si="22"/>
        <v>533.33333333333326</v>
      </c>
      <c r="Y176" s="58">
        <f t="shared" si="23"/>
        <v>400</v>
      </c>
    </row>
    <row r="177" spans="1:25" x14ac:dyDescent="0.25">
      <c r="A177" s="36" t="s">
        <v>831</v>
      </c>
      <c r="B177" s="171" t="s">
        <v>832</v>
      </c>
      <c r="C177" s="171" t="s">
        <v>832</v>
      </c>
      <c r="D177" s="172" t="s">
        <v>5062</v>
      </c>
      <c r="E177" s="172" t="s">
        <v>5062</v>
      </c>
      <c r="F177" s="172" t="s">
        <v>1631</v>
      </c>
      <c r="G177" s="172" t="s">
        <v>5062</v>
      </c>
      <c r="H177" s="172" t="s">
        <v>1631</v>
      </c>
      <c r="I177" s="172" t="s">
        <v>1631</v>
      </c>
      <c r="J177" s="36">
        <v>3</v>
      </c>
      <c r="K177" s="180">
        <v>20</v>
      </c>
      <c r="L177" s="180"/>
      <c r="M177" s="22">
        <f>IFERROR((VLOOKUP(A177,'Current Stocks July-26'!$B:$K,10,0)),0)</f>
        <v>16</v>
      </c>
      <c r="N177" s="22">
        <f t="shared" si="16"/>
        <v>24</v>
      </c>
      <c r="O177" s="22" t="str">
        <f t="shared" si="17"/>
        <v>IN STOCK</v>
      </c>
      <c r="P177" s="22" t="str">
        <f t="shared" si="18"/>
        <v>FOLLOW UP DELIVERY</v>
      </c>
      <c r="Q177" s="58">
        <f t="shared" si="19"/>
        <v>6.6666666666666661</v>
      </c>
      <c r="R177" s="58">
        <f t="shared" si="20"/>
        <v>26.666666666666664</v>
      </c>
      <c r="S177" s="58">
        <f t="shared" si="21"/>
        <v>10.666666666666664</v>
      </c>
      <c r="T177" s="5">
        <v>7</v>
      </c>
      <c r="U177" s="5" t="s">
        <v>30</v>
      </c>
      <c r="V177" s="173">
        <f>VLOOKUP(A177,'[1]Final-Short'!$B:$AE,29,0)</f>
        <v>25</v>
      </c>
      <c r="W177" s="171" t="s">
        <v>1767</v>
      </c>
      <c r="X177" s="58">
        <f t="shared" si="22"/>
        <v>266.66666666666663</v>
      </c>
      <c r="Y177" s="58">
        <f t="shared" si="23"/>
        <v>500</v>
      </c>
    </row>
    <row r="178" spans="1:25" x14ac:dyDescent="0.25">
      <c r="A178" s="36" t="s">
        <v>950</v>
      </c>
      <c r="B178" s="171" t="s">
        <v>951</v>
      </c>
      <c r="C178" s="171" t="s">
        <v>951</v>
      </c>
      <c r="D178" s="172" t="s">
        <v>5062</v>
      </c>
      <c r="E178" s="172" t="s">
        <v>5062</v>
      </c>
      <c r="F178" s="172" t="s">
        <v>1631</v>
      </c>
      <c r="G178" s="172" t="s">
        <v>5062</v>
      </c>
      <c r="H178" s="172" t="s">
        <v>1631</v>
      </c>
      <c r="I178" s="172" t="s">
        <v>1631</v>
      </c>
      <c r="J178" s="36">
        <v>3</v>
      </c>
      <c r="K178" s="180">
        <v>800</v>
      </c>
      <c r="L178" s="180"/>
      <c r="M178" s="22">
        <f>IFERROR((VLOOKUP(A178,'Current Stocks July-26'!$B:$K,10,0)),0)</f>
        <v>0</v>
      </c>
      <c r="N178" s="22">
        <f t="shared" si="16"/>
        <v>0</v>
      </c>
      <c r="O178" s="22" t="str">
        <f t="shared" si="17"/>
        <v>ORDER NOW</v>
      </c>
      <c r="P178" s="22" t="str">
        <f t="shared" si="18"/>
        <v>CRITICAL</v>
      </c>
      <c r="Q178" s="58">
        <f t="shared" si="19"/>
        <v>266.66666666666663</v>
      </c>
      <c r="R178" s="58">
        <f t="shared" si="20"/>
        <v>1066.6666666666665</v>
      </c>
      <c r="S178" s="58">
        <f t="shared" si="21"/>
        <v>1066.6666666666665</v>
      </c>
      <c r="T178" s="5">
        <v>7</v>
      </c>
      <c r="U178" s="5" t="s">
        <v>30</v>
      </c>
      <c r="V178" s="173">
        <f>VLOOKUP(A178,'[1]Final-Short'!$B:$AE,29,0)</f>
        <v>14.16667</v>
      </c>
      <c r="W178" s="171" t="s">
        <v>1768</v>
      </c>
      <c r="X178" s="58">
        <f t="shared" si="22"/>
        <v>15111.114666666665</v>
      </c>
      <c r="Y178" s="58">
        <f t="shared" si="23"/>
        <v>11333.335999999999</v>
      </c>
    </row>
    <row r="179" spans="1:25" x14ac:dyDescent="0.25">
      <c r="A179" s="36" t="s">
        <v>292</v>
      </c>
      <c r="B179" s="171" t="s">
        <v>293</v>
      </c>
      <c r="C179" s="171" t="s">
        <v>293</v>
      </c>
      <c r="D179" s="172" t="s">
        <v>5062</v>
      </c>
      <c r="E179" s="172" t="s">
        <v>1631</v>
      </c>
      <c r="F179" s="172" t="s">
        <v>1631</v>
      </c>
      <c r="G179" s="172" t="s">
        <v>1631</v>
      </c>
      <c r="H179" s="172" t="s">
        <v>1631</v>
      </c>
      <c r="I179" s="172" t="s">
        <v>1631</v>
      </c>
      <c r="J179" s="36">
        <v>1</v>
      </c>
      <c r="K179" s="180">
        <v>10</v>
      </c>
      <c r="L179" s="180"/>
      <c r="M179" s="22">
        <f>IFERROR((VLOOKUP(A179,'Current Stocks July-26'!$B:$K,10,0)),0)</f>
        <v>0</v>
      </c>
      <c r="N179" s="22">
        <f t="shared" si="16"/>
        <v>0</v>
      </c>
      <c r="O179" s="22" t="str">
        <f t="shared" si="17"/>
        <v>ORDER NOW</v>
      </c>
      <c r="P179" s="22" t="str">
        <f t="shared" si="18"/>
        <v>CRITICAL</v>
      </c>
      <c r="Q179" s="58">
        <f t="shared" si="19"/>
        <v>3.333333333333333</v>
      </c>
      <c r="R179" s="58">
        <f t="shared" si="20"/>
        <v>13.333333333333332</v>
      </c>
      <c r="S179" s="58">
        <f t="shared" si="21"/>
        <v>13.333333333333332</v>
      </c>
      <c r="T179" s="5">
        <v>7</v>
      </c>
      <c r="U179" s="5" t="s">
        <v>1729</v>
      </c>
      <c r="V179" s="173">
        <f>VLOOKUP(A179,'[1]Final-Short'!$B:$AE,29,0)</f>
        <v>18</v>
      </c>
      <c r="W179" s="171" t="s">
        <v>1769</v>
      </c>
      <c r="X179" s="58">
        <f t="shared" si="22"/>
        <v>239.99999999999997</v>
      </c>
      <c r="Y179" s="58">
        <f t="shared" si="23"/>
        <v>180</v>
      </c>
    </row>
    <row r="180" spans="1:25" x14ac:dyDescent="0.25">
      <c r="A180" s="36" t="s">
        <v>881</v>
      </c>
      <c r="B180" s="171" t="s">
        <v>882</v>
      </c>
      <c r="C180" s="171" t="s">
        <v>882</v>
      </c>
      <c r="D180" s="172" t="s">
        <v>5062</v>
      </c>
      <c r="E180" s="172" t="s">
        <v>1631</v>
      </c>
      <c r="F180" s="172" t="s">
        <v>1631</v>
      </c>
      <c r="G180" s="172" t="s">
        <v>1631</v>
      </c>
      <c r="H180" s="172" t="s">
        <v>1631</v>
      </c>
      <c r="I180" s="172" t="s">
        <v>1631</v>
      </c>
      <c r="J180" s="36">
        <v>1</v>
      </c>
      <c r="K180" s="58">
        <v>7500</v>
      </c>
      <c r="L180" s="58"/>
      <c r="M180" s="22">
        <f>IFERROR((VLOOKUP(A180,'Current Stocks July-26'!$B:$K,10,0)),0)</f>
        <v>8100</v>
      </c>
      <c r="N180" s="22">
        <f t="shared" si="16"/>
        <v>32.400000000000006</v>
      </c>
      <c r="O180" s="22" t="str">
        <f t="shared" si="17"/>
        <v>IN STOCK</v>
      </c>
      <c r="P180" s="22" t="str">
        <f t="shared" si="18"/>
        <v>FOLLOW UP DELIVERY</v>
      </c>
      <c r="Q180" s="58">
        <f t="shared" si="19"/>
        <v>2500</v>
      </c>
      <c r="R180" s="58">
        <f t="shared" si="20"/>
        <v>10000</v>
      </c>
      <c r="S180" s="58">
        <f t="shared" si="21"/>
        <v>1900</v>
      </c>
      <c r="T180" s="5">
        <v>7</v>
      </c>
      <c r="U180" s="5" t="s">
        <v>30</v>
      </c>
      <c r="V180" s="173">
        <f>VLOOKUP(A180,'[1]Final-Short'!$B:$AE,29,0)</f>
        <v>1</v>
      </c>
      <c r="W180" s="171" t="s">
        <v>1770</v>
      </c>
      <c r="X180" s="58">
        <f t="shared" si="22"/>
        <v>1900</v>
      </c>
      <c r="Y180" s="58">
        <f t="shared" si="23"/>
        <v>7500</v>
      </c>
    </row>
    <row r="181" spans="1:25" x14ac:dyDescent="0.25">
      <c r="A181" s="36" t="s">
        <v>1771</v>
      </c>
      <c r="B181" s="171" t="s">
        <v>1772</v>
      </c>
      <c r="C181" s="171" t="s">
        <v>1772</v>
      </c>
      <c r="D181" s="172" t="s">
        <v>5062</v>
      </c>
      <c r="E181" s="172" t="s">
        <v>1631</v>
      </c>
      <c r="F181" s="172" t="s">
        <v>1631</v>
      </c>
      <c r="G181" s="172" t="s">
        <v>1631</v>
      </c>
      <c r="H181" s="172" t="s">
        <v>1631</v>
      </c>
      <c r="I181" s="172" t="s">
        <v>1631</v>
      </c>
      <c r="J181" s="36">
        <v>1</v>
      </c>
      <c r="K181" s="58">
        <v>25</v>
      </c>
      <c r="L181" s="58"/>
      <c r="M181" s="22">
        <f>IFERROR((VLOOKUP(A181,'Current Stocks July-26'!$B:$K,10,0)),0)</f>
        <v>6</v>
      </c>
      <c r="N181" s="22">
        <f t="shared" si="16"/>
        <v>7.1999999999999993</v>
      </c>
      <c r="O181" s="22" t="str">
        <f t="shared" si="17"/>
        <v>IN STOCK</v>
      </c>
      <c r="P181" s="22" t="str">
        <f t="shared" si="18"/>
        <v>FOLLOW UP DELIVERY</v>
      </c>
      <c r="Q181" s="58">
        <f t="shared" si="19"/>
        <v>8.3333333333333321</v>
      </c>
      <c r="R181" s="58">
        <f t="shared" si="20"/>
        <v>33.333333333333329</v>
      </c>
      <c r="S181" s="58">
        <f t="shared" si="21"/>
        <v>27.333333333333329</v>
      </c>
      <c r="T181" s="5">
        <v>7</v>
      </c>
      <c r="U181" s="5" t="s">
        <v>30</v>
      </c>
      <c r="V181" s="195">
        <f>VLOOKUP(A181,'[1]Final-Short'!$B:$AE,29,0)</f>
        <v>147.83000000000001</v>
      </c>
      <c r="W181" s="171" t="s">
        <v>1773</v>
      </c>
      <c r="X181" s="58">
        <f t="shared" si="22"/>
        <v>4040.6866666666665</v>
      </c>
      <c r="Y181" s="58">
        <f t="shared" si="23"/>
        <v>3695.7500000000005</v>
      </c>
    </row>
    <row r="182" spans="1:25" x14ac:dyDescent="0.25">
      <c r="A182" s="36" t="s">
        <v>502</v>
      </c>
      <c r="B182" s="171" t="s">
        <v>503</v>
      </c>
      <c r="C182" s="171" t="s">
        <v>503</v>
      </c>
      <c r="D182" s="172" t="s">
        <v>1631</v>
      </c>
      <c r="E182" s="172" t="s">
        <v>1631</v>
      </c>
      <c r="F182" s="172" t="s">
        <v>1631</v>
      </c>
      <c r="G182" s="172" t="s">
        <v>1631</v>
      </c>
      <c r="H182" s="172" t="s">
        <v>1631</v>
      </c>
      <c r="I182" s="172" t="s">
        <v>5062</v>
      </c>
      <c r="J182" s="36">
        <v>1</v>
      </c>
      <c r="K182" s="58">
        <v>14</v>
      </c>
      <c r="L182" s="58"/>
      <c r="M182" s="22">
        <f>IFERROR((VLOOKUP(A182,'Current Stocks July-26'!$B:$K,10,0)),0)</f>
        <v>39.200000000000003</v>
      </c>
      <c r="N182" s="22">
        <f t="shared" si="16"/>
        <v>84.000000000000014</v>
      </c>
      <c r="O182" s="22" t="str">
        <f t="shared" si="17"/>
        <v>IN STOCK</v>
      </c>
      <c r="P182" s="22" t="str">
        <f t="shared" si="18"/>
        <v>FOLLOW UP DELIVERY</v>
      </c>
      <c r="Q182" s="58">
        <f t="shared" si="19"/>
        <v>4.6666666666666661</v>
      </c>
      <c r="R182" s="58">
        <f t="shared" si="20"/>
        <v>18.666666666666664</v>
      </c>
      <c r="S182" s="58">
        <f t="shared" si="21"/>
        <v>0</v>
      </c>
      <c r="T182" s="5">
        <v>7</v>
      </c>
      <c r="U182" s="5" t="s">
        <v>30</v>
      </c>
      <c r="V182" s="173">
        <f>VLOOKUP(A182,'[1]Final-Short'!$B:$AE,29,0)</f>
        <v>92.142859999999999</v>
      </c>
      <c r="W182" s="171" t="s">
        <v>1774</v>
      </c>
      <c r="X182" s="58">
        <f t="shared" si="22"/>
        <v>0</v>
      </c>
      <c r="Y182" s="58">
        <f t="shared" si="23"/>
        <v>1290.0000399999999</v>
      </c>
    </row>
    <row r="183" spans="1:25" x14ac:dyDescent="0.25">
      <c r="A183" s="36" t="s">
        <v>1015</v>
      </c>
      <c r="B183" s="171" t="s">
        <v>1016</v>
      </c>
      <c r="C183" s="171" t="s">
        <v>1016</v>
      </c>
      <c r="D183" s="172" t="s">
        <v>1631</v>
      </c>
      <c r="E183" s="172" t="s">
        <v>1631</v>
      </c>
      <c r="F183" s="172" t="s">
        <v>1631</v>
      </c>
      <c r="G183" s="172" t="s">
        <v>1631</v>
      </c>
      <c r="H183" s="172" t="s">
        <v>1631</v>
      </c>
      <c r="I183" s="172" t="s">
        <v>5062</v>
      </c>
      <c r="J183" s="36">
        <v>1</v>
      </c>
      <c r="K183" s="58">
        <v>600</v>
      </c>
      <c r="L183" s="58"/>
      <c r="M183" s="22">
        <f>IFERROR((VLOOKUP(A183,'Current Stocks July-26'!$B:$K,10,0)),0)</f>
        <v>195</v>
      </c>
      <c r="N183" s="22">
        <f t="shared" si="16"/>
        <v>9.75</v>
      </c>
      <c r="O183" s="22" t="str">
        <f t="shared" si="17"/>
        <v>ORDER NOW</v>
      </c>
      <c r="P183" s="22" t="str">
        <f t="shared" si="18"/>
        <v>CRITICAL</v>
      </c>
      <c r="Q183" s="58">
        <f t="shared" si="19"/>
        <v>340</v>
      </c>
      <c r="R183" s="58">
        <f t="shared" si="20"/>
        <v>940</v>
      </c>
      <c r="S183" s="58">
        <f t="shared" si="21"/>
        <v>745</v>
      </c>
      <c r="T183" s="5">
        <v>14</v>
      </c>
      <c r="U183" s="5" t="s">
        <v>1669</v>
      </c>
      <c r="V183" s="173">
        <f>VLOOKUP(A183,'[1]Final-Short'!$B:$AE,29,0)</f>
        <v>40</v>
      </c>
      <c r="W183" s="171" t="s">
        <v>1775</v>
      </c>
      <c r="X183" s="58">
        <f t="shared" si="22"/>
        <v>29800</v>
      </c>
      <c r="Y183" s="58">
        <f t="shared" si="23"/>
        <v>24000</v>
      </c>
    </row>
    <row r="184" spans="1:25" x14ac:dyDescent="0.25">
      <c r="A184" s="36" t="s">
        <v>1438</v>
      </c>
      <c r="B184" s="171" t="s">
        <v>1439</v>
      </c>
      <c r="C184" s="171" t="s">
        <v>1439</v>
      </c>
      <c r="D184" s="172" t="s">
        <v>5062</v>
      </c>
      <c r="E184" s="172" t="s">
        <v>1631</v>
      </c>
      <c r="F184" s="172" t="s">
        <v>1631</v>
      </c>
      <c r="G184" s="172" t="s">
        <v>1631</v>
      </c>
      <c r="H184" s="172" t="s">
        <v>1631</v>
      </c>
      <c r="I184" s="172" t="s">
        <v>1631</v>
      </c>
      <c r="J184" s="36">
        <v>1</v>
      </c>
      <c r="K184" s="58">
        <v>105</v>
      </c>
      <c r="L184" s="58"/>
      <c r="M184" s="22">
        <f>IFERROR((VLOOKUP(A184,'Current Stocks July-26'!$B:$K,10,0)),0)</f>
        <v>155</v>
      </c>
      <c r="N184" s="22">
        <f t="shared" si="16"/>
        <v>44.285714285714292</v>
      </c>
      <c r="O184" s="22" t="str">
        <f t="shared" si="17"/>
        <v>IN STOCK</v>
      </c>
      <c r="P184" s="22" t="str">
        <f t="shared" si="18"/>
        <v>FOLLOW UP DELIVERY</v>
      </c>
      <c r="Q184" s="58">
        <f t="shared" si="19"/>
        <v>35</v>
      </c>
      <c r="R184" s="58">
        <f t="shared" si="20"/>
        <v>140</v>
      </c>
      <c r="S184" s="58">
        <f t="shared" si="21"/>
        <v>0</v>
      </c>
      <c r="T184" s="5">
        <v>7</v>
      </c>
      <c r="U184" s="5" t="s">
        <v>30</v>
      </c>
      <c r="V184" s="173">
        <f>VLOOKUP(A184,'[1]Final-Short'!$B:$AE,29,0)</f>
        <v>40</v>
      </c>
      <c r="W184" s="171" t="str">
        <f>VLOOKUP(A184,'[1]Final-Short'!$B:$AE,30,0)</f>
        <v>شركة شمس القهوة للتجارة المحدودة</v>
      </c>
      <c r="X184" s="58">
        <f t="shared" si="22"/>
        <v>0</v>
      </c>
      <c r="Y184" s="58">
        <f t="shared" si="23"/>
        <v>4200</v>
      </c>
    </row>
    <row r="185" spans="1:25" x14ac:dyDescent="0.25">
      <c r="A185" s="36" t="s">
        <v>1378</v>
      </c>
      <c r="B185" s="171" t="s">
        <v>1379</v>
      </c>
      <c r="C185" s="171" t="s">
        <v>1379</v>
      </c>
      <c r="D185" s="172" t="s">
        <v>5062</v>
      </c>
      <c r="E185" s="172" t="s">
        <v>1631</v>
      </c>
      <c r="F185" s="172" t="s">
        <v>1631</v>
      </c>
      <c r="G185" s="172" t="s">
        <v>1631</v>
      </c>
      <c r="H185" s="172" t="s">
        <v>1631</v>
      </c>
      <c r="I185" s="172" t="s">
        <v>1631</v>
      </c>
      <c r="J185" s="36">
        <v>1</v>
      </c>
      <c r="K185" s="58">
        <v>75</v>
      </c>
      <c r="L185" s="58"/>
      <c r="M185" s="22">
        <f>IFERROR((VLOOKUP(A185,'Current Stocks July-26'!$B:$K,10,0)),0)</f>
        <v>129</v>
      </c>
      <c r="N185" s="22">
        <f t="shared" si="16"/>
        <v>51.6</v>
      </c>
      <c r="O185" s="22" t="str">
        <f t="shared" si="17"/>
        <v>IN STOCK</v>
      </c>
      <c r="P185" s="22" t="str">
        <f t="shared" si="18"/>
        <v>FOLLOW UP DELIVERY</v>
      </c>
      <c r="Q185" s="58">
        <f t="shared" si="19"/>
        <v>25</v>
      </c>
      <c r="R185" s="58">
        <f t="shared" si="20"/>
        <v>100</v>
      </c>
      <c r="S185" s="58">
        <f t="shared" si="21"/>
        <v>0</v>
      </c>
      <c r="T185" s="5">
        <v>7</v>
      </c>
      <c r="U185" s="5" t="s">
        <v>30</v>
      </c>
      <c r="V185" s="173">
        <f>VLOOKUP(A185,'[1]Final-Short'!$B:$AE,29,0)</f>
        <v>40</v>
      </c>
      <c r="W185" s="171" t="str">
        <f>VLOOKUP(A185,'[1]Final-Short'!$B:$AE,30,0)</f>
        <v>شركة بشريات الموسم للتجارة</v>
      </c>
      <c r="X185" s="58">
        <f t="shared" si="22"/>
        <v>0</v>
      </c>
      <c r="Y185" s="58">
        <f t="shared" si="23"/>
        <v>3000</v>
      </c>
    </row>
    <row r="186" spans="1:25" x14ac:dyDescent="0.25">
      <c r="A186" s="36" t="s">
        <v>79</v>
      </c>
      <c r="B186" s="171" t="s">
        <v>80</v>
      </c>
      <c r="C186" s="171" t="s">
        <v>80</v>
      </c>
      <c r="D186" s="172" t="s">
        <v>5062</v>
      </c>
      <c r="E186" s="172" t="s">
        <v>1631</v>
      </c>
      <c r="F186" s="172" t="s">
        <v>1631</v>
      </c>
      <c r="G186" s="172" t="s">
        <v>1631</v>
      </c>
      <c r="H186" s="172" t="s">
        <v>1631</v>
      </c>
      <c r="I186" s="172" t="s">
        <v>5062</v>
      </c>
      <c r="J186" s="36">
        <v>2</v>
      </c>
      <c r="K186" s="58">
        <v>100</v>
      </c>
      <c r="L186" s="58"/>
      <c r="M186" s="22">
        <f>IFERROR((VLOOKUP(A186,'Current Stocks July-26'!$B:$K,10,0)),0)</f>
        <v>1045.8</v>
      </c>
      <c r="N186" s="22">
        <f t="shared" si="16"/>
        <v>313.74</v>
      </c>
      <c r="O186" s="22" t="str">
        <f t="shared" si="17"/>
        <v>IN STOCK</v>
      </c>
      <c r="P186" s="22" t="str">
        <f t="shared" si="18"/>
        <v>FOLLOW UP DELIVERY</v>
      </c>
      <c r="Q186" s="58">
        <f t="shared" si="19"/>
        <v>33.333333333333329</v>
      </c>
      <c r="R186" s="58">
        <f t="shared" si="20"/>
        <v>133.33333333333331</v>
      </c>
      <c r="S186" s="58">
        <f t="shared" si="21"/>
        <v>0</v>
      </c>
      <c r="T186" s="5">
        <v>7</v>
      </c>
      <c r="U186" s="5" t="s">
        <v>30</v>
      </c>
      <c r="V186" s="173">
        <f>VLOOKUP(A186,'[1]Final-Short'!$B:$AE,29,0)</f>
        <v>25.78125</v>
      </c>
      <c r="W186" s="171" t="str">
        <f>VLOOKUP(A186,'[1]Final-Short'!$B:$AE,30,0)</f>
        <v>الشركة السعودية المتخصصة لخدمات الاطعمة المحدودة - SFS</v>
      </c>
      <c r="X186" s="58">
        <f t="shared" si="22"/>
        <v>0</v>
      </c>
      <c r="Y186" s="58">
        <f t="shared" si="23"/>
        <v>2578.125</v>
      </c>
    </row>
    <row r="187" spans="1:25" x14ac:dyDescent="0.25">
      <c r="A187" s="36" t="s">
        <v>1521</v>
      </c>
      <c r="B187" s="171" t="s">
        <v>1522</v>
      </c>
      <c r="C187" s="171" t="s">
        <v>1522</v>
      </c>
      <c r="D187" s="172" t="s">
        <v>1631</v>
      </c>
      <c r="E187" s="172" t="s">
        <v>1631</v>
      </c>
      <c r="F187" s="172" t="s">
        <v>1631</v>
      </c>
      <c r="G187" s="172" t="s">
        <v>1631</v>
      </c>
      <c r="H187" s="172" t="s">
        <v>1631</v>
      </c>
      <c r="I187" s="172" t="s">
        <v>5062</v>
      </c>
      <c r="J187" s="36">
        <v>1</v>
      </c>
      <c r="K187" s="58">
        <v>250</v>
      </c>
      <c r="L187" s="58"/>
      <c r="M187" s="22">
        <f>IFERROR((VLOOKUP(A187,'Current Stocks July-26'!$B:$K,10,0)),0)</f>
        <v>1056.8800000000001</v>
      </c>
      <c r="N187" s="22">
        <f t="shared" si="16"/>
        <v>126.82560000000001</v>
      </c>
      <c r="O187" s="22" t="str">
        <f t="shared" si="17"/>
        <v>IN STOCK</v>
      </c>
      <c r="P187" s="22" t="str">
        <f t="shared" si="18"/>
        <v>FOLLOW UP DELIVERY</v>
      </c>
      <c r="Q187" s="58">
        <f t="shared" si="19"/>
        <v>83.333333333333329</v>
      </c>
      <c r="R187" s="58">
        <f t="shared" si="20"/>
        <v>333.33333333333331</v>
      </c>
      <c r="S187" s="58">
        <f t="shared" si="21"/>
        <v>0</v>
      </c>
      <c r="T187" s="5">
        <v>7</v>
      </c>
      <c r="U187" s="5" t="s">
        <v>30</v>
      </c>
      <c r="V187" s="173">
        <f>VLOOKUP(A187,'[1]Final-Short'!$B:$AE,29,0)</f>
        <v>19.78472</v>
      </c>
      <c r="W187" s="171" t="s">
        <v>1706</v>
      </c>
      <c r="X187" s="58">
        <f t="shared" si="22"/>
        <v>0</v>
      </c>
      <c r="Y187" s="58">
        <f t="shared" si="23"/>
        <v>4946.18</v>
      </c>
    </row>
    <row r="188" spans="1:25" x14ac:dyDescent="0.25">
      <c r="A188" s="36" t="s">
        <v>1538</v>
      </c>
      <c r="B188" s="171" t="s">
        <v>1539</v>
      </c>
      <c r="C188" s="171" t="s">
        <v>1776</v>
      </c>
      <c r="D188" s="172" t="s">
        <v>1631</v>
      </c>
      <c r="E188" s="172" t="s">
        <v>1631</v>
      </c>
      <c r="F188" s="172" t="s">
        <v>1631</v>
      </c>
      <c r="G188" s="172" t="s">
        <v>1631</v>
      </c>
      <c r="H188" s="172" t="s">
        <v>1631</v>
      </c>
      <c r="I188" s="172" t="s">
        <v>5062</v>
      </c>
      <c r="J188" s="36">
        <v>1</v>
      </c>
      <c r="K188" s="58">
        <v>300</v>
      </c>
      <c r="L188" s="58"/>
      <c r="M188" s="22">
        <f>IFERROR((VLOOKUP(A188,'Current Stocks July-26'!$B:$K,10,0)),0)</f>
        <v>1125.5999999999999</v>
      </c>
      <c r="N188" s="22">
        <f t="shared" si="16"/>
        <v>112.55999999999999</v>
      </c>
      <c r="O188" s="22" t="str">
        <f t="shared" si="17"/>
        <v>IN STOCK</v>
      </c>
      <c r="P188" s="22" t="str">
        <f t="shared" si="18"/>
        <v>FOLLOW UP DELIVERY</v>
      </c>
      <c r="Q188" s="58">
        <f t="shared" si="19"/>
        <v>100</v>
      </c>
      <c r="R188" s="58">
        <f t="shared" si="20"/>
        <v>400</v>
      </c>
      <c r="S188" s="58">
        <f t="shared" si="21"/>
        <v>0</v>
      </c>
      <c r="T188" s="5">
        <v>7</v>
      </c>
      <c r="U188" s="5" t="s">
        <v>30</v>
      </c>
      <c r="V188" s="173">
        <f>VLOOKUP(A188,'[1]Final-Short'!$B:$AE,29,0)</f>
        <v>3.62798</v>
      </c>
      <c r="W188" s="171" t="s">
        <v>1700</v>
      </c>
      <c r="X188" s="58">
        <f t="shared" si="22"/>
        <v>0</v>
      </c>
      <c r="Y188" s="58">
        <f t="shared" si="23"/>
        <v>1088.394</v>
      </c>
    </row>
    <row r="189" spans="1:25" x14ac:dyDescent="0.25">
      <c r="A189" s="36" t="s">
        <v>1252</v>
      </c>
      <c r="B189" s="171" t="s">
        <v>1253</v>
      </c>
      <c r="C189" s="171" t="s">
        <v>1253</v>
      </c>
      <c r="D189" s="172" t="s">
        <v>1631</v>
      </c>
      <c r="E189" s="172" t="s">
        <v>1631</v>
      </c>
      <c r="F189" s="172" t="s">
        <v>1631</v>
      </c>
      <c r="G189" s="172" t="s">
        <v>1631</v>
      </c>
      <c r="H189" s="172" t="s">
        <v>1631</v>
      </c>
      <c r="I189" s="172" t="s">
        <v>5062</v>
      </c>
      <c r="J189" s="36">
        <v>1</v>
      </c>
      <c r="K189" s="58">
        <v>2250</v>
      </c>
      <c r="L189" s="58"/>
      <c r="M189" s="22">
        <f>IFERROR((VLOOKUP(A189,'Current Stocks July-26'!$B:$K,10,0)),0)</f>
        <v>1000</v>
      </c>
      <c r="N189" s="22">
        <f t="shared" si="16"/>
        <v>13.333333333333332</v>
      </c>
      <c r="O189" s="22" t="str">
        <f t="shared" si="17"/>
        <v>IN STOCK</v>
      </c>
      <c r="P189" s="22" t="str">
        <f t="shared" si="18"/>
        <v>FOLLOW UP DELIVERY</v>
      </c>
      <c r="Q189" s="58">
        <f t="shared" si="19"/>
        <v>750</v>
      </c>
      <c r="R189" s="58">
        <f t="shared" si="20"/>
        <v>3000</v>
      </c>
      <c r="S189" s="58">
        <f t="shared" si="21"/>
        <v>2000</v>
      </c>
      <c r="T189" s="5">
        <v>7</v>
      </c>
      <c r="U189" s="5" t="s">
        <v>1669</v>
      </c>
      <c r="V189" s="173">
        <f>VLOOKUP(A189,'[1]Final-Short'!$B:$AE,29,0)</f>
        <v>7.4</v>
      </c>
      <c r="W189" s="171" t="s">
        <v>1704</v>
      </c>
      <c r="X189" s="58">
        <f t="shared" si="22"/>
        <v>14800</v>
      </c>
      <c r="Y189" s="58">
        <f t="shared" si="23"/>
        <v>16650</v>
      </c>
    </row>
    <row r="190" spans="1:25" x14ac:dyDescent="0.25">
      <c r="A190" s="36" t="s">
        <v>1313</v>
      </c>
      <c r="B190" s="171" t="s">
        <v>1314</v>
      </c>
      <c r="C190" s="171" t="s">
        <v>1314</v>
      </c>
      <c r="D190" s="172" t="s">
        <v>5062</v>
      </c>
      <c r="E190" s="172" t="s">
        <v>1631</v>
      </c>
      <c r="F190" s="172" t="s">
        <v>1631</v>
      </c>
      <c r="G190" s="172" t="s">
        <v>1631</v>
      </c>
      <c r="H190" s="172" t="s">
        <v>1631</v>
      </c>
      <c r="I190" s="172" t="s">
        <v>1631</v>
      </c>
      <c r="J190" s="36">
        <v>1</v>
      </c>
      <c r="K190" s="58">
        <v>7500</v>
      </c>
      <c r="L190" s="58"/>
      <c r="M190" s="22">
        <f>IFERROR((VLOOKUP(A190,'Current Stocks July-26'!$B:$K,10,0)),0)</f>
        <v>709.28600000000006</v>
      </c>
      <c r="N190" s="22">
        <f t="shared" si="16"/>
        <v>2.8371440000000003</v>
      </c>
      <c r="O190" s="22" t="str">
        <f t="shared" si="17"/>
        <v>ORDER NOW</v>
      </c>
      <c r="P190" s="22" t="str">
        <f t="shared" si="18"/>
        <v>CRITICAL</v>
      </c>
      <c r="Q190" s="58">
        <f t="shared" si="19"/>
        <v>2500</v>
      </c>
      <c r="R190" s="58">
        <f t="shared" si="20"/>
        <v>10000</v>
      </c>
      <c r="S190" s="58">
        <f t="shared" si="21"/>
        <v>9290.7139999999999</v>
      </c>
      <c r="T190" s="5">
        <v>7</v>
      </c>
      <c r="U190" s="5" t="s">
        <v>1669</v>
      </c>
      <c r="V190" s="173">
        <f>VLOOKUP(A190,'[1]Final-Short'!$B:$AE,29,0)</f>
        <v>71.703869999999995</v>
      </c>
      <c r="W190" s="171" t="str">
        <f>VLOOKUP(A190,'[1]Final-Short'!$B:$AE,30,0)</f>
        <v>Sanabel United Trading Co. شركة سنابل المتحدة للتجارة</v>
      </c>
      <c r="X190" s="58">
        <f t="shared" si="22"/>
        <v>666180.14886317996</v>
      </c>
      <c r="Y190" s="58">
        <f t="shared" si="23"/>
        <v>537779.02499999991</v>
      </c>
    </row>
    <row r="191" spans="1:25" x14ac:dyDescent="0.25">
      <c r="A191" s="36" t="s">
        <v>1282</v>
      </c>
      <c r="B191" s="171" t="s">
        <v>1283</v>
      </c>
      <c r="C191" s="171" t="s">
        <v>1283</v>
      </c>
      <c r="D191" s="172" t="s">
        <v>1631</v>
      </c>
      <c r="E191" s="172" t="s">
        <v>1631</v>
      </c>
      <c r="F191" s="172" t="s">
        <v>1631</v>
      </c>
      <c r="G191" s="172" t="s">
        <v>1631</v>
      </c>
      <c r="H191" s="172" t="s">
        <v>1631</v>
      </c>
      <c r="I191" s="172" t="s">
        <v>5062</v>
      </c>
      <c r="J191" s="36">
        <v>1</v>
      </c>
      <c r="K191" s="58">
        <v>30</v>
      </c>
      <c r="L191" s="58"/>
      <c r="M191" s="22">
        <f>IFERROR((VLOOKUP(A191,'Current Stocks July-26'!$B:$K,10,0)),0)</f>
        <v>11.52</v>
      </c>
      <c r="N191" s="22">
        <f t="shared" si="16"/>
        <v>11.52</v>
      </c>
      <c r="O191" s="22" t="str">
        <f t="shared" si="17"/>
        <v>IN STOCK</v>
      </c>
      <c r="P191" s="22" t="str">
        <f t="shared" si="18"/>
        <v>FOLLOW UP DELIVERY</v>
      </c>
      <c r="Q191" s="58">
        <f t="shared" si="19"/>
        <v>10</v>
      </c>
      <c r="R191" s="58">
        <f t="shared" si="20"/>
        <v>40</v>
      </c>
      <c r="S191" s="58">
        <f t="shared" si="21"/>
        <v>28.48</v>
      </c>
      <c r="T191" s="5">
        <v>7</v>
      </c>
      <c r="U191" s="5" t="s">
        <v>30</v>
      </c>
      <c r="V191" s="173">
        <f>VLOOKUP(A191,'[1]Final-Short'!$B:$AE,29,0)</f>
        <v>15.093540000000001</v>
      </c>
      <c r="W191" s="171" t="s">
        <v>1696</v>
      </c>
      <c r="X191" s="58">
        <f t="shared" si="22"/>
        <v>429.86401920000003</v>
      </c>
      <c r="Y191" s="58">
        <f t="shared" si="23"/>
        <v>452.80620000000005</v>
      </c>
    </row>
    <row r="192" spans="1:25" x14ac:dyDescent="0.25">
      <c r="A192" s="36" t="s">
        <v>938</v>
      </c>
      <c r="B192" s="171" t="s">
        <v>1777</v>
      </c>
      <c r="C192" s="171" t="s">
        <v>939</v>
      </c>
      <c r="D192" s="172" t="s">
        <v>1631</v>
      </c>
      <c r="E192" s="172" t="s">
        <v>1631</v>
      </c>
      <c r="F192" s="172" t="s">
        <v>1631</v>
      </c>
      <c r="G192" s="172" t="s">
        <v>1631</v>
      </c>
      <c r="H192" s="172" t="s">
        <v>1631</v>
      </c>
      <c r="I192" s="172" t="s">
        <v>5062</v>
      </c>
      <c r="J192" s="36">
        <v>1</v>
      </c>
      <c r="K192" s="58">
        <v>1</v>
      </c>
      <c r="L192" s="58"/>
      <c r="M192" s="22">
        <f>IFERROR((VLOOKUP(A192,'Current Stocks July-26'!$B:$K,10,0)),0)</f>
        <v>106</v>
      </c>
      <c r="N192" s="22">
        <f t="shared" si="16"/>
        <v>3180</v>
      </c>
      <c r="O192" s="22" t="str">
        <f t="shared" si="17"/>
        <v>IN STOCK</v>
      </c>
      <c r="P192" s="22" t="str">
        <f t="shared" si="18"/>
        <v>FOLLOW UP DELIVERY</v>
      </c>
      <c r="Q192" s="58">
        <f t="shared" si="19"/>
        <v>0.33333333333333331</v>
      </c>
      <c r="R192" s="58">
        <f t="shared" si="20"/>
        <v>1.3333333333333333</v>
      </c>
      <c r="S192" s="58">
        <f t="shared" si="21"/>
        <v>0</v>
      </c>
      <c r="T192" s="5">
        <v>7</v>
      </c>
      <c r="U192" s="5" t="s">
        <v>30</v>
      </c>
      <c r="V192" s="173">
        <f>VLOOKUP(A192,'[1]Final-Short'!$B:$AE,29,0)</f>
        <v>55</v>
      </c>
      <c r="W192" s="171" t="s">
        <v>1700</v>
      </c>
      <c r="X192" s="58">
        <f t="shared" si="22"/>
        <v>0</v>
      </c>
      <c r="Y192" s="58">
        <f t="shared" si="23"/>
        <v>55</v>
      </c>
    </row>
    <row r="193" spans="1:25" x14ac:dyDescent="0.25">
      <c r="A193" s="6" t="s">
        <v>660</v>
      </c>
      <c r="B193" s="171" t="s">
        <v>661</v>
      </c>
      <c r="C193" s="171" t="s">
        <v>661</v>
      </c>
      <c r="D193" s="172" t="s">
        <v>1631</v>
      </c>
      <c r="E193" s="172" t="s">
        <v>1631</v>
      </c>
      <c r="F193" s="172" t="s">
        <v>1631</v>
      </c>
      <c r="G193" s="172" t="s">
        <v>1631</v>
      </c>
      <c r="H193" s="172" t="s">
        <v>1631</v>
      </c>
      <c r="I193" s="172" t="s">
        <v>5062</v>
      </c>
      <c r="J193" s="36">
        <v>1</v>
      </c>
      <c r="K193" s="58">
        <v>1</v>
      </c>
      <c r="L193" s="58"/>
      <c r="M193" s="22">
        <f>IFERROR((VLOOKUP(A193,'Current Stocks July-26'!$B:$K,10,0)),0)</f>
        <v>9.36</v>
      </c>
      <c r="N193" s="22">
        <f t="shared" si="16"/>
        <v>280.79999999999995</v>
      </c>
      <c r="O193" s="22" t="str">
        <f t="shared" si="17"/>
        <v>IN STOCK</v>
      </c>
      <c r="P193" s="22" t="str">
        <f t="shared" si="18"/>
        <v>FOLLOW UP DELIVERY</v>
      </c>
      <c r="Q193" s="58">
        <f t="shared" si="19"/>
        <v>0.33333333333333331</v>
      </c>
      <c r="R193" s="58">
        <f t="shared" si="20"/>
        <v>1.3333333333333333</v>
      </c>
      <c r="S193" s="58">
        <f t="shared" si="21"/>
        <v>0</v>
      </c>
      <c r="T193" s="5">
        <v>7</v>
      </c>
      <c r="U193" s="5" t="s">
        <v>30</v>
      </c>
      <c r="V193" s="173">
        <f>VLOOKUP(A193,'[1]Final-Short'!$B:$AE,29,0)</f>
        <v>62.529910000000001</v>
      </c>
      <c r="W193" s="171" t="s">
        <v>1696</v>
      </c>
      <c r="X193" s="58">
        <f t="shared" si="22"/>
        <v>0</v>
      </c>
      <c r="Y193" s="58">
        <f t="shared" si="23"/>
        <v>62.529910000000001</v>
      </c>
    </row>
    <row r="194" spans="1:25" x14ac:dyDescent="0.25">
      <c r="A194" s="36" t="s">
        <v>1555</v>
      </c>
      <c r="B194" s="171" t="s">
        <v>1556</v>
      </c>
      <c r="C194" s="171" t="s">
        <v>1556</v>
      </c>
      <c r="D194" s="172" t="s">
        <v>1631</v>
      </c>
      <c r="E194" s="172" t="s">
        <v>1631</v>
      </c>
      <c r="F194" s="172" t="s">
        <v>1631</v>
      </c>
      <c r="G194" s="172" t="s">
        <v>1631</v>
      </c>
      <c r="H194" s="172" t="s">
        <v>1631</v>
      </c>
      <c r="I194" s="172" t="s">
        <v>5062</v>
      </c>
      <c r="J194" s="36">
        <v>1</v>
      </c>
      <c r="K194" s="58">
        <v>6</v>
      </c>
      <c r="L194" s="58"/>
      <c r="M194" s="22">
        <f>IFERROR((VLOOKUP(A194,'Current Stocks July-26'!$B:$K,10,0)),0)</f>
        <v>162</v>
      </c>
      <c r="N194" s="22">
        <f t="shared" ref="N194:N257" si="24">IFERROR((M194/K194*30),0)</f>
        <v>810</v>
      </c>
      <c r="O194" s="22" t="str">
        <f t="shared" ref="O194:O257" si="25">IF(N194&lt;T194,"ORDER NOW","IN STOCK")</f>
        <v>IN STOCK</v>
      </c>
      <c r="P194" s="22" t="str">
        <f t="shared" ref="P194:P257" si="26">IF(N194&lt;T194,"CRITICAL","FOLLOW UP DELIVERY")</f>
        <v>FOLLOW UP DELIVERY</v>
      </c>
      <c r="Q194" s="58">
        <f t="shared" ref="Q194:Q257" si="27">K194*((T194+3)/30)</f>
        <v>2</v>
      </c>
      <c r="R194" s="58">
        <f t="shared" ref="R194:R257" si="28">Q194+K194</f>
        <v>8</v>
      </c>
      <c r="S194" s="58">
        <f t="shared" ref="S194:S257" si="29">MAX((K194+Q194)-M194,0)</f>
        <v>0</v>
      </c>
      <c r="T194" s="5">
        <v>7</v>
      </c>
      <c r="U194" s="5" t="s">
        <v>30</v>
      </c>
      <c r="V194" s="173">
        <f>VLOOKUP(A194,'[1]Final-Short'!$B:$AE,29,0)</f>
        <v>12.074999999999999</v>
      </c>
      <c r="W194" s="171" t="s">
        <v>1700</v>
      </c>
      <c r="X194" s="58">
        <f t="shared" ref="X194:X257" si="30">S194*V194</f>
        <v>0</v>
      </c>
      <c r="Y194" s="58">
        <f t="shared" ref="Y194:Y257" si="31">K194*V194</f>
        <v>72.449999999999989</v>
      </c>
    </row>
    <row r="195" spans="1:25" x14ac:dyDescent="0.25">
      <c r="A195" s="36" t="s">
        <v>1778</v>
      </c>
      <c r="B195" s="171" t="s">
        <v>1779</v>
      </c>
      <c r="C195" s="171" t="s">
        <v>1779</v>
      </c>
      <c r="D195" s="172" t="s">
        <v>1631</v>
      </c>
      <c r="E195" s="172" t="s">
        <v>5062</v>
      </c>
      <c r="F195" s="172" t="s">
        <v>1631</v>
      </c>
      <c r="G195" s="172" t="s">
        <v>1631</v>
      </c>
      <c r="H195" s="172" t="s">
        <v>1631</v>
      </c>
      <c r="I195" s="172" t="s">
        <v>5062</v>
      </c>
      <c r="J195" s="36">
        <v>2</v>
      </c>
      <c r="K195" s="180">
        <v>175</v>
      </c>
      <c r="L195" s="180" t="s">
        <v>1701</v>
      </c>
      <c r="M195" s="22">
        <f>IFERROR((VLOOKUP(A195,'Current Stocks July-26'!$B:$K,10,0)),0)</f>
        <v>300</v>
      </c>
      <c r="N195" s="22">
        <f t="shared" si="24"/>
        <v>51.428571428571423</v>
      </c>
      <c r="O195" s="22" t="str">
        <f t="shared" si="25"/>
        <v>IN STOCK</v>
      </c>
      <c r="P195" s="22" t="str">
        <f t="shared" si="26"/>
        <v>FOLLOW UP DELIVERY</v>
      </c>
      <c r="Q195" s="58">
        <f t="shared" si="27"/>
        <v>99.166666666666657</v>
      </c>
      <c r="R195" s="58">
        <f t="shared" si="28"/>
        <v>274.16666666666663</v>
      </c>
      <c r="S195" s="58">
        <f t="shared" si="29"/>
        <v>0</v>
      </c>
      <c r="T195" s="5">
        <v>14</v>
      </c>
      <c r="U195" s="5" t="s">
        <v>30</v>
      </c>
      <c r="V195" s="173">
        <f>VLOOKUP(A195,'[1]Final-Short'!$B:$AE,29,0)</f>
        <v>94.5</v>
      </c>
      <c r="W195" s="171" t="s">
        <v>1702</v>
      </c>
      <c r="X195" s="58">
        <f t="shared" si="30"/>
        <v>0</v>
      </c>
      <c r="Y195" s="58">
        <f t="shared" si="31"/>
        <v>16537.5</v>
      </c>
    </row>
    <row r="196" spans="1:25" x14ac:dyDescent="0.25">
      <c r="A196" s="36" t="s">
        <v>1780</v>
      </c>
      <c r="B196" s="171" t="s">
        <v>1781</v>
      </c>
      <c r="C196" s="171" t="s">
        <v>1781</v>
      </c>
      <c r="D196" s="172" t="s">
        <v>1631</v>
      </c>
      <c r="E196" s="172" t="s">
        <v>5062</v>
      </c>
      <c r="F196" s="172" t="s">
        <v>1631</v>
      </c>
      <c r="G196" s="172" t="s">
        <v>1631</v>
      </c>
      <c r="H196" s="172" t="s">
        <v>1631</v>
      </c>
      <c r="I196" s="172" t="s">
        <v>5062</v>
      </c>
      <c r="J196" s="36">
        <v>2</v>
      </c>
      <c r="K196" s="180">
        <v>110</v>
      </c>
      <c r="L196" s="180" t="s">
        <v>1701</v>
      </c>
      <c r="M196" s="22">
        <f>IFERROR((VLOOKUP(A196,'Current Stocks July-26'!$B:$K,10,0)),0)</f>
        <v>0</v>
      </c>
      <c r="N196" s="22">
        <f t="shared" si="24"/>
        <v>0</v>
      </c>
      <c r="O196" s="22" t="str">
        <f t="shared" si="25"/>
        <v>ORDER NOW</v>
      </c>
      <c r="P196" s="22" t="str">
        <f t="shared" si="26"/>
        <v>CRITICAL</v>
      </c>
      <c r="Q196" s="58">
        <f t="shared" si="27"/>
        <v>36.666666666666664</v>
      </c>
      <c r="R196" s="58">
        <f t="shared" si="28"/>
        <v>146.66666666666666</v>
      </c>
      <c r="S196" s="58">
        <f t="shared" si="29"/>
        <v>146.66666666666666</v>
      </c>
      <c r="T196" s="5">
        <v>7</v>
      </c>
      <c r="U196" s="5" t="s">
        <v>30</v>
      </c>
      <c r="V196" s="173">
        <f>VLOOKUP(A196,'[1]Final-Short'!$B:$AE,29,0)</f>
        <v>30.357140000000001</v>
      </c>
      <c r="W196" s="171" t="s">
        <v>1721</v>
      </c>
      <c r="X196" s="58">
        <f t="shared" si="30"/>
        <v>4452.380533333333</v>
      </c>
      <c r="Y196" s="58">
        <f t="shared" si="31"/>
        <v>3339.2854000000002</v>
      </c>
    </row>
    <row r="197" spans="1:25" x14ac:dyDescent="0.25">
      <c r="A197" s="36" t="s">
        <v>1782</v>
      </c>
      <c r="B197" s="171" t="s">
        <v>1783</v>
      </c>
      <c r="C197" s="171" t="s">
        <v>1783</v>
      </c>
      <c r="D197" s="172" t="s">
        <v>1631</v>
      </c>
      <c r="E197" s="172" t="s">
        <v>5062</v>
      </c>
      <c r="F197" s="172" t="s">
        <v>1631</v>
      </c>
      <c r="G197" s="172" t="s">
        <v>1631</v>
      </c>
      <c r="H197" s="172" t="s">
        <v>1631</v>
      </c>
      <c r="I197" s="172" t="s">
        <v>1631</v>
      </c>
      <c r="J197" s="36">
        <v>1</v>
      </c>
      <c r="K197" s="180">
        <v>10</v>
      </c>
      <c r="L197" s="180"/>
      <c r="M197" s="22">
        <f>IFERROR((VLOOKUP(A197,'Current Stocks July-26'!$B:$K,10,0)),0)</f>
        <v>21.6</v>
      </c>
      <c r="N197" s="22">
        <f t="shared" si="24"/>
        <v>64.800000000000011</v>
      </c>
      <c r="O197" s="22" t="str">
        <f t="shared" si="25"/>
        <v>IN STOCK</v>
      </c>
      <c r="P197" s="22" t="str">
        <f t="shared" si="26"/>
        <v>FOLLOW UP DELIVERY</v>
      </c>
      <c r="Q197" s="58">
        <f t="shared" si="27"/>
        <v>3.333333333333333</v>
      </c>
      <c r="R197" s="58">
        <f t="shared" si="28"/>
        <v>13.333333333333332</v>
      </c>
      <c r="S197" s="58">
        <f t="shared" si="29"/>
        <v>0</v>
      </c>
      <c r="T197" s="5">
        <v>7</v>
      </c>
      <c r="U197" s="5" t="s">
        <v>30</v>
      </c>
      <c r="V197" s="173">
        <f>VLOOKUP(A197,'[1]Final-Short'!$B:$AE,29,0)</f>
        <v>42.142859999999999</v>
      </c>
      <c r="W197" s="171" t="s">
        <v>1775</v>
      </c>
      <c r="X197" s="58">
        <f t="shared" si="30"/>
        <v>0</v>
      </c>
      <c r="Y197" s="58">
        <f t="shared" si="31"/>
        <v>421.42859999999996</v>
      </c>
    </row>
    <row r="198" spans="1:25" x14ac:dyDescent="0.25">
      <c r="A198" s="36" t="s">
        <v>1099</v>
      </c>
      <c r="B198" s="171" t="s">
        <v>1100</v>
      </c>
      <c r="C198" s="171" t="s">
        <v>1100</v>
      </c>
      <c r="D198" s="172" t="s">
        <v>1631</v>
      </c>
      <c r="E198" s="172" t="s">
        <v>5062</v>
      </c>
      <c r="F198" s="172" t="s">
        <v>1631</v>
      </c>
      <c r="G198" s="172" t="s">
        <v>1631</v>
      </c>
      <c r="H198" s="172" t="s">
        <v>1631</v>
      </c>
      <c r="I198" s="172" t="s">
        <v>1631</v>
      </c>
      <c r="J198" s="36">
        <v>1</v>
      </c>
      <c r="K198" s="58">
        <v>70000</v>
      </c>
      <c r="L198" s="58"/>
      <c r="M198" s="22">
        <f>IFERROR((VLOOKUP(A198,'Current Stocks July-26'!$B:$K,10,0)),0)</f>
        <v>375000</v>
      </c>
      <c r="N198" s="22">
        <f t="shared" si="24"/>
        <v>160.71428571428569</v>
      </c>
      <c r="O198" s="22" t="str">
        <f t="shared" si="25"/>
        <v>IN STOCK</v>
      </c>
      <c r="P198" s="22" t="str">
        <f t="shared" si="26"/>
        <v>FOLLOW UP DELIVERY</v>
      </c>
      <c r="Q198" s="58">
        <f t="shared" si="27"/>
        <v>39666.666666666664</v>
      </c>
      <c r="R198" s="58">
        <f t="shared" si="28"/>
        <v>109666.66666666666</v>
      </c>
      <c r="S198" s="58">
        <f t="shared" si="29"/>
        <v>0</v>
      </c>
      <c r="T198" s="5">
        <v>14</v>
      </c>
      <c r="U198" s="5" t="s">
        <v>1669</v>
      </c>
      <c r="V198" s="173">
        <f>VLOOKUP(A198,'[1]Final-Short'!$B:$AE,29,0)</f>
        <v>2.2669999999999999E-2</v>
      </c>
      <c r="W198" s="171" t="s">
        <v>1784</v>
      </c>
      <c r="X198" s="58">
        <f t="shared" si="30"/>
        <v>0</v>
      </c>
      <c r="Y198" s="58">
        <f t="shared" si="31"/>
        <v>1586.8999999999999</v>
      </c>
    </row>
    <row r="199" spans="1:25" x14ac:dyDescent="0.25">
      <c r="A199" s="36" t="s">
        <v>922</v>
      </c>
      <c r="B199" s="171" t="s">
        <v>923</v>
      </c>
      <c r="C199" s="171" t="s">
        <v>923</v>
      </c>
      <c r="D199" s="172" t="s">
        <v>1631</v>
      </c>
      <c r="E199" s="172" t="s">
        <v>5062</v>
      </c>
      <c r="F199" s="172" t="s">
        <v>1631</v>
      </c>
      <c r="G199" s="172" t="s">
        <v>1631</v>
      </c>
      <c r="H199" s="172" t="s">
        <v>1631</v>
      </c>
      <c r="I199" s="172" t="s">
        <v>1631</v>
      </c>
      <c r="J199" s="36">
        <v>1</v>
      </c>
      <c r="K199" s="58">
        <v>370000</v>
      </c>
      <c r="L199" s="58" t="s">
        <v>1785</v>
      </c>
      <c r="M199" s="22">
        <f>IFERROR((VLOOKUP(A199,'Current Stocks July-26'!$B:$K,10,0)),0)</f>
        <v>379200</v>
      </c>
      <c r="N199" s="22">
        <f t="shared" si="24"/>
        <v>30.745945945945945</v>
      </c>
      <c r="O199" s="22" t="str">
        <f t="shared" si="25"/>
        <v>IN STOCK</v>
      </c>
      <c r="P199" s="22" t="str">
        <f t="shared" si="26"/>
        <v>FOLLOW UP DELIVERY</v>
      </c>
      <c r="Q199" s="58">
        <f t="shared" si="27"/>
        <v>283666.66666666669</v>
      </c>
      <c r="R199" s="58">
        <f t="shared" si="28"/>
        <v>653666.66666666674</v>
      </c>
      <c r="S199" s="58">
        <f t="shared" si="29"/>
        <v>274466.66666666674</v>
      </c>
      <c r="T199" s="5">
        <v>20</v>
      </c>
      <c r="U199" s="5" t="s">
        <v>1669</v>
      </c>
      <c r="V199" s="173">
        <f>VLOOKUP(A199,'[1]Final-Short'!$B:$AE,29,0)</f>
        <v>2.5420000000000002E-2</v>
      </c>
      <c r="W199" s="171" t="s">
        <v>1786</v>
      </c>
      <c r="X199" s="58">
        <f t="shared" si="30"/>
        <v>6976.9426666666695</v>
      </c>
      <c r="Y199" s="58">
        <f t="shared" si="31"/>
        <v>9405.4000000000015</v>
      </c>
    </row>
    <row r="200" spans="1:25" x14ac:dyDescent="0.25">
      <c r="A200" s="36" t="s">
        <v>1421</v>
      </c>
      <c r="B200" s="171" t="s">
        <v>1422</v>
      </c>
      <c r="C200" s="171" t="s">
        <v>1422</v>
      </c>
      <c r="D200" s="172" t="s">
        <v>1631</v>
      </c>
      <c r="E200" s="172" t="s">
        <v>5062</v>
      </c>
      <c r="F200" s="172" t="s">
        <v>1631</v>
      </c>
      <c r="G200" s="172" t="s">
        <v>1631</v>
      </c>
      <c r="H200" s="172" t="s">
        <v>1631</v>
      </c>
      <c r="I200" s="172" t="s">
        <v>1631</v>
      </c>
      <c r="J200" s="36">
        <v>1</v>
      </c>
      <c r="K200" s="58">
        <v>7000</v>
      </c>
      <c r="L200" s="58"/>
      <c r="M200" s="22">
        <f>IFERROR((VLOOKUP(A200,'Current Stocks July-26'!$B:$K,10,0)),0)</f>
        <v>8000</v>
      </c>
      <c r="N200" s="22">
        <f t="shared" si="24"/>
        <v>34.285714285714285</v>
      </c>
      <c r="O200" s="22" t="str">
        <f t="shared" si="25"/>
        <v>IN STOCK</v>
      </c>
      <c r="P200" s="22" t="str">
        <f t="shared" si="26"/>
        <v>FOLLOW UP DELIVERY</v>
      </c>
      <c r="Q200" s="58">
        <f t="shared" si="27"/>
        <v>3966.6666666666665</v>
      </c>
      <c r="R200" s="58">
        <f t="shared" si="28"/>
        <v>10966.666666666666</v>
      </c>
      <c r="S200" s="58">
        <f t="shared" si="29"/>
        <v>2966.6666666666661</v>
      </c>
      <c r="T200" s="5">
        <v>14</v>
      </c>
      <c r="U200" s="5" t="s">
        <v>1669</v>
      </c>
      <c r="V200" s="173">
        <f>VLOOKUP(A200,'[1]Final-Short'!$B:$AE,29,0)</f>
        <v>5.9520000000000003E-2</v>
      </c>
      <c r="W200" s="171" t="s">
        <v>1787</v>
      </c>
      <c r="X200" s="58">
        <f t="shared" si="30"/>
        <v>176.57599999999996</v>
      </c>
      <c r="Y200" s="58">
        <f t="shared" si="31"/>
        <v>416.64000000000004</v>
      </c>
    </row>
    <row r="201" spans="1:25" x14ac:dyDescent="0.25">
      <c r="A201" s="36" t="s">
        <v>967</v>
      </c>
      <c r="B201" s="171" t="s">
        <v>968</v>
      </c>
      <c r="C201" s="171" t="s">
        <v>968</v>
      </c>
      <c r="D201" s="172" t="s">
        <v>1631</v>
      </c>
      <c r="E201" s="172" t="s">
        <v>5062</v>
      </c>
      <c r="F201" s="172" t="s">
        <v>1631</v>
      </c>
      <c r="G201" s="172" t="s">
        <v>1631</v>
      </c>
      <c r="H201" s="172" t="s">
        <v>1631</v>
      </c>
      <c r="I201" s="172" t="s">
        <v>1631</v>
      </c>
      <c r="J201" s="36">
        <v>1</v>
      </c>
      <c r="K201" s="58">
        <v>230000</v>
      </c>
      <c r="L201" s="58"/>
      <c r="M201" s="22">
        <f>IFERROR((VLOOKUP(A201,'Current Stocks July-26'!$B:$K,10,0)),0)</f>
        <v>122000</v>
      </c>
      <c r="N201" s="22">
        <f t="shared" si="24"/>
        <v>15.913043478260871</v>
      </c>
      <c r="O201" s="22" t="str">
        <f t="shared" si="25"/>
        <v>IN STOCK</v>
      </c>
      <c r="P201" s="22" t="str">
        <f t="shared" si="26"/>
        <v>FOLLOW UP DELIVERY</v>
      </c>
      <c r="Q201" s="58">
        <f t="shared" si="27"/>
        <v>130333.33333333333</v>
      </c>
      <c r="R201" s="58">
        <f t="shared" si="28"/>
        <v>360333.33333333331</v>
      </c>
      <c r="S201" s="58">
        <f t="shared" si="29"/>
        <v>238333.33333333331</v>
      </c>
      <c r="T201" s="5">
        <v>14</v>
      </c>
      <c r="U201" s="5" t="s">
        <v>1669</v>
      </c>
      <c r="V201" s="173">
        <f>VLOOKUP(A201,'[1]Final-Short'!$B:$AE,29,0)</f>
        <v>7.0000000000000007E-2</v>
      </c>
      <c r="W201" s="171" t="s">
        <v>1784</v>
      </c>
      <c r="X201" s="58">
        <f t="shared" si="30"/>
        <v>16683.333333333332</v>
      </c>
      <c r="Y201" s="58">
        <f t="shared" si="31"/>
        <v>16100.000000000002</v>
      </c>
    </row>
    <row r="202" spans="1:25" x14ac:dyDescent="0.25">
      <c r="A202" s="36" t="s">
        <v>798</v>
      </c>
      <c r="B202" s="171" t="s">
        <v>799</v>
      </c>
      <c r="C202" s="171" t="s">
        <v>799</v>
      </c>
      <c r="D202" s="172" t="s">
        <v>1631</v>
      </c>
      <c r="E202" s="172" t="s">
        <v>5062</v>
      </c>
      <c r="F202" s="172" t="s">
        <v>1631</v>
      </c>
      <c r="G202" s="172" t="s">
        <v>1631</v>
      </c>
      <c r="H202" s="172" t="s">
        <v>1631</v>
      </c>
      <c r="I202" s="172" t="s">
        <v>5062</v>
      </c>
      <c r="J202" s="36">
        <v>2</v>
      </c>
      <c r="K202" s="58">
        <v>60000</v>
      </c>
      <c r="L202" s="58"/>
      <c r="M202" s="22">
        <f>IFERROR((VLOOKUP(A202,'Current Stocks July-26'!$B:$K,10,0)),0)</f>
        <v>49500</v>
      </c>
      <c r="N202" s="22">
        <f t="shared" si="24"/>
        <v>24.75</v>
      </c>
      <c r="O202" s="22" t="str">
        <f t="shared" si="25"/>
        <v>IN STOCK</v>
      </c>
      <c r="P202" s="22" t="str">
        <f t="shared" si="26"/>
        <v>FOLLOW UP DELIVERY</v>
      </c>
      <c r="Q202" s="58">
        <f t="shared" si="27"/>
        <v>46000</v>
      </c>
      <c r="R202" s="58">
        <f t="shared" si="28"/>
        <v>106000</v>
      </c>
      <c r="S202" s="58">
        <f t="shared" si="29"/>
        <v>56500</v>
      </c>
      <c r="T202" s="5">
        <v>20</v>
      </c>
      <c r="U202" s="5" t="s">
        <v>1669</v>
      </c>
      <c r="V202" s="173">
        <f>VLOOKUP(A202,'[1]Final-Short'!$B:$AE,29,0)</f>
        <v>0.15</v>
      </c>
      <c r="W202" s="171" t="s">
        <v>1788</v>
      </c>
      <c r="X202" s="58">
        <f t="shared" si="30"/>
        <v>8475</v>
      </c>
      <c r="Y202" s="58">
        <f t="shared" si="31"/>
        <v>9000</v>
      </c>
    </row>
    <row r="203" spans="1:25" x14ac:dyDescent="0.25">
      <c r="A203" s="36" t="s">
        <v>1183</v>
      </c>
      <c r="B203" s="171" t="s">
        <v>1184</v>
      </c>
      <c r="C203" s="171" t="s">
        <v>1184</v>
      </c>
      <c r="D203" s="172" t="s">
        <v>1631</v>
      </c>
      <c r="E203" s="172" t="s">
        <v>5062</v>
      </c>
      <c r="F203" s="172" t="s">
        <v>1631</v>
      </c>
      <c r="G203" s="172" t="s">
        <v>1631</v>
      </c>
      <c r="H203" s="172" t="s">
        <v>1631</v>
      </c>
      <c r="I203" s="172" t="s">
        <v>1631</v>
      </c>
      <c r="J203" s="36">
        <v>1</v>
      </c>
      <c r="K203" s="58">
        <v>30000</v>
      </c>
      <c r="L203" s="58"/>
      <c r="M203" s="22">
        <f>IFERROR((VLOOKUP(A203,'Current Stocks July-26'!$B:$K,10,0)),0)</f>
        <v>46800</v>
      </c>
      <c r="N203" s="22">
        <f t="shared" si="24"/>
        <v>46.800000000000004</v>
      </c>
      <c r="O203" s="22" t="str">
        <f t="shared" si="25"/>
        <v>IN STOCK</v>
      </c>
      <c r="P203" s="22" t="str">
        <f t="shared" si="26"/>
        <v>FOLLOW UP DELIVERY</v>
      </c>
      <c r="Q203" s="58">
        <f t="shared" si="27"/>
        <v>23000</v>
      </c>
      <c r="R203" s="58">
        <f t="shared" si="28"/>
        <v>53000</v>
      </c>
      <c r="S203" s="58">
        <f t="shared" si="29"/>
        <v>6200</v>
      </c>
      <c r="T203" s="5">
        <v>20</v>
      </c>
      <c r="U203" s="5" t="s">
        <v>1669</v>
      </c>
      <c r="V203" s="173">
        <f>VLOOKUP(A203,'[1]Final-Short'!$B:$AE,29,0)</f>
        <v>0.24</v>
      </c>
      <c r="W203" s="171" t="s">
        <v>1789</v>
      </c>
      <c r="X203" s="58">
        <f t="shared" si="30"/>
        <v>1488</v>
      </c>
      <c r="Y203" s="58">
        <f t="shared" si="31"/>
        <v>7200</v>
      </c>
    </row>
    <row r="204" spans="1:25" x14ac:dyDescent="0.25">
      <c r="A204" s="36" t="s">
        <v>848</v>
      </c>
      <c r="B204" s="171" t="s">
        <v>849</v>
      </c>
      <c r="C204" s="171" t="s">
        <v>849</v>
      </c>
      <c r="D204" s="172" t="s">
        <v>1631</v>
      </c>
      <c r="E204" s="172" t="s">
        <v>5062</v>
      </c>
      <c r="F204" s="172" t="s">
        <v>1631</v>
      </c>
      <c r="G204" s="172" t="s">
        <v>1631</v>
      </c>
      <c r="H204" s="172" t="s">
        <v>1631</v>
      </c>
      <c r="I204" s="172" t="s">
        <v>1631</v>
      </c>
      <c r="J204" s="36">
        <v>1</v>
      </c>
      <c r="K204" s="58">
        <v>25000</v>
      </c>
      <c r="L204" s="58"/>
      <c r="M204" s="22">
        <f>IFERROR((VLOOKUP(A204,'Current Stocks July-26'!$B:$K,10,0)),0)</f>
        <v>38105</v>
      </c>
      <c r="N204" s="22">
        <f t="shared" si="24"/>
        <v>45.725999999999999</v>
      </c>
      <c r="O204" s="22" t="str">
        <f t="shared" si="25"/>
        <v>IN STOCK</v>
      </c>
      <c r="P204" s="22" t="str">
        <f t="shared" si="26"/>
        <v>FOLLOW UP DELIVERY</v>
      </c>
      <c r="Q204" s="58">
        <f t="shared" si="27"/>
        <v>19166.666666666668</v>
      </c>
      <c r="R204" s="58">
        <f t="shared" si="28"/>
        <v>44166.666666666672</v>
      </c>
      <c r="S204" s="58">
        <f t="shared" si="29"/>
        <v>6061.6666666666715</v>
      </c>
      <c r="T204" s="5">
        <v>20</v>
      </c>
      <c r="U204" s="5" t="s">
        <v>30</v>
      </c>
      <c r="V204" s="173">
        <f>VLOOKUP(A204,'[1]Final-Short'!$B:$AE,29,0)</f>
        <v>1.1499999999999999</v>
      </c>
      <c r="W204" s="171" t="s">
        <v>1790</v>
      </c>
      <c r="X204" s="58">
        <f t="shared" si="30"/>
        <v>6970.9166666666715</v>
      </c>
      <c r="Y204" s="58">
        <f t="shared" si="31"/>
        <v>28749.999999999996</v>
      </c>
    </row>
    <row r="205" spans="1:25" x14ac:dyDescent="0.25">
      <c r="A205" s="36" t="s">
        <v>990</v>
      </c>
      <c r="B205" s="171" t="s">
        <v>991</v>
      </c>
      <c r="C205" s="171" t="s">
        <v>991</v>
      </c>
      <c r="D205" s="172" t="s">
        <v>1631</v>
      </c>
      <c r="E205" s="172" t="s">
        <v>5062</v>
      </c>
      <c r="F205" s="172" t="s">
        <v>1631</v>
      </c>
      <c r="G205" s="172" t="s">
        <v>1631</v>
      </c>
      <c r="H205" s="172" t="s">
        <v>1631</v>
      </c>
      <c r="I205" s="172" t="s">
        <v>1631</v>
      </c>
      <c r="J205" s="36">
        <v>1</v>
      </c>
      <c r="K205" s="58">
        <v>15000</v>
      </c>
      <c r="L205" s="58"/>
      <c r="M205" s="22">
        <f>IFERROR((VLOOKUP(A205,'Current Stocks July-26'!$B:$K,10,0)),0)</f>
        <v>14800</v>
      </c>
      <c r="N205" s="22">
        <f t="shared" si="24"/>
        <v>29.6</v>
      </c>
      <c r="O205" s="22" t="str">
        <f t="shared" si="25"/>
        <v>IN STOCK</v>
      </c>
      <c r="P205" s="22" t="str">
        <f t="shared" si="26"/>
        <v>FOLLOW UP DELIVERY</v>
      </c>
      <c r="Q205" s="58">
        <f t="shared" si="27"/>
        <v>11500</v>
      </c>
      <c r="R205" s="58">
        <f t="shared" si="28"/>
        <v>26500</v>
      </c>
      <c r="S205" s="58">
        <f t="shared" si="29"/>
        <v>11700</v>
      </c>
      <c r="T205" s="5">
        <v>20</v>
      </c>
      <c r="U205" s="5" t="s">
        <v>30</v>
      </c>
      <c r="V205" s="173">
        <f>VLOOKUP(A205,'[1]Final-Short'!$B:$AE,29,0)</f>
        <v>0.68</v>
      </c>
      <c r="W205" s="171" t="s">
        <v>1790</v>
      </c>
      <c r="X205" s="58">
        <f t="shared" si="30"/>
        <v>7956.0000000000009</v>
      </c>
      <c r="Y205" s="58">
        <f t="shared" si="31"/>
        <v>10200</v>
      </c>
    </row>
    <row r="206" spans="1:25" x14ac:dyDescent="0.25">
      <c r="A206" s="36" t="s">
        <v>1147</v>
      </c>
      <c r="B206" s="171" t="s">
        <v>1148</v>
      </c>
      <c r="C206" s="171" t="s">
        <v>1148</v>
      </c>
      <c r="D206" s="172" t="s">
        <v>1631</v>
      </c>
      <c r="E206" s="172" t="s">
        <v>5062</v>
      </c>
      <c r="F206" s="172" t="s">
        <v>1631</v>
      </c>
      <c r="G206" s="172" t="s">
        <v>1631</v>
      </c>
      <c r="H206" s="172" t="s">
        <v>1631</v>
      </c>
      <c r="I206" s="172" t="s">
        <v>1631</v>
      </c>
      <c r="J206" s="36">
        <v>1</v>
      </c>
      <c r="K206" s="58">
        <v>35000</v>
      </c>
      <c r="L206" s="58"/>
      <c r="M206" s="22">
        <f>IFERROR((VLOOKUP(A206,'Current Stocks July-26'!$B:$K,10,0)),0)</f>
        <v>33080</v>
      </c>
      <c r="N206" s="22">
        <f t="shared" si="24"/>
        <v>28.354285714285716</v>
      </c>
      <c r="O206" s="22" t="str">
        <f t="shared" si="25"/>
        <v>IN STOCK</v>
      </c>
      <c r="P206" s="22" t="str">
        <f t="shared" si="26"/>
        <v>FOLLOW UP DELIVERY</v>
      </c>
      <c r="Q206" s="58">
        <f t="shared" si="27"/>
        <v>26833.333333333336</v>
      </c>
      <c r="R206" s="58">
        <f t="shared" si="28"/>
        <v>61833.333333333336</v>
      </c>
      <c r="S206" s="58">
        <f t="shared" si="29"/>
        <v>28753.333333333336</v>
      </c>
      <c r="T206" s="5">
        <v>20</v>
      </c>
      <c r="U206" s="5" t="s">
        <v>1669</v>
      </c>
      <c r="V206" s="173">
        <f>VLOOKUP(A206,'[1]Final-Short'!$B:$AE,29,0)</f>
        <v>0.14699999999999999</v>
      </c>
      <c r="W206" s="171" t="s">
        <v>1791</v>
      </c>
      <c r="X206" s="58">
        <f t="shared" si="30"/>
        <v>4226.74</v>
      </c>
      <c r="Y206" s="58">
        <f t="shared" si="31"/>
        <v>5145</v>
      </c>
    </row>
    <row r="207" spans="1:25" x14ac:dyDescent="0.25">
      <c r="A207" s="36" t="s">
        <v>909</v>
      </c>
      <c r="B207" s="171" t="s">
        <v>910</v>
      </c>
      <c r="C207" s="171" t="s">
        <v>910</v>
      </c>
      <c r="D207" s="172" t="s">
        <v>1631</v>
      </c>
      <c r="E207" s="172" t="s">
        <v>5062</v>
      </c>
      <c r="F207" s="172" t="s">
        <v>1631</v>
      </c>
      <c r="G207" s="172" t="s">
        <v>1631</v>
      </c>
      <c r="H207" s="172" t="s">
        <v>1631</v>
      </c>
      <c r="I207" s="172" t="s">
        <v>1631</v>
      </c>
      <c r="J207" s="36">
        <v>1</v>
      </c>
      <c r="K207" s="58">
        <v>25000</v>
      </c>
      <c r="L207" s="58"/>
      <c r="M207" s="22">
        <f>IFERROR((VLOOKUP(A207,'Current Stocks July-26'!$B:$K,10,0)),0)</f>
        <v>33440</v>
      </c>
      <c r="N207" s="22">
        <f t="shared" si="24"/>
        <v>40.128</v>
      </c>
      <c r="O207" s="22" t="str">
        <f t="shared" si="25"/>
        <v>IN STOCK</v>
      </c>
      <c r="P207" s="22" t="str">
        <f t="shared" si="26"/>
        <v>FOLLOW UP DELIVERY</v>
      </c>
      <c r="Q207" s="58">
        <f t="shared" si="27"/>
        <v>19166.666666666668</v>
      </c>
      <c r="R207" s="58">
        <f t="shared" si="28"/>
        <v>44166.666666666672</v>
      </c>
      <c r="S207" s="58">
        <f t="shared" si="29"/>
        <v>10726.666666666672</v>
      </c>
      <c r="T207" s="5">
        <v>20</v>
      </c>
      <c r="U207" s="5" t="s">
        <v>1669</v>
      </c>
      <c r="V207" s="173">
        <f>VLOOKUP(A207,'[1]Final-Short'!$B:$AE,29,0)</f>
        <v>0.248</v>
      </c>
      <c r="W207" s="171" t="s">
        <v>1791</v>
      </c>
      <c r="X207" s="58">
        <f t="shared" si="30"/>
        <v>2660.2133333333345</v>
      </c>
      <c r="Y207" s="58">
        <f t="shared" si="31"/>
        <v>6200</v>
      </c>
    </row>
    <row r="208" spans="1:25" x14ac:dyDescent="0.25">
      <c r="A208" s="36" t="s">
        <v>1035</v>
      </c>
      <c r="B208" s="171" t="s">
        <v>1036</v>
      </c>
      <c r="C208" s="171" t="s">
        <v>1036</v>
      </c>
      <c r="D208" s="172" t="s">
        <v>1631</v>
      </c>
      <c r="E208" s="172" t="s">
        <v>5062</v>
      </c>
      <c r="F208" s="172" t="s">
        <v>1631</v>
      </c>
      <c r="G208" s="172" t="s">
        <v>1631</v>
      </c>
      <c r="H208" s="172" t="s">
        <v>1631</v>
      </c>
      <c r="I208" s="172" t="s">
        <v>1631</v>
      </c>
      <c r="J208" s="36">
        <v>1</v>
      </c>
      <c r="K208" s="58">
        <v>10000</v>
      </c>
      <c r="L208" s="58"/>
      <c r="M208" s="22">
        <f>IFERROR((VLOOKUP(A208,'Current Stocks July-26'!$B:$K,10,0)),0)</f>
        <v>38500</v>
      </c>
      <c r="N208" s="22">
        <f t="shared" si="24"/>
        <v>115.5</v>
      </c>
      <c r="O208" s="22" t="str">
        <f t="shared" si="25"/>
        <v>IN STOCK</v>
      </c>
      <c r="P208" s="22" t="str">
        <f t="shared" si="26"/>
        <v>FOLLOW UP DELIVERY</v>
      </c>
      <c r="Q208" s="58">
        <f t="shared" si="27"/>
        <v>11000</v>
      </c>
      <c r="R208" s="58">
        <f t="shared" si="28"/>
        <v>21000</v>
      </c>
      <c r="S208" s="58">
        <f t="shared" si="29"/>
        <v>0</v>
      </c>
      <c r="T208" s="5">
        <v>30</v>
      </c>
      <c r="U208" s="5" t="s">
        <v>1669</v>
      </c>
      <c r="V208" s="173">
        <f>VLOOKUP(A208,'[1]Final-Short'!$B:$AE,29,0)</f>
        <v>6.9000000000000006E-2</v>
      </c>
      <c r="W208" s="171" t="s">
        <v>1792</v>
      </c>
      <c r="X208" s="58">
        <f t="shared" si="30"/>
        <v>0</v>
      </c>
      <c r="Y208" s="58">
        <f t="shared" si="31"/>
        <v>690.00000000000011</v>
      </c>
    </row>
    <row r="209" spans="1:25" x14ac:dyDescent="0.25">
      <c r="A209" s="36" t="s">
        <v>176</v>
      </c>
      <c r="B209" s="171" t="s">
        <v>177</v>
      </c>
      <c r="C209" s="171" t="s">
        <v>177</v>
      </c>
      <c r="D209" s="172" t="s">
        <v>1631</v>
      </c>
      <c r="E209" s="172" t="s">
        <v>5062</v>
      </c>
      <c r="F209" s="172" t="s">
        <v>5062</v>
      </c>
      <c r="G209" s="172" t="s">
        <v>1631</v>
      </c>
      <c r="H209" s="172" t="s">
        <v>1631</v>
      </c>
      <c r="I209" s="172" t="s">
        <v>1631</v>
      </c>
      <c r="J209" s="36">
        <v>2</v>
      </c>
      <c r="K209" s="58">
        <v>40000</v>
      </c>
      <c r="L209" s="58"/>
      <c r="M209" s="22">
        <f>IFERROR((VLOOKUP(A209,'Current Stocks July-26'!$B:$K,10,0)),0)</f>
        <v>31000</v>
      </c>
      <c r="N209" s="22">
        <f t="shared" si="24"/>
        <v>23.25</v>
      </c>
      <c r="O209" s="22" t="str">
        <f t="shared" si="25"/>
        <v>ORDER NOW</v>
      </c>
      <c r="P209" s="22" t="str">
        <f t="shared" si="26"/>
        <v>CRITICAL</v>
      </c>
      <c r="Q209" s="58">
        <f t="shared" si="27"/>
        <v>44000</v>
      </c>
      <c r="R209" s="58">
        <f t="shared" si="28"/>
        <v>84000</v>
      </c>
      <c r="S209" s="58">
        <f t="shared" si="29"/>
        <v>53000</v>
      </c>
      <c r="T209" s="5">
        <v>30</v>
      </c>
      <c r="U209" s="5" t="s">
        <v>1669</v>
      </c>
      <c r="V209" s="173">
        <f>VLOOKUP(A209,'[1]Final-Short'!$B:$AE,29,0)</f>
        <v>0.22</v>
      </c>
      <c r="W209" s="171" t="s">
        <v>1793</v>
      </c>
      <c r="X209" s="58">
        <f t="shared" si="30"/>
        <v>11660</v>
      </c>
      <c r="Y209" s="58">
        <f t="shared" si="31"/>
        <v>8800</v>
      </c>
    </row>
    <row r="210" spans="1:25" x14ac:dyDescent="0.25">
      <c r="A210" s="36" t="s">
        <v>1347</v>
      </c>
      <c r="B210" s="171" t="s">
        <v>1348</v>
      </c>
      <c r="C210" s="171" t="s">
        <v>1348</v>
      </c>
      <c r="D210" s="172" t="s">
        <v>1631</v>
      </c>
      <c r="E210" s="172" t="s">
        <v>5062</v>
      </c>
      <c r="F210" s="172" t="s">
        <v>5062</v>
      </c>
      <c r="G210" s="172" t="s">
        <v>1631</v>
      </c>
      <c r="H210" s="172" t="s">
        <v>1631</v>
      </c>
      <c r="I210" s="172" t="s">
        <v>1631</v>
      </c>
      <c r="J210" s="36">
        <v>2</v>
      </c>
      <c r="K210" s="58">
        <v>130000</v>
      </c>
      <c r="L210" s="58"/>
      <c r="M210" s="22">
        <f>IFERROR((VLOOKUP(A210,'Current Stocks July-26'!$B:$K,10,0)),0)</f>
        <v>83500</v>
      </c>
      <c r="N210" s="22">
        <f t="shared" si="24"/>
        <v>19.26923076923077</v>
      </c>
      <c r="O210" s="22" t="str">
        <f t="shared" si="25"/>
        <v>ORDER NOW</v>
      </c>
      <c r="P210" s="22" t="str">
        <f t="shared" si="26"/>
        <v>CRITICAL</v>
      </c>
      <c r="Q210" s="58">
        <f t="shared" si="27"/>
        <v>143000</v>
      </c>
      <c r="R210" s="58">
        <f t="shared" si="28"/>
        <v>273000</v>
      </c>
      <c r="S210" s="58">
        <f t="shared" si="29"/>
        <v>189500</v>
      </c>
      <c r="T210" s="5">
        <v>30</v>
      </c>
      <c r="U210" s="5" t="s">
        <v>1669</v>
      </c>
      <c r="V210" s="173">
        <f>VLOOKUP(A210,'[1]Final-Short'!$B:$AE,29,0)</f>
        <v>0.22</v>
      </c>
      <c r="W210" s="171" t="s">
        <v>1793</v>
      </c>
      <c r="X210" s="58">
        <f t="shared" si="30"/>
        <v>41690</v>
      </c>
      <c r="Y210" s="58">
        <f t="shared" si="31"/>
        <v>28600</v>
      </c>
    </row>
    <row r="211" spans="1:25" x14ac:dyDescent="0.25">
      <c r="A211" s="36" t="s">
        <v>1018</v>
      </c>
      <c r="B211" s="171" t="s">
        <v>1019</v>
      </c>
      <c r="C211" s="171" t="s">
        <v>1019</v>
      </c>
      <c r="D211" s="172" t="s">
        <v>1631</v>
      </c>
      <c r="E211" s="172" t="s">
        <v>5062</v>
      </c>
      <c r="F211" s="172" t="s">
        <v>5062</v>
      </c>
      <c r="G211" s="172" t="s">
        <v>1631</v>
      </c>
      <c r="H211" s="172" t="s">
        <v>1631</v>
      </c>
      <c r="I211" s="172" t="s">
        <v>1631</v>
      </c>
      <c r="J211" s="36">
        <v>2</v>
      </c>
      <c r="K211" s="58">
        <v>240000</v>
      </c>
      <c r="L211" s="58"/>
      <c r="M211" s="22">
        <f>IFERROR((VLOOKUP(A211,'Current Stocks July-26'!$B:$K,10,0)),0)</f>
        <v>67000</v>
      </c>
      <c r="N211" s="22">
        <f t="shared" si="24"/>
        <v>8.375</v>
      </c>
      <c r="O211" s="22" t="str">
        <f t="shared" si="25"/>
        <v>ORDER NOW</v>
      </c>
      <c r="P211" s="22" t="str">
        <f t="shared" si="26"/>
        <v>CRITICAL</v>
      </c>
      <c r="Q211" s="58">
        <f t="shared" si="27"/>
        <v>264000</v>
      </c>
      <c r="R211" s="58">
        <f t="shared" si="28"/>
        <v>504000</v>
      </c>
      <c r="S211" s="58">
        <f t="shared" si="29"/>
        <v>437000</v>
      </c>
      <c r="T211" s="5">
        <v>30</v>
      </c>
      <c r="U211" s="5" t="s">
        <v>1669</v>
      </c>
      <c r="V211" s="173">
        <f>VLOOKUP(A211,'[1]Final-Short'!$B:$AE,29,0)</f>
        <v>0.24</v>
      </c>
      <c r="W211" s="171" t="s">
        <v>1792</v>
      </c>
      <c r="X211" s="58">
        <f t="shared" si="30"/>
        <v>104880</v>
      </c>
      <c r="Y211" s="58">
        <f t="shared" si="31"/>
        <v>57600</v>
      </c>
    </row>
    <row r="212" spans="1:25" x14ac:dyDescent="0.25">
      <c r="A212" s="36" t="s">
        <v>894</v>
      </c>
      <c r="B212" s="171" t="s">
        <v>895</v>
      </c>
      <c r="C212" s="171" t="s">
        <v>895</v>
      </c>
      <c r="D212" s="172" t="s">
        <v>1631</v>
      </c>
      <c r="E212" s="172" t="s">
        <v>5062</v>
      </c>
      <c r="F212" s="172" t="s">
        <v>1631</v>
      </c>
      <c r="G212" s="172" t="s">
        <v>1631</v>
      </c>
      <c r="H212" s="172" t="s">
        <v>1631</v>
      </c>
      <c r="I212" s="172" t="s">
        <v>1631</v>
      </c>
      <c r="J212" s="36">
        <v>1</v>
      </c>
      <c r="K212" s="180">
        <v>5000</v>
      </c>
      <c r="L212" s="180"/>
      <c r="M212" s="22">
        <f>IFERROR((VLOOKUP(A212,'Current Stocks July-26'!$B:$K,10,0)),0)</f>
        <v>71550</v>
      </c>
      <c r="N212" s="22">
        <f t="shared" si="24"/>
        <v>429.3</v>
      </c>
      <c r="O212" s="22" t="str">
        <f t="shared" si="25"/>
        <v>IN STOCK</v>
      </c>
      <c r="P212" s="22" t="str">
        <f t="shared" si="26"/>
        <v>FOLLOW UP DELIVERY</v>
      </c>
      <c r="Q212" s="58">
        <f t="shared" si="27"/>
        <v>3833.3333333333335</v>
      </c>
      <c r="R212" s="58">
        <f t="shared" si="28"/>
        <v>8833.3333333333339</v>
      </c>
      <c r="S212" s="58">
        <f t="shared" si="29"/>
        <v>0</v>
      </c>
      <c r="T212" s="5">
        <v>20</v>
      </c>
      <c r="U212" s="5" t="s">
        <v>1669</v>
      </c>
      <c r="V212" s="173">
        <f>VLOOKUP(A212,'[1]Final-Short'!$B:$AE,29,0)</f>
        <v>0.56999999999999995</v>
      </c>
      <c r="W212" s="171" t="s">
        <v>1794</v>
      </c>
      <c r="X212" s="58">
        <f t="shared" si="30"/>
        <v>0</v>
      </c>
      <c r="Y212" s="58">
        <f t="shared" si="31"/>
        <v>2849.9999999999995</v>
      </c>
    </row>
    <row r="213" spans="1:25" x14ac:dyDescent="0.25">
      <c r="A213" s="36" t="s">
        <v>1188</v>
      </c>
      <c r="B213" s="171" t="s">
        <v>1189</v>
      </c>
      <c r="C213" s="171" t="s">
        <v>1189</v>
      </c>
      <c r="D213" s="172" t="s">
        <v>1631</v>
      </c>
      <c r="E213" s="172" t="s">
        <v>5062</v>
      </c>
      <c r="F213" s="172" t="s">
        <v>1631</v>
      </c>
      <c r="G213" s="172" t="s">
        <v>1631</v>
      </c>
      <c r="H213" s="172" t="s">
        <v>1631</v>
      </c>
      <c r="I213" s="172" t="s">
        <v>1631</v>
      </c>
      <c r="J213" s="36">
        <v>1</v>
      </c>
      <c r="K213" s="58">
        <v>19000</v>
      </c>
      <c r="L213" s="58"/>
      <c r="M213" s="22">
        <f>IFERROR((VLOOKUP(A213,'Current Stocks July-26'!$B:$K,10,0)),0)</f>
        <v>62000</v>
      </c>
      <c r="N213" s="22">
        <f t="shared" si="24"/>
        <v>97.89473684210526</v>
      </c>
      <c r="O213" s="22" t="str">
        <f t="shared" si="25"/>
        <v>IN STOCK</v>
      </c>
      <c r="P213" s="22" t="str">
        <f t="shared" si="26"/>
        <v>FOLLOW UP DELIVERY</v>
      </c>
      <c r="Q213" s="58">
        <f t="shared" si="27"/>
        <v>14566.666666666668</v>
      </c>
      <c r="R213" s="58">
        <f t="shared" si="28"/>
        <v>33566.666666666672</v>
      </c>
      <c r="S213" s="58">
        <f t="shared" si="29"/>
        <v>0</v>
      </c>
      <c r="T213" s="5">
        <v>20</v>
      </c>
      <c r="U213" s="5" t="s">
        <v>1669</v>
      </c>
      <c r="V213" s="173">
        <f>VLOOKUP(A213,'[1]Final-Short'!$B:$AE,29,0)</f>
        <v>0.68</v>
      </c>
      <c r="W213" s="171" t="s">
        <v>1794</v>
      </c>
      <c r="X213" s="58">
        <f t="shared" si="30"/>
        <v>0</v>
      </c>
      <c r="Y213" s="58">
        <f t="shared" si="31"/>
        <v>12920.000000000002</v>
      </c>
    </row>
    <row r="214" spans="1:25" x14ac:dyDescent="0.25">
      <c r="A214" s="36" t="s">
        <v>698</v>
      </c>
      <c r="B214" s="171" t="s">
        <v>699</v>
      </c>
      <c r="C214" s="171" t="s">
        <v>699</v>
      </c>
      <c r="D214" s="172" t="s">
        <v>1631</v>
      </c>
      <c r="E214" s="172" t="s">
        <v>5062</v>
      </c>
      <c r="F214" s="172" t="s">
        <v>1631</v>
      </c>
      <c r="G214" s="172" t="s">
        <v>1631</v>
      </c>
      <c r="H214" s="172" t="s">
        <v>1631</v>
      </c>
      <c r="I214" s="172" t="s">
        <v>1631</v>
      </c>
      <c r="J214" s="36">
        <v>1</v>
      </c>
      <c r="K214" s="58">
        <v>2000</v>
      </c>
      <c r="L214" s="58"/>
      <c r="M214" s="22">
        <f>IFERROR((VLOOKUP(A214,'Current Stocks July-26'!$B:$K,10,0)),0)</f>
        <v>6000</v>
      </c>
      <c r="N214" s="22">
        <f t="shared" si="24"/>
        <v>90</v>
      </c>
      <c r="O214" s="22" t="str">
        <f t="shared" si="25"/>
        <v>IN STOCK</v>
      </c>
      <c r="P214" s="22" t="str">
        <f t="shared" si="26"/>
        <v>FOLLOW UP DELIVERY</v>
      </c>
      <c r="Q214" s="58">
        <f t="shared" si="27"/>
        <v>666.66666666666663</v>
      </c>
      <c r="R214" s="58">
        <f t="shared" si="28"/>
        <v>2666.6666666666665</v>
      </c>
      <c r="S214" s="58">
        <f t="shared" si="29"/>
        <v>0</v>
      </c>
      <c r="T214" s="5">
        <v>7</v>
      </c>
      <c r="U214" s="5" t="s">
        <v>30</v>
      </c>
      <c r="V214" s="173">
        <f>VLOOKUP(A214,'[1]Final-Short'!$B:$AE,29,0)</f>
        <v>0.09</v>
      </c>
      <c r="W214" s="171" t="s">
        <v>1795</v>
      </c>
      <c r="X214" s="58">
        <f t="shared" si="30"/>
        <v>0</v>
      </c>
      <c r="Y214" s="58">
        <f t="shared" si="31"/>
        <v>180</v>
      </c>
    </row>
    <row r="215" spans="1:25" x14ac:dyDescent="0.25">
      <c r="A215" s="36" t="s">
        <v>1330</v>
      </c>
      <c r="B215" s="171" t="s">
        <v>1331</v>
      </c>
      <c r="C215" s="171" t="s">
        <v>1331</v>
      </c>
      <c r="D215" s="172" t="s">
        <v>1631</v>
      </c>
      <c r="E215" s="172" t="s">
        <v>1631</v>
      </c>
      <c r="F215" s="172" t="s">
        <v>1631</v>
      </c>
      <c r="G215" s="172" t="s">
        <v>1631</v>
      </c>
      <c r="H215" s="172" t="s">
        <v>1631</v>
      </c>
      <c r="I215" s="172" t="s">
        <v>5062</v>
      </c>
      <c r="J215" s="36">
        <v>1</v>
      </c>
      <c r="K215" s="58">
        <v>450</v>
      </c>
      <c r="L215" s="58"/>
      <c r="M215" s="22">
        <f>IFERROR((VLOOKUP(A215,'Current Stocks July-26'!$B:$K,10,0)),0)</f>
        <v>252</v>
      </c>
      <c r="N215" s="22">
        <f t="shared" si="24"/>
        <v>16.8</v>
      </c>
      <c r="O215" s="22" t="str">
        <f t="shared" si="25"/>
        <v>IN STOCK</v>
      </c>
      <c r="P215" s="22" t="str">
        <f t="shared" si="26"/>
        <v>FOLLOW UP DELIVERY</v>
      </c>
      <c r="Q215" s="58">
        <f t="shared" si="27"/>
        <v>255</v>
      </c>
      <c r="R215" s="58">
        <f t="shared" si="28"/>
        <v>705</v>
      </c>
      <c r="S215" s="58">
        <f t="shared" si="29"/>
        <v>453</v>
      </c>
      <c r="T215" s="5">
        <v>14</v>
      </c>
      <c r="U215" s="5" t="s">
        <v>1669</v>
      </c>
      <c r="V215" s="173">
        <f>VLOOKUP(A215,'[1]Final-Short'!$B:$AE,29,0)</f>
        <v>46</v>
      </c>
      <c r="W215" s="171" t="s">
        <v>1796</v>
      </c>
      <c r="X215" s="58">
        <f t="shared" si="30"/>
        <v>20838</v>
      </c>
      <c r="Y215" s="58">
        <f t="shared" si="31"/>
        <v>20700</v>
      </c>
    </row>
    <row r="216" spans="1:25" x14ac:dyDescent="0.25">
      <c r="A216" s="36" t="s">
        <v>1228</v>
      </c>
      <c r="B216" s="171" t="s">
        <v>1229</v>
      </c>
      <c r="C216" s="171" t="s">
        <v>1229</v>
      </c>
      <c r="D216" s="172" t="s">
        <v>1631</v>
      </c>
      <c r="E216" s="172" t="s">
        <v>5062</v>
      </c>
      <c r="F216" s="172" t="s">
        <v>1631</v>
      </c>
      <c r="G216" s="172" t="s">
        <v>1631</v>
      </c>
      <c r="H216" s="172" t="s">
        <v>1631</v>
      </c>
      <c r="I216" s="172" t="s">
        <v>1631</v>
      </c>
      <c r="J216" s="36">
        <v>1</v>
      </c>
      <c r="K216" s="180">
        <v>1500</v>
      </c>
      <c r="L216" s="180"/>
      <c r="M216" s="22">
        <f>IFERROR((VLOOKUP(A216,'Current Stocks July-26'!$B:$K,10,0)),0)</f>
        <v>3050</v>
      </c>
      <c r="N216" s="22">
        <f t="shared" si="24"/>
        <v>61</v>
      </c>
      <c r="O216" s="22" t="str">
        <f t="shared" si="25"/>
        <v>IN STOCK</v>
      </c>
      <c r="P216" s="22" t="str">
        <f t="shared" si="26"/>
        <v>FOLLOW UP DELIVERY</v>
      </c>
      <c r="Q216" s="58">
        <f t="shared" si="27"/>
        <v>850</v>
      </c>
      <c r="R216" s="58">
        <f t="shared" si="28"/>
        <v>2350</v>
      </c>
      <c r="S216" s="58">
        <f t="shared" si="29"/>
        <v>0</v>
      </c>
      <c r="T216" s="5">
        <v>14</v>
      </c>
      <c r="U216" s="5" t="s">
        <v>1797</v>
      </c>
      <c r="V216" s="173">
        <f>VLOOKUP(A216,'[1]Final-Short'!$B:$AE,29,0)</f>
        <v>2.2000000000000002</v>
      </c>
      <c r="W216" s="171" t="s">
        <v>1798</v>
      </c>
      <c r="X216" s="58">
        <f t="shared" si="30"/>
        <v>0</v>
      </c>
      <c r="Y216" s="58">
        <f t="shared" si="31"/>
        <v>3300.0000000000005</v>
      </c>
    </row>
    <row r="217" spans="1:25" x14ac:dyDescent="0.25">
      <c r="A217" s="36" t="s">
        <v>1033</v>
      </c>
      <c r="B217" s="171" t="s">
        <v>1034</v>
      </c>
      <c r="C217" s="171" t="s">
        <v>1034</v>
      </c>
      <c r="D217" s="172" t="s">
        <v>1631</v>
      </c>
      <c r="E217" s="172" t="s">
        <v>5062</v>
      </c>
      <c r="F217" s="172" t="s">
        <v>1631</v>
      </c>
      <c r="G217" s="172" t="s">
        <v>1631</v>
      </c>
      <c r="H217" s="172" t="s">
        <v>1631</v>
      </c>
      <c r="I217" s="172" t="s">
        <v>1631</v>
      </c>
      <c r="J217" s="36">
        <v>1</v>
      </c>
      <c r="K217" s="180">
        <v>4500</v>
      </c>
      <c r="L217" s="180"/>
      <c r="M217" s="22">
        <f>IFERROR((VLOOKUP(A217,'Current Stocks July-26'!$B:$K,10,0)),0)</f>
        <v>59449</v>
      </c>
      <c r="N217" s="22">
        <f t="shared" si="24"/>
        <v>396.32666666666665</v>
      </c>
      <c r="O217" s="22" t="str">
        <f t="shared" si="25"/>
        <v>IN STOCK</v>
      </c>
      <c r="P217" s="22" t="str">
        <f t="shared" si="26"/>
        <v>FOLLOW UP DELIVERY</v>
      </c>
      <c r="Q217" s="58">
        <f t="shared" si="27"/>
        <v>3450.0000000000005</v>
      </c>
      <c r="R217" s="58">
        <f t="shared" si="28"/>
        <v>7950</v>
      </c>
      <c r="S217" s="58">
        <f t="shared" si="29"/>
        <v>0</v>
      </c>
      <c r="T217" s="5">
        <v>20</v>
      </c>
      <c r="U217" s="5" t="s">
        <v>1669</v>
      </c>
      <c r="V217" s="195">
        <f>VLOOKUP(A217,'[1]Final-Short'!$B:$AE,29,0)</f>
        <v>1.1000000000000001</v>
      </c>
      <c r="W217" s="171" t="s">
        <v>1789</v>
      </c>
      <c r="X217" s="58">
        <f t="shared" si="30"/>
        <v>0</v>
      </c>
      <c r="Y217" s="58">
        <f t="shared" si="31"/>
        <v>4950</v>
      </c>
    </row>
    <row r="218" spans="1:25" x14ac:dyDescent="0.25">
      <c r="A218" s="36" t="s">
        <v>1799</v>
      </c>
      <c r="B218" s="171" t="s">
        <v>1800</v>
      </c>
      <c r="C218" s="171" t="s">
        <v>1800</v>
      </c>
      <c r="D218" s="172" t="s">
        <v>1631</v>
      </c>
      <c r="E218" s="172" t="s">
        <v>5062</v>
      </c>
      <c r="F218" s="172" t="s">
        <v>1631</v>
      </c>
      <c r="G218" s="172" t="s">
        <v>1631</v>
      </c>
      <c r="H218" s="172" t="s">
        <v>1631</v>
      </c>
      <c r="I218" s="172" t="s">
        <v>1631</v>
      </c>
      <c r="J218" s="36">
        <v>1</v>
      </c>
      <c r="K218" s="180">
        <v>300</v>
      </c>
      <c r="L218" s="180"/>
      <c r="M218" s="22">
        <f>IFERROR((VLOOKUP(A218,'Current Stocks July-26'!$B:$K,10,0)),0)</f>
        <v>392.79999999999995</v>
      </c>
      <c r="N218" s="22">
        <f t="shared" si="24"/>
        <v>39.279999999999994</v>
      </c>
      <c r="O218" s="22" t="str">
        <f t="shared" si="25"/>
        <v>IN STOCK</v>
      </c>
      <c r="P218" s="22" t="str">
        <f t="shared" si="26"/>
        <v>FOLLOW UP DELIVERY</v>
      </c>
      <c r="Q218" s="58">
        <f t="shared" si="27"/>
        <v>100</v>
      </c>
      <c r="R218" s="58">
        <f t="shared" si="28"/>
        <v>400</v>
      </c>
      <c r="S218" s="58">
        <f t="shared" si="29"/>
        <v>7.2000000000000455</v>
      </c>
      <c r="T218" s="5">
        <v>7</v>
      </c>
      <c r="U218" s="5" t="s">
        <v>30</v>
      </c>
      <c r="V218" s="195">
        <f>VLOOKUP(A218,'[1]Final-Short'!$B:$AE,29,0)</f>
        <v>54.285710000000002</v>
      </c>
      <c r="W218" s="171" t="s">
        <v>1710</v>
      </c>
      <c r="X218" s="58">
        <f t="shared" si="30"/>
        <v>390.85711200000247</v>
      </c>
      <c r="Y218" s="58">
        <f t="shared" si="31"/>
        <v>16285.713</v>
      </c>
    </row>
    <row r="219" spans="1:25" x14ac:dyDescent="0.25">
      <c r="A219" s="36" t="s">
        <v>1075</v>
      </c>
      <c r="B219" s="171" t="s">
        <v>1801</v>
      </c>
      <c r="C219" s="171" t="s">
        <v>1076</v>
      </c>
      <c r="D219" s="172" t="s">
        <v>1631</v>
      </c>
      <c r="E219" s="172" t="s">
        <v>5062</v>
      </c>
      <c r="F219" s="172" t="s">
        <v>1631</v>
      </c>
      <c r="G219" s="172" t="s">
        <v>1631</v>
      </c>
      <c r="H219" s="172" t="s">
        <v>1631</v>
      </c>
      <c r="I219" s="172" t="s">
        <v>1631</v>
      </c>
      <c r="J219" s="36">
        <v>1</v>
      </c>
      <c r="K219" s="180">
        <v>300</v>
      </c>
      <c r="L219" s="180"/>
      <c r="M219" s="22">
        <f>IFERROR((VLOOKUP(A219,'Current Stocks July-26'!$B:$K,10,0)),0)</f>
        <v>0</v>
      </c>
      <c r="N219" s="22">
        <f t="shared" si="24"/>
        <v>0</v>
      </c>
      <c r="O219" s="22" t="str">
        <f t="shared" si="25"/>
        <v>ORDER NOW</v>
      </c>
      <c r="P219" s="22" t="str">
        <f t="shared" si="26"/>
        <v>CRITICAL</v>
      </c>
      <c r="Q219" s="58">
        <f t="shared" si="27"/>
        <v>100</v>
      </c>
      <c r="R219" s="58">
        <f t="shared" si="28"/>
        <v>400</v>
      </c>
      <c r="S219" s="58">
        <f t="shared" si="29"/>
        <v>400</v>
      </c>
      <c r="T219" s="5">
        <v>7</v>
      </c>
      <c r="U219" s="5" t="s">
        <v>30</v>
      </c>
      <c r="V219" s="173">
        <f>VLOOKUP(A219,'[1]Final-Short'!$B:$AE,29,0)</f>
        <v>4</v>
      </c>
      <c r="W219" s="171" t="s">
        <v>1802</v>
      </c>
      <c r="X219" s="58">
        <f t="shared" si="30"/>
        <v>1600</v>
      </c>
      <c r="Y219" s="58">
        <f t="shared" si="31"/>
        <v>1200</v>
      </c>
    </row>
    <row r="220" spans="1:25" x14ac:dyDescent="0.25">
      <c r="A220" s="36" t="s">
        <v>181</v>
      </c>
      <c r="B220" s="171" t="s">
        <v>182</v>
      </c>
      <c r="C220" s="171" t="s">
        <v>182</v>
      </c>
      <c r="D220" s="172" t="s">
        <v>1631</v>
      </c>
      <c r="E220" s="172" t="s">
        <v>5062</v>
      </c>
      <c r="F220" s="172" t="s">
        <v>1631</v>
      </c>
      <c r="G220" s="172" t="s">
        <v>1631</v>
      </c>
      <c r="H220" s="172" t="s">
        <v>1631</v>
      </c>
      <c r="I220" s="172" t="s">
        <v>1631</v>
      </c>
      <c r="J220" s="36">
        <v>1</v>
      </c>
      <c r="K220" s="180">
        <v>5500</v>
      </c>
      <c r="L220" s="180"/>
      <c r="M220" s="22">
        <f>IFERROR((VLOOKUP(A220,'Current Stocks July-26'!$B:$K,10,0)),0)</f>
        <v>0</v>
      </c>
      <c r="N220" s="22">
        <f t="shared" si="24"/>
        <v>0</v>
      </c>
      <c r="O220" s="22" t="str">
        <f t="shared" si="25"/>
        <v>ORDER NOW</v>
      </c>
      <c r="P220" s="22" t="str">
        <f t="shared" si="26"/>
        <v>CRITICAL</v>
      </c>
      <c r="Q220" s="58">
        <f t="shared" si="27"/>
        <v>19800</v>
      </c>
      <c r="R220" s="58">
        <f t="shared" si="28"/>
        <v>25300</v>
      </c>
      <c r="S220" s="58">
        <f t="shared" si="29"/>
        <v>25300</v>
      </c>
      <c r="T220" s="5">
        <v>105</v>
      </c>
      <c r="U220" s="5" t="s">
        <v>1669</v>
      </c>
      <c r="V220" s="173">
        <f>VLOOKUP(A220,'[1]Final-Short'!$B:$AE,29,0)</f>
        <v>0.78749999999999998</v>
      </c>
      <c r="W220" s="171" t="s">
        <v>1803</v>
      </c>
      <c r="X220" s="58">
        <f t="shared" si="30"/>
        <v>19923.75</v>
      </c>
      <c r="Y220" s="58">
        <f t="shared" si="31"/>
        <v>4331.25</v>
      </c>
    </row>
    <row r="221" spans="1:25" x14ac:dyDescent="0.25">
      <c r="A221" s="36" t="s">
        <v>981</v>
      </c>
      <c r="B221" s="171" t="s">
        <v>1804</v>
      </c>
      <c r="C221" s="171" t="s">
        <v>1805</v>
      </c>
      <c r="D221" s="172">
        <v>0</v>
      </c>
      <c r="E221" s="172">
        <v>0</v>
      </c>
      <c r="F221" s="172">
        <v>0</v>
      </c>
      <c r="G221" s="172">
        <v>0</v>
      </c>
      <c r="H221" s="172">
        <v>0</v>
      </c>
      <c r="I221" s="172">
        <v>0</v>
      </c>
      <c r="J221" s="36">
        <v>0</v>
      </c>
      <c r="K221" s="58">
        <v>5000</v>
      </c>
      <c r="L221" s="58"/>
      <c r="M221" s="22">
        <f>IFERROR((VLOOKUP(A221,'Current Stocks July-26'!$B:$K,10,0)),0)</f>
        <v>0</v>
      </c>
      <c r="N221" s="22">
        <f t="shared" si="24"/>
        <v>0</v>
      </c>
      <c r="O221" s="22" t="str">
        <f t="shared" si="25"/>
        <v>ORDER NOW</v>
      </c>
      <c r="P221" s="22" t="str">
        <f t="shared" si="26"/>
        <v>CRITICAL</v>
      </c>
      <c r="Q221" s="58">
        <f t="shared" si="27"/>
        <v>2833.3333333333335</v>
      </c>
      <c r="R221" s="58">
        <f t="shared" si="28"/>
        <v>7833.3333333333339</v>
      </c>
      <c r="S221" s="58">
        <f t="shared" si="29"/>
        <v>7833.3333333333339</v>
      </c>
      <c r="T221" s="5">
        <v>14</v>
      </c>
      <c r="U221" s="5" t="s">
        <v>30</v>
      </c>
      <c r="V221" s="173">
        <f>VLOOKUP(A221,'[1]Final-Short'!$B:$AE,29,0)</f>
        <v>0.09</v>
      </c>
      <c r="W221" s="171" t="s">
        <v>1795</v>
      </c>
      <c r="X221" s="58">
        <f t="shared" si="30"/>
        <v>705</v>
      </c>
      <c r="Y221" s="58">
        <f t="shared" si="31"/>
        <v>450</v>
      </c>
    </row>
    <row r="222" spans="1:25" x14ac:dyDescent="0.25">
      <c r="A222" s="36" t="s">
        <v>335</v>
      </c>
      <c r="B222" s="171" t="s">
        <v>336</v>
      </c>
      <c r="C222" s="171" t="s">
        <v>336</v>
      </c>
      <c r="D222" s="172" t="s">
        <v>1631</v>
      </c>
      <c r="E222" s="172" t="s">
        <v>5062</v>
      </c>
      <c r="F222" s="172" t="s">
        <v>1631</v>
      </c>
      <c r="G222" s="172" t="s">
        <v>1631</v>
      </c>
      <c r="H222" s="172" t="s">
        <v>1631</v>
      </c>
      <c r="I222" s="172" t="s">
        <v>1631</v>
      </c>
      <c r="J222" s="36">
        <v>1</v>
      </c>
      <c r="K222" s="180">
        <v>10</v>
      </c>
      <c r="L222" s="180"/>
      <c r="M222" s="22">
        <f>IFERROR((VLOOKUP(A222,'Current Stocks July-26'!$B:$K,10,0)),0)</f>
        <v>0</v>
      </c>
      <c r="N222" s="22">
        <f t="shared" si="24"/>
        <v>0</v>
      </c>
      <c r="O222" s="22" t="str">
        <f t="shared" si="25"/>
        <v>ORDER NOW</v>
      </c>
      <c r="P222" s="22" t="str">
        <f t="shared" si="26"/>
        <v>CRITICAL</v>
      </c>
      <c r="Q222" s="58">
        <f t="shared" si="27"/>
        <v>5.6666666666666661</v>
      </c>
      <c r="R222" s="58">
        <f t="shared" si="28"/>
        <v>15.666666666666666</v>
      </c>
      <c r="S222" s="58">
        <f t="shared" si="29"/>
        <v>15.666666666666666</v>
      </c>
      <c r="T222" s="5">
        <v>14</v>
      </c>
      <c r="U222" s="5" t="s">
        <v>30</v>
      </c>
      <c r="V222" s="193">
        <f>VLOOKUP(A222,'[1]Final-Short'!$B:$AE,29,0)</f>
        <v>0</v>
      </c>
      <c r="W222" s="171" t="s">
        <v>1763</v>
      </c>
      <c r="X222" s="58">
        <f t="shared" si="30"/>
        <v>0</v>
      </c>
      <c r="Y222" s="58">
        <f t="shared" si="31"/>
        <v>0</v>
      </c>
    </row>
    <row r="223" spans="1:25" x14ac:dyDescent="0.25">
      <c r="A223" s="36" t="s">
        <v>1806</v>
      </c>
      <c r="B223" s="171" t="s">
        <v>1807</v>
      </c>
      <c r="C223" s="171" t="s">
        <v>1807</v>
      </c>
      <c r="D223" s="172" t="s">
        <v>1631</v>
      </c>
      <c r="E223" s="172" t="s">
        <v>5062</v>
      </c>
      <c r="F223" s="172" t="s">
        <v>1631</v>
      </c>
      <c r="G223" s="172" t="s">
        <v>1631</v>
      </c>
      <c r="H223" s="172" t="s">
        <v>1631</v>
      </c>
      <c r="I223" s="172" t="s">
        <v>1631</v>
      </c>
      <c r="J223" s="36">
        <v>1</v>
      </c>
      <c r="K223" s="180">
        <v>10</v>
      </c>
      <c r="L223" s="180"/>
      <c r="M223" s="22">
        <f>IFERROR((VLOOKUP(A223,'Current Stocks July-26'!$B:$K,10,0)),0)</f>
        <v>0</v>
      </c>
      <c r="N223" s="22">
        <f t="shared" si="24"/>
        <v>0</v>
      </c>
      <c r="O223" s="22" t="str">
        <f t="shared" si="25"/>
        <v>ORDER NOW</v>
      </c>
      <c r="P223" s="22" t="str">
        <f t="shared" si="26"/>
        <v>CRITICAL</v>
      </c>
      <c r="Q223" s="58">
        <f t="shared" si="27"/>
        <v>5.6666666666666661</v>
      </c>
      <c r="R223" s="58">
        <f t="shared" si="28"/>
        <v>15.666666666666666</v>
      </c>
      <c r="S223" s="58">
        <f t="shared" si="29"/>
        <v>15.666666666666666</v>
      </c>
      <c r="T223" s="5">
        <v>14</v>
      </c>
      <c r="U223" s="5" t="s">
        <v>30</v>
      </c>
      <c r="V223" s="173">
        <f>VLOOKUP(A223,'[1]Final-Short'!$B:$AE,29,0)</f>
        <v>0</v>
      </c>
      <c r="W223" s="171" t="s">
        <v>1763</v>
      </c>
      <c r="X223" s="58">
        <f t="shared" si="30"/>
        <v>0</v>
      </c>
      <c r="Y223" s="58">
        <f t="shared" si="31"/>
        <v>0</v>
      </c>
    </row>
    <row r="224" spans="1:25" x14ac:dyDescent="0.25">
      <c r="A224" s="36" t="s">
        <v>1434</v>
      </c>
      <c r="B224" s="171" t="s">
        <v>1435</v>
      </c>
      <c r="C224" s="171" t="s">
        <v>1435</v>
      </c>
      <c r="D224" s="172" t="s">
        <v>1631</v>
      </c>
      <c r="E224" s="172" t="s">
        <v>5062</v>
      </c>
      <c r="F224" s="172" t="s">
        <v>1631</v>
      </c>
      <c r="G224" s="172" t="s">
        <v>1631</v>
      </c>
      <c r="H224" s="172" t="s">
        <v>1631</v>
      </c>
      <c r="I224" s="172" t="s">
        <v>1631</v>
      </c>
      <c r="J224" s="36">
        <v>1</v>
      </c>
      <c r="K224" s="180">
        <v>25</v>
      </c>
      <c r="L224" s="180"/>
      <c r="M224" s="22">
        <f>IFERROR((VLOOKUP(A224,'Current Stocks July-26'!$B:$K,10,0)),0)</f>
        <v>30</v>
      </c>
      <c r="N224" s="22">
        <f t="shared" si="24"/>
        <v>36</v>
      </c>
      <c r="O224" s="22" t="str">
        <f t="shared" si="25"/>
        <v>IN STOCK</v>
      </c>
      <c r="P224" s="22" t="str">
        <f t="shared" si="26"/>
        <v>FOLLOW UP DELIVERY</v>
      </c>
      <c r="Q224" s="58">
        <f t="shared" si="27"/>
        <v>8.3333333333333321</v>
      </c>
      <c r="R224" s="58">
        <f t="shared" si="28"/>
        <v>33.333333333333329</v>
      </c>
      <c r="S224" s="58">
        <f t="shared" si="29"/>
        <v>3.3333333333333286</v>
      </c>
      <c r="T224" s="5">
        <v>7</v>
      </c>
      <c r="U224" s="5" t="s">
        <v>30</v>
      </c>
      <c r="V224" s="173">
        <f>VLOOKUP(A224,'[1]Final-Short'!$B:$AE,29,0)</f>
        <v>12</v>
      </c>
      <c r="W224" s="171" t="s">
        <v>1718</v>
      </c>
      <c r="X224" s="58">
        <f t="shared" si="30"/>
        <v>39.999999999999943</v>
      </c>
      <c r="Y224" s="58">
        <f t="shared" si="31"/>
        <v>300</v>
      </c>
    </row>
    <row r="225" spans="1:25" x14ac:dyDescent="0.25">
      <c r="A225" s="36" t="s">
        <v>929</v>
      </c>
      <c r="B225" s="171" t="s">
        <v>930</v>
      </c>
      <c r="C225" s="171" t="s">
        <v>930</v>
      </c>
      <c r="D225" s="172" t="s">
        <v>1631</v>
      </c>
      <c r="E225" s="172" t="s">
        <v>5062</v>
      </c>
      <c r="F225" s="172" t="s">
        <v>1631</v>
      </c>
      <c r="G225" s="172" t="s">
        <v>1631</v>
      </c>
      <c r="H225" s="172" t="s">
        <v>1631</v>
      </c>
      <c r="I225" s="172" t="s">
        <v>1631</v>
      </c>
      <c r="J225" s="36">
        <v>1</v>
      </c>
      <c r="K225" s="180">
        <v>20</v>
      </c>
      <c r="L225" s="180"/>
      <c r="M225" s="22">
        <f>IFERROR((VLOOKUP(A225,'Current Stocks July-26'!$B:$K,10,0)),0)</f>
        <v>0</v>
      </c>
      <c r="N225" s="22">
        <f t="shared" si="24"/>
        <v>0</v>
      </c>
      <c r="O225" s="22" t="str">
        <f t="shared" si="25"/>
        <v>ORDER NOW</v>
      </c>
      <c r="P225" s="22" t="str">
        <f t="shared" si="26"/>
        <v>CRITICAL</v>
      </c>
      <c r="Q225" s="58">
        <f t="shared" si="27"/>
        <v>6.6666666666666661</v>
      </c>
      <c r="R225" s="58">
        <f t="shared" si="28"/>
        <v>26.666666666666664</v>
      </c>
      <c r="S225" s="58">
        <f t="shared" si="29"/>
        <v>26.666666666666664</v>
      </c>
      <c r="T225" s="5">
        <v>7</v>
      </c>
      <c r="U225" s="5" t="s">
        <v>30</v>
      </c>
      <c r="V225" s="173">
        <f>VLOOKUP(A225,'[1]Final-Short'!$B:$AE,29,0)</f>
        <v>89</v>
      </c>
      <c r="W225" s="171" t="s">
        <v>1752</v>
      </c>
      <c r="X225" s="58">
        <f t="shared" si="30"/>
        <v>2373.333333333333</v>
      </c>
      <c r="Y225" s="58">
        <f t="shared" si="31"/>
        <v>1780</v>
      </c>
    </row>
    <row r="226" spans="1:25" x14ac:dyDescent="0.25">
      <c r="A226" s="36" t="s">
        <v>1808</v>
      </c>
      <c r="B226" s="171" t="s">
        <v>1809</v>
      </c>
      <c r="C226" s="171" t="s">
        <v>1810</v>
      </c>
      <c r="D226" s="172" t="s">
        <v>1631</v>
      </c>
      <c r="E226" s="172" t="s">
        <v>1631</v>
      </c>
      <c r="F226" s="172" t="s">
        <v>5062</v>
      </c>
      <c r="G226" s="172" t="s">
        <v>1631</v>
      </c>
      <c r="H226" s="172" t="s">
        <v>1631</v>
      </c>
      <c r="I226" s="172" t="s">
        <v>1631</v>
      </c>
      <c r="J226" s="36">
        <v>1</v>
      </c>
      <c r="K226" s="58">
        <v>20000</v>
      </c>
      <c r="L226" s="58"/>
      <c r="M226" s="22">
        <f>IFERROR((VLOOKUP(A226,'Current Stocks July-26'!$B:$K,10,0)),0)</f>
        <v>0</v>
      </c>
      <c r="N226" s="22">
        <f t="shared" si="24"/>
        <v>0</v>
      </c>
      <c r="O226" s="22" t="str">
        <f t="shared" si="25"/>
        <v>ORDER NOW</v>
      </c>
      <c r="P226" s="22" t="str">
        <f t="shared" si="26"/>
        <v>CRITICAL</v>
      </c>
      <c r="Q226" s="58">
        <f t="shared" si="27"/>
        <v>72000</v>
      </c>
      <c r="R226" s="58">
        <f t="shared" si="28"/>
        <v>92000</v>
      </c>
      <c r="S226" s="58">
        <f t="shared" si="29"/>
        <v>92000</v>
      </c>
      <c r="T226" s="5">
        <v>105</v>
      </c>
      <c r="U226" s="5" t="s">
        <v>1669</v>
      </c>
      <c r="V226" s="173">
        <f>VLOOKUP(A226,'[1]Final-Short'!$B:$AE,29,0)</f>
        <v>0.105</v>
      </c>
      <c r="W226" s="171" t="s">
        <v>1803</v>
      </c>
      <c r="X226" s="58">
        <f t="shared" si="30"/>
        <v>9660</v>
      </c>
      <c r="Y226" s="58">
        <f t="shared" si="31"/>
        <v>2100</v>
      </c>
    </row>
    <row r="227" spans="1:25" x14ac:dyDescent="0.25">
      <c r="A227" s="36" t="s">
        <v>1811</v>
      </c>
      <c r="B227" s="171" t="s">
        <v>1812</v>
      </c>
      <c r="C227" s="171" t="s">
        <v>1813</v>
      </c>
      <c r="D227" s="172" t="s">
        <v>1631</v>
      </c>
      <c r="E227" s="172" t="s">
        <v>1631</v>
      </c>
      <c r="F227" s="172" t="s">
        <v>5062</v>
      </c>
      <c r="G227" s="172" t="s">
        <v>1631</v>
      </c>
      <c r="H227" s="172" t="s">
        <v>1631</v>
      </c>
      <c r="I227" s="172" t="s">
        <v>1631</v>
      </c>
      <c r="J227" s="36">
        <v>1</v>
      </c>
      <c r="K227" s="58">
        <v>25000</v>
      </c>
      <c r="L227" s="58"/>
      <c r="M227" s="22">
        <f>IFERROR((VLOOKUP(A227,'Current Stocks July-26'!$B:$K,10,0)),0)</f>
        <v>0</v>
      </c>
      <c r="N227" s="22">
        <f t="shared" si="24"/>
        <v>0</v>
      </c>
      <c r="O227" s="22" t="str">
        <f t="shared" si="25"/>
        <v>ORDER NOW</v>
      </c>
      <c r="P227" s="22" t="str">
        <f t="shared" si="26"/>
        <v>CRITICAL</v>
      </c>
      <c r="Q227" s="58">
        <f t="shared" si="27"/>
        <v>90000</v>
      </c>
      <c r="R227" s="58">
        <f t="shared" si="28"/>
        <v>115000</v>
      </c>
      <c r="S227" s="58">
        <f t="shared" si="29"/>
        <v>115000</v>
      </c>
      <c r="T227" s="5">
        <v>105</v>
      </c>
      <c r="U227" s="5" t="s">
        <v>1669</v>
      </c>
      <c r="V227" s="173">
        <f>VLOOKUP(A227,'[1]Final-Short'!$B:$AE,29,0)</f>
        <v>0.67125000000000001</v>
      </c>
      <c r="W227" s="171" t="s">
        <v>1803</v>
      </c>
      <c r="X227" s="58">
        <f t="shared" si="30"/>
        <v>77193.75</v>
      </c>
      <c r="Y227" s="58">
        <f t="shared" si="31"/>
        <v>16781.25</v>
      </c>
    </row>
    <row r="228" spans="1:25" x14ac:dyDescent="0.25">
      <c r="A228" s="36" t="s">
        <v>1619</v>
      </c>
      <c r="B228" s="171" t="s">
        <v>1620</v>
      </c>
      <c r="C228" s="171" t="s">
        <v>1620</v>
      </c>
      <c r="D228" s="172" t="s">
        <v>1631</v>
      </c>
      <c r="E228" s="172" t="s">
        <v>1631</v>
      </c>
      <c r="F228" s="172" t="s">
        <v>5062</v>
      </c>
      <c r="G228" s="172" t="s">
        <v>1631</v>
      </c>
      <c r="H228" s="172" t="s">
        <v>1631</v>
      </c>
      <c r="I228" s="172" t="s">
        <v>1631</v>
      </c>
      <c r="J228" s="36">
        <v>1</v>
      </c>
      <c r="K228" s="58">
        <v>80000</v>
      </c>
      <c r="L228" s="58"/>
      <c r="M228" s="22">
        <f>IFERROR((VLOOKUP(A228,'Current Stocks July-26'!$B:$K,10,0)),0)</f>
        <v>8000</v>
      </c>
      <c r="N228" s="22">
        <f t="shared" si="24"/>
        <v>3</v>
      </c>
      <c r="O228" s="22" t="str">
        <f t="shared" si="25"/>
        <v>ORDER NOW</v>
      </c>
      <c r="P228" s="22" t="str">
        <f t="shared" si="26"/>
        <v>CRITICAL</v>
      </c>
      <c r="Q228" s="58">
        <f t="shared" si="27"/>
        <v>288000</v>
      </c>
      <c r="R228" s="58">
        <f t="shared" si="28"/>
        <v>368000</v>
      </c>
      <c r="S228" s="58">
        <f t="shared" si="29"/>
        <v>360000</v>
      </c>
      <c r="T228" s="5">
        <v>105</v>
      </c>
      <c r="U228" s="5" t="s">
        <v>1669</v>
      </c>
      <c r="V228" s="173">
        <f>VLOOKUP(A228,'[1]Final-Short'!$B:$AE,29,0)</f>
        <v>0.63</v>
      </c>
      <c r="W228" s="171" t="s">
        <v>1803</v>
      </c>
      <c r="X228" s="58">
        <f t="shared" si="30"/>
        <v>226800</v>
      </c>
      <c r="Y228" s="58">
        <f t="shared" si="31"/>
        <v>50400</v>
      </c>
    </row>
    <row r="229" spans="1:25" x14ac:dyDescent="0.25">
      <c r="A229" s="36" t="s">
        <v>1814</v>
      </c>
      <c r="B229" s="171" t="s">
        <v>1815</v>
      </c>
      <c r="C229" s="171" t="s">
        <v>1815</v>
      </c>
      <c r="D229" s="172" t="s">
        <v>1631</v>
      </c>
      <c r="E229" s="172" t="s">
        <v>1631</v>
      </c>
      <c r="F229" s="172" t="s">
        <v>1631</v>
      </c>
      <c r="G229" s="172" t="s">
        <v>1631</v>
      </c>
      <c r="H229" s="172" t="s">
        <v>1631</v>
      </c>
      <c r="I229" s="172" t="s">
        <v>5062</v>
      </c>
      <c r="J229" s="36">
        <v>1</v>
      </c>
      <c r="K229" s="58">
        <v>1</v>
      </c>
      <c r="L229" s="58"/>
      <c r="M229" s="22">
        <f>IFERROR((VLOOKUP(A229,'Current Stocks July-26'!$B:$K,10,0)),0)</f>
        <v>7</v>
      </c>
      <c r="N229" s="22">
        <f t="shared" si="24"/>
        <v>210</v>
      </c>
      <c r="O229" s="22" t="str">
        <f t="shared" si="25"/>
        <v>IN STOCK</v>
      </c>
      <c r="P229" s="22" t="str">
        <f t="shared" si="26"/>
        <v>FOLLOW UP DELIVERY</v>
      </c>
      <c r="Q229" s="58">
        <f t="shared" si="27"/>
        <v>0.56666666666666665</v>
      </c>
      <c r="R229" s="58">
        <f t="shared" si="28"/>
        <v>1.5666666666666667</v>
      </c>
      <c r="S229" s="58">
        <f t="shared" si="29"/>
        <v>0</v>
      </c>
      <c r="T229" s="5">
        <v>14</v>
      </c>
      <c r="U229" s="5" t="s">
        <v>30</v>
      </c>
      <c r="V229" s="173">
        <f>VLOOKUP(A229,'[1]Final-Short'!$B:$AE,29,0)</f>
        <v>15.171430000000001</v>
      </c>
      <c r="W229" s="171" t="s">
        <v>1696</v>
      </c>
      <c r="X229" s="58">
        <f t="shared" si="30"/>
        <v>0</v>
      </c>
      <c r="Y229" s="58">
        <f t="shared" si="31"/>
        <v>15.171430000000001</v>
      </c>
    </row>
    <row r="230" spans="1:25" x14ac:dyDescent="0.25">
      <c r="A230" s="36" t="s">
        <v>1626</v>
      </c>
      <c r="B230" s="171" t="s">
        <v>1627</v>
      </c>
      <c r="C230" s="171" t="s">
        <v>1627</v>
      </c>
      <c r="D230" s="172" t="s">
        <v>1631</v>
      </c>
      <c r="E230" s="172" t="s">
        <v>1631</v>
      </c>
      <c r="F230" s="172" t="s">
        <v>5062</v>
      </c>
      <c r="G230" s="172" t="s">
        <v>1631</v>
      </c>
      <c r="H230" s="172" t="s">
        <v>1631</v>
      </c>
      <c r="I230" s="172" t="s">
        <v>1631</v>
      </c>
      <c r="J230" s="36">
        <v>1</v>
      </c>
      <c r="K230" s="58">
        <v>60000</v>
      </c>
      <c r="L230" s="58"/>
      <c r="M230" s="22">
        <f>IFERROR((VLOOKUP(A230,'Current Stocks July-26'!$B:$K,10,0)),0)</f>
        <v>50500</v>
      </c>
      <c r="N230" s="22">
        <f t="shared" si="24"/>
        <v>25.25</v>
      </c>
      <c r="O230" s="22" t="str">
        <f t="shared" si="25"/>
        <v>ORDER NOW</v>
      </c>
      <c r="P230" s="22" t="str">
        <f t="shared" si="26"/>
        <v>CRITICAL</v>
      </c>
      <c r="Q230" s="58">
        <f t="shared" si="27"/>
        <v>216000</v>
      </c>
      <c r="R230" s="58">
        <f t="shared" si="28"/>
        <v>276000</v>
      </c>
      <c r="S230" s="58">
        <f t="shared" si="29"/>
        <v>225500</v>
      </c>
      <c r="T230" s="5">
        <v>105</v>
      </c>
      <c r="U230" s="5" t="s">
        <v>1669</v>
      </c>
      <c r="V230" s="173">
        <f>VLOOKUP(A230,'[1]Final-Short'!$B:$AE,29,0)</f>
        <v>0.85</v>
      </c>
      <c r="W230" s="171" t="s">
        <v>1803</v>
      </c>
      <c r="X230" s="58">
        <f t="shared" si="30"/>
        <v>191675</v>
      </c>
      <c r="Y230" s="58">
        <f t="shared" si="31"/>
        <v>51000</v>
      </c>
    </row>
    <row r="231" spans="1:25" x14ac:dyDescent="0.25">
      <c r="A231" s="36" t="s">
        <v>1816</v>
      </c>
      <c r="B231" s="171" t="s">
        <v>1817</v>
      </c>
      <c r="C231" s="171" t="s">
        <v>1818</v>
      </c>
      <c r="D231" s="172" t="s">
        <v>1631</v>
      </c>
      <c r="E231" s="172" t="s">
        <v>1631</v>
      </c>
      <c r="F231" s="172" t="s">
        <v>5062</v>
      </c>
      <c r="G231" s="172" t="s">
        <v>1631</v>
      </c>
      <c r="H231" s="172" t="s">
        <v>1631</v>
      </c>
      <c r="I231" s="172" t="s">
        <v>1631</v>
      </c>
      <c r="J231" s="36">
        <v>1</v>
      </c>
      <c r="K231" s="58">
        <v>40000</v>
      </c>
      <c r="L231" s="58"/>
      <c r="M231" s="22">
        <f>IFERROR((VLOOKUP(A231,'Current Stocks July-26'!$B:$K,10,0)),0)</f>
        <v>22783</v>
      </c>
      <c r="N231" s="22">
        <f t="shared" si="24"/>
        <v>17.087250000000001</v>
      </c>
      <c r="O231" s="22" t="str">
        <f t="shared" si="25"/>
        <v>ORDER NOW</v>
      </c>
      <c r="P231" s="22" t="str">
        <f t="shared" si="26"/>
        <v>CRITICAL</v>
      </c>
      <c r="Q231" s="58">
        <f t="shared" si="27"/>
        <v>124000</v>
      </c>
      <c r="R231" s="58">
        <f t="shared" si="28"/>
        <v>164000</v>
      </c>
      <c r="S231" s="58">
        <f t="shared" si="29"/>
        <v>141217</v>
      </c>
      <c r="T231" s="5">
        <v>90</v>
      </c>
      <c r="U231" s="5" t="s">
        <v>1669</v>
      </c>
      <c r="V231" s="173">
        <f>VLOOKUP(A231,'[1]Final-Short'!$B:$AE,29,0)</f>
        <v>1.5</v>
      </c>
      <c r="W231" s="171" t="s">
        <v>1803</v>
      </c>
      <c r="X231" s="58">
        <f t="shared" si="30"/>
        <v>211825.5</v>
      </c>
      <c r="Y231" s="58">
        <f t="shared" si="31"/>
        <v>60000</v>
      </c>
    </row>
    <row r="232" spans="1:25" x14ac:dyDescent="0.25">
      <c r="A232" s="36" t="s">
        <v>1819</v>
      </c>
      <c r="B232" s="171" t="s">
        <v>1820</v>
      </c>
      <c r="C232" s="171" t="s">
        <v>1821</v>
      </c>
      <c r="D232" s="172" t="s">
        <v>1631</v>
      </c>
      <c r="E232" s="172" t="s">
        <v>1631</v>
      </c>
      <c r="F232" s="172" t="s">
        <v>5062</v>
      </c>
      <c r="G232" s="172" t="s">
        <v>1631</v>
      </c>
      <c r="H232" s="172" t="s">
        <v>1631</v>
      </c>
      <c r="I232" s="172" t="s">
        <v>1631</v>
      </c>
      <c r="J232" s="36">
        <v>1</v>
      </c>
      <c r="K232" s="58">
        <v>1000</v>
      </c>
      <c r="L232" s="58"/>
      <c r="M232" s="22">
        <f>IFERROR((VLOOKUP(A232,'Current Stocks July-26'!$B:$K,10,0)),0)</f>
        <v>0</v>
      </c>
      <c r="N232" s="22">
        <f t="shared" si="24"/>
        <v>0</v>
      </c>
      <c r="O232" s="22" t="str">
        <f t="shared" si="25"/>
        <v>ORDER NOW</v>
      </c>
      <c r="P232" s="22" t="str">
        <f t="shared" si="26"/>
        <v>CRITICAL</v>
      </c>
      <c r="Q232" s="58">
        <f t="shared" si="27"/>
        <v>566.66666666666663</v>
      </c>
      <c r="R232" s="58">
        <f t="shared" si="28"/>
        <v>1566.6666666666665</v>
      </c>
      <c r="S232" s="58">
        <f t="shared" si="29"/>
        <v>1566.6666666666665</v>
      </c>
      <c r="T232" s="5">
        <v>14</v>
      </c>
      <c r="U232" s="5" t="s">
        <v>30</v>
      </c>
      <c r="V232" s="173">
        <f>VLOOKUP(A232,'[1]Final-Short'!$B:$AE,29,0)</f>
        <v>0.26</v>
      </c>
      <c r="W232" s="171" t="s">
        <v>1795</v>
      </c>
      <c r="X232" s="58">
        <f t="shared" si="30"/>
        <v>407.33333333333331</v>
      </c>
      <c r="Y232" s="58">
        <f t="shared" si="31"/>
        <v>260</v>
      </c>
    </row>
    <row r="233" spans="1:25" x14ac:dyDescent="0.25">
      <c r="A233" s="36" t="s">
        <v>1175</v>
      </c>
      <c r="B233" s="171" t="s">
        <v>1176</v>
      </c>
      <c r="C233" s="171" t="s">
        <v>1822</v>
      </c>
      <c r="D233" s="172" t="s">
        <v>1631</v>
      </c>
      <c r="E233" s="172" t="s">
        <v>1631</v>
      </c>
      <c r="F233" s="172" t="s">
        <v>1631</v>
      </c>
      <c r="G233" s="172" t="s">
        <v>1631</v>
      </c>
      <c r="H233" s="172" t="s">
        <v>1631</v>
      </c>
      <c r="I233" s="172" t="s">
        <v>5062</v>
      </c>
      <c r="J233" s="36">
        <v>1</v>
      </c>
      <c r="K233" s="58">
        <v>3000</v>
      </c>
      <c r="L233" s="58"/>
      <c r="M233" s="22">
        <f>IFERROR((VLOOKUP(A233,'Current Stocks July-26'!$B:$K,10,0)),0)</f>
        <v>2265</v>
      </c>
      <c r="N233" s="22">
        <f t="shared" si="24"/>
        <v>22.65</v>
      </c>
      <c r="O233" s="22" t="str">
        <f t="shared" si="25"/>
        <v>IN STOCK</v>
      </c>
      <c r="P233" s="22" t="str">
        <f t="shared" si="26"/>
        <v>FOLLOW UP DELIVERY</v>
      </c>
      <c r="Q233" s="58">
        <f t="shared" si="27"/>
        <v>1000</v>
      </c>
      <c r="R233" s="58">
        <f t="shared" si="28"/>
        <v>4000</v>
      </c>
      <c r="S233" s="58">
        <f t="shared" si="29"/>
        <v>1735</v>
      </c>
      <c r="T233" s="5">
        <v>7</v>
      </c>
      <c r="U233" s="5" t="s">
        <v>1669</v>
      </c>
      <c r="V233" s="195">
        <f>VLOOKUP(A233,'[1]Final-Short'!$B:$AE,29,0)</f>
        <v>12.466670000000001</v>
      </c>
      <c r="W233" s="171" t="s">
        <v>1698</v>
      </c>
      <c r="X233" s="58">
        <f t="shared" si="30"/>
        <v>21629.672450000002</v>
      </c>
      <c r="Y233" s="58">
        <f t="shared" si="31"/>
        <v>37400.01</v>
      </c>
    </row>
    <row r="234" spans="1:25" x14ac:dyDescent="0.25">
      <c r="A234" s="36" t="s">
        <v>1474</v>
      </c>
      <c r="B234" s="171" t="s">
        <v>1475</v>
      </c>
      <c r="C234" s="171" t="s">
        <v>1475</v>
      </c>
      <c r="D234" s="172" t="s">
        <v>1631</v>
      </c>
      <c r="E234" s="172" t="s">
        <v>1631</v>
      </c>
      <c r="F234" s="172" t="s">
        <v>1631</v>
      </c>
      <c r="G234" s="172" t="s">
        <v>1631</v>
      </c>
      <c r="H234" s="172" t="s">
        <v>1631</v>
      </c>
      <c r="I234" s="172" t="s">
        <v>5062</v>
      </c>
      <c r="J234" s="36">
        <v>1</v>
      </c>
      <c r="K234" s="58">
        <v>319.5</v>
      </c>
      <c r="L234" s="58"/>
      <c r="M234" s="22">
        <f>IFERROR((VLOOKUP(A234,'Current Stocks July-26'!$B:$K,10,0)),0)</f>
        <v>4200</v>
      </c>
      <c r="N234" s="22">
        <f t="shared" si="24"/>
        <v>394.36619718309856</v>
      </c>
      <c r="O234" s="22" t="str">
        <f t="shared" si="25"/>
        <v>IN STOCK</v>
      </c>
      <c r="P234" s="22" t="str">
        <f t="shared" si="26"/>
        <v>FOLLOW UP DELIVERY</v>
      </c>
      <c r="Q234" s="58">
        <f t="shared" si="27"/>
        <v>181.04999999999998</v>
      </c>
      <c r="R234" s="58">
        <f t="shared" si="28"/>
        <v>500.54999999999995</v>
      </c>
      <c r="S234" s="58">
        <f t="shared" si="29"/>
        <v>0</v>
      </c>
      <c r="T234" s="5">
        <v>14</v>
      </c>
      <c r="U234" s="5" t="s">
        <v>30</v>
      </c>
      <c r="V234" s="173">
        <f>VLOOKUP(A234,'[1]Final-Short'!$B:$AE,29,0)</f>
        <v>0.6</v>
      </c>
      <c r="W234" s="171" t="s">
        <v>1802</v>
      </c>
      <c r="X234" s="58">
        <f t="shared" si="30"/>
        <v>0</v>
      </c>
      <c r="Y234" s="58">
        <f t="shared" si="31"/>
        <v>191.7</v>
      </c>
    </row>
    <row r="235" spans="1:25" x14ac:dyDescent="0.25">
      <c r="A235" s="36" t="s">
        <v>862</v>
      </c>
      <c r="B235" s="171" t="s">
        <v>863</v>
      </c>
      <c r="C235" s="171" t="s">
        <v>1823</v>
      </c>
      <c r="D235" s="172" t="s">
        <v>1631</v>
      </c>
      <c r="E235" s="172" t="s">
        <v>1631</v>
      </c>
      <c r="F235" s="172" t="s">
        <v>1631</v>
      </c>
      <c r="G235" s="172" t="s">
        <v>1631</v>
      </c>
      <c r="H235" s="172" t="s">
        <v>1631</v>
      </c>
      <c r="I235" s="172" t="s">
        <v>5062</v>
      </c>
      <c r="J235" s="36">
        <v>1</v>
      </c>
      <c r="K235" s="58">
        <v>670</v>
      </c>
      <c r="L235" s="58"/>
      <c r="M235" s="22">
        <f>IFERROR((VLOOKUP(A235,'Current Stocks July-26'!$B:$K,10,0)),0)</f>
        <v>0</v>
      </c>
      <c r="N235" s="22">
        <f t="shared" si="24"/>
        <v>0</v>
      </c>
      <c r="O235" s="22" t="str">
        <f t="shared" si="25"/>
        <v>ORDER NOW</v>
      </c>
      <c r="P235" s="22" t="str">
        <f t="shared" si="26"/>
        <v>CRITICAL</v>
      </c>
      <c r="Q235" s="58">
        <f t="shared" si="27"/>
        <v>379.66666666666663</v>
      </c>
      <c r="R235" s="58">
        <f t="shared" si="28"/>
        <v>1049.6666666666665</v>
      </c>
      <c r="S235" s="58">
        <f t="shared" si="29"/>
        <v>1049.6666666666665</v>
      </c>
      <c r="T235" s="5">
        <v>14</v>
      </c>
      <c r="U235" s="5" t="s">
        <v>30</v>
      </c>
      <c r="V235" s="195">
        <f>VLOOKUP(A235,'[1]Final-Short'!$B:$AE,29,0)</f>
        <v>0</v>
      </c>
      <c r="W235" s="171" t="s">
        <v>1802</v>
      </c>
      <c r="X235" s="58">
        <f t="shared" si="30"/>
        <v>0</v>
      </c>
      <c r="Y235" s="58">
        <f t="shared" si="31"/>
        <v>0</v>
      </c>
    </row>
    <row r="236" spans="1:25" x14ac:dyDescent="0.25">
      <c r="A236" s="36" t="s">
        <v>1824</v>
      </c>
      <c r="B236" s="171" t="s">
        <v>1825</v>
      </c>
      <c r="C236" s="171" t="s">
        <v>1826</v>
      </c>
      <c r="D236" s="172" t="s">
        <v>1631</v>
      </c>
      <c r="E236" s="172" t="s">
        <v>1631</v>
      </c>
      <c r="F236" s="172" t="s">
        <v>5062</v>
      </c>
      <c r="G236" s="172" t="s">
        <v>1631</v>
      </c>
      <c r="H236" s="172" t="s">
        <v>1631</v>
      </c>
      <c r="I236" s="172" t="s">
        <v>1631</v>
      </c>
      <c r="J236" s="36">
        <v>1</v>
      </c>
      <c r="K236" s="58">
        <v>501.25</v>
      </c>
      <c r="L236" s="58"/>
      <c r="M236" s="22">
        <f>IFERROR((VLOOKUP(A236,'Current Stocks July-26'!$B:$K,10,0)),0)</f>
        <v>0</v>
      </c>
      <c r="N236" s="22">
        <f t="shared" si="24"/>
        <v>0</v>
      </c>
      <c r="O236" s="22" t="str">
        <f t="shared" si="25"/>
        <v>ORDER NOW</v>
      </c>
      <c r="P236" s="22" t="str">
        <f t="shared" si="26"/>
        <v>CRITICAL</v>
      </c>
      <c r="Q236" s="58">
        <f t="shared" si="27"/>
        <v>384.29166666666669</v>
      </c>
      <c r="R236" s="58">
        <f t="shared" si="28"/>
        <v>885.54166666666674</v>
      </c>
      <c r="S236" s="58">
        <f t="shared" si="29"/>
        <v>885.54166666666674</v>
      </c>
      <c r="T236" s="5">
        <v>20</v>
      </c>
      <c r="U236" s="5" t="s">
        <v>30</v>
      </c>
      <c r="V236" s="173">
        <f>VLOOKUP(A236,'[1]Final-Short'!$B:$AE,29,0)</f>
        <v>0</v>
      </c>
      <c r="W236" s="171" t="s">
        <v>1827</v>
      </c>
      <c r="X236" s="58">
        <f t="shared" si="30"/>
        <v>0</v>
      </c>
      <c r="Y236" s="58">
        <f t="shared" si="31"/>
        <v>0</v>
      </c>
    </row>
    <row r="237" spans="1:25" x14ac:dyDescent="0.25">
      <c r="A237" s="36" t="s">
        <v>1828</v>
      </c>
      <c r="B237" s="171" t="s">
        <v>1829</v>
      </c>
      <c r="C237" s="171" t="s">
        <v>1830</v>
      </c>
      <c r="D237" s="172" t="s">
        <v>1631</v>
      </c>
      <c r="E237" s="172" t="s">
        <v>1631</v>
      </c>
      <c r="F237" s="172" t="s">
        <v>5062</v>
      </c>
      <c r="G237" s="172" t="s">
        <v>1631</v>
      </c>
      <c r="H237" s="172" t="s">
        <v>1631</v>
      </c>
      <c r="I237" s="172" t="s">
        <v>1631</v>
      </c>
      <c r="J237" s="36">
        <v>1</v>
      </c>
      <c r="K237" s="58">
        <v>200</v>
      </c>
      <c r="L237" s="58" t="s">
        <v>1831</v>
      </c>
      <c r="M237" s="22">
        <f>IFERROR((VLOOKUP(A237,'Current Stocks July-26'!$B:$K,10,0)),0)</f>
        <v>5950</v>
      </c>
      <c r="N237" s="22">
        <f t="shared" si="24"/>
        <v>892.5</v>
      </c>
      <c r="O237" s="22" t="str">
        <f t="shared" si="25"/>
        <v>IN STOCK</v>
      </c>
      <c r="P237" s="22" t="str">
        <f t="shared" si="26"/>
        <v>FOLLOW UP DELIVERY</v>
      </c>
      <c r="Q237" s="58">
        <f t="shared" si="27"/>
        <v>220.00000000000003</v>
      </c>
      <c r="R237" s="58">
        <f t="shared" si="28"/>
        <v>420</v>
      </c>
      <c r="S237" s="58">
        <f t="shared" si="29"/>
        <v>0</v>
      </c>
      <c r="T237" s="5">
        <v>30</v>
      </c>
      <c r="U237" s="5" t="s">
        <v>30</v>
      </c>
      <c r="V237" s="173">
        <f>VLOOKUP(A237,'[1]Final-Short'!$B:$AE,29,0)</f>
        <v>28</v>
      </c>
      <c r="W237" s="171" t="s">
        <v>1832</v>
      </c>
      <c r="X237" s="58">
        <f t="shared" si="30"/>
        <v>0</v>
      </c>
      <c r="Y237" s="58">
        <f t="shared" si="31"/>
        <v>5600</v>
      </c>
    </row>
    <row r="238" spans="1:25" x14ac:dyDescent="0.25">
      <c r="A238" s="36" t="s">
        <v>1833</v>
      </c>
      <c r="B238" s="171" t="s">
        <v>1834</v>
      </c>
      <c r="C238" s="174" t="s">
        <v>1835</v>
      </c>
      <c r="D238" s="172" t="s">
        <v>1631</v>
      </c>
      <c r="E238" s="172" t="s">
        <v>1631</v>
      </c>
      <c r="F238" s="172" t="s">
        <v>5062</v>
      </c>
      <c r="G238" s="172" t="s">
        <v>1631</v>
      </c>
      <c r="H238" s="172" t="s">
        <v>1631</v>
      </c>
      <c r="I238" s="172" t="s">
        <v>1631</v>
      </c>
      <c r="J238" s="36">
        <v>1</v>
      </c>
      <c r="K238" s="58">
        <v>302</v>
      </c>
      <c r="L238" s="22"/>
      <c r="M238" s="22">
        <f>IFERROR((VLOOKUP(A238,'Current Stocks July-26'!$B:$K,10,0)),0)</f>
        <v>0</v>
      </c>
      <c r="N238" s="22">
        <f t="shared" si="24"/>
        <v>0</v>
      </c>
      <c r="O238" s="22" t="str">
        <f t="shared" si="25"/>
        <v>IN STOCK</v>
      </c>
      <c r="P238" s="22" t="str">
        <f t="shared" si="26"/>
        <v>FOLLOW UP DELIVERY</v>
      </c>
      <c r="Q238" s="58">
        <f t="shared" si="27"/>
        <v>30.200000000000003</v>
      </c>
      <c r="R238" s="58">
        <f t="shared" si="28"/>
        <v>332.2</v>
      </c>
      <c r="S238" s="58">
        <f t="shared" si="29"/>
        <v>332.2</v>
      </c>
      <c r="T238" s="5">
        <v>0</v>
      </c>
      <c r="U238" s="5" t="s">
        <v>1729</v>
      </c>
      <c r="V238" s="173">
        <f>VLOOKUP(A238,'[1]Final-Short'!$B:$AE,29,0)</f>
        <v>0</v>
      </c>
      <c r="W238" s="171" t="s">
        <v>1803</v>
      </c>
      <c r="X238" s="58">
        <f t="shared" si="30"/>
        <v>0</v>
      </c>
      <c r="Y238" s="58">
        <f t="shared" si="31"/>
        <v>0</v>
      </c>
    </row>
    <row r="239" spans="1:25" x14ac:dyDescent="0.25">
      <c r="A239" s="36" t="s">
        <v>1836</v>
      </c>
      <c r="B239" s="171" t="s">
        <v>1837</v>
      </c>
      <c r="C239" s="171" t="s">
        <v>1838</v>
      </c>
      <c r="D239" s="172" t="s">
        <v>1631</v>
      </c>
      <c r="E239" s="172" t="s">
        <v>1631</v>
      </c>
      <c r="F239" s="172" t="s">
        <v>5062</v>
      </c>
      <c r="G239" s="172" t="s">
        <v>1631</v>
      </c>
      <c r="H239" s="172" t="s">
        <v>1631</v>
      </c>
      <c r="I239" s="172" t="s">
        <v>1631</v>
      </c>
      <c r="J239" s="36">
        <v>1</v>
      </c>
      <c r="K239" s="58">
        <v>469</v>
      </c>
      <c r="L239" s="58"/>
      <c r="M239" s="22">
        <f>IFERROR((VLOOKUP(A239,'Current Stocks July-26'!$B:$K,10,0)),0)</f>
        <v>0</v>
      </c>
      <c r="N239" s="22">
        <f t="shared" si="24"/>
        <v>0</v>
      </c>
      <c r="O239" s="22" t="str">
        <f t="shared" si="25"/>
        <v>ORDER NOW</v>
      </c>
      <c r="P239" s="22" t="str">
        <f t="shared" si="26"/>
        <v>CRITICAL</v>
      </c>
      <c r="Q239" s="58">
        <f t="shared" si="27"/>
        <v>1688.4</v>
      </c>
      <c r="R239" s="58">
        <f t="shared" si="28"/>
        <v>2157.4</v>
      </c>
      <c r="S239" s="58">
        <f t="shared" si="29"/>
        <v>2157.4</v>
      </c>
      <c r="T239" s="5">
        <v>105</v>
      </c>
      <c r="U239" s="5" t="s">
        <v>30</v>
      </c>
      <c r="V239" s="173">
        <f>VLOOKUP(A239,'[1]Final-Short'!$B:$AE,29,0)</f>
        <v>3.5362499999999999</v>
      </c>
      <c r="W239" s="171" t="s">
        <v>1803</v>
      </c>
      <c r="X239" s="58">
        <f t="shared" si="30"/>
        <v>7629.1057499999997</v>
      </c>
      <c r="Y239" s="58">
        <f t="shared" si="31"/>
        <v>1658.50125</v>
      </c>
    </row>
    <row r="240" spans="1:25" x14ac:dyDescent="0.25">
      <c r="A240" s="36" t="s">
        <v>1839</v>
      </c>
      <c r="B240" s="171" t="s">
        <v>1840</v>
      </c>
      <c r="C240" s="171" t="s">
        <v>1841</v>
      </c>
      <c r="D240" s="172" t="s">
        <v>1631</v>
      </c>
      <c r="E240" s="172" t="s">
        <v>1631</v>
      </c>
      <c r="F240" s="172" t="s">
        <v>5062</v>
      </c>
      <c r="G240" s="172" t="s">
        <v>1631</v>
      </c>
      <c r="H240" s="172" t="s">
        <v>1631</v>
      </c>
      <c r="I240" s="172" t="s">
        <v>1631</v>
      </c>
      <c r="J240" s="36">
        <v>1</v>
      </c>
      <c r="K240" s="58">
        <v>557</v>
      </c>
      <c r="L240" s="58"/>
      <c r="M240" s="22">
        <f>IFERROR((VLOOKUP(A240,'Current Stocks July-26'!$B:$K,10,0)),0)</f>
        <v>0</v>
      </c>
      <c r="N240" s="22">
        <f t="shared" si="24"/>
        <v>0</v>
      </c>
      <c r="O240" s="22" t="str">
        <f t="shared" si="25"/>
        <v>ORDER NOW</v>
      </c>
      <c r="P240" s="22" t="str">
        <f t="shared" si="26"/>
        <v>CRITICAL</v>
      </c>
      <c r="Q240" s="58">
        <f t="shared" si="27"/>
        <v>2005.2</v>
      </c>
      <c r="R240" s="58">
        <f t="shared" si="28"/>
        <v>2562.1999999999998</v>
      </c>
      <c r="S240" s="58">
        <f t="shared" si="29"/>
        <v>2562.1999999999998</v>
      </c>
      <c r="T240" s="5">
        <v>105</v>
      </c>
      <c r="U240" s="5" t="s">
        <v>30</v>
      </c>
      <c r="V240" s="173">
        <f>VLOOKUP(A240,'[1]Final-Short'!$B:$AE,29,0)</f>
        <v>4.00875</v>
      </c>
      <c r="W240" s="171" t="s">
        <v>1803</v>
      </c>
      <c r="X240" s="58">
        <f t="shared" si="30"/>
        <v>10271.21925</v>
      </c>
      <c r="Y240" s="58">
        <f t="shared" si="31"/>
        <v>2232.8737500000002</v>
      </c>
    </row>
    <row r="241" spans="1:25" x14ac:dyDescent="0.25">
      <c r="A241" s="36" t="s">
        <v>1842</v>
      </c>
      <c r="B241" s="171" t="s">
        <v>1843</v>
      </c>
      <c r="C241" s="171" t="s">
        <v>1844</v>
      </c>
      <c r="D241" s="172" t="s">
        <v>1631</v>
      </c>
      <c r="E241" s="172" t="s">
        <v>1631</v>
      </c>
      <c r="F241" s="172" t="s">
        <v>5062</v>
      </c>
      <c r="G241" s="172" t="s">
        <v>1631</v>
      </c>
      <c r="H241" s="172" t="s">
        <v>1631</v>
      </c>
      <c r="I241" s="172" t="s">
        <v>1631</v>
      </c>
      <c r="J241" s="36">
        <v>1</v>
      </c>
      <c r="K241" s="58">
        <v>752</v>
      </c>
      <c r="L241" s="58"/>
      <c r="M241" s="22">
        <f>IFERROR((VLOOKUP(A241,'Current Stocks July-26'!$B:$K,10,0)),0)</f>
        <v>0</v>
      </c>
      <c r="N241" s="22">
        <f t="shared" si="24"/>
        <v>0</v>
      </c>
      <c r="O241" s="22" t="str">
        <f t="shared" si="25"/>
        <v>ORDER NOW</v>
      </c>
      <c r="P241" s="22" t="str">
        <f t="shared" si="26"/>
        <v>CRITICAL</v>
      </c>
      <c r="Q241" s="58">
        <f t="shared" si="27"/>
        <v>2707.2000000000003</v>
      </c>
      <c r="R241" s="58">
        <f t="shared" si="28"/>
        <v>3459.2000000000003</v>
      </c>
      <c r="S241" s="58">
        <f t="shared" si="29"/>
        <v>3459.2000000000003</v>
      </c>
      <c r="T241" s="5">
        <v>105</v>
      </c>
      <c r="U241" s="5" t="s">
        <v>30</v>
      </c>
      <c r="V241" s="173">
        <f>VLOOKUP(A241,'[1]Final-Short'!$B:$AE,29,0)</f>
        <v>4.6762500000000005</v>
      </c>
      <c r="W241" s="171" t="s">
        <v>1803</v>
      </c>
      <c r="X241" s="58">
        <f t="shared" si="30"/>
        <v>16176.084000000003</v>
      </c>
      <c r="Y241" s="58">
        <f t="shared" si="31"/>
        <v>3516.5400000000004</v>
      </c>
    </row>
    <row r="242" spans="1:25" x14ac:dyDescent="0.25">
      <c r="A242" s="36" t="s">
        <v>1845</v>
      </c>
      <c r="B242" s="171" t="s">
        <v>1846</v>
      </c>
      <c r="C242" s="171" t="s">
        <v>1847</v>
      </c>
      <c r="D242" s="172" t="s">
        <v>1631</v>
      </c>
      <c r="E242" s="172" t="s">
        <v>1631</v>
      </c>
      <c r="F242" s="172" t="s">
        <v>5062</v>
      </c>
      <c r="G242" s="172" t="s">
        <v>1631</v>
      </c>
      <c r="H242" s="172" t="s">
        <v>1631</v>
      </c>
      <c r="I242" s="172" t="s">
        <v>1631</v>
      </c>
      <c r="J242" s="36">
        <v>1</v>
      </c>
      <c r="K242" s="58">
        <v>3600</v>
      </c>
      <c r="L242" s="58"/>
      <c r="M242" s="22">
        <f>IFERROR((VLOOKUP(A242,'Current Stocks July-26'!$B:$K,10,0)),0)</f>
        <v>0</v>
      </c>
      <c r="N242" s="22">
        <f t="shared" si="24"/>
        <v>0</v>
      </c>
      <c r="O242" s="22" t="str">
        <f t="shared" si="25"/>
        <v>ORDER NOW</v>
      </c>
      <c r="P242" s="22" t="str">
        <f t="shared" si="26"/>
        <v>CRITICAL</v>
      </c>
      <c r="Q242" s="58">
        <f t="shared" si="27"/>
        <v>12960</v>
      </c>
      <c r="R242" s="58">
        <f t="shared" si="28"/>
        <v>16560</v>
      </c>
      <c r="S242" s="58">
        <f t="shared" si="29"/>
        <v>16560</v>
      </c>
      <c r="T242" s="5">
        <v>105</v>
      </c>
      <c r="U242" s="5" t="s">
        <v>30</v>
      </c>
      <c r="V242" s="173">
        <f>VLOOKUP(A242,'[1]Final-Short'!$B:$AE,29,0)</f>
        <v>5.1487499999999997</v>
      </c>
      <c r="W242" s="171" t="s">
        <v>1803</v>
      </c>
      <c r="X242" s="58">
        <f t="shared" si="30"/>
        <v>85263.299999999988</v>
      </c>
      <c r="Y242" s="58">
        <f t="shared" si="31"/>
        <v>18535.5</v>
      </c>
    </row>
    <row r="243" spans="1:25" x14ac:dyDescent="0.25">
      <c r="A243" s="36" t="s">
        <v>1848</v>
      </c>
      <c r="B243" s="171" t="s">
        <v>1849</v>
      </c>
      <c r="C243" s="183" t="s">
        <v>1850</v>
      </c>
      <c r="D243" s="172" t="s">
        <v>1631</v>
      </c>
      <c r="E243" s="172" t="s">
        <v>1631</v>
      </c>
      <c r="F243" s="172" t="s">
        <v>5062</v>
      </c>
      <c r="G243" s="172" t="s">
        <v>1631</v>
      </c>
      <c r="H243" s="172" t="s">
        <v>1631</v>
      </c>
      <c r="I243" s="172" t="s">
        <v>1631</v>
      </c>
      <c r="J243" s="36">
        <v>1</v>
      </c>
      <c r="K243" s="58">
        <v>370</v>
      </c>
      <c r="L243" s="58" t="s">
        <v>1785</v>
      </c>
      <c r="M243" s="22">
        <f>IFERROR((VLOOKUP(A243,'Current Stocks July-26'!$B:$K,10,0)),0)</f>
        <v>4800</v>
      </c>
      <c r="N243" s="22">
        <f t="shared" si="24"/>
        <v>389.18918918918922</v>
      </c>
      <c r="O243" s="22" t="str">
        <f t="shared" si="25"/>
        <v>IN STOCK</v>
      </c>
      <c r="P243" s="22" t="str">
        <f t="shared" si="26"/>
        <v>FOLLOW UP DELIVERY</v>
      </c>
      <c r="Q243" s="58">
        <f t="shared" si="27"/>
        <v>1332</v>
      </c>
      <c r="R243" s="58">
        <f t="shared" si="28"/>
        <v>1702</v>
      </c>
      <c r="S243" s="58">
        <f t="shared" si="29"/>
        <v>0</v>
      </c>
      <c r="T243" s="5">
        <v>105</v>
      </c>
      <c r="U243" s="5" t="s">
        <v>30</v>
      </c>
      <c r="V243" s="173">
        <f>VLOOKUP(A243,'[1]Final-Short'!$B:$AE,29,0)</f>
        <v>5.4375</v>
      </c>
      <c r="W243" s="171" t="s">
        <v>1803</v>
      </c>
      <c r="X243" s="58">
        <f t="shared" si="30"/>
        <v>0</v>
      </c>
      <c r="Y243" s="58">
        <f t="shared" si="31"/>
        <v>2011.875</v>
      </c>
    </row>
    <row r="244" spans="1:25" x14ac:dyDescent="0.25">
      <c r="A244" s="36" t="s">
        <v>1851</v>
      </c>
      <c r="B244" s="171" t="s">
        <v>1852</v>
      </c>
      <c r="C244" s="183" t="s">
        <v>1853</v>
      </c>
      <c r="D244" s="172" t="s">
        <v>1631</v>
      </c>
      <c r="E244" s="172" t="s">
        <v>1631</v>
      </c>
      <c r="F244" s="172" t="s">
        <v>5062</v>
      </c>
      <c r="G244" s="172" t="s">
        <v>1631</v>
      </c>
      <c r="H244" s="172" t="s">
        <v>1631</v>
      </c>
      <c r="I244" s="172" t="s">
        <v>1631</v>
      </c>
      <c r="J244" s="36">
        <v>1</v>
      </c>
      <c r="K244" s="58">
        <v>525.5</v>
      </c>
      <c r="L244" s="58" t="s">
        <v>1785</v>
      </c>
      <c r="M244" s="22">
        <f>IFERROR((VLOOKUP(A244,'Current Stocks July-26'!$B:$K,10,0)),0)</f>
        <v>5320</v>
      </c>
      <c r="N244" s="22">
        <f t="shared" si="24"/>
        <v>303.71075166508086</v>
      </c>
      <c r="O244" s="22" t="str">
        <f t="shared" si="25"/>
        <v>IN STOCK</v>
      </c>
      <c r="P244" s="22" t="str">
        <f t="shared" si="26"/>
        <v>FOLLOW UP DELIVERY</v>
      </c>
      <c r="Q244" s="58">
        <f t="shared" si="27"/>
        <v>1891.8</v>
      </c>
      <c r="R244" s="58">
        <f t="shared" si="28"/>
        <v>2417.3000000000002</v>
      </c>
      <c r="S244" s="58">
        <f t="shared" si="29"/>
        <v>0</v>
      </c>
      <c r="T244" s="5">
        <v>105</v>
      </c>
      <c r="U244" s="5" t="s">
        <v>30</v>
      </c>
      <c r="V244" s="173">
        <f>VLOOKUP(A244,'[1]Final-Short'!$B:$AE,29,0)</f>
        <v>5.4375</v>
      </c>
      <c r="W244" s="171" t="s">
        <v>1803</v>
      </c>
      <c r="X244" s="58">
        <f t="shared" si="30"/>
        <v>0</v>
      </c>
      <c r="Y244" s="58">
        <f t="shared" si="31"/>
        <v>2857.40625</v>
      </c>
    </row>
    <row r="245" spans="1:25" x14ac:dyDescent="0.25">
      <c r="A245" s="36" t="s">
        <v>1854</v>
      </c>
      <c r="B245" s="171" t="s">
        <v>1855</v>
      </c>
      <c r="C245" s="171" t="s">
        <v>1856</v>
      </c>
      <c r="D245" s="172" t="s">
        <v>1631</v>
      </c>
      <c r="E245" s="172" t="s">
        <v>1631</v>
      </c>
      <c r="F245" s="172" t="s">
        <v>5062</v>
      </c>
      <c r="G245" s="172" t="s">
        <v>1631</v>
      </c>
      <c r="H245" s="172" t="s">
        <v>1631</v>
      </c>
      <c r="I245" s="172" t="s">
        <v>1631</v>
      </c>
      <c r="J245" s="36">
        <v>1</v>
      </c>
      <c r="K245" s="58">
        <v>1820</v>
      </c>
      <c r="L245" s="58" t="s">
        <v>1785</v>
      </c>
      <c r="M245" s="22">
        <f>IFERROR((VLOOKUP(A245,'Current Stocks July-26'!$B:$K,10,0)),0)</f>
        <v>475</v>
      </c>
      <c r="N245" s="22">
        <f t="shared" si="24"/>
        <v>7.8296703296703303</v>
      </c>
      <c r="O245" s="22" t="str">
        <f t="shared" si="25"/>
        <v>ORDER NOW</v>
      </c>
      <c r="P245" s="22" t="str">
        <f t="shared" si="26"/>
        <v>CRITICAL</v>
      </c>
      <c r="Q245" s="58">
        <f t="shared" si="27"/>
        <v>6552</v>
      </c>
      <c r="R245" s="58">
        <f t="shared" si="28"/>
        <v>8372</v>
      </c>
      <c r="S245" s="58">
        <f t="shared" si="29"/>
        <v>7897</v>
      </c>
      <c r="T245" s="5">
        <v>105</v>
      </c>
      <c r="U245" s="5" t="s">
        <v>30</v>
      </c>
      <c r="V245" s="173">
        <f>VLOOKUP(A245,'[1]Final-Short'!$B:$AE,29,0)</f>
        <v>3.75</v>
      </c>
      <c r="W245" s="171" t="s">
        <v>1803</v>
      </c>
      <c r="X245" s="58">
        <f t="shared" si="30"/>
        <v>29613.75</v>
      </c>
      <c r="Y245" s="58">
        <f t="shared" si="31"/>
        <v>6825</v>
      </c>
    </row>
    <row r="246" spans="1:25" x14ac:dyDescent="0.25">
      <c r="A246" s="36" t="s">
        <v>1679</v>
      </c>
      <c r="B246" s="171" t="s">
        <v>1857</v>
      </c>
      <c r="C246" s="183" t="s">
        <v>118</v>
      </c>
      <c r="D246" s="172" t="s">
        <v>1631</v>
      </c>
      <c r="E246" s="172" t="s">
        <v>1631</v>
      </c>
      <c r="F246" s="172" t="s">
        <v>5062</v>
      </c>
      <c r="G246" s="172" t="s">
        <v>1631</v>
      </c>
      <c r="H246" s="172" t="s">
        <v>1631</v>
      </c>
      <c r="I246" s="172" t="s">
        <v>1631</v>
      </c>
      <c r="J246" s="36">
        <v>1</v>
      </c>
      <c r="K246" s="58">
        <v>67500</v>
      </c>
      <c r="L246" s="58" t="s">
        <v>1858</v>
      </c>
      <c r="M246" s="22">
        <f>IFERROR((VLOOKUP(A246,'Current Stocks July-26'!$B:$K,10,0)),0)</f>
        <v>53500</v>
      </c>
      <c r="N246" s="22">
        <f t="shared" si="24"/>
        <v>23.777777777777779</v>
      </c>
      <c r="O246" s="22" t="str">
        <f t="shared" si="25"/>
        <v>IN STOCK</v>
      </c>
      <c r="P246" s="22" t="str">
        <f t="shared" si="26"/>
        <v>FOLLOW UP DELIVERY</v>
      </c>
      <c r="Q246" s="58">
        <f t="shared" si="27"/>
        <v>51750</v>
      </c>
      <c r="R246" s="58">
        <f t="shared" si="28"/>
        <v>119250</v>
      </c>
      <c r="S246" s="58">
        <f t="shared" si="29"/>
        <v>65750</v>
      </c>
      <c r="T246" s="5">
        <v>20</v>
      </c>
      <c r="U246" s="5" t="s">
        <v>1669</v>
      </c>
      <c r="V246" s="173">
        <f>VLOOKUP(A246,'[1]Final-Short'!$B:$AE,29,0)</f>
        <v>0.1041</v>
      </c>
      <c r="W246" s="171" t="s">
        <v>1793</v>
      </c>
      <c r="X246" s="58">
        <f t="shared" si="30"/>
        <v>6844.5749999999998</v>
      </c>
      <c r="Y246" s="58">
        <f t="shared" si="31"/>
        <v>7026.75</v>
      </c>
    </row>
    <row r="247" spans="1:25" x14ac:dyDescent="0.25">
      <c r="A247" s="36" t="s">
        <v>1859</v>
      </c>
      <c r="B247" s="171" t="s">
        <v>1860</v>
      </c>
      <c r="C247" s="179" t="s">
        <v>1860</v>
      </c>
      <c r="D247" s="172" t="s">
        <v>1631</v>
      </c>
      <c r="E247" s="172" t="s">
        <v>1631</v>
      </c>
      <c r="F247" s="172" t="s">
        <v>5062</v>
      </c>
      <c r="G247" s="172" t="s">
        <v>1631</v>
      </c>
      <c r="H247" s="172" t="s">
        <v>1631</v>
      </c>
      <c r="I247" s="172" t="s">
        <v>1631</v>
      </c>
      <c r="J247" s="36">
        <v>1</v>
      </c>
      <c r="K247" s="58">
        <v>57.499999999999993</v>
      </c>
      <c r="L247" s="58"/>
      <c r="M247" s="22">
        <f>IFERROR((VLOOKUP(A247,'Current Stocks July-26'!$B:$K,10,0)),0)</f>
        <v>0</v>
      </c>
      <c r="N247" s="22">
        <f t="shared" si="24"/>
        <v>0</v>
      </c>
      <c r="O247" s="22" t="str">
        <f t="shared" si="25"/>
        <v>ORDER NOW</v>
      </c>
      <c r="P247" s="22" t="str">
        <f t="shared" si="26"/>
        <v>CRITICAL</v>
      </c>
      <c r="Q247" s="58">
        <f t="shared" si="27"/>
        <v>19.166666666666664</v>
      </c>
      <c r="R247" s="58">
        <f t="shared" si="28"/>
        <v>76.666666666666657</v>
      </c>
      <c r="S247" s="58">
        <f t="shared" si="29"/>
        <v>76.666666666666657</v>
      </c>
      <c r="T247" s="5">
        <v>7</v>
      </c>
      <c r="U247" s="5" t="s">
        <v>30</v>
      </c>
      <c r="V247" s="173">
        <f>VLOOKUP(A247,'[1]Final-Short'!$B:$AE,29,0)</f>
        <v>0</v>
      </c>
      <c r="W247" s="171" t="s">
        <v>1861</v>
      </c>
      <c r="X247" s="58">
        <f t="shared" si="30"/>
        <v>0</v>
      </c>
      <c r="Y247" s="58">
        <f t="shared" si="31"/>
        <v>0</v>
      </c>
    </row>
    <row r="248" spans="1:25" x14ac:dyDescent="0.25">
      <c r="A248" s="36" t="s">
        <v>154</v>
      </c>
      <c r="B248" s="171" t="s">
        <v>155</v>
      </c>
      <c r="C248" s="171" t="s">
        <v>1862</v>
      </c>
      <c r="D248" s="172" t="s">
        <v>1631</v>
      </c>
      <c r="E248" s="172" t="s">
        <v>1631</v>
      </c>
      <c r="F248" s="172" t="s">
        <v>5062</v>
      </c>
      <c r="G248" s="172" t="s">
        <v>1631</v>
      </c>
      <c r="H248" s="172" t="s">
        <v>1631</v>
      </c>
      <c r="I248" s="172" t="s">
        <v>1631</v>
      </c>
      <c r="J248" s="36">
        <v>1</v>
      </c>
      <c r="K248" s="58">
        <v>11500</v>
      </c>
      <c r="L248" s="58"/>
      <c r="M248" s="22">
        <f>IFERROR((VLOOKUP(A248,'Current Stocks July-26'!$B:$K,10,0)),0)</f>
        <v>24000</v>
      </c>
      <c r="N248" s="22">
        <f t="shared" si="24"/>
        <v>62.608695652173914</v>
      </c>
      <c r="O248" s="22" t="str">
        <f t="shared" si="25"/>
        <v>IN STOCK</v>
      </c>
      <c r="P248" s="22" t="str">
        <f t="shared" si="26"/>
        <v>FOLLOW UP DELIVERY</v>
      </c>
      <c r="Q248" s="58">
        <f t="shared" si="27"/>
        <v>3833.333333333333</v>
      </c>
      <c r="R248" s="58">
        <f t="shared" si="28"/>
        <v>15333.333333333332</v>
      </c>
      <c r="S248" s="58">
        <f t="shared" si="29"/>
        <v>0</v>
      </c>
      <c r="T248" s="5">
        <v>7</v>
      </c>
      <c r="U248" s="5" t="s">
        <v>30</v>
      </c>
      <c r="V248" s="173">
        <f>VLOOKUP(A248,'[1]Final-Short'!$B:$AE,29,0)</f>
        <v>0</v>
      </c>
      <c r="W248" s="171" t="s">
        <v>1861</v>
      </c>
      <c r="X248" s="58">
        <f t="shared" si="30"/>
        <v>0</v>
      </c>
      <c r="Y248" s="58">
        <f t="shared" si="31"/>
        <v>0</v>
      </c>
    </row>
    <row r="249" spans="1:25" x14ac:dyDescent="0.25">
      <c r="A249" s="36" t="s">
        <v>1863</v>
      </c>
      <c r="B249" s="171" t="s">
        <v>1864</v>
      </c>
      <c r="C249" s="184" t="s">
        <v>1865</v>
      </c>
      <c r="D249" s="172" t="s">
        <v>1631</v>
      </c>
      <c r="E249" s="172" t="s">
        <v>1631</v>
      </c>
      <c r="F249" s="172" t="s">
        <v>5062</v>
      </c>
      <c r="G249" s="172" t="s">
        <v>1631</v>
      </c>
      <c r="H249" s="172" t="s">
        <v>1631</v>
      </c>
      <c r="I249" s="172" t="s">
        <v>1631</v>
      </c>
      <c r="J249" s="36">
        <v>1</v>
      </c>
      <c r="K249" s="58">
        <v>650</v>
      </c>
      <c r="L249" s="58"/>
      <c r="M249" s="22">
        <f>IFERROR((VLOOKUP(A249,'Current Stocks July-26'!$B:$K,10,0)),0)</f>
        <v>1300</v>
      </c>
      <c r="N249" s="22">
        <f t="shared" si="24"/>
        <v>60</v>
      </c>
      <c r="O249" s="22" t="str">
        <f t="shared" si="25"/>
        <v>IN STOCK</v>
      </c>
      <c r="P249" s="22" t="str">
        <f t="shared" si="26"/>
        <v>FOLLOW UP DELIVERY</v>
      </c>
      <c r="Q249" s="58">
        <f t="shared" si="27"/>
        <v>498.33333333333337</v>
      </c>
      <c r="R249" s="58">
        <f t="shared" si="28"/>
        <v>1148.3333333333335</v>
      </c>
      <c r="S249" s="58">
        <f t="shared" si="29"/>
        <v>0</v>
      </c>
      <c r="T249" s="5">
        <v>20</v>
      </c>
      <c r="U249" s="5" t="s">
        <v>30</v>
      </c>
      <c r="V249" s="173">
        <f>VLOOKUP(A249,'[1]Final-Short'!$B:$AE,29,0)</f>
        <v>8</v>
      </c>
      <c r="W249" s="171" t="s">
        <v>1794</v>
      </c>
      <c r="X249" s="58">
        <f t="shared" si="30"/>
        <v>0</v>
      </c>
      <c r="Y249" s="58">
        <f t="shared" si="31"/>
        <v>5200</v>
      </c>
    </row>
    <row r="250" spans="1:25" x14ac:dyDescent="0.25">
      <c r="A250" s="36" t="s">
        <v>1866</v>
      </c>
      <c r="B250" s="171" t="s">
        <v>1867</v>
      </c>
      <c r="C250" s="171" t="s">
        <v>1868</v>
      </c>
      <c r="D250" s="172" t="s">
        <v>1631</v>
      </c>
      <c r="E250" s="172" t="s">
        <v>1631</v>
      </c>
      <c r="F250" s="172" t="s">
        <v>1631</v>
      </c>
      <c r="G250" s="172" t="s">
        <v>1631</v>
      </c>
      <c r="H250" s="172" t="s">
        <v>1631</v>
      </c>
      <c r="I250" s="172" t="s">
        <v>1631</v>
      </c>
      <c r="J250" s="36">
        <v>0</v>
      </c>
      <c r="K250" s="58">
        <v>2300</v>
      </c>
      <c r="L250" s="58"/>
      <c r="M250" s="22">
        <f>IFERROR((VLOOKUP(A250,'Current Stocks July-26'!$B:$K,10,0)),0)</f>
        <v>400</v>
      </c>
      <c r="N250" s="22">
        <f t="shared" si="24"/>
        <v>5.2173913043478262</v>
      </c>
      <c r="O250" s="22" t="str">
        <f t="shared" si="25"/>
        <v>ORDER NOW</v>
      </c>
      <c r="P250" s="22" t="str">
        <f t="shared" si="26"/>
        <v>CRITICAL</v>
      </c>
      <c r="Q250" s="58">
        <f t="shared" si="27"/>
        <v>766.66666666666663</v>
      </c>
      <c r="R250" s="58">
        <f t="shared" si="28"/>
        <v>3066.6666666666665</v>
      </c>
      <c r="S250" s="58">
        <f t="shared" si="29"/>
        <v>2666.6666666666665</v>
      </c>
      <c r="T250" s="5">
        <v>7</v>
      </c>
      <c r="U250" s="5" t="s">
        <v>30</v>
      </c>
      <c r="V250" s="173">
        <f>VLOOKUP(A250,'[1]Final-Short'!$B:$AE,29,0)</f>
        <v>1.4</v>
      </c>
      <c r="W250" s="171" t="s">
        <v>1794</v>
      </c>
      <c r="X250" s="58">
        <f t="shared" si="30"/>
        <v>3733.333333333333</v>
      </c>
      <c r="Y250" s="58">
        <f t="shared" si="31"/>
        <v>3220</v>
      </c>
    </row>
    <row r="251" spans="1:25" x14ac:dyDescent="0.25">
      <c r="A251" s="36" t="s">
        <v>1869</v>
      </c>
      <c r="B251" s="171" t="s">
        <v>1870</v>
      </c>
      <c r="C251" s="171" t="s">
        <v>1871</v>
      </c>
      <c r="D251" s="172" t="s">
        <v>1631</v>
      </c>
      <c r="E251" s="172" t="s">
        <v>1631</v>
      </c>
      <c r="F251" s="172" t="s">
        <v>5062</v>
      </c>
      <c r="G251" s="172" t="s">
        <v>1631</v>
      </c>
      <c r="H251" s="172" t="s">
        <v>1631</v>
      </c>
      <c r="I251" s="172" t="s">
        <v>1631</v>
      </c>
      <c r="J251" s="36">
        <v>1</v>
      </c>
      <c r="K251" s="58">
        <v>575</v>
      </c>
      <c r="L251" s="58"/>
      <c r="M251" s="22">
        <f>IFERROR((VLOOKUP(A251,'Current Stocks July-26'!$B:$K,10,0)),0)</f>
        <v>2280</v>
      </c>
      <c r="N251" s="22">
        <f t="shared" si="24"/>
        <v>118.95652173913044</v>
      </c>
      <c r="O251" s="22" t="str">
        <f t="shared" si="25"/>
        <v>IN STOCK</v>
      </c>
      <c r="P251" s="22" t="str">
        <f t="shared" si="26"/>
        <v>FOLLOW UP DELIVERY</v>
      </c>
      <c r="Q251" s="58">
        <f t="shared" si="27"/>
        <v>632.5</v>
      </c>
      <c r="R251" s="58">
        <f t="shared" si="28"/>
        <v>1207.5</v>
      </c>
      <c r="S251" s="58">
        <f t="shared" si="29"/>
        <v>0</v>
      </c>
      <c r="T251" s="5">
        <v>30</v>
      </c>
      <c r="U251" s="5" t="s">
        <v>30</v>
      </c>
      <c r="V251" s="173">
        <f>VLOOKUP(A251,'[1]Final-Short'!$B:$AE,29,0)</f>
        <v>5.4</v>
      </c>
      <c r="W251" s="171" t="s">
        <v>1872</v>
      </c>
      <c r="X251" s="58">
        <f t="shared" si="30"/>
        <v>0</v>
      </c>
      <c r="Y251" s="58">
        <f t="shared" si="31"/>
        <v>3105</v>
      </c>
    </row>
    <row r="252" spans="1:25" x14ac:dyDescent="0.25">
      <c r="A252" s="36" t="s">
        <v>1873</v>
      </c>
      <c r="B252" s="171" t="s">
        <v>1874</v>
      </c>
      <c r="C252" s="171" t="s">
        <v>1874</v>
      </c>
      <c r="D252" s="172" t="s">
        <v>1631</v>
      </c>
      <c r="E252" s="172" t="s">
        <v>1631</v>
      </c>
      <c r="F252" s="172" t="s">
        <v>5062</v>
      </c>
      <c r="G252" s="172" t="s">
        <v>1631</v>
      </c>
      <c r="H252" s="172" t="s">
        <v>1631</v>
      </c>
      <c r="I252" s="172" t="s">
        <v>1631</v>
      </c>
      <c r="J252" s="36">
        <v>1</v>
      </c>
      <c r="K252" s="58">
        <v>12156</v>
      </c>
      <c r="L252" s="58"/>
      <c r="M252" s="22">
        <f>IFERROR((VLOOKUP(A252,'Current Stocks July-26'!$B:$K,10,0)),0)</f>
        <v>13495</v>
      </c>
      <c r="N252" s="22">
        <f t="shared" si="24"/>
        <v>33.304540967423492</v>
      </c>
      <c r="O252" s="22" t="str">
        <f t="shared" si="25"/>
        <v>IN STOCK</v>
      </c>
      <c r="P252" s="22" t="str">
        <f t="shared" si="26"/>
        <v>FOLLOW UP DELIVERY</v>
      </c>
      <c r="Q252" s="58">
        <f t="shared" si="27"/>
        <v>9319.6</v>
      </c>
      <c r="R252" s="58">
        <f t="shared" si="28"/>
        <v>21475.599999999999</v>
      </c>
      <c r="S252" s="58">
        <f t="shared" si="29"/>
        <v>7980.5999999999985</v>
      </c>
      <c r="T252" s="5">
        <v>20</v>
      </c>
      <c r="U252" s="5" t="s">
        <v>30</v>
      </c>
      <c r="V252" s="173">
        <f>VLOOKUP(A252,'[1]Final-Short'!$B:$AE,29,0)</f>
        <v>0.5</v>
      </c>
      <c r="W252" s="171" t="s">
        <v>1802</v>
      </c>
      <c r="X252" s="58">
        <f t="shared" si="30"/>
        <v>3990.2999999999993</v>
      </c>
      <c r="Y252" s="58">
        <f t="shared" si="31"/>
        <v>6078</v>
      </c>
    </row>
    <row r="253" spans="1:25" x14ac:dyDescent="0.25">
      <c r="A253" s="36" t="s">
        <v>1875</v>
      </c>
      <c r="B253" s="171" t="s">
        <v>1876</v>
      </c>
      <c r="C253" s="171" t="s">
        <v>1876</v>
      </c>
      <c r="D253" s="172" t="s">
        <v>1631</v>
      </c>
      <c r="E253" s="172" t="s">
        <v>1631</v>
      </c>
      <c r="F253" s="172" t="s">
        <v>5062</v>
      </c>
      <c r="G253" s="172" t="s">
        <v>1631</v>
      </c>
      <c r="H253" s="172" t="s">
        <v>1631</v>
      </c>
      <c r="I253" s="172" t="s">
        <v>1631</v>
      </c>
      <c r="J253" s="36">
        <v>1</v>
      </c>
      <c r="K253" s="58">
        <v>5000</v>
      </c>
      <c r="L253" s="58"/>
      <c r="M253" s="22">
        <f>IFERROR((VLOOKUP(A253,'Current Stocks July-26'!$B:$K,10,0)),0)</f>
        <v>23800</v>
      </c>
      <c r="N253" s="22">
        <f t="shared" si="24"/>
        <v>142.79999999999998</v>
      </c>
      <c r="O253" s="22" t="str">
        <f t="shared" si="25"/>
        <v>IN STOCK</v>
      </c>
      <c r="P253" s="22" t="str">
        <f t="shared" si="26"/>
        <v>FOLLOW UP DELIVERY</v>
      </c>
      <c r="Q253" s="58">
        <f t="shared" si="27"/>
        <v>18000</v>
      </c>
      <c r="R253" s="58">
        <f t="shared" si="28"/>
        <v>23000</v>
      </c>
      <c r="S253" s="58">
        <f t="shared" si="29"/>
        <v>0</v>
      </c>
      <c r="T253" s="5">
        <v>105</v>
      </c>
      <c r="U253" s="5" t="s">
        <v>1669</v>
      </c>
      <c r="V253" s="173">
        <f>VLOOKUP(A253,'[1]Final-Short'!$B:$AE,29,0)</f>
        <v>0.76929999999999998</v>
      </c>
      <c r="W253" s="171" t="s">
        <v>1802</v>
      </c>
      <c r="X253" s="58">
        <f t="shared" si="30"/>
        <v>0</v>
      </c>
      <c r="Y253" s="58">
        <f t="shared" si="31"/>
        <v>3846.5</v>
      </c>
    </row>
    <row r="254" spans="1:25" x14ac:dyDescent="0.25">
      <c r="A254" s="36" t="s">
        <v>1877</v>
      </c>
      <c r="B254" s="171" t="s">
        <v>1878</v>
      </c>
      <c r="C254" s="171" t="s">
        <v>1878</v>
      </c>
      <c r="D254" s="172" t="s">
        <v>1631</v>
      </c>
      <c r="E254" s="172" t="s">
        <v>1631</v>
      </c>
      <c r="F254" s="172" t="s">
        <v>5062</v>
      </c>
      <c r="G254" s="172" t="s">
        <v>1631</v>
      </c>
      <c r="H254" s="172" t="s">
        <v>5062</v>
      </c>
      <c r="I254" s="172" t="s">
        <v>1631</v>
      </c>
      <c r="J254" s="36">
        <v>2</v>
      </c>
      <c r="K254" s="58">
        <v>1000</v>
      </c>
      <c r="L254" s="58"/>
      <c r="M254" s="22">
        <f>IFERROR((VLOOKUP(A254,'Current Stocks July-26'!$B:$K,10,0)),0)</f>
        <v>0</v>
      </c>
      <c r="N254" s="22">
        <f t="shared" si="24"/>
        <v>0</v>
      </c>
      <c r="O254" s="22" t="str">
        <f t="shared" si="25"/>
        <v>ORDER NOW</v>
      </c>
      <c r="P254" s="22" t="str">
        <f t="shared" si="26"/>
        <v>CRITICAL</v>
      </c>
      <c r="Q254" s="58">
        <f t="shared" si="27"/>
        <v>1100</v>
      </c>
      <c r="R254" s="58">
        <f t="shared" si="28"/>
        <v>2100</v>
      </c>
      <c r="S254" s="58">
        <f t="shared" si="29"/>
        <v>2100</v>
      </c>
      <c r="T254" s="5">
        <v>30</v>
      </c>
      <c r="U254" s="5" t="s">
        <v>30</v>
      </c>
      <c r="V254" s="173">
        <f>VLOOKUP(A254,'[1]Final-Short'!$B:$AE,29,0)</f>
        <v>2.15</v>
      </c>
      <c r="W254" s="171" t="s">
        <v>1872</v>
      </c>
      <c r="X254" s="58">
        <f t="shared" si="30"/>
        <v>4515</v>
      </c>
      <c r="Y254" s="58">
        <f t="shared" si="31"/>
        <v>2150</v>
      </c>
    </row>
    <row r="255" spans="1:25" x14ac:dyDescent="0.25">
      <c r="A255" s="36" t="s">
        <v>1879</v>
      </c>
      <c r="B255" s="171" t="s">
        <v>1880</v>
      </c>
      <c r="C255" s="171" t="s">
        <v>1881</v>
      </c>
      <c r="D255" s="172" t="s">
        <v>1631</v>
      </c>
      <c r="E255" s="172" t="s">
        <v>1631</v>
      </c>
      <c r="F255" s="172" t="s">
        <v>5062</v>
      </c>
      <c r="G255" s="172" t="s">
        <v>1631</v>
      </c>
      <c r="H255" s="172" t="s">
        <v>1631</v>
      </c>
      <c r="I255" s="172" t="s">
        <v>1631</v>
      </c>
      <c r="J255" s="36">
        <v>1</v>
      </c>
      <c r="K255" s="58">
        <v>5175</v>
      </c>
      <c r="L255" s="58"/>
      <c r="M255" s="22">
        <f>IFERROR((VLOOKUP(A255,'Current Stocks July-26'!$B:$K,10,0)),0)</f>
        <v>0</v>
      </c>
      <c r="N255" s="22">
        <f t="shared" si="24"/>
        <v>0</v>
      </c>
      <c r="O255" s="22" t="str">
        <f t="shared" si="25"/>
        <v>ORDER NOW</v>
      </c>
      <c r="P255" s="22" t="str">
        <f t="shared" si="26"/>
        <v>CRITICAL</v>
      </c>
      <c r="Q255" s="58">
        <f t="shared" si="27"/>
        <v>3967.5000000000005</v>
      </c>
      <c r="R255" s="58">
        <f t="shared" si="28"/>
        <v>9142.5</v>
      </c>
      <c r="S255" s="58">
        <f t="shared" si="29"/>
        <v>9142.5</v>
      </c>
      <c r="T255" s="5">
        <v>20</v>
      </c>
      <c r="U255" s="5" t="s">
        <v>30</v>
      </c>
      <c r="V255" s="173">
        <f>VLOOKUP(A255,'[1]Final-Short'!$B:$AE,29,0)</f>
        <v>2.15</v>
      </c>
      <c r="W255" s="171" t="s">
        <v>1872</v>
      </c>
      <c r="X255" s="58">
        <f t="shared" si="30"/>
        <v>19656.375</v>
      </c>
      <c r="Y255" s="58">
        <f t="shared" si="31"/>
        <v>11126.25</v>
      </c>
    </row>
    <row r="256" spans="1:25" x14ac:dyDescent="0.25">
      <c r="A256" s="36" t="s">
        <v>1882</v>
      </c>
      <c r="B256" s="171" t="s">
        <v>1883</v>
      </c>
      <c r="C256" s="171" t="s">
        <v>1884</v>
      </c>
      <c r="D256" s="172" t="s">
        <v>1631</v>
      </c>
      <c r="E256" s="172" t="s">
        <v>1631</v>
      </c>
      <c r="F256" s="172" t="s">
        <v>5062</v>
      </c>
      <c r="G256" s="172" t="s">
        <v>1631</v>
      </c>
      <c r="H256" s="172" t="s">
        <v>1631</v>
      </c>
      <c r="I256" s="172" t="s">
        <v>1631</v>
      </c>
      <c r="J256" s="36">
        <v>1</v>
      </c>
      <c r="K256" s="58">
        <v>1839.9999999999998</v>
      </c>
      <c r="L256" s="58"/>
      <c r="M256" s="22">
        <f>IFERROR((VLOOKUP(A256,'Current Stocks July-26'!$B:$K,10,0)),0)</f>
        <v>2500</v>
      </c>
      <c r="N256" s="22">
        <f t="shared" si="24"/>
        <v>40.760869565217398</v>
      </c>
      <c r="O256" s="22" t="str">
        <f t="shared" si="25"/>
        <v>IN STOCK</v>
      </c>
      <c r="P256" s="22" t="str">
        <f t="shared" si="26"/>
        <v>FOLLOW UP DELIVERY</v>
      </c>
      <c r="Q256" s="58">
        <f t="shared" si="27"/>
        <v>1410.6666666666665</v>
      </c>
      <c r="R256" s="58">
        <f t="shared" si="28"/>
        <v>3250.6666666666661</v>
      </c>
      <c r="S256" s="58">
        <f t="shared" si="29"/>
        <v>750.66666666666606</v>
      </c>
      <c r="T256" s="5">
        <v>20</v>
      </c>
      <c r="U256" s="5" t="s">
        <v>30</v>
      </c>
      <c r="V256" s="195">
        <f>VLOOKUP(A256,'[1]Final-Short'!$B:$AE,29,0)</f>
        <v>2.75</v>
      </c>
      <c r="W256" s="171" t="s">
        <v>1872</v>
      </c>
      <c r="X256" s="58">
        <f t="shared" si="30"/>
        <v>2064.3333333333317</v>
      </c>
      <c r="Y256" s="58">
        <f t="shared" si="31"/>
        <v>5059.9999999999991</v>
      </c>
    </row>
    <row r="257" spans="1:25" x14ac:dyDescent="0.25">
      <c r="A257" s="36" t="s">
        <v>1885</v>
      </c>
      <c r="B257" s="171" t="s">
        <v>1886</v>
      </c>
      <c r="C257" s="171" t="s">
        <v>1887</v>
      </c>
      <c r="D257" s="172" t="s">
        <v>1631</v>
      </c>
      <c r="E257" s="172" t="s">
        <v>1631</v>
      </c>
      <c r="F257" s="172" t="s">
        <v>5062</v>
      </c>
      <c r="G257" s="172" t="s">
        <v>1631</v>
      </c>
      <c r="H257" s="172" t="s">
        <v>1631</v>
      </c>
      <c r="I257" s="172" t="s">
        <v>1631</v>
      </c>
      <c r="J257" s="36">
        <v>1</v>
      </c>
      <c r="K257" s="58">
        <v>2000</v>
      </c>
      <c r="L257" s="58"/>
      <c r="M257" s="22">
        <f>IFERROR((VLOOKUP(A257,'Current Stocks July-26'!$B:$K,10,0)),0)</f>
        <v>2880</v>
      </c>
      <c r="N257" s="22">
        <f t="shared" si="24"/>
        <v>43.199999999999996</v>
      </c>
      <c r="O257" s="22" t="str">
        <f t="shared" si="25"/>
        <v>IN STOCK</v>
      </c>
      <c r="P257" s="22" t="str">
        <f t="shared" si="26"/>
        <v>FOLLOW UP DELIVERY</v>
      </c>
      <c r="Q257" s="58">
        <f t="shared" si="27"/>
        <v>1533.3333333333335</v>
      </c>
      <c r="R257" s="58">
        <f t="shared" si="28"/>
        <v>3533.3333333333335</v>
      </c>
      <c r="S257" s="58">
        <f t="shared" si="29"/>
        <v>653.33333333333348</v>
      </c>
      <c r="T257" s="5">
        <v>20</v>
      </c>
      <c r="U257" s="5" t="s">
        <v>30</v>
      </c>
      <c r="V257" s="195">
        <f>VLOOKUP(A257,'[1]Final-Short'!$B:$AE,29,0)</f>
        <v>3.95</v>
      </c>
      <c r="W257" s="171" t="s">
        <v>1872</v>
      </c>
      <c r="X257" s="58">
        <f t="shared" si="30"/>
        <v>2580.6666666666674</v>
      </c>
      <c r="Y257" s="58">
        <f t="shared" si="31"/>
        <v>7900</v>
      </c>
    </row>
    <row r="258" spans="1:25" x14ac:dyDescent="0.25">
      <c r="A258" s="36" t="s">
        <v>1888</v>
      </c>
      <c r="B258" s="171" t="s">
        <v>1889</v>
      </c>
      <c r="C258" s="171" t="s">
        <v>1890</v>
      </c>
      <c r="D258" s="172" t="s">
        <v>1631</v>
      </c>
      <c r="E258" s="172" t="s">
        <v>1631</v>
      </c>
      <c r="F258" s="172" t="s">
        <v>5062</v>
      </c>
      <c r="G258" s="172" t="s">
        <v>1631</v>
      </c>
      <c r="H258" s="172" t="s">
        <v>1631</v>
      </c>
      <c r="I258" s="172" t="s">
        <v>1631</v>
      </c>
      <c r="J258" s="36">
        <v>1</v>
      </c>
      <c r="K258" s="58">
        <v>2000</v>
      </c>
      <c r="L258" s="58"/>
      <c r="M258" s="22">
        <f>IFERROR((VLOOKUP(A258,'Current Stocks July-26'!$B:$K,10,0)),0)</f>
        <v>5400</v>
      </c>
      <c r="N258" s="22">
        <f t="shared" ref="N258:N321" si="32">IFERROR((M258/K258*30),0)</f>
        <v>81</v>
      </c>
      <c r="O258" s="22" t="str">
        <f t="shared" ref="O258:O321" si="33">IF(N258&lt;T258,"ORDER NOW","IN STOCK")</f>
        <v>IN STOCK</v>
      </c>
      <c r="P258" s="22" t="str">
        <f t="shared" ref="P258:P321" si="34">IF(N258&lt;T258,"CRITICAL","FOLLOW UP DELIVERY")</f>
        <v>FOLLOW UP DELIVERY</v>
      </c>
      <c r="Q258" s="58">
        <f t="shared" ref="Q258:Q321" si="35">K258*((T258+3)/30)</f>
        <v>1533.3333333333335</v>
      </c>
      <c r="R258" s="58">
        <f t="shared" ref="R258:R321" si="36">Q258+K258</f>
        <v>3533.3333333333335</v>
      </c>
      <c r="S258" s="58">
        <f t="shared" ref="S258:S321" si="37">MAX((K258+Q258)-M258,0)</f>
        <v>0</v>
      </c>
      <c r="T258" s="5">
        <v>20</v>
      </c>
      <c r="U258" s="5" t="s">
        <v>30</v>
      </c>
      <c r="V258" s="173">
        <f>VLOOKUP(A258,'[1]Final-Short'!$B:$AE,29,0)</f>
        <v>7.2149999999999999</v>
      </c>
      <c r="W258" s="171" t="s">
        <v>1891</v>
      </c>
      <c r="X258" s="58">
        <f t="shared" ref="X258:X321" si="38">S258*V258</f>
        <v>0</v>
      </c>
      <c r="Y258" s="58">
        <f t="shared" ref="Y258:Y321" si="39">K258*V258</f>
        <v>14430</v>
      </c>
    </row>
    <row r="259" spans="1:25" x14ac:dyDescent="0.25">
      <c r="A259" s="36" t="s">
        <v>1892</v>
      </c>
      <c r="B259" s="171" t="s">
        <v>1893</v>
      </c>
      <c r="C259" s="171" t="s">
        <v>1894</v>
      </c>
      <c r="D259" s="172" t="s">
        <v>1631</v>
      </c>
      <c r="E259" s="172" t="s">
        <v>1631</v>
      </c>
      <c r="F259" s="172" t="s">
        <v>5062</v>
      </c>
      <c r="G259" s="172" t="s">
        <v>1631</v>
      </c>
      <c r="H259" s="172" t="s">
        <v>1631</v>
      </c>
      <c r="I259" s="172" t="s">
        <v>1631</v>
      </c>
      <c r="J259" s="36">
        <v>1</v>
      </c>
      <c r="K259" s="58">
        <v>2200</v>
      </c>
      <c r="L259" s="58" t="s">
        <v>1895</v>
      </c>
      <c r="M259" s="22">
        <f>IFERROR((VLOOKUP(A259,'Current Stocks July-26'!$B:$K,10,0)),0)</f>
        <v>0</v>
      </c>
      <c r="N259" s="22">
        <f t="shared" si="32"/>
        <v>0</v>
      </c>
      <c r="O259" s="22" t="str">
        <f t="shared" si="33"/>
        <v>ORDER NOW</v>
      </c>
      <c r="P259" s="22" t="str">
        <f t="shared" si="34"/>
        <v>CRITICAL</v>
      </c>
      <c r="Q259" s="58">
        <f t="shared" si="35"/>
        <v>1686.6666666666667</v>
      </c>
      <c r="R259" s="58">
        <f t="shared" si="36"/>
        <v>3886.666666666667</v>
      </c>
      <c r="S259" s="58">
        <f t="shared" si="37"/>
        <v>3886.666666666667</v>
      </c>
      <c r="T259" s="5">
        <v>20</v>
      </c>
      <c r="U259" s="5" t="s">
        <v>30</v>
      </c>
      <c r="V259" s="173">
        <f>VLOOKUP(A259,'[1]Final-Short'!$B:$AE,29,0)</f>
        <v>5</v>
      </c>
      <c r="W259" s="171" t="s">
        <v>1896</v>
      </c>
      <c r="X259" s="58">
        <f t="shared" si="38"/>
        <v>19433.333333333336</v>
      </c>
      <c r="Y259" s="58">
        <f t="shared" si="39"/>
        <v>11000</v>
      </c>
    </row>
    <row r="260" spans="1:25" x14ac:dyDescent="0.25">
      <c r="A260" s="36" t="s">
        <v>1897</v>
      </c>
      <c r="B260" s="171" t="s">
        <v>1898</v>
      </c>
      <c r="C260" s="171" t="s">
        <v>1899</v>
      </c>
      <c r="D260" s="172" t="s">
        <v>1631</v>
      </c>
      <c r="E260" s="172" t="s">
        <v>1631</v>
      </c>
      <c r="F260" s="172" t="s">
        <v>5062</v>
      </c>
      <c r="G260" s="172" t="s">
        <v>1631</v>
      </c>
      <c r="H260" s="172" t="s">
        <v>1631</v>
      </c>
      <c r="I260" s="172" t="s">
        <v>1631</v>
      </c>
      <c r="J260" s="36">
        <v>1</v>
      </c>
      <c r="K260" s="58">
        <v>2000</v>
      </c>
      <c r="L260" s="58"/>
      <c r="M260" s="22">
        <f>IFERROR((VLOOKUP(A260,'Current Stocks July-26'!$B:$K,10,0)),0)</f>
        <v>100</v>
      </c>
      <c r="N260" s="22">
        <f t="shared" si="32"/>
        <v>1.5</v>
      </c>
      <c r="O260" s="22" t="str">
        <f t="shared" si="33"/>
        <v>ORDER NOW</v>
      </c>
      <c r="P260" s="22" t="str">
        <f t="shared" si="34"/>
        <v>CRITICAL</v>
      </c>
      <c r="Q260" s="58">
        <f t="shared" si="35"/>
        <v>1533.3333333333335</v>
      </c>
      <c r="R260" s="58">
        <f t="shared" si="36"/>
        <v>3533.3333333333335</v>
      </c>
      <c r="S260" s="58">
        <f t="shared" si="37"/>
        <v>3433.3333333333335</v>
      </c>
      <c r="T260" s="5">
        <v>20</v>
      </c>
      <c r="U260" s="5" t="s">
        <v>30</v>
      </c>
      <c r="V260" s="173">
        <f>VLOOKUP(A260,'[1]Final-Short'!$B:$AE,29,0)</f>
        <v>4</v>
      </c>
      <c r="W260" s="171" t="s">
        <v>1802</v>
      </c>
      <c r="X260" s="58">
        <f t="shared" si="38"/>
        <v>13733.333333333334</v>
      </c>
      <c r="Y260" s="58">
        <f t="shared" si="39"/>
        <v>8000</v>
      </c>
    </row>
    <row r="261" spans="1:25" x14ac:dyDescent="0.25">
      <c r="A261" s="36" t="s">
        <v>1900</v>
      </c>
      <c r="B261" s="171" t="s">
        <v>1901</v>
      </c>
      <c r="C261" s="171" t="s">
        <v>1902</v>
      </c>
      <c r="D261" s="172" t="s">
        <v>1631</v>
      </c>
      <c r="E261" s="172" t="s">
        <v>1631</v>
      </c>
      <c r="F261" s="172" t="s">
        <v>5062</v>
      </c>
      <c r="G261" s="172" t="s">
        <v>1631</v>
      </c>
      <c r="H261" s="172" t="s">
        <v>1631</v>
      </c>
      <c r="I261" s="172" t="s">
        <v>1631</v>
      </c>
      <c r="J261" s="36">
        <v>1</v>
      </c>
      <c r="K261" s="58">
        <v>1500</v>
      </c>
      <c r="L261" s="58"/>
      <c r="M261" s="22">
        <f>IFERROR((VLOOKUP(A261,'Current Stocks July-26'!$B:$K,10,0)),0)</f>
        <v>0</v>
      </c>
      <c r="N261" s="22">
        <f t="shared" si="32"/>
        <v>0</v>
      </c>
      <c r="O261" s="22" t="str">
        <f t="shared" si="33"/>
        <v>ORDER NOW</v>
      </c>
      <c r="P261" s="22" t="str">
        <f t="shared" si="34"/>
        <v>CRITICAL</v>
      </c>
      <c r="Q261" s="58">
        <f t="shared" si="35"/>
        <v>500</v>
      </c>
      <c r="R261" s="58">
        <f t="shared" si="36"/>
        <v>2000</v>
      </c>
      <c r="S261" s="58">
        <f t="shared" si="37"/>
        <v>2000</v>
      </c>
      <c r="T261" s="5">
        <v>7</v>
      </c>
      <c r="U261" s="5" t="s">
        <v>30</v>
      </c>
      <c r="V261" s="173">
        <f>VLOOKUP(A261,'[1]Final-Short'!$B:$AE,29,0)</f>
        <v>0</v>
      </c>
      <c r="W261" s="171" t="s">
        <v>1802</v>
      </c>
      <c r="X261" s="58">
        <f t="shared" si="38"/>
        <v>0</v>
      </c>
      <c r="Y261" s="58">
        <f t="shared" si="39"/>
        <v>0</v>
      </c>
    </row>
    <row r="262" spans="1:25" x14ac:dyDescent="0.25">
      <c r="A262" s="36" t="s">
        <v>1903</v>
      </c>
      <c r="B262" s="171" t="s">
        <v>1904</v>
      </c>
      <c r="C262" s="171" t="s">
        <v>1905</v>
      </c>
      <c r="D262" s="172" t="s">
        <v>1631</v>
      </c>
      <c r="E262" s="172" t="s">
        <v>1631</v>
      </c>
      <c r="F262" s="172" t="s">
        <v>5062</v>
      </c>
      <c r="G262" s="172" t="s">
        <v>1631</v>
      </c>
      <c r="H262" s="172" t="s">
        <v>1631</v>
      </c>
      <c r="I262" s="172" t="s">
        <v>1631</v>
      </c>
      <c r="J262" s="36">
        <v>1</v>
      </c>
      <c r="K262" s="58">
        <v>1150</v>
      </c>
      <c r="L262" s="58"/>
      <c r="M262" s="22">
        <f>IFERROR((VLOOKUP(A262,'Current Stocks July-26'!$B:$K,10,0)),0)</f>
        <v>0</v>
      </c>
      <c r="N262" s="22">
        <f t="shared" si="32"/>
        <v>0</v>
      </c>
      <c r="O262" s="22" t="str">
        <f t="shared" si="33"/>
        <v>ORDER NOW</v>
      </c>
      <c r="P262" s="22" t="str">
        <f t="shared" si="34"/>
        <v>CRITICAL</v>
      </c>
      <c r="Q262" s="58">
        <f t="shared" si="35"/>
        <v>383.33333333333331</v>
      </c>
      <c r="R262" s="58">
        <f t="shared" si="36"/>
        <v>1533.3333333333333</v>
      </c>
      <c r="S262" s="58">
        <f t="shared" si="37"/>
        <v>1533.3333333333333</v>
      </c>
      <c r="T262" s="5">
        <v>7</v>
      </c>
      <c r="U262" s="5" t="s">
        <v>30</v>
      </c>
      <c r="V262" s="173">
        <f>VLOOKUP(A262,'[1]Final-Short'!$B:$AE,29,0)</f>
        <v>0</v>
      </c>
      <c r="W262" s="185" t="s">
        <v>1794</v>
      </c>
      <c r="X262" s="58">
        <f t="shared" si="38"/>
        <v>0</v>
      </c>
      <c r="Y262" s="58">
        <f t="shared" si="39"/>
        <v>0</v>
      </c>
    </row>
    <row r="263" spans="1:25" x14ac:dyDescent="0.25">
      <c r="A263" s="36" t="s">
        <v>1906</v>
      </c>
      <c r="B263" s="171" t="s">
        <v>1907</v>
      </c>
      <c r="C263" s="171" t="s">
        <v>1908</v>
      </c>
      <c r="D263" s="172" t="s">
        <v>1631</v>
      </c>
      <c r="E263" s="172" t="s">
        <v>1631</v>
      </c>
      <c r="F263" s="172" t="s">
        <v>1631</v>
      </c>
      <c r="G263" s="172" t="s">
        <v>1631</v>
      </c>
      <c r="H263" s="172" t="s">
        <v>1631</v>
      </c>
      <c r="I263" s="172" t="s">
        <v>1631</v>
      </c>
      <c r="J263" s="36">
        <v>0</v>
      </c>
      <c r="K263" s="58">
        <v>1500</v>
      </c>
      <c r="L263" s="58"/>
      <c r="M263" s="22">
        <f>IFERROR((VLOOKUP(A263,'Current Stocks July-26'!$B:$K,10,0)),0)</f>
        <v>0</v>
      </c>
      <c r="N263" s="22">
        <f t="shared" si="32"/>
        <v>0</v>
      </c>
      <c r="O263" s="22" t="str">
        <f t="shared" si="33"/>
        <v>ORDER NOW</v>
      </c>
      <c r="P263" s="22" t="str">
        <f t="shared" si="34"/>
        <v>CRITICAL</v>
      </c>
      <c r="Q263" s="58">
        <f t="shared" si="35"/>
        <v>500</v>
      </c>
      <c r="R263" s="58">
        <f t="shared" si="36"/>
        <v>2000</v>
      </c>
      <c r="S263" s="58">
        <f t="shared" si="37"/>
        <v>2000</v>
      </c>
      <c r="T263" s="5">
        <v>7</v>
      </c>
      <c r="U263" s="5" t="s">
        <v>30</v>
      </c>
      <c r="V263" s="173">
        <f>VLOOKUP(A263,'[1]Final-Short'!$B:$AE,29,0)</f>
        <v>1.36</v>
      </c>
      <c r="W263" s="171" t="s">
        <v>1794</v>
      </c>
      <c r="X263" s="58">
        <f t="shared" si="38"/>
        <v>2720</v>
      </c>
      <c r="Y263" s="58">
        <f t="shared" si="39"/>
        <v>2040.0000000000002</v>
      </c>
    </row>
    <row r="264" spans="1:25" x14ac:dyDescent="0.25">
      <c r="A264" s="36" t="s">
        <v>1909</v>
      </c>
      <c r="B264" s="171" t="s">
        <v>1910</v>
      </c>
      <c r="C264" s="171" t="s">
        <v>1911</v>
      </c>
      <c r="D264" s="172" t="s">
        <v>1631</v>
      </c>
      <c r="E264" s="172" t="s">
        <v>1631</v>
      </c>
      <c r="F264" s="172" t="s">
        <v>5062</v>
      </c>
      <c r="G264" s="172" t="s">
        <v>1631</v>
      </c>
      <c r="H264" s="172" t="s">
        <v>1631</v>
      </c>
      <c r="I264" s="172" t="s">
        <v>1631</v>
      </c>
      <c r="J264" s="36">
        <v>1</v>
      </c>
      <c r="K264" s="58">
        <v>570</v>
      </c>
      <c r="L264" s="58"/>
      <c r="M264" s="22">
        <f>IFERROR((VLOOKUP(A264,'Current Stocks July-26'!$B:$K,10,0)),0)</f>
        <v>0</v>
      </c>
      <c r="N264" s="22">
        <f t="shared" si="32"/>
        <v>0</v>
      </c>
      <c r="O264" s="22" t="str">
        <f t="shared" si="33"/>
        <v>ORDER NOW</v>
      </c>
      <c r="P264" s="22" t="str">
        <f t="shared" si="34"/>
        <v>CRITICAL</v>
      </c>
      <c r="Q264" s="58">
        <f t="shared" si="35"/>
        <v>437.00000000000006</v>
      </c>
      <c r="R264" s="58">
        <f t="shared" si="36"/>
        <v>1007</v>
      </c>
      <c r="S264" s="58">
        <f t="shared" si="37"/>
        <v>1007</v>
      </c>
      <c r="T264" s="5">
        <v>20</v>
      </c>
      <c r="U264" s="5" t="s">
        <v>30</v>
      </c>
      <c r="V264" s="173">
        <f>VLOOKUP(A264,'[1]Final-Short'!$B:$AE,29,0)</f>
        <v>4.5</v>
      </c>
      <c r="W264" s="171" t="s">
        <v>1802</v>
      </c>
      <c r="X264" s="58">
        <f t="shared" si="38"/>
        <v>4531.5</v>
      </c>
      <c r="Y264" s="58">
        <f t="shared" si="39"/>
        <v>2565</v>
      </c>
    </row>
    <row r="265" spans="1:25" x14ac:dyDescent="0.25">
      <c r="A265" s="36" t="s">
        <v>1912</v>
      </c>
      <c r="B265" s="171" t="s">
        <v>1913</v>
      </c>
      <c r="C265" s="171" t="s">
        <v>1914</v>
      </c>
      <c r="D265" s="172" t="s">
        <v>1631</v>
      </c>
      <c r="E265" s="172" t="s">
        <v>1631</v>
      </c>
      <c r="F265" s="172" t="s">
        <v>5062</v>
      </c>
      <c r="G265" s="172" t="s">
        <v>1631</v>
      </c>
      <c r="H265" s="172" t="s">
        <v>1631</v>
      </c>
      <c r="I265" s="172" t="s">
        <v>1631</v>
      </c>
      <c r="J265" s="36">
        <v>1</v>
      </c>
      <c r="K265" s="58">
        <v>8342</v>
      </c>
      <c r="L265" s="58"/>
      <c r="M265" s="22">
        <f>IFERROR((VLOOKUP(A265,'Current Stocks July-26'!$B:$K,10,0)),0)</f>
        <v>0</v>
      </c>
      <c r="N265" s="22">
        <f t="shared" si="32"/>
        <v>0</v>
      </c>
      <c r="O265" s="22" t="str">
        <f t="shared" si="33"/>
        <v>ORDER NOW</v>
      </c>
      <c r="P265" s="22" t="str">
        <f t="shared" si="34"/>
        <v>CRITICAL</v>
      </c>
      <c r="Q265" s="58">
        <f t="shared" si="35"/>
        <v>6395.5333333333338</v>
      </c>
      <c r="R265" s="58">
        <f t="shared" si="36"/>
        <v>14737.533333333333</v>
      </c>
      <c r="S265" s="58">
        <f t="shared" si="37"/>
        <v>14737.533333333333</v>
      </c>
      <c r="T265" s="5">
        <v>20</v>
      </c>
      <c r="U265" s="5" t="s">
        <v>30</v>
      </c>
      <c r="V265" s="173">
        <f>VLOOKUP(A265,'[1]Final-Short'!$B:$AE,29,0)</f>
        <v>1.6</v>
      </c>
      <c r="W265" s="171" t="s">
        <v>1802</v>
      </c>
      <c r="X265" s="58">
        <f t="shared" si="38"/>
        <v>23580.053333333333</v>
      </c>
      <c r="Y265" s="58">
        <f t="shared" si="39"/>
        <v>13347.2</v>
      </c>
    </row>
    <row r="266" spans="1:25" x14ac:dyDescent="0.25">
      <c r="A266" s="36" t="s">
        <v>1915</v>
      </c>
      <c r="B266" s="171" t="s">
        <v>1916</v>
      </c>
      <c r="C266" s="171" t="s">
        <v>1917</v>
      </c>
      <c r="D266" s="172" t="s">
        <v>1631</v>
      </c>
      <c r="E266" s="172" t="s">
        <v>1631</v>
      </c>
      <c r="F266" s="172" t="s">
        <v>5062</v>
      </c>
      <c r="G266" s="172" t="s">
        <v>1631</v>
      </c>
      <c r="H266" s="172" t="s">
        <v>1631</v>
      </c>
      <c r="I266" s="172" t="s">
        <v>1631</v>
      </c>
      <c r="J266" s="36">
        <v>1</v>
      </c>
      <c r="K266" s="58">
        <v>7700</v>
      </c>
      <c r="L266" s="58" t="s">
        <v>1918</v>
      </c>
      <c r="M266" s="22">
        <f>IFERROR((VLOOKUP(A266,'Current Stocks July-26'!$B:$K,10,0)),0)</f>
        <v>0</v>
      </c>
      <c r="N266" s="22">
        <f t="shared" si="32"/>
        <v>0</v>
      </c>
      <c r="O266" s="22" t="str">
        <f t="shared" si="33"/>
        <v>ORDER NOW</v>
      </c>
      <c r="P266" s="22" t="str">
        <f t="shared" si="34"/>
        <v>CRITICAL</v>
      </c>
      <c r="Q266" s="58">
        <f t="shared" si="35"/>
        <v>5903.3333333333339</v>
      </c>
      <c r="R266" s="58">
        <f t="shared" si="36"/>
        <v>13603.333333333334</v>
      </c>
      <c r="S266" s="58">
        <f t="shared" si="37"/>
        <v>13603.333333333334</v>
      </c>
      <c r="T266" s="5">
        <v>20</v>
      </c>
      <c r="U266" s="5" t="s">
        <v>30</v>
      </c>
      <c r="V266" s="173">
        <f>VLOOKUP(A266,'[1]Final-Short'!$B:$AE,29,0)</f>
        <v>0.45</v>
      </c>
      <c r="W266" s="171" t="s">
        <v>1802</v>
      </c>
      <c r="X266" s="58">
        <f t="shared" si="38"/>
        <v>6121.5</v>
      </c>
      <c r="Y266" s="58">
        <f t="shared" si="39"/>
        <v>3465</v>
      </c>
    </row>
    <row r="267" spans="1:25" x14ac:dyDescent="0.25">
      <c r="A267" s="36" t="s">
        <v>1919</v>
      </c>
      <c r="B267" s="171" t="s">
        <v>1920</v>
      </c>
      <c r="C267" s="171" t="s">
        <v>1921</v>
      </c>
      <c r="D267" s="172" t="s">
        <v>1631</v>
      </c>
      <c r="E267" s="172" t="s">
        <v>1631</v>
      </c>
      <c r="F267" s="172" t="s">
        <v>5062</v>
      </c>
      <c r="G267" s="172" t="s">
        <v>1631</v>
      </c>
      <c r="H267" s="172" t="s">
        <v>1631</v>
      </c>
      <c r="I267" s="172" t="s">
        <v>1631</v>
      </c>
      <c r="J267" s="36">
        <v>1</v>
      </c>
      <c r="K267" s="58">
        <v>1150</v>
      </c>
      <c r="L267" s="58"/>
      <c r="M267" s="22">
        <f>IFERROR((VLOOKUP(A267,'Current Stocks July-26'!$B:$K,10,0)),0)</f>
        <v>1195</v>
      </c>
      <c r="N267" s="22">
        <f t="shared" si="32"/>
        <v>31.173913043478262</v>
      </c>
      <c r="O267" s="22" t="str">
        <f t="shared" si="33"/>
        <v>IN STOCK</v>
      </c>
      <c r="P267" s="22" t="str">
        <f t="shared" si="34"/>
        <v>FOLLOW UP DELIVERY</v>
      </c>
      <c r="Q267" s="58">
        <f t="shared" si="35"/>
        <v>881.66666666666674</v>
      </c>
      <c r="R267" s="58">
        <f t="shared" si="36"/>
        <v>2031.6666666666667</v>
      </c>
      <c r="S267" s="58">
        <f t="shared" si="37"/>
        <v>836.66666666666674</v>
      </c>
      <c r="T267" s="5">
        <v>20</v>
      </c>
      <c r="U267" s="5" t="s">
        <v>1669</v>
      </c>
      <c r="V267" s="195">
        <f>VLOOKUP(A267,'[1]Final-Short'!$B:$AE,29,0)</f>
        <v>6</v>
      </c>
      <c r="W267" s="171" t="s">
        <v>1795</v>
      </c>
      <c r="X267" s="58">
        <f t="shared" si="38"/>
        <v>5020</v>
      </c>
      <c r="Y267" s="58">
        <f t="shared" si="39"/>
        <v>6900</v>
      </c>
    </row>
    <row r="268" spans="1:25" x14ac:dyDescent="0.25">
      <c r="A268" s="36" t="s">
        <v>1922</v>
      </c>
      <c r="B268" s="171" t="s">
        <v>1923</v>
      </c>
      <c r="C268" s="171" t="s">
        <v>1924</v>
      </c>
      <c r="D268" s="172" t="s">
        <v>1631</v>
      </c>
      <c r="E268" s="172" t="s">
        <v>1631</v>
      </c>
      <c r="F268" s="172" t="s">
        <v>5062</v>
      </c>
      <c r="G268" s="172" t="s">
        <v>1631</v>
      </c>
      <c r="H268" s="172" t="s">
        <v>1631</v>
      </c>
      <c r="I268" s="172" t="s">
        <v>1631</v>
      </c>
      <c r="J268" s="36">
        <v>1</v>
      </c>
      <c r="K268" s="58">
        <v>1150</v>
      </c>
      <c r="L268" s="58"/>
      <c r="M268" s="22">
        <f>IFERROR((VLOOKUP(A268,'Current Stocks July-26'!$B:$K,10,0)),0)</f>
        <v>0</v>
      </c>
      <c r="N268" s="22">
        <f t="shared" si="32"/>
        <v>0</v>
      </c>
      <c r="O268" s="22" t="str">
        <f t="shared" si="33"/>
        <v>ORDER NOW</v>
      </c>
      <c r="P268" s="22" t="str">
        <f t="shared" si="34"/>
        <v>CRITICAL</v>
      </c>
      <c r="Q268" s="58">
        <f t="shared" si="35"/>
        <v>383.33333333333331</v>
      </c>
      <c r="R268" s="58">
        <f t="shared" si="36"/>
        <v>1533.3333333333333</v>
      </c>
      <c r="S268" s="58">
        <f t="shared" si="37"/>
        <v>1533.3333333333333</v>
      </c>
      <c r="T268" s="5">
        <v>7</v>
      </c>
      <c r="U268" s="5" t="s">
        <v>30</v>
      </c>
      <c r="V268" s="173">
        <f>VLOOKUP(A268,'[1]Final-Short'!$B:$AE,29,0)</f>
        <v>33.6</v>
      </c>
      <c r="W268" s="171" t="s">
        <v>1803</v>
      </c>
      <c r="X268" s="58">
        <f t="shared" si="38"/>
        <v>51520</v>
      </c>
      <c r="Y268" s="58">
        <f t="shared" si="39"/>
        <v>38640</v>
      </c>
    </row>
    <row r="269" spans="1:25" x14ac:dyDescent="0.25">
      <c r="A269" s="36" t="s">
        <v>1925</v>
      </c>
      <c r="B269" s="171" t="s">
        <v>1926</v>
      </c>
      <c r="C269" s="171" t="s">
        <v>1927</v>
      </c>
      <c r="D269" s="172" t="s">
        <v>1631</v>
      </c>
      <c r="E269" s="172" t="s">
        <v>1631</v>
      </c>
      <c r="F269" s="172" t="s">
        <v>1631</v>
      </c>
      <c r="G269" s="172" t="s">
        <v>1631</v>
      </c>
      <c r="H269" s="172" t="s">
        <v>1631</v>
      </c>
      <c r="I269" s="172" t="s">
        <v>1631</v>
      </c>
      <c r="J269" s="36">
        <v>0</v>
      </c>
      <c r="K269" s="58">
        <v>158125</v>
      </c>
      <c r="L269" s="58" t="s">
        <v>1918</v>
      </c>
      <c r="M269" s="22">
        <f>IFERROR((VLOOKUP(A269,'Current Stocks July-26'!$B:$K,10,0)),0)</f>
        <v>0</v>
      </c>
      <c r="N269" s="22">
        <f t="shared" si="32"/>
        <v>0</v>
      </c>
      <c r="O269" s="22" t="str">
        <f t="shared" si="33"/>
        <v>ORDER NOW</v>
      </c>
      <c r="P269" s="22" t="str">
        <f t="shared" si="34"/>
        <v>CRITICAL</v>
      </c>
      <c r="Q269" s="58">
        <f t="shared" si="35"/>
        <v>490187.5</v>
      </c>
      <c r="R269" s="58">
        <f t="shared" si="36"/>
        <v>648312.5</v>
      </c>
      <c r="S269" s="58">
        <f t="shared" si="37"/>
        <v>648312.5</v>
      </c>
      <c r="T269" s="5">
        <v>90</v>
      </c>
      <c r="U269" s="5" t="s">
        <v>30</v>
      </c>
      <c r="V269" s="173">
        <f>VLOOKUP(A269,'[1]Final-Short'!$B:$AE,29,0)</f>
        <v>2.2880000000000001E-2</v>
      </c>
      <c r="W269" s="171" t="s">
        <v>1803</v>
      </c>
      <c r="X269" s="58">
        <f t="shared" si="38"/>
        <v>14833.390000000001</v>
      </c>
      <c r="Y269" s="58">
        <f t="shared" si="39"/>
        <v>3617.9</v>
      </c>
    </row>
    <row r="270" spans="1:25" x14ac:dyDescent="0.25">
      <c r="A270" s="36" t="s">
        <v>1928</v>
      </c>
      <c r="B270" s="171" t="s">
        <v>1929</v>
      </c>
      <c r="C270" s="171" t="s">
        <v>1930</v>
      </c>
      <c r="D270" s="172" t="s">
        <v>1631</v>
      </c>
      <c r="E270" s="172" t="s">
        <v>1631</v>
      </c>
      <c r="F270" s="172" t="s">
        <v>5062</v>
      </c>
      <c r="G270" s="172" t="s">
        <v>1631</v>
      </c>
      <c r="H270" s="172" t="s">
        <v>1631</v>
      </c>
      <c r="I270" s="172" t="s">
        <v>1631</v>
      </c>
      <c r="J270" s="36">
        <v>1</v>
      </c>
      <c r="K270" s="58">
        <v>90</v>
      </c>
      <c r="L270" s="58"/>
      <c r="M270" s="22">
        <f>IFERROR((VLOOKUP(A270,'Current Stocks July-26'!$B:$K,10,0)),0)</f>
        <v>0</v>
      </c>
      <c r="N270" s="22">
        <f t="shared" si="32"/>
        <v>0</v>
      </c>
      <c r="O270" s="22" t="str">
        <f t="shared" si="33"/>
        <v>ORDER NOW</v>
      </c>
      <c r="P270" s="22" t="str">
        <f t="shared" si="34"/>
        <v>CRITICAL</v>
      </c>
      <c r="Q270" s="58">
        <f t="shared" si="35"/>
        <v>30</v>
      </c>
      <c r="R270" s="58">
        <f t="shared" si="36"/>
        <v>120</v>
      </c>
      <c r="S270" s="58">
        <f t="shared" si="37"/>
        <v>120</v>
      </c>
      <c r="T270" s="5">
        <v>7</v>
      </c>
      <c r="U270" s="5" t="s">
        <v>30</v>
      </c>
      <c r="V270" s="173">
        <f>VLOOKUP(A270,'[1]Final-Short'!$B:$AE,29,0)</f>
        <v>450</v>
      </c>
      <c r="W270" s="171" t="s">
        <v>1767</v>
      </c>
      <c r="X270" s="58">
        <f t="shared" si="38"/>
        <v>54000</v>
      </c>
      <c r="Y270" s="58">
        <f t="shared" si="39"/>
        <v>40500</v>
      </c>
    </row>
    <row r="271" spans="1:25" x14ac:dyDescent="0.25">
      <c r="A271" s="36" t="s">
        <v>1931</v>
      </c>
      <c r="B271" s="171" t="s">
        <v>1932</v>
      </c>
      <c r="C271" s="171" t="s">
        <v>1933</v>
      </c>
      <c r="D271" s="172" t="s">
        <v>1631</v>
      </c>
      <c r="E271" s="172" t="s">
        <v>1631</v>
      </c>
      <c r="F271" s="172" t="s">
        <v>5062</v>
      </c>
      <c r="G271" s="172" t="s">
        <v>1631</v>
      </c>
      <c r="H271" s="172" t="s">
        <v>1631</v>
      </c>
      <c r="I271" s="172" t="s">
        <v>1631</v>
      </c>
      <c r="J271" s="36">
        <v>1</v>
      </c>
      <c r="K271" s="58">
        <v>345</v>
      </c>
      <c r="L271" s="58" t="s">
        <v>1918</v>
      </c>
      <c r="M271" s="22">
        <f>IFERROR((VLOOKUP(A271,'Current Stocks July-26'!$B:$K,10,0)),0)</f>
        <v>1494</v>
      </c>
      <c r="N271" s="22">
        <f t="shared" si="32"/>
        <v>129.91304347826087</v>
      </c>
      <c r="O271" s="22" t="str">
        <f t="shared" si="33"/>
        <v>IN STOCK</v>
      </c>
      <c r="P271" s="22" t="str">
        <f t="shared" si="34"/>
        <v>FOLLOW UP DELIVERY</v>
      </c>
      <c r="Q271" s="58">
        <f t="shared" si="35"/>
        <v>195.5</v>
      </c>
      <c r="R271" s="58">
        <f t="shared" si="36"/>
        <v>540.5</v>
      </c>
      <c r="S271" s="58">
        <f t="shared" si="37"/>
        <v>0</v>
      </c>
      <c r="T271" s="5">
        <v>14</v>
      </c>
      <c r="U271" s="5" t="s">
        <v>30</v>
      </c>
      <c r="V271" s="173">
        <f>VLOOKUP(A271,'[1]Final-Short'!$B:$AE,29,0)</f>
        <v>10.5</v>
      </c>
      <c r="W271" s="171" t="s">
        <v>1934</v>
      </c>
      <c r="X271" s="58">
        <f t="shared" si="38"/>
        <v>0</v>
      </c>
      <c r="Y271" s="58">
        <f t="shared" si="39"/>
        <v>3622.5</v>
      </c>
    </row>
    <row r="272" spans="1:25" x14ac:dyDescent="0.25">
      <c r="A272" s="36" t="s">
        <v>1935</v>
      </c>
      <c r="B272" s="171" t="s">
        <v>1936</v>
      </c>
      <c r="C272" s="183" t="s">
        <v>1937</v>
      </c>
      <c r="D272" s="172" t="s">
        <v>1631</v>
      </c>
      <c r="E272" s="172" t="s">
        <v>1631</v>
      </c>
      <c r="F272" s="172" t="s">
        <v>5062</v>
      </c>
      <c r="G272" s="172" t="s">
        <v>1631</v>
      </c>
      <c r="H272" s="172" t="s">
        <v>1631</v>
      </c>
      <c r="I272" s="172" t="s">
        <v>1631</v>
      </c>
      <c r="J272" s="36">
        <v>1</v>
      </c>
      <c r="K272" s="58">
        <v>7000</v>
      </c>
      <c r="L272" s="58"/>
      <c r="M272" s="22">
        <f>IFERROR((VLOOKUP(A272,'Current Stocks July-26'!$B:$K,10,0)),0)</f>
        <v>0</v>
      </c>
      <c r="N272" s="22">
        <f t="shared" si="32"/>
        <v>0</v>
      </c>
      <c r="O272" s="22" t="str">
        <f t="shared" si="33"/>
        <v>ORDER NOW</v>
      </c>
      <c r="P272" s="22" t="str">
        <f t="shared" si="34"/>
        <v>CRITICAL</v>
      </c>
      <c r="Q272" s="58">
        <f t="shared" si="35"/>
        <v>2333.333333333333</v>
      </c>
      <c r="R272" s="58">
        <f t="shared" si="36"/>
        <v>9333.3333333333321</v>
      </c>
      <c r="S272" s="58">
        <f t="shared" si="37"/>
        <v>9333.3333333333321</v>
      </c>
      <c r="T272" s="5">
        <v>7</v>
      </c>
      <c r="U272" s="5" t="s">
        <v>30</v>
      </c>
      <c r="V272" s="173">
        <f>VLOOKUP(A272,'[1]Final-Short'!$B:$AE,29,0)</f>
        <v>0.04</v>
      </c>
      <c r="W272" s="171" t="s">
        <v>1795</v>
      </c>
      <c r="X272" s="58">
        <f t="shared" si="38"/>
        <v>373.33333333333331</v>
      </c>
      <c r="Y272" s="58">
        <f t="shared" si="39"/>
        <v>280</v>
      </c>
    </row>
    <row r="273" spans="1:25" x14ac:dyDescent="0.25">
      <c r="A273" s="36" t="s">
        <v>1938</v>
      </c>
      <c r="B273" s="171" t="s">
        <v>1939</v>
      </c>
      <c r="C273" s="183" t="s">
        <v>1940</v>
      </c>
      <c r="D273" s="172" t="s">
        <v>1631</v>
      </c>
      <c r="E273" s="172" t="s">
        <v>1631</v>
      </c>
      <c r="F273" s="172" t="s">
        <v>5062</v>
      </c>
      <c r="G273" s="172" t="s">
        <v>1631</v>
      </c>
      <c r="H273" s="172" t="s">
        <v>1631</v>
      </c>
      <c r="I273" s="172" t="s">
        <v>1631</v>
      </c>
      <c r="J273" s="36">
        <v>1</v>
      </c>
      <c r="K273" s="58">
        <v>7000</v>
      </c>
      <c r="L273" s="58"/>
      <c r="M273" s="22">
        <f>IFERROR((VLOOKUP(A273,'Current Stocks July-26'!$B:$K,10,0)),0)</f>
        <v>0</v>
      </c>
      <c r="N273" s="22">
        <f t="shared" si="32"/>
        <v>0</v>
      </c>
      <c r="O273" s="22" t="str">
        <f t="shared" si="33"/>
        <v>ORDER NOW</v>
      </c>
      <c r="P273" s="22" t="str">
        <f t="shared" si="34"/>
        <v>CRITICAL</v>
      </c>
      <c r="Q273" s="58">
        <f t="shared" si="35"/>
        <v>2333.333333333333</v>
      </c>
      <c r="R273" s="58">
        <f t="shared" si="36"/>
        <v>9333.3333333333321</v>
      </c>
      <c r="S273" s="58">
        <f t="shared" si="37"/>
        <v>9333.3333333333321</v>
      </c>
      <c r="T273" s="5">
        <v>7</v>
      </c>
      <c r="U273" s="5" t="s">
        <v>30</v>
      </c>
      <c r="V273" s="173">
        <f>VLOOKUP(A273,'[1]Final-Short'!$B:$AE,29,0)</f>
        <v>0.04</v>
      </c>
      <c r="W273" s="171" t="s">
        <v>1795</v>
      </c>
      <c r="X273" s="58">
        <f t="shared" si="38"/>
        <v>373.33333333333331</v>
      </c>
      <c r="Y273" s="58">
        <f t="shared" si="39"/>
        <v>280</v>
      </c>
    </row>
    <row r="274" spans="1:25" x14ac:dyDescent="0.25">
      <c r="A274" s="36" t="s">
        <v>1733</v>
      </c>
      <c r="B274" s="171" t="s">
        <v>1733</v>
      </c>
      <c r="C274" s="171" t="s">
        <v>1941</v>
      </c>
      <c r="D274" s="172" t="s">
        <v>1631</v>
      </c>
      <c r="E274" s="172" t="s">
        <v>1631</v>
      </c>
      <c r="F274" s="172" t="s">
        <v>1631</v>
      </c>
      <c r="G274" s="172" t="s">
        <v>1631</v>
      </c>
      <c r="H274" s="172" t="s">
        <v>1631</v>
      </c>
      <c r="I274" s="172" t="s">
        <v>1631</v>
      </c>
      <c r="J274" s="36">
        <v>0</v>
      </c>
      <c r="K274" s="58">
        <v>4300</v>
      </c>
      <c r="L274" s="58" t="s">
        <v>1918</v>
      </c>
      <c r="M274" s="22">
        <f>IFERROR((VLOOKUP(A274,'Current Stocks July-26'!$B:$K,10,0)),0)</f>
        <v>0</v>
      </c>
      <c r="N274" s="22">
        <f t="shared" si="32"/>
        <v>0</v>
      </c>
      <c r="O274" s="22" t="str">
        <f t="shared" si="33"/>
        <v>ORDER NOW</v>
      </c>
      <c r="P274" s="22" t="str">
        <f t="shared" si="34"/>
        <v>CRITICAL</v>
      </c>
      <c r="Q274" s="58">
        <f t="shared" si="35"/>
        <v>1433.3333333333333</v>
      </c>
      <c r="R274" s="58">
        <f t="shared" si="36"/>
        <v>5733.333333333333</v>
      </c>
      <c r="S274" s="58">
        <f t="shared" si="37"/>
        <v>5733.333333333333</v>
      </c>
      <c r="T274" s="5">
        <v>7</v>
      </c>
      <c r="U274" s="5" t="s">
        <v>30</v>
      </c>
      <c r="V274" s="173" t="e">
        <f>VLOOKUP(A274,'[1]Final-Short'!$B:$AE,29,0)</f>
        <v>#REF!</v>
      </c>
      <c r="W274" s="171" t="s">
        <v>1795</v>
      </c>
      <c r="X274" s="58" t="e">
        <f t="shared" si="38"/>
        <v>#REF!</v>
      </c>
      <c r="Y274" s="58" t="e">
        <f t="shared" si="39"/>
        <v>#REF!</v>
      </c>
    </row>
    <row r="275" spans="1:25" x14ac:dyDescent="0.25">
      <c r="A275" s="36" t="s">
        <v>36</v>
      </c>
      <c r="B275" s="171" t="s">
        <v>37</v>
      </c>
      <c r="C275" s="171" t="s">
        <v>37</v>
      </c>
      <c r="D275" s="172" t="s">
        <v>1631</v>
      </c>
      <c r="E275" s="172" t="s">
        <v>1631</v>
      </c>
      <c r="F275" s="172" t="s">
        <v>1631</v>
      </c>
      <c r="G275" s="172" t="s">
        <v>5062</v>
      </c>
      <c r="H275" s="172" t="s">
        <v>1631</v>
      </c>
      <c r="I275" s="172" t="s">
        <v>1631</v>
      </c>
      <c r="J275" s="36">
        <v>1</v>
      </c>
      <c r="K275" s="5">
        <v>12</v>
      </c>
      <c r="L275" s="5"/>
      <c r="M275" s="22">
        <f>IFERROR((VLOOKUP(A275,'Current Stocks July-26'!$B:$K,10,0)),0)</f>
        <v>0</v>
      </c>
      <c r="N275" s="22">
        <f t="shared" si="32"/>
        <v>0</v>
      </c>
      <c r="O275" s="22" t="str">
        <f t="shared" si="33"/>
        <v>ORDER NOW</v>
      </c>
      <c r="P275" s="22" t="str">
        <f t="shared" si="34"/>
        <v>CRITICAL</v>
      </c>
      <c r="Q275" s="58">
        <f t="shared" si="35"/>
        <v>4</v>
      </c>
      <c r="R275" s="58">
        <f t="shared" si="36"/>
        <v>16</v>
      </c>
      <c r="S275" s="58">
        <f t="shared" si="37"/>
        <v>16</v>
      </c>
      <c r="T275" s="5">
        <v>7</v>
      </c>
      <c r="U275" s="5" t="s">
        <v>30</v>
      </c>
      <c r="V275" s="173">
        <f>VLOOKUP(A275,'[1]Final-Short'!$B:$AE,29,0)</f>
        <v>0</v>
      </c>
      <c r="W275" s="171" t="s">
        <v>1942</v>
      </c>
      <c r="X275" s="58">
        <f t="shared" si="38"/>
        <v>0</v>
      </c>
      <c r="Y275" s="58">
        <f t="shared" si="39"/>
        <v>0</v>
      </c>
    </row>
    <row r="276" spans="1:25" x14ac:dyDescent="0.25">
      <c r="A276" s="36" t="s">
        <v>1396</v>
      </c>
      <c r="B276" s="171" t="s">
        <v>1397</v>
      </c>
      <c r="C276" s="171" t="s">
        <v>1397</v>
      </c>
      <c r="D276" s="172" t="s">
        <v>1631</v>
      </c>
      <c r="E276" s="172" t="s">
        <v>1631</v>
      </c>
      <c r="F276" s="172" t="s">
        <v>1631</v>
      </c>
      <c r="G276" s="172" t="s">
        <v>5062</v>
      </c>
      <c r="H276" s="172" t="s">
        <v>1631</v>
      </c>
      <c r="I276" s="172" t="s">
        <v>1631</v>
      </c>
      <c r="J276" s="36">
        <v>1</v>
      </c>
      <c r="K276" s="58">
        <v>9500</v>
      </c>
      <c r="L276" s="58"/>
      <c r="M276" s="22">
        <f>IFERROR((VLOOKUP(A276,'Current Stocks July-26'!$B:$K,10,0)),0)</f>
        <v>17500</v>
      </c>
      <c r="N276" s="22">
        <f t="shared" si="32"/>
        <v>55.263157894736842</v>
      </c>
      <c r="O276" s="22" t="str">
        <f t="shared" si="33"/>
        <v>IN STOCK</v>
      </c>
      <c r="P276" s="22" t="str">
        <f t="shared" si="34"/>
        <v>FOLLOW UP DELIVERY</v>
      </c>
      <c r="Q276" s="58">
        <f t="shared" si="35"/>
        <v>3166.6666666666665</v>
      </c>
      <c r="R276" s="58">
        <f t="shared" si="36"/>
        <v>12666.666666666666</v>
      </c>
      <c r="S276" s="58">
        <f t="shared" si="37"/>
        <v>0</v>
      </c>
      <c r="T276" s="5">
        <v>7</v>
      </c>
      <c r="U276" s="5" t="s">
        <v>30</v>
      </c>
      <c r="V276" s="173">
        <f>VLOOKUP(A276,'[1]Final-Short'!$B:$AE,29,0)</f>
        <v>0.15</v>
      </c>
      <c r="W276" s="171" t="s">
        <v>1943</v>
      </c>
      <c r="X276" s="58">
        <f t="shared" si="38"/>
        <v>0</v>
      </c>
      <c r="Y276" s="58">
        <f t="shared" si="39"/>
        <v>1425</v>
      </c>
    </row>
    <row r="277" spans="1:25" x14ac:dyDescent="0.25">
      <c r="A277" s="36" t="s">
        <v>693</v>
      </c>
      <c r="B277" s="171" t="s">
        <v>694</v>
      </c>
      <c r="C277" s="171" t="s">
        <v>694</v>
      </c>
      <c r="D277" s="172" t="s">
        <v>1631</v>
      </c>
      <c r="E277" s="172" t="s">
        <v>1631</v>
      </c>
      <c r="F277" s="172" t="s">
        <v>1631</v>
      </c>
      <c r="G277" s="172" t="s">
        <v>5062</v>
      </c>
      <c r="H277" s="172" t="s">
        <v>1631</v>
      </c>
      <c r="I277" s="172" t="s">
        <v>1631</v>
      </c>
      <c r="J277" s="36">
        <v>1</v>
      </c>
      <c r="K277" s="58">
        <v>30000</v>
      </c>
      <c r="L277" s="58"/>
      <c r="M277" s="22">
        <f>IFERROR((VLOOKUP(A277,'Current Stocks July-26'!$B:$K,10,0)),0)</f>
        <v>523200</v>
      </c>
      <c r="N277" s="22">
        <f t="shared" si="32"/>
        <v>523.20000000000005</v>
      </c>
      <c r="O277" s="22" t="str">
        <f t="shared" si="33"/>
        <v>IN STOCK</v>
      </c>
      <c r="P277" s="22" t="str">
        <f t="shared" si="34"/>
        <v>FOLLOW UP DELIVERY</v>
      </c>
      <c r="Q277" s="58">
        <f t="shared" si="35"/>
        <v>10000</v>
      </c>
      <c r="R277" s="58">
        <f t="shared" si="36"/>
        <v>40000</v>
      </c>
      <c r="S277" s="58">
        <f t="shared" si="37"/>
        <v>0</v>
      </c>
      <c r="T277" s="5">
        <v>7</v>
      </c>
      <c r="U277" s="5" t="s">
        <v>30</v>
      </c>
      <c r="V277" s="173">
        <f>VLOOKUP(A277,'[1]Final-Short'!$B:$AE,29,0)</f>
        <v>2.5420000000000002E-2</v>
      </c>
      <c r="W277" s="171" t="s">
        <v>1752</v>
      </c>
      <c r="X277" s="58">
        <f t="shared" si="38"/>
        <v>0</v>
      </c>
      <c r="Y277" s="58">
        <f t="shared" si="39"/>
        <v>762.6</v>
      </c>
    </row>
    <row r="278" spans="1:25" x14ac:dyDescent="0.25">
      <c r="A278" s="36" t="s">
        <v>1590</v>
      </c>
      <c r="B278" s="171" t="s">
        <v>1591</v>
      </c>
      <c r="C278" s="171" t="s">
        <v>1591</v>
      </c>
      <c r="D278" s="172" t="s">
        <v>1631</v>
      </c>
      <c r="E278" s="172" t="s">
        <v>1631</v>
      </c>
      <c r="F278" s="172" t="s">
        <v>1631</v>
      </c>
      <c r="G278" s="172" t="s">
        <v>5062</v>
      </c>
      <c r="H278" s="172" t="s">
        <v>1631</v>
      </c>
      <c r="I278" s="172" t="s">
        <v>1631</v>
      </c>
      <c r="J278" s="36">
        <v>1</v>
      </c>
      <c r="K278" s="58">
        <v>2000</v>
      </c>
      <c r="L278" s="58"/>
      <c r="M278" s="22">
        <f>IFERROR((VLOOKUP(A278,'Current Stocks July-26'!$B:$K,10,0)),0)</f>
        <v>121000</v>
      </c>
      <c r="N278" s="22">
        <f t="shared" si="32"/>
        <v>1815</v>
      </c>
      <c r="O278" s="22" t="str">
        <f t="shared" si="33"/>
        <v>IN STOCK</v>
      </c>
      <c r="P278" s="22" t="str">
        <f t="shared" si="34"/>
        <v>FOLLOW UP DELIVERY</v>
      </c>
      <c r="Q278" s="58">
        <f t="shared" si="35"/>
        <v>2200</v>
      </c>
      <c r="R278" s="58">
        <f t="shared" si="36"/>
        <v>4200</v>
      </c>
      <c r="S278" s="58">
        <f t="shared" si="37"/>
        <v>0</v>
      </c>
      <c r="T278" s="5">
        <v>30</v>
      </c>
      <c r="U278" s="5" t="s">
        <v>30</v>
      </c>
      <c r="V278" s="173">
        <f>VLOOKUP(A278,'[1]Final-Short'!$B:$AE,29,0)</f>
        <v>7.4999999999999997E-2</v>
      </c>
      <c r="W278" s="171" t="s">
        <v>1757</v>
      </c>
      <c r="X278" s="58">
        <f t="shared" si="38"/>
        <v>0</v>
      </c>
      <c r="Y278" s="58">
        <f t="shared" si="39"/>
        <v>150</v>
      </c>
    </row>
    <row r="279" spans="1:25" x14ac:dyDescent="0.25">
      <c r="A279" s="36" t="s">
        <v>224</v>
      </c>
      <c r="B279" s="171" t="s">
        <v>225</v>
      </c>
      <c r="C279" s="171" t="s">
        <v>225</v>
      </c>
      <c r="D279" s="172" t="s">
        <v>1631</v>
      </c>
      <c r="E279" s="172" t="s">
        <v>1631</v>
      </c>
      <c r="F279" s="172" t="s">
        <v>1631</v>
      </c>
      <c r="G279" s="172" t="s">
        <v>5062</v>
      </c>
      <c r="H279" s="172" t="s">
        <v>1631</v>
      </c>
      <c r="I279" s="172" t="s">
        <v>1631</v>
      </c>
      <c r="J279" s="36">
        <v>1</v>
      </c>
      <c r="K279" s="58">
        <v>13000</v>
      </c>
      <c r="L279" s="58"/>
      <c r="M279" s="22">
        <f>IFERROR((VLOOKUP(A279,'Current Stocks July-26'!$B:$K,10,0)),0)</f>
        <v>170</v>
      </c>
      <c r="N279" s="22">
        <f t="shared" si="32"/>
        <v>0.3923076923076923</v>
      </c>
      <c r="O279" s="22" t="str">
        <f t="shared" si="33"/>
        <v>ORDER NOW</v>
      </c>
      <c r="P279" s="22" t="str">
        <f t="shared" si="34"/>
        <v>CRITICAL</v>
      </c>
      <c r="Q279" s="58">
        <f t="shared" si="35"/>
        <v>9966.6666666666679</v>
      </c>
      <c r="R279" s="58">
        <f t="shared" si="36"/>
        <v>22966.666666666668</v>
      </c>
      <c r="S279" s="58">
        <f t="shared" si="37"/>
        <v>22796.666666666668</v>
      </c>
      <c r="T279" s="5">
        <v>20</v>
      </c>
      <c r="U279" s="5" t="s">
        <v>30</v>
      </c>
      <c r="V279" s="173">
        <f>VLOOKUP(A279,'[1]Final-Short'!$B:$AE,29,0)</f>
        <v>0.21</v>
      </c>
      <c r="W279" s="171" t="s">
        <v>1791</v>
      </c>
      <c r="X279" s="58">
        <f t="shared" si="38"/>
        <v>4787.3</v>
      </c>
      <c r="Y279" s="58">
        <f t="shared" si="39"/>
        <v>2730</v>
      </c>
    </row>
    <row r="280" spans="1:25" x14ac:dyDescent="0.25">
      <c r="A280" s="36" t="s">
        <v>31</v>
      </c>
      <c r="B280" s="171" t="s">
        <v>32</v>
      </c>
      <c r="C280" s="171" t="s">
        <v>32</v>
      </c>
      <c r="D280" s="172" t="s">
        <v>1631</v>
      </c>
      <c r="E280" s="172" t="s">
        <v>1631</v>
      </c>
      <c r="F280" s="172" t="s">
        <v>1631</v>
      </c>
      <c r="G280" s="172" t="s">
        <v>5062</v>
      </c>
      <c r="H280" s="172" t="s">
        <v>1631</v>
      </c>
      <c r="I280" s="172" t="s">
        <v>1631</v>
      </c>
      <c r="J280" s="36">
        <v>1</v>
      </c>
      <c r="K280" s="58">
        <v>10000</v>
      </c>
      <c r="L280" s="58"/>
      <c r="M280" s="22">
        <f>IFERROR((VLOOKUP(A280,'Current Stocks July-26'!$B:$K,10,0)),0)</f>
        <v>0</v>
      </c>
      <c r="N280" s="22">
        <f t="shared" si="32"/>
        <v>0</v>
      </c>
      <c r="O280" s="22" t="str">
        <f t="shared" si="33"/>
        <v>ORDER NOW</v>
      </c>
      <c r="P280" s="22" t="str">
        <f t="shared" si="34"/>
        <v>CRITICAL</v>
      </c>
      <c r="Q280" s="58">
        <f t="shared" si="35"/>
        <v>5666.666666666667</v>
      </c>
      <c r="R280" s="58">
        <f t="shared" si="36"/>
        <v>15666.666666666668</v>
      </c>
      <c r="S280" s="58">
        <f t="shared" si="37"/>
        <v>15666.666666666668</v>
      </c>
      <c r="T280" s="5">
        <v>14</v>
      </c>
      <c r="U280" s="5" t="s">
        <v>30</v>
      </c>
      <c r="V280" s="173">
        <f>VLOOKUP(A280,'[1]Final-Short'!$B:$AE,29,0)</f>
        <v>0.21</v>
      </c>
      <c r="W280" s="171" t="s">
        <v>1791</v>
      </c>
      <c r="X280" s="58">
        <f t="shared" si="38"/>
        <v>3290</v>
      </c>
      <c r="Y280" s="58">
        <f t="shared" si="39"/>
        <v>2100</v>
      </c>
    </row>
    <row r="281" spans="1:25" x14ac:dyDescent="0.25">
      <c r="A281" s="36" t="s">
        <v>1944</v>
      </c>
      <c r="B281" s="171" t="s">
        <v>1945</v>
      </c>
      <c r="C281" s="171" t="s">
        <v>1946</v>
      </c>
      <c r="D281" s="172" t="s">
        <v>1631</v>
      </c>
      <c r="E281" s="172" t="s">
        <v>1631</v>
      </c>
      <c r="F281" s="172" t="s">
        <v>1631</v>
      </c>
      <c r="G281" s="172" t="s">
        <v>1631</v>
      </c>
      <c r="H281" s="172" t="s">
        <v>1631</v>
      </c>
      <c r="I281" s="172" t="s">
        <v>1631</v>
      </c>
      <c r="J281" s="36">
        <v>0</v>
      </c>
      <c r="K281" s="58">
        <v>30000</v>
      </c>
      <c r="L281" s="58" t="s">
        <v>1947</v>
      </c>
      <c r="M281" s="22">
        <f>IFERROR((VLOOKUP(A281,'Current Stocks July-26'!$B:$K,10,0)),0)</f>
        <v>0</v>
      </c>
      <c r="N281" s="22">
        <f t="shared" si="32"/>
        <v>0</v>
      </c>
      <c r="O281" s="22" t="str">
        <f t="shared" si="33"/>
        <v>ORDER NOW</v>
      </c>
      <c r="P281" s="22" t="str">
        <f t="shared" si="34"/>
        <v>CRITICAL</v>
      </c>
      <c r="Q281" s="58">
        <f t="shared" si="35"/>
        <v>17000</v>
      </c>
      <c r="R281" s="58">
        <f t="shared" si="36"/>
        <v>47000</v>
      </c>
      <c r="S281" s="58">
        <f t="shared" si="37"/>
        <v>47000</v>
      </c>
      <c r="T281" s="5">
        <v>14</v>
      </c>
      <c r="U281" s="5" t="s">
        <v>30</v>
      </c>
      <c r="V281" s="173">
        <f>VLOOKUP(A281,'[1]Final-Short'!$B:$AE,29,0)</f>
        <v>0.6</v>
      </c>
      <c r="W281" s="171" t="s">
        <v>1802</v>
      </c>
      <c r="X281" s="58">
        <f t="shared" si="38"/>
        <v>28200</v>
      </c>
      <c r="Y281" s="58">
        <f t="shared" si="39"/>
        <v>18000</v>
      </c>
    </row>
    <row r="282" spans="1:25" x14ac:dyDescent="0.25">
      <c r="A282" s="36" t="s">
        <v>727</v>
      </c>
      <c r="B282" s="171" t="s">
        <v>728</v>
      </c>
      <c r="C282" s="171" t="s">
        <v>728</v>
      </c>
      <c r="D282" s="172" t="s">
        <v>1631</v>
      </c>
      <c r="E282" s="172" t="s">
        <v>1631</v>
      </c>
      <c r="F282" s="172" t="s">
        <v>1631</v>
      </c>
      <c r="G282" s="172" t="s">
        <v>5062</v>
      </c>
      <c r="H282" s="172" t="s">
        <v>1631</v>
      </c>
      <c r="I282" s="172" t="s">
        <v>1631</v>
      </c>
      <c r="J282" s="36">
        <v>1</v>
      </c>
      <c r="K282" s="58">
        <v>30000</v>
      </c>
      <c r="L282" s="58"/>
      <c r="M282" s="22">
        <f>IFERROR((VLOOKUP(A282,'Current Stocks July-26'!$B:$K,10,0)),0)</f>
        <v>28200</v>
      </c>
      <c r="N282" s="22">
        <f t="shared" si="32"/>
        <v>28.2</v>
      </c>
      <c r="O282" s="22" t="str">
        <f t="shared" si="33"/>
        <v>IN STOCK</v>
      </c>
      <c r="P282" s="22" t="str">
        <f t="shared" si="34"/>
        <v>FOLLOW UP DELIVERY</v>
      </c>
      <c r="Q282" s="58">
        <f t="shared" si="35"/>
        <v>23000</v>
      </c>
      <c r="R282" s="58">
        <f t="shared" si="36"/>
        <v>53000</v>
      </c>
      <c r="S282" s="58">
        <f t="shared" si="37"/>
        <v>24800</v>
      </c>
      <c r="T282" s="5">
        <v>20</v>
      </c>
      <c r="U282" s="5" t="s">
        <v>1669</v>
      </c>
      <c r="V282" s="173">
        <f>VLOOKUP(A282,'[1]Final-Short'!$B:$AE,29,0)</f>
        <v>0.81667000000000001</v>
      </c>
      <c r="W282" s="171" t="s">
        <v>1757</v>
      </c>
      <c r="X282" s="58">
        <f t="shared" si="38"/>
        <v>20253.416000000001</v>
      </c>
      <c r="Y282" s="58">
        <f t="shared" si="39"/>
        <v>24500.1</v>
      </c>
    </row>
    <row r="283" spans="1:25" x14ac:dyDescent="0.25">
      <c r="A283" s="36" t="s">
        <v>729</v>
      </c>
      <c r="B283" s="171" t="s">
        <v>730</v>
      </c>
      <c r="C283" s="171" t="s">
        <v>730</v>
      </c>
      <c r="D283" s="172" t="s">
        <v>1631</v>
      </c>
      <c r="E283" s="172" t="s">
        <v>1631</v>
      </c>
      <c r="F283" s="172" t="s">
        <v>1631</v>
      </c>
      <c r="G283" s="172" t="s">
        <v>5062</v>
      </c>
      <c r="H283" s="172" t="s">
        <v>1631</v>
      </c>
      <c r="I283" s="172" t="s">
        <v>1631</v>
      </c>
      <c r="J283" s="36">
        <v>1</v>
      </c>
      <c r="K283" s="58">
        <v>4000</v>
      </c>
      <c r="L283" s="58"/>
      <c r="M283" s="22">
        <f>IFERROR((VLOOKUP(A283,'Current Stocks July-26'!$B:$K,10,0)),0)</f>
        <v>0</v>
      </c>
      <c r="N283" s="22">
        <f t="shared" si="32"/>
        <v>0</v>
      </c>
      <c r="O283" s="22" t="str">
        <f t="shared" si="33"/>
        <v>ORDER NOW</v>
      </c>
      <c r="P283" s="22" t="str">
        <f t="shared" si="34"/>
        <v>CRITICAL</v>
      </c>
      <c r="Q283" s="58">
        <f t="shared" si="35"/>
        <v>3066.666666666667</v>
      </c>
      <c r="R283" s="58">
        <f t="shared" si="36"/>
        <v>7066.666666666667</v>
      </c>
      <c r="S283" s="58">
        <f t="shared" si="37"/>
        <v>7066.666666666667</v>
      </c>
      <c r="T283" s="5">
        <v>20</v>
      </c>
      <c r="U283" s="5" t="s">
        <v>30</v>
      </c>
      <c r="V283" s="173">
        <f>VLOOKUP(A283,'[1]Final-Short'!$B:$AE,29,0)</f>
        <v>1.3</v>
      </c>
      <c r="W283" s="171" t="s">
        <v>1896</v>
      </c>
      <c r="X283" s="58">
        <f t="shared" si="38"/>
        <v>9186.6666666666679</v>
      </c>
      <c r="Y283" s="58">
        <f t="shared" si="39"/>
        <v>5200</v>
      </c>
    </row>
    <row r="284" spans="1:25" x14ac:dyDescent="0.25">
      <c r="A284" s="36" t="s">
        <v>1526</v>
      </c>
      <c r="B284" s="171" t="s">
        <v>1948</v>
      </c>
      <c r="C284" s="171" t="s">
        <v>1948</v>
      </c>
      <c r="D284" s="172" t="s">
        <v>1631</v>
      </c>
      <c r="E284" s="172" t="s">
        <v>1631</v>
      </c>
      <c r="F284" s="172" t="s">
        <v>1631</v>
      </c>
      <c r="G284" s="172" t="s">
        <v>5062</v>
      </c>
      <c r="H284" s="172" t="s">
        <v>1631</v>
      </c>
      <c r="I284" s="172" t="s">
        <v>5062</v>
      </c>
      <c r="J284" s="36">
        <v>2</v>
      </c>
      <c r="K284" s="58">
        <v>1</v>
      </c>
      <c r="L284" s="58"/>
      <c r="M284" s="22">
        <f>IFERROR((VLOOKUP(A284,'Current Stocks July-26'!$B:$K,10,0)),0)</f>
        <v>4.5330000000000004</v>
      </c>
      <c r="N284" s="22">
        <f t="shared" si="32"/>
        <v>135.99</v>
      </c>
      <c r="O284" s="22" t="str">
        <f t="shared" si="33"/>
        <v>IN STOCK</v>
      </c>
      <c r="P284" s="22" t="str">
        <f t="shared" si="34"/>
        <v>FOLLOW UP DELIVERY</v>
      </c>
      <c r="Q284" s="58">
        <f t="shared" si="35"/>
        <v>0.33333333333333331</v>
      </c>
      <c r="R284" s="58">
        <f t="shared" si="36"/>
        <v>1.3333333333333333</v>
      </c>
      <c r="S284" s="58">
        <f t="shared" si="37"/>
        <v>0</v>
      </c>
      <c r="T284" s="5">
        <v>7</v>
      </c>
      <c r="U284" s="5" t="s">
        <v>30</v>
      </c>
      <c r="V284" s="173">
        <f>VLOOKUP(A284,'[1]Final-Short'!$B:$AE,29,0)</f>
        <v>15.6</v>
      </c>
      <c r="W284" s="171" t="s">
        <v>1700</v>
      </c>
      <c r="X284" s="58">
        <f t="shared" si="38"/>
        <v>0</v>
      </c>
      <c r="Y284" s="58">
        <f t="shared" si="39"/>
        <v>15.6</v>
      </c>
    </row>
    <row r="285" spans="1:25" x14ac:dyDescent="0.25">
      <c r="A285" s="36" t="s">
        <v>1949</v>
      </c>
      <c r="B285" s="171" t="s">
        <v>1950</v>
      </c>
      <c r="C285" s="171" t="s">
        <v>1950</v>
      </c>
      <c r="D285" s="172" t="s">
        <v>1631</v>
      </c>
      <c r="E285" s="172" t="s">
        <v>1631</v>
      </c>
      <c r="F285" s="172" t="s">
        <v>1631</v>
      </c>
      <c r="G285" s="172" t="s">
        <v>1631</v>
      </c>
      <c r="H285" s="172" t="s">
        <v>1631</v>
      </c>
      <c r="I285" s="172" t="s">
        <v>5062</v>
      </c>
      <c r="J285" s="36">
        <v>1</v>
      </c>
      <c r="K285" s="58">
        <v>3</v>
      </c>
      <c r="L285" s="58"/>
      <c r="M285" s="22">
        <f>IFERROR((VLOOKUP(A285,'Current Stocks July-26'!$B:$K,10,0)),0)</f>
        <v>0</v>
      </c>
      <c r="N285" s="22">
        <f t="shared" si="32"/>
        <v>0</v>
      </c>
      <c r="O285" s="22" t="str">
        <f t="shared" si="33"/>
        <v>ORDER NOW</v>
      </c>
      <c r="P285" s="22" t="str">
        <f t="shared" si="34"/>
        <v>CRITICAL</v>
      </c>
      <c r="Q285" s="58">
        <f t="shared" si="35"/>
        <v>1.7</v>
      </c>
      <c r="R285" s="58">
        <f t="shared" si="36"/>
        <v>4.7</v>
      </c>
      <c r="S285" s="58">
        <f t="shared" si="37"/>
        <v>4.7</v>
      </c>
      <c r="T285" s="5">
        <v>14</v>
      </c>
      <c r="U285" s="5" t="s">
        <v>30</v>
      </c>
      <c r="V285" s="173">
        <f>VLOOKUP(A285,'[1]Final-Short'!$B:$AE,29,0)</f>
        <v>712.5</v>
      </c>
      <c r="W285" s="171" t="s">
        <v>1951</v>
      </c>
      <c r="X285" s="58">
        <f t="shared" si="38"/>
        <v>3348.75</v>
      </c>
      <c r="Y285" s="58">
        <f t="shared" si="39"/>
        <v>2137.5</v>
      </c>
    </row>
    <row r="286" spans="1:25" x14ac:dyDescent="0.25">
      <c r="A286" s="36" t="s">
        <v>1440</v>
      </c>
      <c r="B286" s="171" t="s">
        <v>1441</v>
      </c>
      <c r="C286" s="171" t="s">
        <v>1441</v>
      </c>
      <c r="D286" s="172" t="s">
        <v>1631</v>
      </c>
      <c r="E286" s="172" t="s">
        <v>1631</v>
      </c>
      <c r="F286" s="172" t="s">
        <v>1631</v>
      </c>
      <c r="G286" s="172" t="s">
        <v>1631</v>
      </c>
      <c r="H286" s="172" t="s">
        <v>1631</v>
      </c>
      <c r="I286" s="172" t="s">
        <v>5062</v>
      </c>
      <c r="J286" s="36">
        <v>1</v>
      </c>
      <c r="K286" s="58">
        <v>255</v>
      </c>
      <c r="L286" s="58"/>
      <c r="M286" s="22">
        <f>IFERROR((VLOOKUP(A286,'Current Stocks July-26'!$B:$K,10,0)),0)</f>
        <v>59.639999999999986</v>
      </c>
      <c r="N286" s="22">
        <f t="shared" si="32"/>
        <v>7.0164705882352933</v>
      </c>
      <c r="O286" s="22" t="str">
        <f t="shared" si="33"/>
        <v>IN STOCK</v>
      </c>
      <c r="P286" s="22" t="str">
        <f t="shared" si="34"/>
        <v>FOLLOW UP DELIVERY</v>
      </c>
      <c r="Q286" s="58">
        <f t="shared" si="35"/>
        <v>85</v>
      </c>
      <c r="R286" s="58">
        <f t="shared" si="36"/>
        <v>340</v>
      </c>
      <c r="S286" s="58">
        <f t="shared" si="37"/>
        <v>280.36</v>
      </c>
      <c r="T286" s="5">
        <v>7</v>
      </c>
      <c r="U286" s="5" t="s">
        <v>1669</v>
      </c>
      <c r="V286" s="173">
        <f>VLOOKUP(A286,'[1]Final-Short'!$B:$AE,29,0)</f>
        <v>25.12032</v>
      </c>
      <c r="W286" s="171" t="s">
        <v>1952</v>
      </c>
      <c r="X286" s="58">
        <f t="shared" si="38"/>
        <v>7042.7329152000002</v>
      </c>
      <c r="Y286" s="58">
        <f t="shared" si="39"/>
        <v>6405.6815999999999</v>
      </c>
    </row>
    <row r="287" spans="1:25" x14ac:dyDescent="0.25">
      <c r="A287" s="36" t="s">
        <v>1143</v>
      </c>
      <c r="B287" s="171" t="s">
        <v>1144</v>
      </c>
      <c r="C287" s="171" t="s">
        <v>1144</v>
      </c>
      <c r="D287" s="172" t="s">
        <v>1631</v>
      </c>
      <c r="E287" s="172" t="s">
        <v>1631</v>
      </c>
      <c r="F287" s="172" t="s">
        <v>1631</v>
      </c>
      <c r="G287" s="172" t="s">
        <v>1631</v>
      </c>
      <c r="H287" s="172" t="s">
        <v>1631</v>
      </c>
      <c r="I287" s="172" t="s">
        <v>5062</v>
      </c>
      <c r="J287" s="36">
        <v>1</v>
      </c>
      <c r="K287" s="58">
        <v>1000</v>
      </c>
      <c r="L287" s="58"/>
      <c r="M287" s="22">
        <f>IFERROR((VLOOKUP(A287,'Current Stocks July-26'!$B:$K,10,0)),0)</f>
        <v>198</v>
      </c>
      <c r="N287" s="22">
        <f t="shared" si="32"/>
        <v>5.94</v>
      </c>
      <c r="O287" s="22" t="str">
        <f t="shared" si="33"/>
        <v>ORDER NOW</v>
      </c>
      <c r="P287" s="22" t="str">
        <f t="shared" si="34"/>
        <v>CRITICAL</v>
      </c>
      <c r="Q287" s="58">
        <f t="shared" si="35"/>
        <v>333.33333333333331</v>
      </c>
      <c r="R287" s="58">
        <f t="shared" si="36"/>
        <v>1333.3333333333333</v>
      </c>
      <c r="S287" s="58">
        <f t="shared" si="37"/>
        <v>1135.3333333333333</v>
      </c>
      <c r="T287" s="5">
        <v>7</v>
      </c>
      <c r="U287" s="5" t="s">
        <v>30</v>
      </c>
      <c r="V287" s="173">
        <f>VLOOKUP(A287,'[1]Final-Short'!$B:$AE,29,0)</f>
        <v>43.909790000000001</v>
      </c>
      <c r="W287" s="171" t="s">
        <v>1953</v>
      </c>
      <c r="X287" s="58">
        <f t="shared" si="38"/>
        <v>49852.248246666662</v>
      </c>
      <c r="Y287" s="58">
        <f t="shared" si="39"/>
        <v>43909.79</v>
      </c>
    </row>
    <row r="288" spans="1:25" x14ac:dyDescent="0.25">
      <c r="A288" s="36" t="s">
        <v>68</v>
      </c>
      <c r="B288" s="171" t="s">
        <v>69</v>
      </c>
      <c r="C288" s="171" t="s">
        <v>69</v>
      </c>
      <c r="D288" s="172" t="s">
        <v>1631</v>
      </c>
      <c r="E288" s="172" t="s">
        <v>1631</v>
      </c>
      <c r="F288" s="172" t="s">
        <v>1631</v>
      </c>
      <c r="G288" s="172" t="s">
        <v>1631</v>
      </c>
      <c r="H288" s="172" t="s">
        <v>1631</v>
      </c>
      <c r="I288" s="172" t="s">
        <v>5062</v>
      </c>
      <c r="J288" s="36">
        <v>1</v>
      </c>
      <c r="K288" s="58">
        <v>250</v>
      </c>
      <c r="L288" s="58"/>
      <c r="M288" s="22">
        <f>IFERROR((VLOOKUP(A288,'Current Stocks July-26'!$B:$K,10,0)),0)</f>
        <v>800</v>
      </c>
      <c r="N288" s="22">
        <f t="shared" si="32"/>
        <v>96</v>
      </c>
      <c r="O288" s="22" t="str">
        <f t="shared" si="33"/>
        <v>IN STOCK</v>
      </c>
      <c r="P288" s="22" t="str">
        <f t="shared" si="34"/>
        <v>FOLLOW UP DELIVERY</v>
      </c>
      <c r="Q288" s="58">
        <f t="shared" si="35"/>
        <v>83.333333333333329</v>
      </c>
      <c r="R288" s="58">
        <f t="shared" si="36"/>
        <v>333.33333333333331</v>
      </c>
      <c r="S288" s="58">
        <f t="shared" si="37"/>
        <v>0</v>
      </c>
      <c r="T288" s="5">
        <v>7</v>
      </c>
      <c r="U288" s="5" t="s">
        <v>30</v>
      </c>
      <c r="V288" s="173">
        <f>VLOOKUP(A288,'[1]Final-Short'!$B:$AE,29,0)</f>
        <v>82.5</v>
      </c>
      <c r="W288" s="171" t="s">
        <v>1796</v>
      </c>
      <c r="X288" s="58">
        <f t="shared" si="38"/>
        <v>0</v>
      </c>
      <c r="Y288" s="58">
        <f t="shared" si="39"/>
        <v>20625</v>
      </c>
    </row>
    <row r="289" spans="1:25" x14ac:dyDescent="0.25">
      <c r="A289" s="36" t="s">
        <v>1086</v>
      </c>
      <c r="B289" s="171" t="s">
        <v>1087</v>
      </c>
      <c r="C289" s="171" t="s">
        <v>1087</v>
      </c>
      <c r="D289" s="172" t="s">
        <v>5062</v>
      </c>
      <c r="E289" s="172" t="s">
        <v>1631</v>
      </c>
      <c r="F289" s="172" t="s">
        <v>1631</v>
      </c>
      <c r="G289" s="172" t="s">
        <v>1631</v>
      </c>
      <c r="H289" s="172" t="s">
        <v>1631</v>
      </c>
      <c r="I289" s="172" t="s">
        <v>1631</v>
      </c>
      <c r="J289" s="36">
        <v>1</v>
      </c>
      <c r="K289" s="58">
        <v>90</v>
      </c>
      <c r="L289" s="58"/>
      <c r="M289" s="22">
        <f>IFERROR((VLOOKUP(A289,'Current Stocks July-26'!$B:$K,10,0)),0)</f>
        <v>275</v>
      </c>
      <c r="N289" s="22">
        <f t="shared" si="32"/>
        <v>91.666666666666657</v>
      </c>
      <c r="O289" s="22" t="str">
        <f t="shared" si="33"/>
        <v>IN STOCK</v>
      </c>
      <c r="P289" s="22" t="str">
        <f t="shared" si="34"/>
        <v>FOLLOW UP DELIVERY</v>
      </c>
      <c r="Q289" s="58">
        <f t="shared" si="35"/>
        <v>30</v>
      </c>
      <c r="R289" s="58">
        <f t="shared" si="36"/>
        <v>120</v>
      </c>
      <c r="S289" s="58">
        <f t="shared" si="37"/>
        <v>0</v>
      </c>
      <c r="T289" s="5">
        <v>7</v>
      </c>
      <c r="U289" s="5" t="s">
        <v>30</v>
      </c>
      <c r="V289" s="173">
        <f>VLOOKUP(A289,'[1]Final-Short'!$B:$AE,29,0)</f>
        <v>45.885289999999998</v>
      </c>
      <c r="W289" s="171" t="str">
        <f>VLOOKUP(A289,'[1]Final-Short'!$B:$AE,30,0)</f>
        <v>شركة مصدر الامداد - Masdar Food Supply</v>
      </c>
      <c r="X289" s="58">
        <f t="shared" si="38"/>
        <v>0</v>
      </c>
      <c r="Y289" s="58">
        <f t="shared" si="39"/>
        <v>4129.6760999999997</v>
      </c>
    </row>
    <row r="290" spans="1:25" x14ac:dyDescent="0.25">
      <c r="A290" s="36" t="s">
        <v>851</v>
      </c>
      <c r="B290" s="171" t="s">
        <v>852</v>
      </c>
      <c r="C290" s="171" t="s">
        <v>852</v>
      </c>
      <c r="D290" s="172" t="s">
        <v>1631</v>
      </c>
      <c r="E290" s="172" t="s">
        <v>1631</v>
      </c>
      <c r="F290" s="172" t="s">
        <v>1631</v>
      </c>
      <c r="G290" s="172" t="s">
        <v>1631</v>
      </c>
      <c r="H290" s="172" t="s">
        <v>1631</v>
      </c>
      <c r="I290" s="172" t="s">
        <v>5062</v>
      </c>
      <c r="J290" s="36">
        <v>1</v>
      </c>
      <c r="K290" s="58">
        <v>5000</v>
      </c>
      <c r="L290" s="58"/>
      <c r="M290" s="22">
        <f>IFERROR((VLOOKUP(A290,'Current Stocks July-26'!$B:$K,10,0)),0)</f>
        <v>0</v>
      </c>
      <c r="N290" s="22">
        <f t="shared" si="32"/>
        <v>0</v>
      </c>
      <c r="O290" s="22" t="str">
        <f t="shared" si="33"/>
        <v>ORDER NOW</v>
      </c>
      <c r="P290" s="22" t="str">
        <f t="shared" si="34"/>
        <v>CRITICAL</v>
      </c>
      <c r="Q290" s="58">
        <f t="shared" si="35"/>
        <v>2833.3333333333335</v>
      </c>
      <c r="R290" s="58">
        <f t="shared" si="36"/>
        <v>7833.3333333333339</v>
      </c>
      <c r="S290" s="58">
        <f t="shared" si="37"/>
        <v>7833.3333333333339</v>
      </c>
      <c r="T290" s="5">
        <v>14</v>
      </c>
      <c r="U290" s="5" t="s">
        <v>1669</v>
      </c>
      <c r="V290" s="173">
        <f>VLOOKUP(A290,'[1]Final-Short'!$B:$AE,29,0)</f>
        <v>19.43</v>
      </c>
      <c r="W290" s="171" t="s">
        <v>1775</v>
      </c>
      <c r="X290" s="58">
        <f t="shared" si="38"/>
        <v>152201.66666666669</v>
      </c>
      <c r="Y290" s="58">
        <f t="shared" si="39"/>
        <v>97150</v>
      </c>
    </row>
    <row r="291" spans="1:25" x14ac:dyDescent="0.25">
      <c r="A291" s="36" t="s">
        <v>1511</v>
      </c>
      <c r="B291" s="171" t="s">
        <v>1512</v>
      </c>
      <c r="C291" s="171" t="s">
        <v>1312</v>
      </c>
      <c r="D291" s="172" t="s">
        <v>5062</v>
      </c>
      <c r="E291" s="172" t="s">
        <v>5062</v>
      </c>
      <c r="F291" s="172" t="s">
        <v>1631</v>
      </c>
      <c r="G291" s="172" t="s">
        <v>1631</v>
      </c>
      <c r="H291" s="172" t="s">
        <v>1631</v>
      </c>
      <c r="I291" s="172" t="s">
        <v>1631</v>
      </c>
      <c r="J291" s="36">
        <v>2</v>
      </c>
      <c r="K291" s="58">
        <v>190</v>
      </c>
      <c r="L291" s="58"/>
      <c r="M291" s="22">
        <f>IFERROR((VLOOKUP(A291,'Current Stocks July-26'!$B:$K,10,0)),0)</f>
        <v>89</v>
      </c>
      <c r="N291" s="22">
        <f t="shared" si="32"/>
        <v>14.052631578947368</v>
      </c>
      <c r="O291" s="22" t="str">
        <f t="shared" si="33"/>
        <v>IN STOCK</v>
      </c>
      <c r="P291" s="22" t="str">
        <f t="shared" si="34"/>
        <v>FOLLOW UP DELIVERY</v>
      </c>
      <c r="Q291" s="58">
        <f t="shared" si="35"/>
        <v>63.333333333333329</v>
      </c>
      <c r="R291" s="58">
        <f t="shared" si="36"/>
        <v>253.33333333333331</v>
      </c>
      <c r="S291" s="58">
        <f t="shared" si="37"/>
        <v>164.33333333333331</v>
      </c>
      <c r="T291" s="5">
        <v>7</v>
      </c>
      <c r="U291" s="5" t="s">
        <v>30</v>
      </c>
      <c r="V291" s="173">
        <f>VLOOKUP(A291,'[1]Final-Short'!$B:$AE,29,0)</f>
        <v>42.142859999999999</v>
      </c>
      <c r="W291" s="171" t="str">
        <f>VLOOKUP(A291,'[1]Final-Short'!$B:$AE,30,0)</f>
        <v>شركة اضافات العالمية للتجارة-Edafat</v>
      </c>
      <c r="X291" s="58">
        <f t="shared" si="38"/>
        <v>6925.4766599999994</v>
      </c>
      <c r="Y291" s="58">
        <f t="shared" si="39"/>
        <v>8007.1433999999999</v>
      </c>
    </row>
    <row r="292" spans="1:25" x14ac:dyDescent="0.25">
      <c r="A292" s="36" t="s">
        <v>1278</v>
      </c>
      <c r="B292" s="171" t="s">
        <v>1279</v>
      </c>
      <c r="C292" s="171" t="s">
        <v>1279</v>
      </c>
      <c r="D292" s="172" t="s">
        <v>1631</v>
      </c>
      <c r="E292" s="172" t="s">
        <v>1631</v>
      </c>
      <c r="F292" s="172" t="s">
        <v>1631</v>
      </c>
      <c r="G292" s="172" t="s">
        <v>5062</v>
      </c>
      <c r="H292" s="172" t="s">
        <v>1631</v>
      </c>
      <c r="I292" s="172" t="s">
        <v>1631</v>
      </c>
      <c r="J292" s="36">
        <v>1</v>
      </c>
      <c r="K292" s="58">
        <v>12</v>
      </c>
      <c r="L292" s="58"/>
      <c r="M292" s="22">
        <f>IFERROR((VLOOKUP(A292,'Current Stocks July-26'!$B:$K,10,0)),0)</f>
        <v>0</v>
      </c>
      <c r="N292" s="22">
        <f t="shared" si="32"/>
        <v>0</v>
      </c>
      <c r="O292" s="22" t="str">
        <f t="shared" si="33"/>
        <v>ORDER NOW</v>
      </c>
      <c r="P292" s="22" t="str">
        <f t="shared" si="34"/>
        <v>CRITICAL</v>
      </c>
      <c r="Q292" s="58">
        <f t="shared" si="35"/>
        <v>4</v>
      </c>
      <c r="R292" s="58">
        <f t="shared" si="36"/>
        <v>16</v>
      </c>
      <c r="S292" s="58">
        <f t="shared" si="37"/>
        <v>16</v>
      </c>
      <c r="T292" s="5">
        <v>7</v>
      </c>
      <c r="U292" s="5" t="s">
        <v>30</v>
      </c>
      <c r="V292" s="173">
        <f>VLOOKUP(A292,'[1]Final-Short'!$B:$AE,29,0)</f>
        <v>50.9375</v>
      </c>
      <c r="W292" s="171" t="s">
        <v>1700</v>
      </c>
      <c r="X292" s="58">
        <f t="shared" si="38"/>
        <v>815</v>
      </c>
      <c r="Y292" s="58">
        <f t="shared" si="39"/>
        <v>611.25</v>
      </c>
    </row>
    <row r="293" spans="1:25" x14ac:dyDescent="0.25">
      <c r="A293" s="36" t="s">
        <v>1954</v>
      </c>
      <c r="B293" s="171" t="s">
        <v>1955</v>
      </c>
      <c r="C293" s="171" t="s">
        <v>1336</v>
      </c>
      <c r="D293" s="172" t="s">
        <v>1631</v>
      </c>
      <c r="E293" s="172" t="s">
        <v>1631</v>
      </c>
      <c r="F293" s="172" t="s">
        <v>1631</v>
      </c>
      <c r="G293" s="172" t="s">
        <v>1631</v>
      </c>
      <c r="H293" s="172" t="s">
        <v>1631</v>
      </c>
      <c r="I293" s="172" t="s">
        <v>1631</v>
      </c>
      <c r="J293" s="36">
        <v>0</v>
      </c>
      <c r="K293" s="58">
        <v>2</v>
      </c>
      <c r="L293" s="58"/>
      <c r="M293" s="22">
        <f>IFERROR((VLOOKUP(A293,'Current Stocks July-26'!$B:$K,10,0)),0)</f>
        <v>18</v>
      </c>
      <c r="N293" s="22">
        <f t="shared" si="32"/>
        <v>270</v>
      </c>
      <c r="O293" s="22" t="str">
        <f t="shared" si="33"/>
        <v>IN STOCK</v>
      </c>
      <c r="P293" s="22" t="str">
        <f t="shared" si="34"/>
        <v>FOLLOW UP DELIVERY</v>
      </c>
      <c r="Q293" s="58">
        <f t="shared" si="35"/>
        <v>0.66666666666666663</v>
      </c>
      <c r="R293" s="58">
        <f t="shared" si="36"/>
        <v>2.6666666666666665</v>
      </c>
      <c r="S293" s="58">
        <f t="shared" si="37"/>
        <v>0</v>
      </c>
      <c r="T293" s="5">
        <v>7</v>
      </c>
      <c r="U293" s="5" t="s">
        <v>30</v>
      </c>
      <c r="V293" s="173">
        <f>VLOOKUP(A293,'[1]Final-Short'!$B:$AE,29,0)</f>
        <v>155.51643000000001</v>
      </c>
      <c r="W293" s="171" t="s">
        <v>1952</v>
      </c>
      <c r="X293" s="58">
        <f t="shared" si="38"/>
        <v>0</v>
      </c>
      <c r="Y293" s="58">
        <f t="shared" si="39"/>
        <v>311.03286000000003</v>
      </c>
    </row>
    <row r="294" spans="1:25" x14ac:dyDescent="0.25">
      <c r="A294" s="36" t="s">
        <v>1956</v>
      </c>
      <c r="B294" s="171" t="s">
        <v>1957</v>
      </c>
      <c r="C294" s="171" t="s">
        <v>1957</v>
      </c>
      <c r="D294" s="172" t="s">
        <v>1631</v>
      </c>
      <c r="E294" s="172" t="s">
        <v>1631</v>
      </c>
      <c r="F294" s="172" t="s">
        <v>1631</v>
      </c>
      <c r="G294" s="172" t="s">
        <v>1631</v>
      </c>
      <c r="H294" s="172" t="s">
        <v>1631</v>
      </c>
      <c r="I294" s="172" t="s">
        <v>5062</v>
      </c>
      <c r="J294" s="36">
        <v>1</v>
      </c>
      <c r="K294" s="58">
        <v>123</v>
      </c>
      <c r="L294" s="58"/>
      <c r="M294" s="22">
        <f>IFERROR((VLOOKUP(A294,'Current Stocks July-26'!$B:$K,10,0)),0)</f>
        <v>0</v>
      </c>
      <c r="N294" s="22">
        <f t="shared" si="32"/>
        <v>0</v>
      </c>
      <c r="O294" s="22" t="str">
        <f t="shared" si="33"/>
        <v>ORDER NOW</v>
      </c>
      <c r="P294" s="22" t="str">
        <f t="shared" si="34"/>
        <v>CRITICAL</v>
      </c>
      <c r="Q294" s="58">
        <f t="shared" si="35"/>
        <v>41</v>
      </c>
      <c r="R294" s="58">
        <f t="shared" si="36"/>
        <v>164</v>
      </c>
      <c r="S294" s="58">
        <f t="shared" si="37"/>
        <v>164</v>
      </c>
      <c r="T294" s="5">
        <v>7</v>
      </c>
      <c r="U294" s="5" t="s">
        <v>30</v>
      </c>
      <c r="V294" s="173">
        <f>VLOOKUP(A294,'[1]Final-Short'!$B:$AE,29,0)</f>
        <v>144</v>
      </c>
      <c r="W294" s="171" t="s">
        <v>1715</v>
      </c>
      <c r="X294" s="58">
        <f t="shared" si="38"/>
        <v>23616</v>
      </c>
      <c r="Y294" s="58">
        <f t="shared" si="39"/>
        <v>17712</v>
      </c>
    </row>
    <row r="295" spans="1:25" x14ac:dyDescent="0.25">
      <c r="A295" s="36" t="s">
        <v>1341</v>
      </c>
      <c r="B295" s="171" t="s">
        <v>1342</v>
      </c>
      <c r="C295" s="171" t="s">
        <v>1342</v>
      </c>
      <c r="D295" s="172" t="s">
        <v>1631</v>
      </c>
      <c r="E295" s="172" t="s">
        <v>1631</v>
      </c>
      <c r="F295" s="172" t="s">
        <v>1631</v>
      </c>
      <c r="G295" s="172" t="s">
        <v>5062</v>
      </c>
      <c r="H295" s="172" t="s">
        <v>1631</v>
      </c>
      <c r="I295" s="172" t="s">
        <v>5062</v>
      </c>
      <c r="J295" s="36">
        <v>2</v>
      </c>
      <c r="K295" s="58">
        <v>60</v>
      </c>
      <c r="L295" s="58"/>
      <c r="M295" s="22">
        <f>IFERROR((VLOOKUP(A295,'Current Stocks July-26'!$B:$K,10,0)),0)</f>
        <v>1300</v>
      </c>
      <c r="N295" s="22">
        <f t="shared" si="32"/>
        <v>650</v>
      </c>
      <c r="O295" s="22" t="str">
        <f t="shared" si="33"/>
        <v>IN STOCK</v>
      </c>
      <c r="P295" s="22" t="str">
        <f t="shared" si="34"/>
        <v>FOLLOW UP DELIVERY</v>
      </c>
      <c r="Q295" s="58">
        <f t="shared" si="35"/>
        <v>20</v>
      </c>
      <c r="R295" s="58">
        <f t="shared" si="36"/>
        <v>80</v>
      </c>
      <c r="S295" s="58">
        <f t="shared" si="37"/>
        <v>0</v>
      </c>
      <c r="T295" s="5">
        <v>7</v>
      </c>
      <c r="U295" s="5" t="s">
        <v>1669</v>
      </c>
      <c r="V295" s="173">
        <f>VLOOKUP(A295,'[1]Final-Short'!$B:$AE,29,0)</f>
        <v>2.36</v>
      </c>
      <c r="W295" s="171" t="s">
        <v>1700</v>
      </c>
      <c r="X295" s="58">
        <f t="shared" si="38"/>
        <v>0</v>
      </c>
      <c r="Y295" s="58">
        <f t="shared" si="39"/>
        <v>141.6</v>
      </c>
    </row>
    <row r="296" spans="1:25" x14ac:dyDescent="0.25">
      <c r="A296" s="36" t="s">
        <v>430</v>
      </c>
      <c r="B296" s="171" t="s">
        <v>431</v>
      </c>
      <c r="C296" s="171" t="s">
        <v>431</v>
      </c>
      <c r="D296" s="172" t="s">
        <v>1631</v>
      </c>
      <c r="E296" s="172" t="s">
        <v>1631</v>
      </c>
      <c r="F296" s="172" t="s">
        <v>1631</v>
      </c>
      <c r="G296" s="172" t="s">
        <v>1631</v>
      </c>
      <c r="H296" s="172" t="s">
        <v>1631</v>
      </c>
      <c r="I296" s="172" t="s">
        <v>5062</v>
      </c>
      <c r="J296" s="36">
        <v>1</v>
      </c>
      <c r="K296" s="58">
        <v>4500</v>
      </c>
      <c r="L296" s="58"/>
      <c r="M296" s="22">
        <f>IFERROR((VLOOKUP(A296,'Current Stocks July-26'!$B:$K,10,0)),0)</f>
        <v>14096</v>
      </c>
      <c r="N296" s="22">
        <f t="shared" si="32"/>
        <v>93.973333333333329</v>
      </c>
      <c r="O296" s="22" t="str">
        <f t="shared" si="33"/>
        <v>IN STOCK</v>
      </c>
      <c r="P296" s="22" t="str">
        <f t="shared" si="34"/>
        <v>FOLLOW UP DELIVERY</v>
      </c>
      <c r="Q296" s="58">
        <f t="shared" si="35"/>
        <v>2550</v>
      </c>
      <c r="R296" s="58">
        <f t="shared" si="36"/>
        <v>7050</v>
      </c>
      <c r="S296" s="58">
        <f t="shared" si="37"/>
        <v>0</v>
      </c>
      <c r="T296" s="5">
        <v>14</v>
      </c>
      <c r="U296" s="5" t="s">
        <v>1669</v>
      </c>
      <c r="V296" s="173">
        <f>VLOOKUP(A296,'[1]Final-Short'!$B:$AE,29,0)</f>
        <v>43.98</v>
      </c>
      <c r="W296" s="171" t="s">
        <v>1704</v>
      </c>
      <c r="X296" s="58">
        <f t="shared" si="38"/>
        <v>0</v>
      </c>
      <c r="Y296" s="58">
        <f t="shared" si="39"/>
        <v>197910</v>
      </c>
    </row>
    <row r="297" spans="1:25" x14ac:dyDescent="0.25">
      <c r="A297" s="36" t="s">
        <v>938</v>
      </c>
      <c r="B297" s="171" t="s">
        <v>1777</v>
      </c>
      <c r="C297" s="171" t="s">
        <v>1391</v>
      </c>
      <c r="D297" s="172" t="s">
        <v>1631</v>
      </c>
      <c r="E297" s="172" t="s">
        <v>1631</v>
      </c>
      <c r="F297" s="172" t="s">
        <v>1631</v>
      </c>
      <c r="G297" s="172" t="s">
        <v>1631</v>
      </c>
      <c r="H297" s="172" t="s">
        <v>1631</v>
      </c>
      <c r="I297" s="172" t="s">
        <v>5062</v>
      </c>
      <c r="J297" s="36">
        <v>1</v>
      </c>
      <c r="K297" s="58">
        <v>1</v>
      </c>
      <c r="L297" s="58"/>
      <c r="M297" s="22">
        <f>IFERROR((VLOOKUP(A297,'Current Stocks July-26'!$B:$K,10,0)),0)</f>
        <v>106</v>
      </c>
      <c r="N297" s="22">
        <f t="shared" si="32"/>
        <v>3180</v>
      </c>
      <c r="O297" s="22" t="str">
        <f t="shared" si="33"/>
        <v>IN STOCK</v>
      </c>
      <c r="P297" s="22" t="str">
        <f t="shared" si="34"/>
        <v>FOLLOW UP DELIVERY</v>
      </c>
      <c r="Q297" s="58">
        <f t="shared" si="35"/>
        <v>0.33333333333333331</v>
      </c>
      <c r="R297" s="58">
        <f t="shared" si="36"/>
        <v>1.3333333333333333</v>
      </c>
      <c r="S297" s="58">
        <f t="shared" si="37"/>
        <v>0</v>
      </c>
      <c r="T297" s="5">
        <v>7</v>
      </c>
      <c r="U297" s="5" t="s">
        <v>30</v>
      </c>
      <c r="V297" s="173">
        <f>VLOOKUP(A297,'[1]Final-Short'!$B:$AE,29,0)</f>
        <v>55</v>
      </c>
      <c r="W297" s="171" t="s">
        <v>1696</v>
      </c>
      <c r="X297" s="58">
        <f t="shared" si="38"/>
        <v>0</v>
      </c>
      <c r="Y297" s="58">
        <f t="shared" si="39"/>
        <v>55</v>
      </c>
    </row>
    <row r="298" spans="1:25" x14ac:dyDescent="0.25">
      <c r="A298" s="36" t="s">
        <v>905</v>
      </c>
      <c r="B298" s="171" t="s">
        <v>908</v>
      </c>
      <c r="C298" s="171" t="s">
        <v>908</v>
      </c>
      <c r="D298" s="172" t="s">
        <v>5062</v>
      </c>
      <c r="E298" s="172" t="s">
        <v>1631</v>
      </c>
      <c r="F298" s="172" t="s">
        <v>1631</v>
      </c>
      <c r="G298" s="172" t="s">
        <v>1631</v>
      </c>
      <c r="H298" s="172" t="s">
        <v>1631</v>
      </c>
      <c r="I298" s="172" t="s">
        <v>5062</v>
      </c>
      <c r="J298" s="36">
        <v>2</v>
      </c>
      <c r="K298" s="58">
        <v>18000</v>
      </c>
      <c r="L298" s="58"/>
      <c r="M298" s="22">
        <f>IFERROR((VLOOKUP(A298,'Current Stocks July-26'!$B:$K,10,0)),0)</f>
        <v>62388</v>
      </c>
      <c r="N298" s="22">
        <f t="shared" si="32"/>
        <v>103.98</v>
      </c>
      <c r="O298" s="22" t="str">
        <f t="shared" si="33"/>
        <v>IN STOCK</v>
      </c>
      <c r="P298" s="22" t="str">
        <f t="shared" si="34"/>
        <v>FOLLOW UP DELIVERY</v>
      </c>
      <c r="Q298" s="58">
        <f t="shared" si="35"/>
        <v>55800</v>
      </c>
      <c r="R298" s="58">
        <f t="shared" si="36"/>
        <v>73800</v>
      </c>
      <c r="S298" s="58">
        <f t="shared" si="37"/>
        <v>11412</v>
      </c>
      <c r="T298" s="5">
        <v>90</v>
      </c>
      <c r="U298" s="5" t="s">
        <v>1669</v>
      </c>
      <c r="V298" s="173">
        <f>VLOOKUP(A298,'[1]Final-Short'!$B:$AE,29,0)</f>
        <v>22.1</v>
      </c>
      <c r="W298" s="171" t="str">
        <f>VLOOKUP(A298,'[1]Final-Short'!$B:$AE,30,0)</f>
        <v>Crea Chocoalte Italy</v>
      </c>
      <c r="X298" s="58">
        <f t="shared" si="38"/>
        <v>252205.2</v>
      </c>
      <c r="Y298" s="58">
        <f t="shared" si="39"/>
        <v>397800</v>
      </c>
    </row>
    <row r="299" spans="1:25" x14ac:dyDescent="0.25">
      <c r="A299" s="36" t="s">
        <v>1131</v>
      </c>
      <c r="B299" s="171" t="s">
        <v>1132</v>
      </c>
      <c r="C299" s="171" t="s">
        <v>1132</v>
      </c>
      <c r="D299" s="172" t="s">
        <v>1631</v>
      </c>
      <c r="E299" s="172" t="s">
        <v>1631</v>
      </c>
      <c r="F299" s="172" t="s">
        <v>1631</v>
      </c>
      <c r="G299" s="172" t="s">
        <v>1631</v>
      </c>
      <c r="H299" s="172" t="s">
        <v>1631</v>
      </c>
      <c r="I299" s="172" t="s">
        <v>5062</v>
      </c>
      <c r="J299" s="36">
        <v>1</v>
      </c>
      <c r="K299" s="58">
        <v>15</v>
      </c>
      <c r="L299" s="58"/>
      <c r="M299" s="22">
        <f>IFERROR((VLOOKUP(A299,'Current Stocks July-26'!$B:$K,10,0)),0)</f>
        <v>0</v>
      </c>
      <c r="N299" s="22">
        <f t="shared" si="32"/>
        <v>0</v>
      </c>
      <c r="O299" s="22" t="str">
        <f t="shared" si="33"/>
        <v>ORDER NOW</v>
      </c>
      <c r="P299" s="22" t="str">
        <f t="shared" si="34"/>
        <v>CRITICAL</v>
      </c>
      <c r="Q299" s="58">
        <f t="shared" si="35"/>
        <v>5</v>
      </c>
      <c r="R299" s="58">
        <f t="shared" si="36"/>
        <v>20</v>
      </c>
      <c r="S299" s="58">
        <f t="shared" si="37"/>
        <v>20</v>
      </c>
      <c r="T299" s="5">
        <v>7</v>
      </c>
      <c r="U299" s="5" t="s">
        <v>30</v>
      </c>
      <c r="V299" s="173">
        <f>VLOOKUP(A299,'[1]Final-Short'!$B:$AE,29,0)</f>
        <v>18</v>
      </c>
      <c r="W299" s="171" t="s">
        <v>1700</v>
      </c>
      <c r="X299" s="58">
        <f t="shared" si="38"/>
        <v>360</v>
      </c>
      <c r="Y299" s="58">
        <f t="shared" si="39"/>
        <v>270</v>
      </c>
    </row>
    <row r="300" spans="1:25" x14ac:dyDescent="0.25">
      <c r="A300" s="36" t="s">
        <v>1562</v>
      </c>
      <c r="B300" s="171" t="s">
        <v>1563</v>
      </c>
      <c r="C300" s="171" t="s">
        <v>1563</v>
      </c>
      <c r="D300" s="172" t="s">
        <v>1631</v>
      </c>
      <c r="E300" s="172" t="s">
        <v>1631</v>
      </c>
      <c r="F300" s="172" t="s">
        <v>1631</v>
      </c>
      <c r="G300" s="172" t="s">
        <v>5062</v>
      </c>
      <c r="H300" s="172" t="s">
        <v>1631</v>
      </c>
      <c r="I300" s="172" t="s">
        <v>5062</v>
      </c>
      <c r="J300" s="36">
        <v>2</v>
      </c>
      <c r="K300" s="58">
        <v>1</v>
      </c>
      <c r="L300" s="58"/>
      <c r="M300" s="22">
        <f>IFERROR((VLOOKUP(A300,'Current Stocks July-26'!$B:$K,10,0)),0)</f>
        <v>104.3</v>
      </c>
      <c r="N300" s="22">
        <f t="shared" si="32"/>
        <v>3129</v>
      </c>
      <c r="O300" s="22" t="str">
        <f t="shared" si="33"/>
        <v>IN STOCK</v>
      </c>
      <c r="P300" s="22" t="str">
        <f t="shared" si="34"/>
        <v>FOLLOW UP DELIVERY</v>
      </c>
      <c r="Q300" s="58">
        <f t="shared" si="35"/>
        <v>0.33333333333333331</v>
      </c>
      <c r="R300" s="58">
        <f t="shared" si="36"/>
        <v>1.3333333333333333</v>
      </c>
      <c r="S300" s="58">
        <f t="shared" si="37"/>
        <v>0</v>
      </c>
      <c r="T300" s="5">
        <v>7</v>
      </c>
      <c r="U300" s="5" t="s">
        <v>30</v>
      </c>
      <c r="V300" s="195">
        <f>VLOOKUP(A300,'[1]Final-Short'!$B:$AE,29,0)</f>
        <v>16.25</v>
      </c>
      <c r="W300" s="185" t="s">
        <v>1796</v>
      </c>
      <c r="X300" s="58">
        <f t="shared" si="38"/>
        <v>0</v>
      </c>
      <c r="Y300" s="58">
        <f t="shared" si="39"/>
        <v>16.25</v>
      </c>
    </row>
    <row r="301" spans="1:25" x14ac:dyDescent="0.25">
      <c r="A301" s="36" t="s">
        <v>1350</v>
      </c>
      <c r="B301" s="171" t="s">
        <v>1351</v>
      </c>
      <c r="C301" s="171" t="s">
        <v>1351</v>
      </c>
      <c r="D301" s="172" t="s">
        <v>1631</v>
      </c>
      <c r="E301" s="172" t="s">
        <v>1631</v>
      </c>
      <c r="F301" s="172" t="s">
        <v>1631</v>
      </c>
      <c r="G301" s="172" t="s">
        <v>5062</v>
      </c>
      <c r="H301" s="172" t="s">
        <v>1631</v>
      </c>
      <c r="I301" s="172" t="s">
        <v>1631</v>
      </c>
      <c r="J301" s="36">
        <v>1</v>
      </c>
      <c r="K301" s="58">
        <v>600</v>
      </c>
      <c r="L301" s="58"/>
      <c r="M301" s="22">
        <f>IFERROR((VLOOKUP(A301,'Current Stocks July-26'!$B:$K,10,0)),0)</f>
        <v>408</v>
      </c>
      <c r="N301" s="22">
        <f t="shared" si="32"/>
        <v>20.400000000000002</v>
      </c>
      <c r="O301" s="22" t="str">
        <f t="shared" si="33"/>
        <v>IN STOCK</v>
      </c>
      <c r="P301" s="22" t="str">
        <f t="shared" si="34"/>
        <v>FOLLOW UP DELIVERY</v>
      </c>
      <c r="Q301" s="58">
        <f t="shared" si="35"/>
        <v>200</v>
      </c>
      <c r="R301" s="58">
        <f t="shared" si="36"/>
        <v>800</v>
      </c>
      <c r="S301" s="58">
        <f t="shared" si="37"/>
        <v>392</v>
      </c>
      <c r="T301" s="5">
        <v>7</v>
      </c>
      <c r="U301" s="5" t="s">
        <v>30</v>
      </c>
      <c r="V301" s="173">
        <f>VLOOKUP(A301,'[1]Final-Short'!$B:$AE,29,0)</f>
        <v>1.6166700000000001</v>
      </c>
      <c r="W301" s="171" t="s">
        <v>1952</v>
      </c>
      <c r="X301" s="58">
        <f t="shared" si="38"/>
        <v>633.73464000000001</v>
      </c>
      <c r="Y301" s="58">
        <f t="shared" si="39"/>
        <v>970.00200000000007</v>
      </c>
    </row>
    <row r="302" spans="1:25" x14ac:dyDescent="0.25">
      <c r="A302" s="36" t="s">
        <v>819</v>
      </c>
      <c r="B302" s="171" t="s">
        <v>820</v>
      </c>
      <c r="C302" s="171" t="s">
        <v>820</v>
      </c>
      <c r="D302" s="172" t="s">
        <v>1631</v>
      </c>
      <c r="E302" s="172" t="s">
        <v>1631</v>
      </c>
      <c r="F302" s="172" t="s">
        <v>1631</v>
      </c>
      <c r="G302" s="172" t="s">
        <v>5062</v>
      </c>
      <c r="H302" s="172" t="s">
        <v>1631</v>
      </c>
      <c r="I302" s="172" t="s">
        <v>5062</v>
      </c>
      <c r="J302" s="36">
        <v>2</v>
      </c>
      <c r="K302" s="58">
        <v>23000</v>
      </c>
      <c r="L302" s="58"/>
      <c r="M302" s="22">
        <f>IFERROR((VLOOKUP(A302,'Current Stocks July-26'!$B:$K,10,0)),0)</f>
        <v>3800</v>
      </c>
      <c r="N302" s="22">
        <f t="shared" si="32"/>
        <v>4.9565217391304346</v>
      </c>
      <c r="O302" s="22" t="str">
        <f t="shared" si="33"/>
        <v>ORDER NOW</v>
      </c>
      <c r="P302" s="22" t="str">
        <f t="shared" si="34"/>
        <v>CRITICAL</v>
      </c>
      <c r="Q302" s="58">
        <f t="shared" si="35"/>
        <v>7666.6666666666661</v>
      </c>
      <c r="R302" s="58">
        <f t="shared" si="36"/>
        <v>30666.666666666664</v>
      </c>
      <c r="S302" s="58">
        <f t="shared" si="37"/>
        <v>26866.666666666664</v>
      </c>
      <c r="T302" s="5">
        <v>7</v>
      </c>
      <c r="U302" s="5" t="s">
        <v>1669</v>
      </c>
      <c r="V302" s="173">
        <f>VLOOKUP(A302,'[1]Final-Short'!$B:$AE,29,0)</f>
        <v>2.06</v>
      </c>
      <c r="W302" s="171" t="s">
        <v>1716</v>
      </c>
      <c r="X302" s="58">
        <f t="shared" si="38"/>
        <v>55345.333333333328</v>
      </c>
      <c r="Y302" s="58">
        <f t="shared" si="39"/>
        <v>47380</v>
      </c>
    </row>
    <row r="303" spans="1:25" x14ac:dyDescent="0.25">
      <c r="A303" s="36" t="s">
        <v>1149</v>
      </c>
      <c r="B303" s="171" t="s">
        <v>1150</v>
      </c>
      <c r="C303" s="171" t="s">
        <v>1150</v>
      </c>
      <c r="D303" s="172" t="s">
        <v>1631</v>
      </c>
      <c r="E303" s="172" t="s">
        <v>1631</v>
      </c>
      <c r="F303" s="172" t="s">
        <v>1631</v>
      </c>
      <c r="G303" s="172" t="s">
        <v>1631</v>
      </c>
      <c r="H303" s="172" t="s">
        <v>1631</v>
      </c>
      <c r="I303" s="172" t="s">
        <v>5062</v>
      </c>
      <c r="J303" s="36">
        <v>1</v>
      </c>
      <c r="K303" s="58">
        <v>1350</v>
      </c>
      <c r="L303" s="58"/>
      <c r="M303" s="22">
        <f>IFERROR((VLOOKUP(A303,'Current Stocks July-26'!$B:$K,10,0)),0)</f>
        <v>1900</v>
      </c>
      <c r="N303" s="22">
        <f t="shared" si="32"/>
        <v>42.222222222222221</v>
      </c>
      <c r="O303" s="22" t="str">
        <f t="shared" si="33"/>
        <v>IN STOCK</v>
      </c>
      <c r="P303" s="22" t="str">
        <f t="shared" si="34"/>
        <v>FOLLOW UP DELIVERY</v>
      </c>
      <c r="Q303" s="58">
        <f t="shared" si="35"/>
        <v>450</v>
      </c>
      <c r="R303" s="58">
        <f t="shared" si="36"/>
        <v>1800</v>
      </c>
      <c r="S303" s="58">
        <f t="shared" si="37"/>
        <v>0</v>
      </c>
      <c r="T303" s="5">
        <v>7</v>
      </c>
      <c r="U303" s="5" t="s">
        <v>1669</v>
      </c>
      <c r="V303" s="173">
        <f>VLOOKUP(A303,'[1]Final-Short'!$B:$AE,29,0)</f>
        <v>6.5</v>
      </c>
      <c r="W303" s="171" t="s">
        <v>1774</v>
      </c>
      <c r="X303" s="58">
        <f t="shared" si="38"/>
        <v>0</v>
      </c>
      <c r="Y303" s="58">
        <f t="shared" si="39"/>
        <v>8775</v>
      </c>
    </row>
    <row r="304" spans="1:25" x14ac:dyDescent="0.25">
      <c r="A304" s="36" t="s">
        <v>416</v>
      </c>
      <c r="B304" s="171" t="s">
        <v>417</v>
      </c>
      <c r="C304" s="171" t="s">
        <v>1958</v>
      </c>
      <c r="D304" s="172" t="s">
        <v>1631</v>
      </c>
      <c r="E304" s="172" t="s">
        <v>1631</v>
      </c>
      <c r="F304" s="172" t="s">
        <v>1631</v>
      </c>
      <c r="G304" s="172" t="s">
        <v>1631</v>
      </c>
      <c r="H304" s="172" t="s">
        <v>1631</v>
      </c>
      <c r="I304" s="172" t="s">
        <v>5062</v>
      </c>
      <c r="J304" s="36">
        <v>1</v>
      </c>
      <c r="K304" s="58">
        <v>150</v>
      </c>
      <c r="L304" s="58"/>
      <c r="M304" s="22">
        <f>IFERROR((VLOOKUP(A304,'Current Stocks July-26'!$B:$K,10,0)),0)</f>
        <v>0</v>
      </c>
      <c r="N304" s="22">
        <f t="shared" si="32"/>
        <v>0</v>
      </c>
      <c r="O304" s="22" t="str">
        <f t="shared" si="33"/>
        <v>ORDER NOW</v>
      </c>
      <c r="P304" s="22" t="str">
        <f t="shared" si="34"/>
        <v>CRITICAL</v>
      </c>
      <c r="Q304" s="58">
        <f t="shared" si="35"/>
        <v>50</v>
      </c>
      <c r="R304" s="58">
        <f t="shared" si="36"/>
        <v>200</v>
      </c>
      <c r="S304" s="58">
        <f t="shared" si="37"/>
        <v>200</v>
      </c>
      <c r="T304" s="5">
        <v>7</v>
      </c>
      <c r="U304" s="5" t="s">
        <v>30</v>
      </c>
      <c r="V304" s="173">
        <f>VLOOKUP(A304,'[1]Final-Short'!$B:$AE,29,0)</f>
        <v>22.117650000000001</v>
      </c>
      <c r="W304" s="171" t="s">
        <v>1700</v>
      </c>
      <c r="X304" s="58">
        <f t="shared" si="38"/>
        <v>4423.5300000000007</v>
      </c>
      <c r="Y304" s="58">
        <f t="shared" si="39"/>
        <v>3317.6475</v>
      </c>
    </row>
    <row r="305" spans="1:25" x14ac:dyDescent="0.25">
      <c r="A305" s="36" t="s">
        <v>514</v>
      </c>
      <c r="B305" s="171" t="s">
        <v>515</v>
      </c>
      <c r="C305" s="171" t="s">
        <v>515</v>
      </c>
      <c r="D305" s="172" t="s">
        <v>1631</v>
      </c>
      <c r="E305" s="172" t="s">
        <v>1631</v>
      </c>
      <c r="F305" s="172" t="s">
        <v>1631</v>
      </c>
      <c r="G305" s="172" t="s">
        <v>5062</v>
      </c>
      <c r="H305" s="172" t="s">
        <v>1631</v>
      </c>
      <c r="I305" s="172" t="s">
        <v>1631</v>
      </c>
      <c r="J305" s="36">
        <v>1</v>
      </c>
      <c r="K305" s="58">
        <v>1240</v>
      </c>
      <c r="L305" s="58"/>
      <c r="M305" s="22">
        <f>IFERROR((VLOOKUP(A305,'Current Stocks July-26'!$B:$K,10,0)),0)</f>
        <v>1920</v>
      </c>
      <c r="N305" s="22">
        <f t="shared" si="32"/>
        <v>46.451612903225808</v>
      </c>
      <c r="O305" s="22" t="str">
        <f t="shared" si="33"/>
        <v>IN STOCK</v>
      </c>
      <c r="P305" s="22" t="str">
        <f t="shared" si="34"/>
        <v>FOLLOW UP DELIVERY</v>
      </c>
      <c r="Q305" s="58">
        <f t="shared" si="35"/>
        <v>413.33333333333331</v>
      </c>
      <c r="R305" s="58">
        <f t="shared" si="36"/>
        <v>1653.3333333333333</v>
      </c>
      <c r="S305" s="58">
        <f t="shared" si="37"/>
        <v>0</v>
      </c>
      <c r="T305" s="5">
        <v>7</v>
      </c>
      <c r="U305" s="5" t="s">
        <v>30</v>
      </c>
      <c r="V305" s="173">
        <f>VLOOKUP(A305,'[1]Final-Short'!$B:$AE,29,0)</f>
        <v>1.20583</v>
      </c>
      <c r="W305" s="171" t="s">
        <v>1952</v>
      </c>
      <c r="X305" s="58">
        <f t="shared" si="38"/>
        <v>0</v>
      </c>
      <c r="Y305" s="58">
        <f t="shared" si="39"/>
        <v>1495.2292</v>
      </c>
    </row>
    <row r="306" spans="1:25" x14ac:dyDescent="0.25">
      <c r="A306" s="36" t="s">
        <v>702</v>
      </c>
      <c r="B306" s="171" t="s">
        <v>703</v>
      </c>
      <c r="C306" s="171" t="s">
        <v>703</v>
      </c>
      <c r="D306" s="172" t="s">
        <v>1631</v>
      </c>
      <c r="E306" s="172" t="s">
        <v>1631</v>
      </c>
      <c r="F306" s="172" t="s">
        <v>1631</v>
      </c>
      <c r="G306" s="172" t="s">
        <v>5062</v>
      </c>
      <c r="H306" s="172" t="s">
        <v>1631</v>
      </c>
      <c r="I306" s="172" t="s">
        <v>1631</v>
      </c>
      <c r="J306" s="36">
        <v>1</v>
      </c>
      <c r="K306" s="58">
        <v>200</v>
      </c>
      <c r="L306" s="58"/>
      <c r="M306" s="22">
        <f>IFERROR((VLOOKUP(A306,'Current Stocks July-26'!$B:$K,10,0)),0)</f>
        <v>1800</v>
      </c>
      <c r="N306" s="22">
        <f t="shared" si="32"/>
        <v>270</v>
      </c>
      <c r="O306" s="22" t="str">
        <f t="shared" si="33"/>
        <v>IN STOCK</v>
      </c>
      <c r="P306" s="22" t="str">
        <f t="shared" si="34"/>
        <v>FOLLOW UP DELIVERY</v>
      </c>
      <c r="Q306" s="58">
        <f t="shared" si="35"/>
        <v>66.666666666666657</v>
      </c>
      <c r="R306" s="58">
        <f t="shared" si="36"/>
        <v>266.66666666666663</v>
      </c>
      <c r="S306" s="58">
        <f t="shared" si="37"/>
        <v>0</v>
      </c>
      <c r="T306" s="5">
        <v>7</v>
      </c>
      <c r="U306" s="5" t="s">
        <v>30</v>
      </c>
      <c r="V306" s="173">
        <f>VLOOKUP(A306,'[1]Final-Short'!$B:$AE,29,0)</f>
        <v>6.75</v>
      </c>
      <c r="W306" s="171" t="s">
        <v>1700</v>
      </c>
      <c r="X306" s="58">
        <f t="shared" si="38"/>
        <v>0</v>
      </c>
      <c r="Y306" s="58">
        <f t="shared" si="39"/>
        <v>1350</v>
      </c>
    </row>
    <row r="307" spans="1:25" x14ac:dyDescent="0.25">
      <c r="A307" s="36" t="s">
        <v>1215</v>
      </c>
      <c r="B307" s="171" t="s">
        <v>1216</v>
      </c>
      <c r="C307" s="171" t="s">
        <v>1216</v>
      </c>
      <c r="D307" s="172" t="s">
        <v>1631</v>
      </c>
      <c r="E307" s="172" t="s">
        <v>1631</v>
      </c>
      <c r="F307" s="172" t="s">
        <v>1631</v>
      </c>
      <c r="G307" s="172" t="s">
        <v>5062</v>
      </c>
      <c r="H307" s="172" t="s">
        <v>1631</v>
      </c>
      <c r="I307" s="172" t="s">
        <v>5062</v>
      </c>
      <c r="J307" s="36">
        <v>2</v>
      </c>
      <c r="K307" s="58">
        <v>0</v>
      </c>
      <c r="L307" s="58"/>
      <c r="M307" s="22">
        <f>IFERROR((VLOOKUP(A307,'Current Stocks July-26'!$B:$K,10,0)),0)</f>
        <v>0</v>
      </c>
      <c r="N307" s="22">
        <f t="shared" si="32"/>
        <v>0</v>
      </c>
      <c r="O307" s="22" t="str">
        <f t="shared" si="33"/>
        <v>ORDER NOW</v>
      </c>
      <c r="P307" s="22" t="str">
        <f t="shared" si="34"/>
        <v>CRITICAL</v>
      </c>
      <c r="Q307" s="58">
        <f t="shared" si="35"/>
        <v>0</v>
      </c>
      <c r="R307" s="58">
        <f t="shared" si="36"/>
        <v>0</v>
      </c>
      <c r="S307" s="58">
        <f t="shared" si="37"/>
        <v>0</v>
      </c>
      <c r="T307" s="5">
        <v>7</v>
      </c>
      <c r="U307" s="5" t="s">
        <v>30</v>
      </c>
      <c r="V307" s="173">
        <f>VLOOKUP(A307,'[1]Final-Short'!$B:$AE,29,0)</f>
        <v>7.8</v>
      </c>
      <c r="W307" s="171" t="s">
        <v>1700</v>
      </c>
      <c r="X307" s="58">
        <f t="shared" si="38"/>
        <v>0</v>
      </c>
      <c r="Y307" s="58">
        <f t="shared" si="39"/>
        <v>0</v>
      </c>
    </row>
    <row r="308" spans="1:25" x14ac:dyDescent="0.25">
      <c r="A308" s="36" t="s">
        <v>1134</v>
      </c>
      <c r="B308" s="171" t="s">
        <v>1135</v>
      </c>
      <c r="C308" s="171" t="s">
        <v>1135</v>
      </c>
      <c r="D308" s="172" t="s">
        <v>1631</v>
      </c>
      <c r="E308" s="172" t="s">
        <v>1631</v>
      </c>
      <c r="F308" s="172" t="s">
        <v>1631</v>
      </c>
      <c r="G308" s="172" t="s">
        <v>5062</v>
      </c>
      <c r="H308" s="172" t="s">
        <v>1631</v>
      </c>
      <c r="I308" s="172" t="s">
        <v>1631</v>
      </c>
      <c r="J308" s="36">
        <v>1</v>
      </c>
      <c r="K308" s="58">
        <v>3</v>
      </c>
      <c r="L308" s="58"/>
      <c r="M308" s="22">
        <f>IFERROR((VLOOKUP(A308,'Current Stocks July-26'!$B:$K,10,0)),0)</f>
        <v>15</v>
      </c>
      <c r="N308" s="22">
        <f t="shared" si="32"/>
        <v>150</v>
      </c>
      <c r="O308" s="22" t="str">
        <f t="shared" si="33"/>
        <v>IN STOCK</v>
      </c>
      <c r="P308" s="22" t="str">
        <f t="shared" si="34"/>
        <v>FOLLOW UP DELIVERY</v>
      </c>
      <c r="Q308" s="58">
        <f t="shared" si="35"/>
        <v>1</v>
      </c>
      <c r="R308" s="58">
        <f t="shared" si="36"/>
        <v>4</v>
      </c>
      <c r="S308" s="58">
        <f t="shared" si="37"/>
        <v>0</v>
      </c>
      <c r="T308" s="5">
        <v>7</v>
      </c>
      <c r="U308" s="5" t="s">
        <v>30</v>
      </c>
      <c r="V308" s="173">
        <f>VLOOKUP(A308,'[1]Final-Short'!$B:$AE,29,0)</f>
        <v>43.5</v>
      </c>
      <c r="W308" s="171" t="s">
        <v>1696</v>
      </c>
      <c r="X308" s="58">
        <f t="shared" si="38"/>
        <v>0</v>
      </c>
      <c r="Y308" s="58">
        <f t="shared" si="39"/>
        <v>130.5</v>
      </c>
    </row>
    <row r="309" spans="1:25" x14ac:dyDescent="0.25">
      <c r="A309" s="36" t="s">
        <v>41</v>
      </c>
      <c r="B309" s="171" t="s">
        <v>42</v>
      </c>
      <c r="C309" s="171" t="s">
        <v>42</v>
      </c>
      <c r="D309" s="172" t="s">
        <v>1631</v>
      </c>
      <c r="E309" s="172" t="s">
        <v>1631</v>
      </c>
      <c r="F309" s="172" t="s">
        <v>1631</v>
      </c>
      <c r="G309" s="172" t="s">
        <v>5062</v>
      </c>
      <c r="H309" s="172" t="s">
        <v>1631</v>
      </c>
      <c r="I309" s="172" t="s">
        <v>1631</v>
      </c>
      <c r="J309" s="36">
        <v>1</v>
      </c>
      <c r="K309" s="58">
        <v>1</v>
      </c>
      <c r="L309" s="58"/>
      <c r="M309" s="22">
        <f>IFERROR((VLOOKUP(A309,'Current Stocks July-26'!$B:$K,10,0)),0)</f>
        <v>28.8</v>
      </c>
      <c r="N309" s="22">
        <f t="shared" si="32"/>
        <v>864</v>
      </c>
      <c r="O309" s="22" t="str">
        <f t="shared" si="33"/>
        <v>IN STOCK</v>
      </c>
      <c r="P309" s="22" t="str">
        <f t="shared" si="34"/>
        <v>FOLLOW UP DELIVERY</v>
      </c>
      <c r="Q309" s="58">
        <f t="shared" si="35"/>
        <v>0.33333333333333331</v>
      </c>
      <c r="R309" s="58">
        <f t="shared" si="36"/>
        <v>1.3333333333333333</v>
      </c>
      <c r="S309" s="58">
        <f t="shared" si="37"/>
        <v>0</v>
      </c>
      <c r="T309" s="5">
        <v>7</v>
      </c>
      <c r="U309" s="5" t="s">
        <v>30</v>
      </c>
      <c r="V309" s="173">
        <f>VLOOKUP(A309,'[1]Final-Short'!$B:$AE,29,0)</f>
        <v>9</v>
      </c>
      <c r="W309" s="171" t="s">
        <v>1715</v>
      </c>
      <c r="X309" s="58">
        <f t="shared" si="38"/>
        <v>0</v>
      </c>
      <c r="Y309" s="58">
        <f t="shared" si="39"/>
        <v>9</v>
      </c>
    </row>
    <row r="310" spans="1:25" x14ac:dyDescent="0.25">
      <c r="A310" s="36" t="s">
        <v>1432</v>
      </c>
      <c r="B310" s="171" t="s">
        <v>1433</v>
      </c>
      <c r="C310" s="171" t="s">
        <v>1433</v>
      </c>
      <c r="D310" s="172" t="s">
        <v>1631</v>
      </c>
      <c r="E310" s="172" t="s">
        <v>1631</v>
      </c>
      <c r="F310" s="172" t="s">
        <v>1631</v>
      </c>
      <c r="G310" s="172" t="s">
        <v>5062</v>
      </c>
      <c r="H310" s="172" t="s">
        <v>1631</v>
      </c>
      <c r="I310" s="172" t="s">
        <v>1631</v>
      </c>
      <c r="J310" s="36">
        <v>1</v>
      </c>
      <c r="K310" s="58">
        <v>5</v>
      </c>
      <c r="L310" s="58"/>
      <c r="M310" s="22">
        <f>IFERROR((VLOOKUP(A310,'Current Stocks July-26'!$B:$K,10,0)),0)</f>
        <v>0</v>
      </c>
      <c r="N310" s="22">
        <f t="shared" si="32"/>
        <v>0</v>
      </c>
      <c r="O310" s="22" t="str">
        <f t="shared" si="33"/>
        <v>ORDER NOW</v>
      </c>
      <c r="P310" s="22" t="str">
        <f t="shared" si="34"/>
        <v>CRITICAL</v>
      </c>
      <c r="Q310" s="58">
        <f t="shared" si="35"/>
        <v>1.6666666666666665</v>
      </c>
      <c r="R310" s="58">
        <f t="shared" si="36"/>
        <v>6.6666666666666661</v>
      </c>
      <c r="S310" s="58">
        <f t="shared" si="37"/>
        <v>6.6666666666666661</v>
      </c>
      <c r="T310" s="5">
        <v>7</v>
      </c>
      <c r="U310" s="5" t="s">
        <v>30</v>
      </c>
      <c r="V310" s="173">
        <f>VLOOKUP(A310,'[1]Final-Short'!$B:$AE,29,0)</f>
        <v>36.155200000000001</v>
      </c>
      <c r="W310" s="171" t="s">
        <v>1959</v>
      </c>
      <c r="X310" s="58">
        <f t="shared" si="38"/>
        <v>241.03466666666665</v>
      </c>
      <c r="Y310" s="58">
        <f t="shared" si="39"/>
        <v>180.77600000000001</v>
      </c>
    </row>
    <row r="311" spans="1:25" x14ac:dyDescent="0.25">
      <c r="A311" s="36" t="s">
        <v>1308</v>
      </c>
      <c r="B311" s="171" t="s">
        <v>1309</v>
      </c>
      <c r="C311" s="171" t="s">
        <v>1309</v>
      </c>
      <c r="D311" s="172" t="s">
        <v>1631</v>
      </c>
      <c r="E311" s="172" t="s">
        <v>5062</v>
      </c>
      <c r="F311" s="172" t="s">
        <v>1631</v>
      </c>
      <c r="G311" s="172" t="s">
        <v>1631</v>
      </c>
      <c r="H311" s="172" t="s">
        <v>1631</v>
      </c>
      <c r="I311" s="172" t="s">
        <v>1631</v>
      </c>
      <c r="J311" s="36">
        <v>1</v>
      </c>
      <c r="K311" s="180">
        <v>200</v>
      </c>
      <c r="L311" s="180"/>
      <c r="M311" s="22">
        <f>IFERROR((VLOOKUP(A311,'Current Stocks July-26'!$B:$K,10,0)),0)</f>
        <v>1008</v>
      </c>
      <c r="N311" s="22">
        <f t="shared" si="32"/>
        <v>151.19999999999999</v>
      </c>
      <c r="O311" s="22" t="str">
        <f t="shared" si="33"/>
        <v>IN STOCK</v>
      </c>
      <c r="P311" s="22" t="str">
        <f t="shared" si="34"/>
        <v>FOLLOW UP DELIVERY</v>
      </c>
      <c r="Q311" s="58">
        <f t="shared" si="35"/>
        <v>66.666666666666657</v>
      </c>
      <c r="R311" s="58">
        <f t="shared" si="36"/>
        <v>266.66666666666663</v>
      </c>
      <c r="S311" s="58">
        <f t="shared" si="37"/>
        <v>0</v>
      </c>
      <c r="T311" s="5">
        <v>7</v>
      </c>
      <c r="U311" s="5" t="s">
        <v>1669</v>
      </c>
      <c r="V311" s="173">
        <f>VLOOKUP(A311,'[1]Final-Short'!$B:$AE,29,0)</f>
        <v>10.83333</v>
      </c>
      <c r="W311" s="171" t="s">
        <v>1774</v>
      </c>
      <c r="X311" s="58">
        <f t="shared" si="38"/>
        <v>0</v>
      </c>
      <c r="Y311" s="58">
        <f t="shared" si="39"/>
        <v>2166.6660000000002</v>
      </c>
    </row>
    <row r="312" spans="1:25" x14ac:dyDescent="0.25">
      <c r="A312" s="36" t="s">
        <v>1960</v>
      </c>
      <c r="B312" s="171" t="s">
        <v>579</v>
      </c>
      <c r="C312" s="171" t="s">
        <v>579</v>
      </c>
      <c r="D312" s="172" t="s">
        <v>1631</v>
      </c>
      <c r="E312" s="172" t="s">
        <v>1631</v>
      </c>
      <c r="F312" s="172" t="s">
        <v>1631</v>
      </c>
      <c r="G312" s="172" t="s">
        <v>1631</v>
      </c>
      <c r="H312" s="172" t="s">
        <v>1631</v>
      </c>
      <c r="I312" s="172" t="s">
        <v>1631</v>
      </c>
      <c r="J312" s="36">
        <v>0</v>
      </c>
      <c r="K312" s="58">
        <v>744</v>
      </c>
      <c r="L312" s="58"/>
      <c r="M312" s="22">
        <f>IFERROR((VLOOKUP(A312,'Current Stocks July-26'!$B:$K,10,0)),0)</f>
        <v>0</v>
      </c>
      <c r="N312" s="22">
        <f t="shared" si="32"/>
        <v>0</v>
      </c>
      <c r="O312" s="22" t="str">
        <f t="shared" si="33"/>
        <v>ORDER NOW</v>
      </c>
      <c r="P312" s="22" t="str">
        <f t="shared" si="34"/>
        <v>CRITICAL</v>
      </c>
      <c r="Q312" s="58">
        <f t="shared" si="35"/>
        <v>248</v>
      </c>
      <c r="R312" s="58">
        <f t="shared" si="36"/>
        <v>992</v>
      </c>
      <c r="S312" s="58">
        <f t="shared" si="37"/>
        <v>992</v>
      </c>
      <c r="T312" s="5">
        <v>7</v>
      </c>
      <c r="U312" s="5" t="s">
        <v>30</v>
      </c>
      <c r="V312" s="173">
        <f>VLOOKUP(A312,'[1]Final-Short'!$B:$AE,29,0)</f>
        <v>1.6166700000000001</v>
      </c>
      <c r="W312" s="171" t="s">
        <v>1952</v>
      </c>
      <c r="X312" s="58">
        <f t="shared" si="38"/>
        <v>1603.7366400000001</v>
      </c>
      <c r="Y312" s="58">
        <f t="shared" si="39"/>
        <v>1202.8024800000001</v>
      </c>
    </row>
    <row r="313" spans="1:25" x14ac:dyDescent="0.25">
      <c r="A313" s="36" t="s">
        <v>1961</v>
      </c>
      <c r="B313" s="171" t="s">
        <v>581</v>
      </c>
      <c r="C313" s="171" t="s">
        <v>581</v>
      </c>
      <c r="D313" s="172" t="s">
        <v>1631</v>
      </c>
      <c r="E313" s="172" t="s">
        <v>1631</v>
      </c>
      <c r="F313" s="172" t="s">
        <v>1631</v>
      </c>
      <c r="G313" s="172" t="s">
        <v>1631</v>
      </c>
      <c r="H313" s="172" t="s">
        <v>1631</v>
      </c>
      <c r="I313" s="172" t="s">
        <v>1631</v>
      </c>
      <c r="J313" s="36">
        <v>0</v>
      </c>
      <c r="K313" s="58">
        <v>744</v>
      </c>
      <c r="L313" s="58"/>
      <c r="M313" s="22">
        <f>IFERROR((VLOOKUP(A313,'Current Stocks July-26'!$B:$K,10,0)),0)</f>
        <v>0</v>
      </c>
      <c r="N313" s="22">
        <f t="shared" si="32"/>
        <v>0</v>
      </c>
      <c r="O313" s="22" t="str">
        <f t="shared" si="33"/>
        <v>ORDER NOW</v>
      </c>
      <c r="P313" s="22" t="str">
        <f t="shared" si="34"/>
        <v>CRITICAL</v>
      </c>
      <c r="Q313" s="58">
        <f t="shared" si="35"/>
        <v>248</v>
      </c>
      <c r="R313" s="58">
        <f t="shared" si="36"/>
        <v>992</v>
      </c>
      <c r="S313" s="58">
        <f t="shared" si="37"/>
        <v>992</v>
      </c>
      <c r="T313" s="5">
        <v>7</v>
      </c>
      <c r="U313" s="5" t="s">
        <v>30</v>
      </c>
      <c r="V313" s="173">
        <f>VLOOKUP(A313,'[1]Final-Short'!$B:$AE,29,0)</f>
        <v>1.61</v>
      </c>
      <c r="W313" s="171" t="s">
        <v>1962</v>
      </c>
      <c r="X313" s="58">
        <f t="shared" si="38"/>
        <v>1597.1200000000001</v>
      </c>
      <c r="Y313" s="58">
        <f t="shared" si="39"/>
        <v>1197.8400000000001</v>
      </c>
    </row>
    <row r="314" spans="1:25" x14ac:dyDescent="0.25">
      <c r="A314" s="36" t="s">
        <v>713</v>
      </c>
      <c r="B314" s="171" t="s">
        <v>714</v>
      </c>
      <c r="C314" s="171" t="s">
        <v>714</v>
      </c>
      <c r="D314" s="172" t="s">
        <v>1631</v>
      </c>
      <c r="E314" s="172" t="s">
        <v>1631</v>
      </c>
      <c r="F314" s="172" t="s">
        <v>1631</v>
      </c>
      <c r="G314" s="172" t="s">
        <v>5062</v>
      </c>
      <c r="H314" s="172" t="s">
        <v>1631</v>
      </c>
      <c r="I314" s="172" t="s">
        <v>1631</v>
      </c>
      <c r="J314" s="36">
        <v>1</v>
      </c>
      <c r="K314" s="58">
        <v>760</v>
      </c>
      <c r="L314" s="58"/>
      <c r="M314" s="22">
        <f>IFERROR((VLOOKUP(A314,'Current Stocks July-26'!$B:$K,10,0)),0)</f>
        <v>0</v>
      </c>
      <c r="N314" s="22">
        <f t="shared" si="32"/>
        <v>0</v>
      </c>
      <c r="O314" s="22" t="str">
        <f t="shared" si="33"/>
        <v>ORDER NOW</v>
      </c>
      <c r="P314" s="22" t="str">
        <f t="shared" si="34"/>
        <v>CRITICAL</v>
      </c>
      <c r="Q314" s="58">
        <f t="shared" si="35"/>
        <v>253.33333333333331</v>
      </c>
      <c r="R314" s="58">
        <f t="shared" si="36"/>
        <v>1013.3333333333333</v>
      </c>
      <c r="S314" s="58">
        <f t="shared" si="37"/>
        <v>1013.3333333333333</v>
      </c>
      <c r="T314" s="5">
        <v>7</v>
      </c>
      <c r="U314" s="5" t="s">
        <v>30</v>
      </c>
      <c r="V314" s="173">
        <f>VLOOKUP(A314,'[1]Final-Short'!$B:$AE,29,0)</f>
        <v>0.3</v>
      </c>
      <c r="W314" s="171" t="s">
        <v>1963</v>
      </c>
      <c r="X314" s="58">
        <f t="shared" si="38"/>
        <v>303.99999999999994</v>
      </c>
      <c r="Y314" s="58">
        <f t="shared" si="39"/>
        <v>228</v>
      </c>
    </row>
    <row r="315" spans="1:25" x14ac:dyDescent="0.25">
      <c r="A315" s="36" t="s">
        <v>1254</v>
      </c>
      <c r="B315" s="171" t="s">
        <v>1255</v>
      </c>
      <c r="C315" s="171" t="s">
        <v>1255</v>
      </c>
      <c r="D315" s="172" t="s">
        <v>1631</v>
      </c>
      <c r="E315" s="172" t="s">
        <v>1631</v>
      </c>
      <c r="F315" s="172" t="s">
        <v>1631</v>
      </c>
      <c r="G315" s="172" t="s">
        <v>5062</v>
      </c>
      <c r="H315" s="172" t="s">
        <v>1631</v>
      </c>
      <c r="I315" s="172" t="s">
        <v>1631</v>
      </c>
      <c r="J315" s="36">
        <v>1</v>
      </c>
      <c r="K315" s="58">
        <v>13000</v>
      </c>
      <c r="L315" s="58"/>
      <c r="M315" s="22">
        <f>IFERROR((VLOOKUP(A315,'Current Stocks July-26'!$B:$K,10,0)),0)</f>
        <v>0</v>
      </c>
      <c r="N315" s="22">
        <f t="shared" si="32"/>
        <v>0</v>
      </c>
      <c r="O315" s="22" t="str">
        <f t="shared" si="33"/>
        <v>ORDER NOW</v>
      </c>
      <c r="P315" s="22" t="str">
        <f t="shared" si="34"/>
        <v>CRITICAL</v>
      </c>
      <c r="Q315" s="58">
        <f t="shared" si="35"/>
        <v>4333.333333333333</v>
      </c>
      <c r="R315" s="58">
        <f t="shared" si="36"/>
        <v>17333.333333333332</v>
      </c>
      <c r="S315" s="58">
        <f t="shared" si="37"/>
        <v>17333.333333333332</v>
      </c>
      <c r="T315" s="5">
        <v>7</v>
      </c>
      <c r="U315" s="5" t="s">
        <v>30</v>
      </c>
      <c r="V315" s="173">
        <f>VLOOKUP(A315,'[1]Final-Short'!$B:$AE,29,0)</f>
        <v>16.947299999999998</v>
      </c>
      <c r="W315" s="171" t="s">
        <v>1700</v>
      </c>
      <c r="X315" s="58">
        <f t="shared" si="38"/>
        <v>293753.19999999995</v>
      </c>
      <c r="Y315" s="58">
        <f t="shared" si="39"/>
        <v>220314.9</v>
      </c>
    </row>
    <row r="316" spans="1:25" x14ac:dyDescent="0.25">
      <c r="A316" s="36" t="s">
        <v>47</v>
      </c>
      <c r="B316" s="171" t="s">
        <v>48</v>
      </c>
      <c r="C316" s="171" t="s">
        <v>48</v>
      </c>
      <c r="D316" s="172" t="s">
        <v>1631</v>
      </c>
      <c r="E316" s="172" t="s">
        <v>1631</v>
      </c>
      <c r="F316" s="172" t="s">
        <v>1631</v>
      </c>
      <c r="G316" s="172" t="s">
        <v>5062</v>
      </c>
      <c r="H316" s="172" t="s">
        <v>1631</v>
      </c>
      <c r="I316" s="172" t="s">
        <v>5062</v>
      </c>
      <c r="J316" s="36">
        <v>2</v>
      </c>
      <c r="K316" s="58">
        <v>360</v>
      </c>
      <c r="L316" s="58"/>
      <c r="M316" s="22">
        <f>IFERROR((VLOOKUP(A316,'Current Stocks July-26'!$B:$K,10,0)),0)</f>
        <v>7.8000000000000114</v>
      </c>
      <c r="N316" s="22">
        <f t="shared" si="32"/>
        <v>0.65000000000000091</v>
      </c>
      <c r="O316" s="22" t="str">
        <f t="shared" si="33"/>
        <v>ORDER NOW</v>
      </c>
      <c r="P316" s="22" t="str">
        <f t="shared" si="34"/>
        <v>CRITICAL</v>
      </c>
      <c r="Q316" s="58">
        <f t="shared" si="35"/>
        <v>120</v>
      </c>
      <c r="R316" s="58">
        <f t="shared" si="36"/>
        <v>480</v>
      </c>
      <c r="S316" s="58">
        <f t="shared" si="37"/>
        <v>472.2</v>
      </c>
      <c r="T316" s="5">
        <v>7</v>
      </c>
      <c r="U316" s="5" t="s">
        <v>30</v>
      </c>
      <c r="V316" s="173">
        <f>VLOOKUP(A316,'[1]Final-Short'!$B:$AE,29,0)</f>
        <v>11.35135</v>
      </c>
      <c r="W316" s="171" t="s">
        <v>1700</v>
      </c>
      <c r="X316" s="58">
        <f t="shared" si="38"/>
        <v>5360.1074699999999</v>
      </c>
      <c r="Y316" s="58">
        <f t="shared" si="39"/>
        <v>4086.4859999999999</v>
      </c>
    </row>
    <row r="317" spans="1:25" x14ac:dyDescent="0.25">
      <c r="A317" s="36" t="s">
        <v>1463</v>
      </c>
      <c r="B317" s="171" t="s">
        <v>1464</v>
      </c>
      <c r="C317" s="171" t="s">
        <v>1464</v>
      </c>
      <c r="D317" s="172" t="s">
        <v>1631</v>
      </c>
      <c r="E317" s="172" t="s">
        <v>1631</v>
      </c>
      <c r="F317" s="172" t="s">
        <v>1631</v>
      </c>
      <c r="G317" s="172" t="s">
        <v>5062</v>
      </c>
      <c r="H317" s="172" t="s">
        <v>1631</v>
      </c>
      <c r="I317" s="172" t="s">
        <v>5062</v>
      </c>
      <c r="J317" s="36">
        <v>2</v>
      </c>
      <c r="K317" s="58">
        <v>32</v>
      </c>
      <c r="L317" s="58"/>
      <c r="M317" s="22">
        <f>IFERROR((VLOOKUP(A317,'Current Stocks July-26'!$B:$K,10,0)),0)</f>
        <v>67.94</v>
      </c>
      <c r="N317" s="22">
        <f t="shared" si="32"/>
        <v>63.693749999999994</v>
      </c>
      <c r="O317" s="22" t="str">
        <f t="shared" si="33"/>
        <v>IN STOCK</v>
      </c>
      <c r="P317" s="22" t="str">
        <f t="shared" si="34"/>
        <v>FOLLOW UP DELIVERY</v>
      </c>
      <c r="Q317" s="58">
        <f t="shared" si="35"/>
        <v>10.666666666666666</v>
      </c>
      <c r="R317" s="58">
        <f t="shared" si="36"/>
        <v>42.666666666666664</v>
      </c>
      <c r="S317" s="58">
        <f t="shared" si="37"/>
        <v>0</v>
      </c>
      <c r="T317" s="5">
        <v>7</v>
      </c>
      <c r="U317" s="5" t="s">
        <v>30</v>
      </c>
      <c r="V317" s="173">
        <f>VLOOKUP(A317,'[1]Final-Short'!$B:$AE,29,0)</f>
        <v>3.0666699999999998</v>
      </c>
      <c r="W317" s="171" t="s">
        <v>1700</v>
      </c>
      <c r="X317" s="58">
        <f t="shared" si="38"/>
        <v>0</v>
      </c>
      <c r="Y317" s="58">
        <f t="shared" si="39"/>
        <v>98.133439999999993</v>
      </c>
    </row>
    <row r="318" spans="1:25" x14ac:dyDescent="0.25">
      <c r="A318" s="36" t="s">
        <v>1345</v>
      </c>
      <c r="B318" s="171" t="s">
        <v>1346</v>
      </c>
      <c r="C318" s="171" t="s">
        <v>1346</v>
      </c>
      <c r="D318" s="172" t="s">
        <v>1631</v>
      </c>
      <c r="E318" s="172" t="s">
        <v>1631</v>
      </c>
      <c r="F318" s="172" t="s">
        <v>1631</v>
      </c>
      <c r="G318" s="172" t="s">
        <v>5062</v>
      </c>
      <c r="H318" s="172" t="s">
        <v>1631</v>
      </c>
      <c r="I318" s="172" t="s">
        <v>1631</v>
      </c>
      <c r="J318" s="36">
        <v>1</v>
      </c>
      <c r="K318" s="58">
        <v>1</v>
      </c>
      <c r="L318" s="58"/>
      <c r="M318" s="22">
        <f>IFERROR((VLOOKUP(A318,'Current Stocks July-26'!$B:$K,10,0)),0)</f>
        <v>10</v>
      </c>
      <c r="N318" s="22">
        <f t="shared" si="32"/>
        <v>300</v>
      </c>
      <c r="O318" s="22" t="str">
        <f t="shared" si="33"/>
        <v>IN STOCK</v>
      </c>
      <c r="P318" s="22" t="str">
        <f t="shared" si="34"/>
        <v>FOLLOW UP DELIVERY</v>
      </c>
      <c r="Q318" s="58">
        <f t="shared" si="35"/>
        <v>0.33333333333333331</v>
      </c>
      <c r="R318" s="58">
        <f t="shared" si="36"/>
        <v>1.3333333333333333</v>
      </c>
      <c r="S318" s="58">
        <f t="shared" si="37"/>
        <v>0</v>
      </c>
      <c r="T318" s="5">
        <v>7</v>
      </c>
      <c r="U318" s="5" t="s">
        <v>30</v>
      </c>
      <c r="V318" s="173">
        <f>VLOOKUP(A318,'[1]Final-Short'!$B:$AE,29,0)</f>
        <v>15.12</v>
      </c>
      <c r="W318" s="171" t="s">
        <v>1700</v>
      </c>
      <c r="X318" s="58">
        <f t="shared" si="38"/>
        <v>0</v>
      </c>
      <c r="Y318" s="58">
        <f t="shared" si="39"/>
        <v>15.12</v>
      </c>
    </row>
    <row r="319" spans="1:25" x14ac:dyDescent="0.25">
      <c r="A319" s="36" t="s">
        <v>719</v>
      </c>
      <c r="B319" s="171" t="s">
        <v>720</v>
      </c>
      <c r="C319" s="171" t="s">
        <v>720</v>
      </c>
      <c r="D319" s="172" t="s">
        <v>1631</v>
      </c>
      <c r="E319" s="172" t="s">
        <v>1631</v>
      </c>
      <c r="F319" s="172" t="s">
        <v>1631</v>
      </c>
      <c r="G319" s="172" t="s">
        <v>5062</v>
      </c>
      <c r="H319" s="172" t="s">
        <v>1631</v>
      </c>
      <c r="I319" s="172" t="s">
        <v>1631</v>
      </c>
      <c r="J319" s="36">
        <v>1</v>
      </c>
      <c r="K319" s="58">
        <v>312</v>
      </c>
      <c r="L319" s="58"/>
      <c r="M319" s="22">
        <f>IFERROR((VLOOKUP(A319,'Current Stocks July-26'!$B:$K,10,0)),0)</f>
        <v>480</v>
      </c>
      <c r="N319" s="22">
        <f t="shared" si="32"/>
        <v>46.153846153846153</v>
      </c>
      <c r="O319" s="22" t="str">
        <f t="shared" si="33"/>
        <v>IN STOCK</v>
      </c>
      <c r="P319" s="22" t="str">
        <f t="shared" si="34"/>
        <v>FOLLOW UP DELIVERY</v>
      </c>
      <c r="Q319" s="58">
        <f t="shared" si="35"/>
        <v>104</v>
      </c>
      <c r="R319" s="58">
        <f t="shared" si="36"/>
        <v>416</v>
      </c>
      <c r="S319" s="58">
        <f t="shared" si="37"/>
        <v>0</v>
      </c>
      <c r="T319" s="5">
        <v>7</v>
      </c>
      <c r="U319" s="5" t="s">
        <v>30</v>
      </c>
      <c r="V319" s="173">
        <f>VLOOKUP(A319,'[1]Final-Short'!$B:$AE,29,0)</f>
        <v>2.2616700000000001</v>
      </c>
      <c r="W319" s="171" t="s">
        <v>1696</v>
      </c>
      <c r="X319" s="58">
        <f t="shared" si="38"/>
        <v>0</v>
      </c>
      <c r="Y319" s="58">
        <f t="shared" si="39"/>
        <v>705.64103999999998</v>
      </c>
    </row>
    <row r="320" spans="1:25" x14ac:dyDescent="0.25">
      <c r="A320" s="36" t="s">
        <v>39</v>
      </c>
      <c r="B320" s="171" t="s">
        <v>40</v>
      </c>
      <c r="C320" s="171" t="s">
        <v>40</v>
      </c>
      <c r="D320" s="172" t="s">
        <v>1631</v>
      </c>
      <c r="E320" s="172" t="s">
        <v>1631</v>
      </c>
      <c r="F320" s="172" t="s">
        <v>1631</v>
      </c>
      <c r="G320" s="172" t="s">
        <v>5062</v>
      </c>
      <c r="H320" s="172" t="s">
        <v>1631</v>
      </c>
      <c r="I320" s="172" t="s">
        <v>1631</v>
      </c>
      <c r="J320" s="36">
        <v>1</v>
      </c>
      <c r="K320" s="58">
        <v>30</v>
      </c>
      <c r="L320" s="58"/>
      <c r="M320" s="22">
        <f>IFERROR((VLOOKUP(A320,'Current Stocks July-26'!$B:$K,10,0)),0)</f>
        <v>0</v>
      </c>
      <c r="N320" s="22">
        <f t="shared" si="32"/>
        <v>0</v>
      </c>
      <c r="O320" s="22" t="str">
        <f t="shared" si="33"/>
        <v>ORDER NOW</v>
      </c>
      <c r="P320" s="22" t="str">
        <f t="shared" si="34"/>
        <v>CRITICAL</v>
      </c>
      <c r="Q320" s="58">
        <f t="shared" si="35"/>
        <v>10</v>
      </c>
      <c r="R320" s="58">
        <f t="shared" si="36"/>
        <v>40</v>
      </c>
      <c r="S320" s="58">
        <f t="shared" si="37"/>
        <v>40</v>
      </c>
      <c r="T320" s="5">
        <v>7</v>
      </c>
      <c r="U320" s="5" t="s">
        <v>30</v>
      </c>
      <c r="V320" s="173">
        <f>VLOOKUP(A320,'[1]Final-Short'!$B:$AE,29,0)</f>
        <v>6.726</v>
      </c>
      <c r="W320" s="171" t="s">
        <v>1696</v>
      </c>
      <c r="X320" s="58">
        <f t="shared" si="38"/>
        <v>269.04000000000002</v>
      </c>
      <c r="Y320" s="58">
        <f t="shared" si="39"/>
        <v>201.78</v>
      </c>
    </row>
    <row r="321" spans="1:25" x14ac:dyDescent="0.25">
      <c r="A321" s="36" t="s">
        <v>470</v>
      </c>
      <c r="B321" s="171" t="s">
        <v>471</v>
      </c>
      <c r="C321" s="171" t="s">
        <v>471</v>
      </c>
      <c r="D321" s="172" t="s">
        <v>1631</v>
      </c>
      <c r="E321" s="172" t="s">
        <v>1631</v>
      </c>
      <c r="F321" s="172" t="s">
        <v>1631</v>
      </c>
      <c r="G321" s="172" t="s">
        <v>1631</v>
      </c>
      <c r="H321" s="172" t="s">
        <v>1631</v>
      </c>
      <c r="I321" s="172" t="s">
        <v>5062</v>
      </c>
      <c r="J321" s="36">
        <v>1</v>
      </c>
      <c r="K321" s="58">
        <v>6500</v>
      </c>
      <c r="L321" s="58"/>
      <c r="M321" s="22">
        <f>IFERROR((VLOOKUP(A321,'Current Stocks July-26'!$B:$K,10,0)),0)</f>
        <v>2100</v>
      </c>
      <c r="N321" s="22">
        <f t="shared" si="32"/>
        <v>9.6923076923076934</v>
      </c>
      <c r="O321" s="22" t="str">
        <f t="shared" si="33"/>
        <v>ORDER NOW</v>
      </c>
      <c r="P321" s="22" t="str">
        <f t="shared" si="34"/>
        <v>CRITICAL</v>
      </c>
      <c r="Q321" s="58">
        <f t="shared" si="35"/>
        <v>3683.333333333333</v>
      </c>
      <c r="R321" s="58">
        <f t="shared" si="36"/>
        <v>10183.333333333332</v>
      </c>
      <c r="S321" s="58">
        <f t="shared" si="37"/>
        <v>8083.3333333333321</v>
      </c>
      <c r="T321" s="5">
        <v>14</v>
      </c>
      <c r="U321" s="5" t="s">
        <v>1669</v>
      </c>
      <c r="V321" s="173">
        <f>VLOOKUP(A321,'[1]Final-Short'!$B:$AE,29,0)</f>
        <v>53.9</v>
      </c>
      <c r="W321" s="171" t="s">
        <v>1698</v>
      </c>
      <c r="X321" s="58">
        <f t="shared" si="38"/>
        <v>435691.66666666657</v>
      </c>
      <c r="Y321" s="58">
        <f t="shared" si="39"/>
        <v>350350</v>
      </c>
    </row>
    <row r="322" spans="1:25" x14ac:dyDescent="0.25">
      <c r="A322" s="36" t="s">
        <v>1621</v>
      </c>
      <c r="B322" s="171" t="s">
        <v>1622</v>
      </c>
      <c r="C322" s="171" t="s">
        <v>1622</v>
      </c>
      <c r="D322" s="172" t="s">
        <v>1631</v>
      </c>
      <c r="E322" s="172" t="s">
        <v>1631</v>
      </c>
      <c r="F322" s="172" t="s">
        <v>5062</v>
      </c>
      <c r="G322" s="172" t="s">
        <v>1631</v>
      </c>
      <c r="H322" s="172" t="s">
        <v>1631</v>
      </c>
      <c r="I322" s="172" t="s">
        <v>1631</v>
      </c>
      <c r="J322" s="36">
        <v>1</v>
      </c>
      <c r="K322" s="58">
        <v>5300</v>
      </c>
      <c r="L322" s="58"/>
      <c r="M322" s="22">
        <f>IFERROR((VLOOKUP(A322,'Current Stocks July-26'!$B:$K,10,0)),0)</f>
        <v>0</v>
      </c>
      <c r="N322" s="22">
        <f t="shared" ref="N322:N385" si="40">IFERROR((M322/K322*30),0)</f>
        <v>0</v>
      </c>
      <c r="O322" s="22" t="str">
        <f t="shared" ref="O322:O385" si="41">IF(N322&lt;T322,"ORDER NOW","IN STOCK")</f>
        <v>ORDER NOW</v>
      </c>
      <c r="P322" s="22" t="str">
        <f t="shared" ref="P322:P385" si="42">IF(N322&lt;T322,"CRITICAL","FOLLOW UP DELIVERY")</f>
        <v>CRITICAL</v>
      </c>
      <c r="Q322" s="58">
        <f t="shared" ref="Q322:Q385" si="43">K322*((T322+3)/30)</f>
        <v>19080</v>
      </c>
      <c r="R322" s="58">
        <f t="shared" ref="R322:R385" si="44">Q322+K322</f>
        <v>24380</v>
      </c>
      <c r="S322" s="58">
        <f t="shared" ref="S322:S385" si="45">MAX((K322+Q322)-M322,0)</f>
        <v>24380</v>
      </c>
      <c r="T322" s="5">
        <v>105</v>
      </c>
      <c r="U322" s="5" t="s">
        <v>1669</v>
      </c>
      <c r="V322" s="173">
        <f>VLOOKUP(A322,'[1]Final-Short'!$B:$AE,29,0)</f>
        <v>0.81</v>
      </c>
      <c r="W322" s="171" t="s">
        <v>1964</v>
      </c>
      <c r="X322" s="58">
        <f t="shared" ref="X322:X385" si="46">S322*V322</f>
        <v>19747.800000000003</v>
      </c>
      <c r="Y322" s="58">
        <f t="shared" ref="Y322:Y385" si="47">K322*V322</f>
        <v>4293</v>
      </c>
    </row>
    <row r="323" spans="1:25" x14ac:dyDescent="0.25">
      <c r="A323" s="36" t="s">
        <v>1965</v>
      </c>
      <c r="B323" s="171" t="s">
        <v>1966</v>
      </c>
      <c r="C323" s="171" t="s">
        <v>1966</v>
      </c>
      <c r="D323" s="172" t="s">
        <v>1631</v>
      </c>
      <c r="E323" s="172" t="s">
        <v>1631</v>
      </c>
      <c r="F323" s="172" t="s">
        <v>1631</v>
      </c>
      <c r="G323" s="172" t="s">
        <v>1631</v>
      </c>
      <c r="H323" s="172" t="s">
        <v>1631</v>
      </c>
      <c r="I323" s="172" t="s">
        <v>5062</v>
      </c>
      <c r="J323" s="36">
        <v>1</v>
      </c>
      <c r="K323" s="180">
        <v>500</v>
      </c>
      <c r="L323" s="180"/>
      <c r="M323" s="22">
        <f>IFERROR((VLOOKUP(A323,'Current Stocks July-26'!$B:$K,10,0)),0)</f>
        <v>0</v>
      </c>
      <c r="N323" s="22">
        <f t="shared" si="40"/>
        <v>0</v>
      </c>
      <c r="O323" s="22" t="str">
        <f t="shared" si="41"/>
        <v>ORDER NOW</v>
      </c>
      <c r="P323" s="22" t="str">
        <f t="shared" si="42"/>
        <v>CRITICAL</v>
      </c>
      <c r="Q323" s="58">
        <f t="shared" si="43"/>
        <v>166.66666666666666</v>
      </c>
      <c r="R323" s="58">
        <f t="shared" si="44"/>
        <v>666.66666666666663</v>
      </c>
      <c r="S323" s="58">
        <f t="shared" si="45"/>
        <v>666.66666666666663</v>
      </c>
      <c r="T323" s="5">
        <v>7</v>
      </c>
      <c r="U323" s="5" t="s">
        <v>30</v>
      </c>
      <c r="V323" s="173">
        <f>VLOOKUP(A323,'[1]Final-Short'!$B:$AE,29,0)</f>
        <v>42</v>
      </c>
      <c r="W323" s="171" t="s">
        <v>1967</v>
      </c>
      <c r="X323" s="58">
        <f t="shared" si="46"/>
        <v>28000</v>
      </c>
      <c r="Y323" s="58">
        <f t="shared" si="47"/>
        <v>21000</v>
      </c>
    </row>
    <row r="324" spans="1:25" x14ac:dyDescent="0.25">
      <c r="A324" s="36" t="s">
        <v>1480</v>
      </c>
      <c r="B324" s="171" t="s">
        <v>1481</v>
      </c>
      <c r="C324" s="171" t="s">
        <v>1481</v>
      </c>
      <c r="D324" s="172" t="s">
        <v>1631</v>
      </c>
      <c r="E324" s="172" t="s">
        <v>1631</v>
      </c>
      <c r="F324" s="172" t="s">
        <v>1631</v>
      </c>
      <c r="G324" s="172" t="s">
        <v>5062</v>
      </c>
      <c r="H324" s="172" t="s">
        <v>1631</v>
      </c>
      <c r="I324" s="172" t="s">
        <v>5062</v>
      </c>
      <c r="J324" s="36">
        <v>2</v>
      </c>
      <c r="K324" s="58">
        <v>2</v>
      </c>
      <c r="L324" s="58"/>
      <c r="M324" s="22">
        <f>IFERROR((VLOOKUP(A324,'Current Stocks July-26'!$B:$K,10,0)),0)</f>
        <v>0</v>
      </c>
      <c r="N324" s="22">
        <f t="shared" si="40"/>
        <v>0</v>
      </c>
      <c r="O324" s="22" t="str">
        <f t="shared" si="41"/>
        <v>ORDER NOW</v>
      </c>
      <c r="P324" s="22" t="str">
        <f t="shared" si="42"/>
        <v>CRITICAL</v>
      </c>
      <c r="Q324" s="58">
        <f t="shared" si="43"/>
        <v>0.66666666666666663</v>
      </c>
      <c r="R324" s="58">
        <f t="shared" si="44"/>
        <v>2.6666666666666665</v>
      </c>
      <c r="S324" s="58">
        <f t="shared" si="45"/>
        <v>2.6666666666666665</v>
      </c>
      <c r="T324" s="5">
        <v>7</v>
      </c>
      <c r="U324" s="5" t="s">
        <v>30</v>
      </c>
      <c r="V324" s="173">
        <f>VLOOKUP(A324,'[1]Final-Short'!$B:$AE,29,0)</f>
        <v>108.1</v>
      </c>
      <c r="W324" s="171" t="s">
        <v>1952</v>
      </c>
      <c r="X324" s="58">
        <f t="shared" si="46"/>
        <v>288.26666666666665</v>
      </c>
      <c r="Y324" s="58">
        <f t="shared" si="47"/>
        <v>216.2</v>
      </c>
    </row>
    <row r="325" spans="1:25" x14ac:dyDescent="0.25">
      <c r="A325" s="36" t="s">
        <v>404</v>
      </c>
      <c r="B325" s="171" t="s">
        <v>405</v>
      </c>
      <c r="C325" s="171" t="s">
        <v>405</v>
      </c>
      <c r="D325" s="172" t="s">
        <v>1631</v>
      </c>
      <c r="E325" s="172" t="s">
        <v>1631</v>
      </c>
      <c r="F325" s="172" t="s">
        <v>1631</v>
      </c>
      <c r="G325" s="172" t="s">
        <v>1631</v>
      </c>
      <c r="H325" s="172" t="s">
        <v>1631</v>
      </c>
      <c r="I325" s="172" t="s">
        <v>5062</v>
      </c>
      <c r="J325" s="36">
        <v>1</v>
      </c>
      <c r="K325" s="58">
        <v>240</v>
      </c>
      <c r="L325" s="58"/>
      <c r="M325" s="22">
        <f>IFERROR((VLOOKUP(A325,'Current Stocks July-26'!$B:$K,10,0)),0)</f>
        <v>0</v>
      </c>
      <c r="N325" s="22">
        <f t="shared" si="40"/>
        <v>0</v>
      </c>
      <c r="O325" s="22" t="str">
        <f t="shared" si="41"/>
        <v>ORDER NOW</v>
      </c>
      <c r="P325" s="22" t="str">
        <f t="shared" si="42"/>
        <v>CRITICAL</v>
      </c>
      <c r="Q325" s="58">
        <f t="shared" si="43"/>
        <v>80</v>
      </c>
      <c r="R325" s="58">
        <f t="shared" si="44"/>
        <v>320</v>
      </c>
      <c r="S325" s="58">
        <f t="shared" si="45"/>
        <v>320</v>
      </c>
      <c r="T325" s="5">
        <v>7</v>
      </c>
      <c r="U325" s="5" t="s">
        <v>30</v>
      </c>
      <c r="V325" s="173">
        <f>VLOOKUP(A325,'[1]Final-Short'!$B:$AE,29,0)</f>
        <v>49.996670000000002</v>
      </c>
      <c r="W325" s="171" t="s">
        <v>1951</v>
      </c>
      <c r="X325" s="58">
        <f t="shared" si="46"/>
        <v>15998.9344</v>
      </c>
      <c r="Y325" s="58">
        <f t="shared" si="47"/>
        <v>11999.200800000001</v>
      </c>
    </row>
    <row r="326" spans="1:25" x14ac:dyDescent="0.25">
      <c r="A326" s="36" t="s">
        <v>635</v>
      </c>
      <c r="B326" s="171" t="s">
        <v>636</v>
      </c>
      <c r="C326" s="171" t="s">
        <v>636</v>
      </c>
      <c r="D326" s="172" t="s">
        <v>1631</v>
      </c>
      <c r="E326" s="172" t="s">
        <v>1631</v>
      </c>
      <c r="F326" s="172" t="s">
        <v>1631</v>
      </c>
      <c r="G326" s="172" t="s">
        <v>1631</v>
      </c>
      <c r="H326" s="172" t="s">
        <v>1631</v>
      </c>
      <c r="I326" s="172" t="s">
        <v>5062</v>
      </c>
      <c r="J326" s="36">
        <v>1</v>
      </c>
      <c r="K326" s="58">
        <v>150</v>
      </c>
      <c r="L326" s="58"/>
      <c r="M326" s="22">
        <f>IFERROR((VLOOKUP(A326,'Current Stocks July-26'!$B:$K,10,0)),0)</f>
        <v>46.5</v>
      </c>
      <c r="N326" s="22">
        <f t="shared" si="40"/>
        <v>9.3000000000000007</v>
      </c>
      <c r="O326" s="22" t="str">
        <f t="shared" si="41"/>
        <v>ORDER NOW</v>
      </c>
      <c r="P326" s="22" t="str">
        <f t="shared" si="42"/>
        <v>CRITICAL</v>
      </c>
      <c r="Q326" s="58">
        <f t="shared" si="43"/>
        <v>85</v>
      </c>
      <c r="R326" s="58">
        <f t="shared" si="44"/>
        <v>235</v>
      </c>
      <c r="S326" s="58">
        <f t="shared" si="45"/>
        <v>188.5</v>
      </c>
      <c r="T326" s="5">
        <v>14</v>
      </c>
      <c r="U326" s="5" t="s">
        <v>1669</v>
      </c>
      <c r="V326" s="173">
        <f>VLOOKUP(A326,'[1]Final-Short'!$B:$AE,29,0)</f>
        <v>1000</v>
      </c>
      <c r="W326" s="171" t="s">
        <v>1968</v>
      </c>
      <c r="X326" s="58">
        <f t="shared" si="46"/>
        <v>188500</v>
      </c>
      <c r="Y326" s="58">
        <f t="shared" si="47"/>
        <v>150000</v>
      </c>
    </row>
    <row r="327" spans="1:25" x14ac:dyDescent="0.25">
      <c r="A327" s="36" t="s">
        <v>1495</v>
      </c>
      <c r="B327" s="171" t="s">
        <v>1496</v>
      </c>
      <c r="C327" s="171" t="s">
        <v>1496</v>
      </c>
      <c r="D327" s="172" t="s">
        <v>5062</v>
      </c>
      <c r="E327" s="172" t="s">
        <v>1631</v>
      </c>
      <c r="F327" s="172" t="s">
        <v>1631</v>
      </c>
      <c r="G327" s="172" t="s">
        <v>1631</v>
      </c>
      <c r="H327" s="172" t="s">
        <v>1631</v>
      </c>
      <c r="I327" s="172" t="s">
        <v>1631</v>
      </c>
      <c r="J327" s="36">
        <v>1</v>
      </c>
      <c r="K327" s="58">
        <v>80</v>
      </c>
      <c r="L327" s="58"/>
      <c r="M327" s="22">
        <f>IFERROR((VLOOKUP(A327,'Current Stocks July-26'!$B:$K,10,0)),0)</f>
        <v>340</v>
      </c>
      <c r="N327" s="22">
        <f t="shared" si="40"/>
        <v>127.5</v>
      </c>
      <c r="O327" s="22" t="str">
        <f t="shared" si="41"/>
        <v>IN STOCK</v>
      </c>
      <c r="P327" s="22" t="str">
        <f t="shared" si="42"/>
        <v>FOLLOW UP DELIVERY</v>
      </c>
      <c r="Q327" s="58">
        <f t="shared" si="43"/>
        <v>26.666666666666664</v>
      </c>
      <c r="R327" s="58">
        <f t="shared" si="44"/>
        <v>106.66666666666666</v>
      </c>
      <c r="S327" s="58">
        <f t="shared" si="45"/>
        <v>0</v>
      </c>
      <c r="T327" s="5">
        <v>7</v>
      </c>
      <c r="U327" s="5" t="s">
        <v>1669</v>
      </c>
      <c r="V327" s="173">
        <f>VLOOKUP(A327,'[1]Final-Short'!$B:$AE,29,0)</f>
        <v>17</v>
      </c>
      <c r="W327" s="171" t="str">
        <f>VLOOKUP(A327,'[1]Final-Short'!$B:$AE,30,0)</f>
        <v>شركة بشريات الموسم للتجارة</v>
      </c>
      <c r="X327" s="58">
        <f t="shared" si="46"/>
        <v>0</v>
      </c>
      <c r="Y327" s="58">
        <f t="shared" si="47"/>
        <v>1360</v>
      </c>
    </row>
    <row r="328" spans="1:25" x14ac:dyDescent="0.25">
      <c r="A328" s="36" t="s">
        <v>499</v>
      </c>
      <c r="B328" s="171" t="s">
        <v>500</v>
      </c>
      <c r="C328" s="171" t="s">
        <v>500</v>
      </c>
      <c r="D328" s="172" t="s">
        <v>1631</v>
      </c>
      <c r="E328" s="172" t="s">
        <v>1631</v>
      </c>
      <c r="F328" s="172" t="s">
        <v>1631</v>
      </c>
      <c r="G328" s="172" t="s">
        <v>1631</v>
      </c>
      <c r="H328" s="172" t="s">
        <v>1631</v>
      </c>
      <c r="I328" s="172" t="s">
        <v>5062</v>
      </c>
      <c r="J328" s="36">
        <v>1</v>
      </c>
      <c r="K328" s="58">
        <v>5</v>
      </c>
      <c r="L328" s="58"/>
      <c r="M328" s="22">
        <f>IFERROR((VLOOKUP(A328,'Current Stocks July-26'!$B:$K,10,0)),0)</f>
        <v>0</v>
      </c>
      <c r="N328" s="22">
        <f t="shared" si="40"/>
        <v>0</v>
      </c>
      <c r="O328" s="22" t="str">
        <f t="shared" si="41"/>
        <v>ORDER NOW</v>
      </c>
      <c r="P328" s="22" t="str">
        <f t="shared" si="42"/>
        <v>CRITICAL</v>
      </c>
      <c r="Q328" s="58">
        <f t="shared" si="43"/>
        <v>1.6666666666666665</v>
      </c>
      <c r="R328" s="58">
        <f t="shared" si="44"/>
        <v>6.6666666666666661</v>
      </c>
      <c r="S328" s="58">
        <f t="shared" si="45"/>
        <v>6.6666666666666661</v>
      </c>
      <c r="T328" s="5">
        <v>7</v>
      </c>
      <c r="U328" s="5" t="s">
        <v>30</v>
      </c>
      <c r="V328" s="173">
        <f>VLOOKUP(A328,'[1]Final-Short'!$B:$AE,29,0)</f>
        <v>84.39</v>
      </c>
      <c r="W328" s="171" t="s">
        <v>1969</v>
      </c>
      <c r="X328" s="58">
        <f t="shared" si="46"/>
        <v>562.59999999999991</v>
      </c>
      <c r="Y328" s="58">
        <f t="shared" si="47"/>
        <v>421.95</v>
      </c>
    </row>
    <row r="329" spans="1:25" x14ac:dyDescent="0.25">
      <c r="A329" s="36" t="s">
        <v>1970</v>
      </c>
      <c r="B329" s="171" t="s">
        <v>1971</v>
      </c>
      <c r="C329" s="171" t="s">
        <v>1971</v>
      </c>
      <c r="D329" s="172" t="s">
        <v>1631</v>
      </c>
      <c r="E329" s="172" t="s">
        <v>1631</v>
      </c>
      <c r="F329" s="172" t="s">
        <v>1631</v>
      </c>
      <c r="G329" s="172" t="s">
        <v>5062</v>
      </c>
      <c r="H329" s="172" t="s">
        <v>1631</v>
      </c>
      <c r="I329" s="172" t="s">
        <v>1631</v>
      </c>
      <c r="J329" s="36">
        <v>1</v>
      </c>
      <c r="K329" s="58">
        <v>0.35</v>
      </c>
      <c r="L329" s="58"/>
      <c r="M329" s="22">
        <f>IFERROR((VLOOKUP(A329,'Current Stocks July-26'!$B:$K,10,0)),0)</f>
        <v>0</v>
      </c>
      <c r="N329" s="22">
        <f t="shared" si="40"/>
        <v>0</v>
      </c>
      <c r="O329" s="22" t="str">
        <f t="shared" si="41"/>
        <v>ORDER NOW</v>
      </c>
      <c r="P329" s="22" t="str">
        <f t="shared" si="42"/>
        <v>CRITICAL</v>
      </c>
      <c r="Q329" s="58">
        <f t="shared" si="43"/>
        <v>0.11666666666666665</v>
      </c>
      <c r="R329" s="58">
        <f t="shared" si="44"/>
        <v>0.46666666666666662</v>
      </c>
      <c r="S329" s="58">
        <f t="shared" si="45"/>
        <v>0.46666666666666662</v>
      </c>
      <c r="T329" s="5">
        <v>7</v>
      </c>
      <c r="U329" s="5" t="s">
        <v>30</v>
      </c>
      <c r="V329" s="173">
        <f>VLOOKUP(A329,'[1]Final-Short'!$B:$AE,29,0)</f>
        <v>22.615639999999999</v>
      </c>
      <c r="W329" s="171" t="s">
        <v>1696</v>
      </c>
      <c r="X329" s="58">
        <f t="shared" si="46"/>
        <v>10.553965333333332</v>
      </c>
      <c r="Y329" s="58">
        <f t="shared" si="47"/>
        <v>7.9154739999999988</v>
      </c>
    </row>
    <row r="330" spans="1:25" x14ac:dyDescent="0.25">
      <c r="A330" s="36" t="s">
        <v>1120</v>
      </c>
      <c r="B330" s="171" t="s">
        <v>1121</v>
      </c>
      <c r="C330" s="171" t="s">
        <v>1121</v>
      </c>
      <c r="D330" s="172" t="s">
        <v>1631</v>
      </c>
      <c r="E330" s="172" t="s">
        <v>1631</v>
      </c>
      <c r="F330" s="172" t="s">
        <v>1631</v>
      </c>
      <c r="G330" s="172" t="s">
        <v>5062</v>
      </c>
      <c r="H330" s="172" t="s">
        <v>1631</v>
      </c>
      <c r="I330" s="172" t="s">
        <v>5062</v>
      </c>
      <c r="J330" s="36">
        <v>2</v>
      </c>
      <c r="K330" s="58">
        <v>6</v>
      </c>
      <c r="L330" s="58"/>
      <c r="M330" s="22">
        <f>IFERROR((VLOOKUP(A330,'Current Stocks July-26'!$B:$K,10,0)),0)</f>
        <v>2</v>
      </c>
      <c r="N330" s="22">
        <f t="shared" si="40"/>
        <v>10</v>
      </c>
      <c r="O330" s="22" t="str">
        <f t="shared" si="41"/>
        <v>IN STOCK</v>
      </c>
      <c r="P330" s="22" t="str">
        <f t="shared" si="42"/>
        <v>FOLLOW UP DELIVERY</v>
      </c>
      <c r="Q330" s="58">
        <f t="shared" si="43"/>
        <v>2</v>
      </c>
      <c r="R330" s="58">
        <f t="shared" si="44"/>
        <v>8</v>
      </c>
      <c r="S330" s="58">
        <f t="shared" si="45"/>
        <v>6</v>
      </c>
      <c r="T330" s="5">
        <v>7</v>
      </c>
      <c r="U330" s="5" t="s">
        <v>30</v>
      </c>
      <c r="V330" s="173">
        <f>VLOOKUP(A330,'[1]Final-Short'!$B:$AE,29,0)</f>
        <v>6</v>
      </c>
      <c r="W330" s="171" t="s">
        <v>1796</v>
      </c>
      <c r="X330" s="58">
        <f t="shared" si="46"/>
        <v>36</v>
      </c>
      <c r="Y330" s="58">
        <f t="shared" si="47"/>
        <v>36</v>
      </c>
    </row>
    <row r="331" spans="1:25" x14ac:dyDescent="0.25">
      <c r="A331" s="36" t="s">
        <v>1289</v>
      </c>
      <c r="B331" s="171" t="s">
        <v>1290</v>
      </c>
      <c r="C331" s="171" t="s">
        <v>1290</v>
      </c>
      <c r="D331" s="172" t="s">
        <v>1631</v>
      </c>
      <c r="E331" s="172" t="s">
        <v>1631</v>
      </c>
      <c r="F331" s="172" t="s">
        <v>1631</v>
      </c>
      <c r="G331" s="172" t="s">
        <v>5062</v>
      </c>
      <c r="H331" s="172" t="s">
        <v>1631</v>
      </c>
      <c r="I331" s="172" t="s">
        <v>5062</v>
      </c>
      <c r="J331" s="36">
        <v>2</v>
      </c>
      <c r="K331" s="58">
        <v>30</v>
      </c>
      <c r="L331" s="58"/>
      <c r="M331" s="22">
        <f>IFERROR((VLOOKUP(A331,'Current Stocks July-26'!$B:$K,10,0)),0)</f>
        <v>9.52</v>
      </c>
      <c r="N331" s="22">
        <f t="shared" si="40"/>
        <v>9.52</v>
      </c>
      <c r="O331" s="22" t="str">
        <f t="shared" si="41"/>
        <v>IN STOCK</v>
      </c>
      <c r="P331" s="22" t="str">
        <f t="shared" si="42"/>
        <v>FOLLOW UP DELIVERY</v>
      </c>
      <c r="Q331" s="58">
        <f t="shared" si="43"/>
        <v>10</v>
      </c>
      <c r="R331" s="58">
        <f t="shared" si="44"/>
        <v>40</v>
      </c>
      <c r="S331" s="58">
        <f t="shared" si="45"/>
        <v>30.48</v>
      </c>
      <c r="T331" s="5">
        <v>7</v>
      </c>
      <c r="U331" s="5" t="s">
        <v>30</v>
      </c>
      <c r="V331" s="173">
        <f>VLOOKUP(A331,'[1]Final-Short'!$B:$AE,29,0)</f>
        <v>26.5868</v>
      </c>
      <c r="W331" s="171" t="s">
        <v>1952</v>
      </c>
      <c r="X331" s="58">
        <f t="shared" si="46"/>
        <v>810.36566400000004</v>
      </c>
      <c r="Y331" s="58">
        <f t="shared" si="47"/>
        <v>797.60400000000004</v>
      </c>
    </row>
    <row r="332" spans="1:25" x14ac:dyDescent="0.25">
      <c r="A332" s="6" t="s">
        <v>485</v>
      </c>
      <c r="B332" s="171" t="s">
        <v>486</v>
      </c>
      <c r="C332" s="171" t="s">
        <v>659</v>
      </c>
      <c r="D332" s="172" t="s">
        <v>1631</v>
      </c>
      <c r="E332" s="172" t="s">
        <v>1631</v>
      </c>
      <c r="F332" s="172" t="s">
        <v>1631</v>
      </c>
      <c r="G332" s="172" t="s">
        <v>1631</v>
      </c>
      <c r="H332" s="172" t="s">
        <v>1631</v>
      </c>
      <c r="I332" s="172" t="s">
        <v>5062</v>
      </c>
      <c r="J332" s="36">
        <v>1</v>
      </c>
      <c r="K332" s="58">
        <v>10</v>
      </c>
      <c r="L332" s="58"/>
      <c r="M332" s="22">
        <f>IFERROR((VLOOKUP(A332,'Current Stocks July-26'!$B:$K,10,0)),0)</f>
        <v>30</v>
      </c>
      <c r="N332" s="22">
        <f t="shared" si="40"/>
        <v>90</v>
      </c>
      <c r="O332" s="22" t="str">
        <f t="shared" si="41"/>
        <v>IN STOCK</v>
      </c>
      <c r="P332" s="22" t="str">
        <f t="shared" si="42"/>
        <v>FOLLOW UP DELIVERY</v>
      </c>
      <c r="Q332" s="58">
        <f t="shared" si="43"/>
        <v>3.333333333333333</v>
      </c>
      <c r="R332" s="58">
        <f t="shared" si="44"/>
        <v>13.333333333333332</v>
      </c>
      <c r="S332" s="58">
        <f t="shared" si="45"/>
        <v>0</v>
      </c>
      <c r="T332" s="5">
        <v>7</v>
      </c>
      <c r="U332" s="5" t="s">
        <v>1729</v>
      </c>
      <c r="V332" s="173">
        <f>VLOOKUP(A332,'[1]Final-Short'!$B:$AE,29,0)</f>
        <v>18</v>
      </c>
      <c r="W332" s="171" t="s">
        <v>1700</v>
      </c>
      <c r="X332" s="58">
        <f t="shared" si="46"/>
        <v>0</v>
      </c>
      <c r="Y332" s="58">
        <f t="shared" si="47"/>
        <v>180</v>
      </c>
    </row>
    <row r="333" spans="1:25" x14ac:dyDescent="0.25">
      <c r="A333" s="36" t="s">
        <v>1388</v>
      </c>
      <c r="B333" s="171" t="s">
        <v>1972</v>
      </c>
      <c r="C333" s="171" t="s">
        <v>1972</v>
      </c>
      <c r="D333" s="172" t="s">
        <v>1631</v>
      </c>
      <c r="E333" s="172" t="s">
        <v>1631</v>
      </c>
      <c r="F333" s="172" t="s">
        <v>1631</v>
      </c>
      <c r="G333" s="172" t="s">
        <v>5062</v>
      </c>
      <c r="H333" s="172" t="s">
        <v>1631</v>
      </c>
      <c r="I333" s="172" t="s">
        <v>1631</v>
      </c>
      <c r="J333" s="36">
        <v>1</v>
      </c>
      <c r="K333" s="58">
        <v>1</v>
      </c>
      <c r="L333" s="58"/>
      <c r="M333" s="22">
        <f>IFERROR((VLOOKUP(A333,'Current Stocks July-26'!$B:$K,10,0)),0)</f>
        <v>12</v>
      </c>
      <c r="N333" s="22">
        <f t="shared" si="40"/>
        <v>360</v>
      </c>
      <c r="O333" s="22" t="str">
        <f t="shared" si="41"/>
        <v>IN STOCK</v>
      </c>
      <c r="P333" s="22" t="str">
        <f t="shared" si="42"/>
        <v>FOLLOW UP DELIVERY</v>
      </c>
      <c r="Q333" s="58">
        <f t="shared" si="43"/>
        <v>0.33333333333333331</v>
      </c>
      <c r="R333" s="58">
        <f t="shared" si="44"/>
        <v>1.3333333333333333</v>
      </c>
      <c r="S333" s="58">
        <f t="shared" si="45"/>
        <v>0</v>
      </c>
      <c r="T333" s="5">
        <v>7</v>
      </c>
      <c r="U333" s="5" t="s">
        <v>30</v>
      </c>
      <c r="V333" s="193">
        <f>VLOOKUP(A333,'[1]Final-Short'!$B:$AE,29,0)</f>
        <v>68.75</v>
      </c>
      <c r="W333" s="185" t="s">
        <v>1696</v>
      </c>
      <c r="X333" s="58">
        <f t="shared" si="46"/>
        <v>0</v>
      </c>
      <c r="Y333" s="58">
        <f t="shared" si="47"/>
        <v>68.75</v>
      </c>
    </row>
    <row r="334" spans="1:25" x14ac:dyDescent="0.25">
      <c r="A334" s="36" t="s">
        <v>1504</v>
      </c>
      <c r="B334" s="171" t="s">
        <v>1505</v>
      </c>
      <c r="C334" s="171" t="s">
        <v>1505</v>
      </c>
      <c r="D334" s="172" t="s">
        <v>1631</v>
      </c>
      <c r="E334" s="172" t="s">
        <v>1631</v>
      </c>
      <c r="F334" s="172" t="s">
        <v>1631</v>
      </c>
      <c r="G334" s="172" t="s">
        <v>1631</v>
      </c>
      <c r="H334" s="172" t="s">
        <v>1631</v>
      </c>
      <c r="I334" s="172" t="s">
        <v>5062</v>
      </c>
      <c r="J334" s="36">
        <v>1</v>
      </c>
      <c r="K334" s="58">
        <v>45</v>
      </c>
      <c r="L334" s="58"/>
      <c r="M334" s="22">
        <f>IFERROR((VLOOKUP(A334,'Current Stocks July-26'!$B:$K,10,0)),0)</f>
        <v>0</v>
      </c>
      <c r="N334" s="22">
        <f t="shared" si="40"/>
        <v>0</v>
      </c>
      <c r="O334" s="22" t="str">
        <f t="shared" si="41"/>
        <v>ORDER NOW</v>
      </c>
      <c r="P334" s="22" t="str">
        <f t="shared" si="42"/>
        <v>CRITICAL</v>
      </c>
      <c r="Q334" s="58">
        <f t="shared" si="43"/>
        <v>15</v>
      </c>
      <c r="R334" s="58">
        <f t="shared" si="44"/>
        <v>60</v>
      </c>
      <c r="S334" s="58">
        <f t="shared" si="45"/>
        <v>60</v>
      </c>
      <c r="T334" s="5">
        <v>7</v>
      </c>
      <c r="U334" s="5" t="s">
        <v>30</v>
      </c>
      <c r="V334" s="173">
        <f>VLOOKUP(A334,'[1]Final-Short'!$B:$AE,29,0)</f>
        <v>40.25</v>
      </c>
      <c r="W334" s="171" t="s">
        <v>1973</v>
      </c>
      <c r="X334" s="58">
        <f t="shared" si="46"/>
        <v>2415</v>
      </c>
      <c r="Y334" s="58">
        <f t="shared" si="47"/>
        <v>1811.25</v>
      </c>
    </row>
    <row r="335" spans="1:25" x14ac:dyDescent="0.25">
      <c r="A335" s="36" t="s">
        <v>1974</v>
      </c>
      <c r="B335" s="171" t="s">
        <v>1975</v>
      </c>
      <c r="C335" s="171" t="s">
        <v>529</v>
      </c>
      <c r="D335" s="172" t="s">
        <v>1631</v>
      </c>
      <c r="E335" s="172" t="s">
        <v>1631</v>
      </c>
      <c r="F335" s="172" t="s">
        <v>1631</v>
      </c>
      <c r="G335" s="172" t="s">
        <v>1631</v>
      </c>
      <c r="H335" s="172" t="s">
        <v>1631</v>
      </c>
      <c r="I335" s="172" t="s">
        <v>1631</v>
      </c>
      <c r="J335" s="36">
        <v>0</v>
      </c>
      <c r="K335" s="58">
        <v>1</v>
      </c>
      <c r="L335" s="58"/>
      <c r="M335" s="22">
        <f>IFERROR((VLOOKUP(A335,'Current Stocks July-26'!$B:$K,10,0)),0)</f>
        <v>9.8000000000000007</v>
      </c>
      <c r="N335" s="22">
        <f t="shared" si="40"/>
        <v>294</v>
      </c>
      <c r="O335" s="22" t="str">
        <f t="shared" si="41"/>
        <v>IN STOCK</v>
      </c>
      <c r="P335" s="22" t="str">
        <f t="shared" si="42"/>
        <v>FOLLOW UP DELIVERY</v>
      </c>
      <c r="Q335" s="58">
        <f t="shared" si="43"/>
        <v>0.33333333333333331</v>
      </c>
      <c r="R335" s="58">
        <f t="shared" si="44"/>
        <v>1.3333333333333333</v>
      </c>
      <c r="S335" s="58">
        <f t="shared" si="45"/>
        <v>0</v>
      </c>
      <c r="T335" s="5">
        <v>7</v>
      </c>
      <c r="U335" s="5" t="s">
        <v>30</v>
      </c>
      <c r="V335" s="173">
        <f>VLOOKUP(A335,'[1]Final-Short'!$B:$AE,29,0)</f>
        <v>36.25</v>
      </c>
      <c r="W335" s="171" t="s">
        <v>1700</v>
      </c>
      <c r="X335" s="58">
        <f t="shared" si="46"/>
        <v>0</v>
      </c>
      <c r="Y335" s="58">
        <f t="shared" si="47"/>
        <v>36.25</v>
      </c>
    </row>
    <row r="336" spans="1:25" x14ac:dyDescent="0.25">
      <c r="A336" s="36" t="s">
        <v>1360</v>
      </c>
      <c r="B336" s="171" t="s">
        <v>1361</v>
      </c>
      <c r="C336" s="171" t="s">
        <v>1361</v>
      </c>
      <c r="D336" s="172" t="s">
        <v>1631</v>
      </c>
      <c r="E336" s="172" t="s">
        <v>1631</v>
      </c>
      <c r="F336" s="172" t="s">
        <v>1631</v>
      </c>
      <c r="G336" s="172" t="s">
        <v>1631</v>
      </c>
      <c r="H336" s="172" t="s">
        <v>1631</v>
      </c>
      <c r="I336" s="172" t="s">
        <v>5062</v>
      </c>
      <c r="J336" s="36">
        <v>1</v>
      </c>
      <c r="K336" s="58">
        <v>4500</v>
      </c>
      <c r="L336" s="58"/>
      <c r="M336" s="22">
        <f>IFERROR((VLOOKUP(A336,'Current Stocks July-26'!$B:$K,10,0)),0)</f>
        <v>0</v>
      </c>
      <c r="N336" s="22">
        <f t="shared" si="40"/>
        <v>0</v>
      </c>
      <c r="O336" s="22" t="str">
        <f t="shared" si="41"/>
        <v>ORDER NOW</v>
      </c>
      <c r="P336" s="22" t="str">
        <f t="shared" si="42"/>
        <v>CRITICAL</v>
      </c>
      <c r="Q336" s="58">
        <f t="shared" si="43"/>
        <v>1500</v>
      </c>
      <c r="R336" s="58">
        <f t="shared" si="44"/>
        <v>6000</v>
      </c>
      <c r="S336" s="58">
        <f t="shared" si="45"/>
        <v>6000</v>
      </c>
      <c r="T336" s="5">
        <v>7</v>
      </c>
      <c r="U336" s="5" t="s">
        <v>1669</v>
      </c>
      <c r="V336" s="173">
        <f>VLOOKUP(A336,'[1]Final-Short'!$B:$AE,29,0)</f>
        <v>17.66666</v>
      </c>
      <c r="W336" s="171" t="s">
        <v>1774</v>
      </c>
      <c r="X336" s="58">
        <f t="shared" si="46"/>
        <v>105999.96</v>
      </c>
      <c r="Y336" s="58">
        <f t="shared" si="47"/>
        <v>79499.97</v>
      </c>
    </row>
    <row r="337" spans="1:25" x14ac:dyDescent="0.25">
      <c r="A337" s="36" t="s">
        <v>1541</v>
      </c>
      <c r="B337" s="171" t="s">
        <v>1542</v>
      </c>
      <c r="C337" s="171" t="s">
        <v>1542</v>
      </c>
      <c r="D337" s="172" t="s">
        <v>1631</v>
      </c>
      <c r="E337" s="172" t="s">
        <v>1631</v>
      </c>
      <c r="F337" s="172" t="s">
        <v>1631</v>
      </c>
      <c r="G337" s="172" t="s">
        <v>1631</v>
      </c>
      <c r="H337" s="172" t="s">
        <v>1631</v>
      </c>
      <c r="I337" s="172" t="s">
        <v>5062</v>
      </c>
      <c r="J337" s="36">
        <v>1</v>
      </c>
      <c r="K337" s="58">
        <v>0</v>
      </c>
      <c r="L337" s="58"/>
      <c r="M337" s="22">
        <f>IFERROR((VLOOKUP(A337,'Current Stocks July-26'!$B:$K,10,0)),0)</f>
        <v>250</v>
      </c>
      <c r="N337" s="22">
        <f t="shared" si="40"/>
        <v>0</v>
      </c>
      <c r="O337" s="22" t="str">
        <f t="shared" si="41"/>
        <v>ORDER NOW</v>
      </c>
      <c r="P337" s="22" t="str">
        <f t="shared" si="42"/>
        <v>CRITICAL</v>
      </c>
      <c r="Q337" s="58">
        <f t="shared" si="43"/>
        <v>0</v>
      </c>
      <c r="R337" s="58">
        <f t="shared" si="44"/>
        <v>0</v>
      </c>
      <c r="S337" s="58">
        <f t="shared" si="45"/>
        <v>0</v>
      </c>
      <c r="T337" s="5">
        <v>7</v>
      </c>
      <c r="U337" s="5" t="s">
        <v>30</v>
      </c>
      <c r="V337" s="173">
        <f>VLOOKUP(A337,'[1]Final-Short'!$B:$AE,29,0)</f>
        <v>0.86667000000000005</v>
      </c>
      <c r="W337" s="171" t="s">
        <v>1976</v>
      </c>
      <c r="X337" s="58">
        <f t="shared" si="46"/>
        <v>0</v>
      </c>
      <c r="Y337" s="58">
        <f t="shared" si="47"/>
        <v>0</v>
      </c>
    </row>
    <row r="338" spans="1:25" x14ac:dyDescent="0.25">
      <c r="A338" s="36" t="s">
        <v>1167</v>
      </c>
      <c r="B338" s="171" t="s">
        <v>1168</v>
      </c>
      <c r="C338" s="171" t="s">
        <v>1168</v>
      </c>
      <c r="D338" s="172" t="s">
        <v>1631</v>
      </c>
      <c r="E338" s="172" t="s">
        <v>1631</v>
      </c>
      <c r="F338" s="172" t="s">
        <v>1631</v>
      </c>
      <c r="G338" s="172" t="s">
        <v>5062</v>
      </c>
      <c r="H338" s="172" t="s">
        <v>1631</v>
      </c>
      <c r="I338" s="172" t="s">
        <v>1631</v>
      </c>
      <c r="J338" s="36">
        <v>1</v>
      </c>
      <c r="K338" s="58">
        <v>6</v>
      </c>
      <c r="L338" s="58"/>
      <c r="M338" s="22">
        <f>IFERROR((VLOOKUP(A338,'Current Stocks July-26'!$B:$K,10,0)),0)</f>
        <v>0</v>
      </c>
      <c r="N338" s="22">
        <f t="shared" si="40"/>
        <v>0</v>
      </c>
      <c r="O338" s="22" t="str">
        <f t="shared" si="41"/>
        <v>ORDER NOW</v>
      </c>
      <c r="P338" s="22" t="str">
        <f t="shared" si="42"/>
        <v>CRITICAL</v>
      </c>
      <c r="Q338" s="58">
        <f t="shared" si="43"/>
        <v>2</v>
      </c>
      <c r="R338" s="58">
        <f t="shared" si="44"/>
        <v>8</v>
      </c>
      <c r="S338" s="58">
        <f t="shared" si="45"/>
        <v>8</v>
      </c>
      <c r="T338" s="5">
        <v>7</v>
      </c>
      <c r="U338" s="5" t="s">
        <v>30</v>
      </c>
      <c r="V338" s="195">
        <f>VLOOKUP(A338,'[1]Final-Short'!$B:$AE,29,0)</f>
        <v>165</v>
      </c>
      <c r="W338" s="185" t="s">
        <v>1696</v>
      </c>
      <c r="X338" s="58">
        <f t="shared" si="46"/>
        <v>1320</v>
      </c>
      <c r="Y338" s="58">
        <f t="shared" si="47"/>
        <v>990</v>
      </c>
    </row>
    <row r="339" spans="1:25" x14ac:dyDescent="0.25">
      <c r="A339" s="36" t="s">
        <v>1129</v>
      </c>
      <c r="B339" s="171" t="s">
        <v>1130</v>
      </c>
      <c r="C339" s="171" t="s">
        <v>1977</v>
      </c>
      <c r="D339" s="172" t="s">
        <v>1631</v>
      </c>
      <c r="E339" s="172" t="s">
        <v>1631</v>
      </c>
      <c r="F339" s="172" t="s">
        <v>1631</v>
      </c>
      <c r="G339" s="172" t="s">
        <v>5062</v>
      </c>
      <c r="H339" s="172" t="s">
        <v>1631</v>
      </c>
      <c r="I339" s="172" t="s">
        <v>5062</v>
      </c>
      <c r="J339" s="36">
        <v>2</v>
      </c>
      <c r="K339" s="58">
        <v>2</v>
      </c>
      <c r="L339" s="58"/>
      <c r="M339" s="22">
        <f>IFERROR((VLOOKUP(A339,'Current Stocks July-26'!$B:$K,10,0)),0)</f>
        <v>60</v>
      </c>
      <c r="N339" s="22">
        <f t="shared" si="40"/>
        <v>900</v>
      </c>
      <c r="O339" s="22" t="str">
        <f t="shared" si="41"/>
        <v>IN STOCK</v>
      </c>
      <c r="P339" s="22" t="str">
        <f t="shared" si="42"/>
        <v>FOLLOW UP DELIVERY</v>
      </c>
      <c r="Q339" s="58">
        <f t="shared" si="43"/>
        <v>0.66666666666666663</v>
      </c>
      <c r="R339" s="58">
        <f t="shared" si="44"/>
        <v>2.6666666666666665</v>
      </c>
      <c r="S339" s="58">
        <f t="shared" si="45"/>
        <v>0</v>
      </c>
      <c r="T339" s="5">
        <v>7</v>
      </c>
      <c r="U339" s="5" t="s">
        <v>30</v>
      </c>
      <c r="V339" s="195">
        <f>VLOOKUP(A339,'[1]Final-Short'!$B:$AE,29,0)</f>
        <v>20</v>
      </c>
      <c r="W339" s="185" t="s">
        <v>1700</v>
      </c>
      <c r="X339" s="58">
        <f t="shared" si="46"/>
        <v>0</v>
      </c>
      <c r="Y339" s="58">
        <f t="shared" si="47"/>
        <v>40</v>
      </c>
    </row>
    <row r="340" spans="1:25" x14ac:dyDescent="0.25">
      <c r="A340" s="36" t="s">
        <v>1094</v>
      </c>
      <c r="B340" s="171" t="s">
        <v>1095</v>
      </c>
      <c r="C340" s="171" t="s">
        <v>1095</v>
      </c>
      <c r="D340" s="172" t="s">
        <v>1631</v>
      </c>
      <c r="E340" s="172" t="s">
        <v>1631</v>
      </c>
      <c r="F340" s="172" t="s">
        <v>1631</v>
      </c>
      <c r="G340" s="172" t="s">
        <v>5062</v>
      </c>
      <c r="H340" s="172" t="s">
        <v>1631</v>
      </c>
      <c r="I340" s="172" t="s">
        <v>5062</v>
      </c>
      <c r="J340" s="36">
        <v>2</v>
      </c>
      <c r="K340" s="58">
        <v>5</v>
      </c>
      <c r="L340" s="58"/>
      <c r="M340" s="22">
        <f>IFERROR((VLOOKUP(A340,'Current Stocks July-26'!$B:$K,10,0)),0)</f>
        <v>25</v>
      </c>
      <c r="N340" s="22">
        <f t="shared" si="40"/>
        <v>150</v>
      </c>
      <c r="O340" s="22" t="str">
        <f t="shared" si="41"/>
        <v>IN STOCK</v>
      </c>
      <c r="P340" s="22" t="str">
        <f t="shared" si="42"/>
        <v>FOLLOW UP DELIVERY</v>
      </c>
      <c r="Q340" s="58">
        <f t="shared" si="43"/>
        <v>1.6666666666666665</v>
      </c>
      <c r="R340" s="58">
        <f t="shared" si="44"/>
        <v>6.6666666666666661</v>
      </c>
      <c r="S340" s="58">
        <f t="shared" si="45"/>
        <v>0</v>
      </c>
      <c r="T340" s="5">
        <v>7</v>
      </c>
      <c r="U340" s="5" t="s">
        <v>30</v>
      </c>
      <c r="V340" s="173">
        <f>VLOOKUP(A340,'[1]Final-Short'!$B:$AE,29,0)</f>
        <v>97.75</v>
      </c>
      <c r="W340" s="171" t="s">
        <v>1952</v>
      </c>
      <c r="X340" s="58">
        <f t="shared" si="46"/>
        <v>0</v>
      </c>
      <c r="Y340" s="58">
        <f t="shared" si="47"/>
        <v>488.75</v>
      </c>
    </row>
    <row r="341" spans="1:25" x14ac:dyDescent="0.25">
      <c r="A341" s="36" t="s">
        <v>1386</v>
      </c>
      <c r="B341" s="171" t="s">
        <v>1387</v>
      </c>
      <c r="C341" s="171" t="s">
        <v>1387</v>
      </c>
      <c r="D341" s="172" t="s">
        <v>1631</v>
      </c>
      <c r="E341" s="172" t="s">
        <v>1631</v>
      </c>
      <c r="F341" s="172" t="s">
        <v>1631</v>
      </c>
      <c r="G341" s="172" t="s">
        <v>5062</v>
      </c>
      <c r="H341" s="172" t="s">
        <v>1631</v>
      </c>
      <c r="I341" s="172" t="s">
        <v>1631</v>
      </c>
      <c r="J341" s="36">
        <v>1</v>
      </c>
      <c r="K341" s="58">
        <v>1</v>
      </c>
      <c r="L341" s="58"/>
      <c r="M341" s="22">
        <f>IFERROR((VLOOKUP(A341,'Current Stocks July-26'!$B:$K,10,0)),0)</f>
        <v>19.2</v>
      </c>
      <c r="N341" s="22">
        <f t="shared" si="40"/>
        <v>576</v>
      </c>
      <c r="O341" s="22" t="str">
        <f t="shared" si="41"/>
        <v>IN STOCK</v>
      </c>
      <c r="P341" s="22" t="str">
        <f t="shared" si="42"/>
        <v>FOLLOW UP DELIVERY</v>
      </c>
      <c r="Q341" s="58">
        <f t="shared" si="43"/>
        <v>0.33333333333333331</v>
      </c>
      <c r="R341" s="58">
        <f t="shared" si="44"/>
        <v>1.3333333333333333</v>
      </c>
      <c r="S341" s="58">
        <f t="shared" si="45"/>
        <v>0</v>
      </c>
      <c r="T341" s="5">
        <v>7</v>
      </c>
      <c r="U341" s="5" t="s">
        <v>30</v>
      </c>
      <c r="V341" s="173">
        <f>VLOOKUP(A341,'[1]Final-Short'!$B:$AE,29,0)</f>
        <v>32.583329999999997</v>
      </c>
      <c r="W341" s="171" t="s">
        <v>1952</v>
      </c>
      <c r="X341" s="58">
        <f t="shared" si="46"/>
        <v>0</v>
      </c>
      <c r="Y341" s="58">
        <f t="shared" si="47"/>
        <v>32.583329999999997</v>
      </c>
    </row>
    <row r="342" spans="1:25" x14ac:dyDescent="0.25">
      <c r="A342" s="36" t="s">
        <v>1526</v>
      </c>
      <c r="B342" s="171" t="s">
        <v>1527</v>
      </c>
      <c r="C342" s="171" t="s">
        <v>1527</v>
      </c>
      <c r="D342" s="172" t="s">
        <v>1631</v>
      </c>
      <c r="E342" s="172" t="s">
        <v>1631</v>
      </c>
      <c r="F342" s="172" t="s">
        <v>1631</v>
      </c>
      <c r="G342" s="172" t="s">
        <v>5062</v>
      </c>
      <c r="H342" s="172" t="s">
        <v>1631</v>
      </c>
      <c r="I342" s="172" t="s">
        <v>5062</v>
      </c>
      <c r="J342" s="36">
        <v>2</v>
      </c>
      <c r="K342" s="58">
        <v>30</v>
      </c>
      <c r="L342" s="58"/>
      <c r="M342" s="22">
        <f>IFERROR((VLOOKUP(A342,'Current Stocks July-26'!$B:$K,10,0)),0)</f>
        <v>4.5330000000000004</v>
      </c>
      <c r="N342" s="22">
        <f t="shared" si="40"/>
        <v>4.5330000000000004</v>
      </c>
      <c r="O342" s="22" t="str">
        <f t="shared" si="41"/>
        <v>ORDER NOW</v>
      </c>
      <c r="P342" s="22" t="str">
        <f t="shared" si="42"/>
        <v>CRITICAL</v>
      </c>
      <c r="Q342" s="58">
        <f t="shared" si="43"/>
        <v>10</v>
      </c>
      <c r="R342" s="58">
        <f t="shared" si="44"/>
        <v>40</v>
      </c>
      <c r="S342" s="58">
        <f t="shared" si="45"/>
        <v>35.466999999999999</v>
      </c>
      <c r="T342" s="5">
        <v>7</v>
      </c>
      <c r="U342" s="5" t="s">
        <v>30</v>
      </c>
      <c r="V342" s="195">
        <f>VLOOKUP(A342,'[1]Final-Short'!$B:$AE,29,0)</f>
        <v>15.6</v>
      </c>
      <c r="W342" s="185" t="s">
        <v>1700</v>
      </c>
      <c r="X342" s="58">
        <f t="shared" si="46"/>
        <v>553.28519999999992</v>
      </c>
      <c r="Y342" s="58">
        <f t="shared" si="47"/>
        <v>468</v>
      </c>
    </row>
    <row r="343" spans="1:25" x14ac:dyDescent="0.25">
      <c r="A343" s="36" t="s">
        <v>992</v>
      </c>
      <c r="B343" s="171" t="s">
        <v>993</v>
      </c>
      <c r="C343" s="171" t="s">
        <v>993</v>
      </c>
      <c r="D343" s="172" t="s">
        <v>1631</v>
      </c>
      <c r="E343" s="172" t="s">
        <v>1631</v>
      </c>
      <c r="F343" s="172" t="s">
        <v>1631</v>
      </c>
      <c r="G343" s="172" t="s">
        <v>5062</v>
      </c>
      <c r="H343" s="172" t="s">
        <v>1631</v>
      </c>
      <c r="I343" s="172" t="s">
        <v>5062</v>
      </c>
      <c r="J343" s="36">
        <v>2</v>
      </c>
      <c r="K343" s="58">
        <v>450</v>
      </c>
      <c r="L343" s="58"/>
      <c r="M343" s="22">
        <f>IFERROR((VLOOKUP(A343,'Current Stocks July-26'!$B:$K,10,0)),0)</f>
        <v>268.8</v>
      </c>
      <c r="N343" s="22">
        <f t="shared" si="40"/>
        <v>17.920000000000002</v>
      </c>
      <c r="O343" s="22" t="str">
        <f t="shared" si="41"/>
        <v>IN STOCK</v>
      </c>
      <c r="P343" s="22" t="str">
        <f t="shared" si="42"/>
        <v>FOLLOW UP DELIVERY</v>
      </c>
      <c r="Q343" s="58">
        <f t="shared" si="43"/>
        <v>150</v>
      </c>
      <c r="R343" s="58">
        <f t="shared" si="44"/>
        <v>600</v>
      </c>
      <c r="S343" s="58">
        <f t="shared" si="45"/>
        <v>331.2</v>
      </c>
      <c r="T343" s="5">
        <v>7</v>
      </c>
      <c r="U343" s="5" t="s">
        <v>30</v>
      </c>
      <c r="V343" s="173">
        <f>VLOOKUP(A343,'[1]Final-Short'!$B:$AE,29,0)</f>
        <v>3.62798</v>
      </c>
      <c r="W343" s="171" t="s">
        <v>1700</v>
      </c>
      <c r="X343" s="58">
        <f t="shared" si="46"/>
        <v>1201.586976</v>
      </c>
      <c r="Y343" s="58">
        <f t="shared" si="47"/>
        <v>1632.5909999999999</v>
      </c>
    </row>
    <row r="344" spans="1:25" x14ac:dyDescent="0.25">
      <c r="A344" s="36" t="s">
        <v>1978</v>
      </c>
      <c r="B344" s="171" t="s">
        <v>1979</v>
      </c>
      <c r="C344" s="171" t="s">
        <v>1979</v>
      </c>
      <c r="D344" s="172" t="s">
        <v>1631</v>
      </c>
      <c r="E344" s="172" t="s">
        <v>5062</v>
      </c>
      <c r="F344" s="172" t="s">
        <v>1631</v>
      </c>
      <c r="G344" s="172" t="s">
        <v>1631</v>
      </c>
      <c r="H344" s="172" t="s">
        <v>1631</v>
      </c>
      <c r="I344" s="172" t="s">
        <v>5062</v>
      </c>
      <c r="J344" s="36">
        <v>2</v>
      </c>
      <c r="K344" s="180">
        <v>18</v>
      </c>
      <c r="L344" s="180"/>
      <c r="M344" s="22">
        <f>IFERROR((VLOOKUP(A344,'Current Stocks July-26'!$B:$K,10,0)),0)</f>
        <v>9.75</v>
      </c>
      <c r="N344" s="22">
        <f t="shared" si="40"/>
        <v>16.25</v>
      </c>
      <c r="O344" s="22" t="str">
        <f t="shared" si="41"/>
        <v>IN STOCK</v>
      </c>
      <c r="P344" s="22" t="str">
        <f t="shared" si="42"/>
        <v>FOLLOW UP DELIVERY</v>
      </c>
      <c r="Q344" s="58">
        <f t="shared" si="43"/>
        <v>6</v>
      </c>
      <c r="R344" s="58">
        <f t="shared" si="44"/>
        <v>24</v>
      </c>
      <c r="S344" s="58">
        <f t="shared" si="45"/>
        <v>14.25</v>
      </c>
      <c r="T344" s="5">
        <v>7</v>
      </c>
      <c r="U344" s="5" t="s">
        <v>30</v>
      </c>
      <c r="V344" s="173">
        <f>VLOOKUP(A344,'[1]Final-Short'!$B:$AE,29,0)</f>
        <v>68.888890000000004</v>
      </c>
      <c r="W344" s="171" t="s">
        <v>1774</v>
      </c>
      <c r="X344" s="58">
        <f t="shared" si="46"/>
        <v>981.66668250000009</v>
      </c>
      <c r="Y344" s="58">
        <f t="shared" si="47"/>
        <v>1240.0000199999999</v>
      </c>
    </row>
    <row r="345" spans="1:25" x14ac:dyDescent="0.25">
      <c r="A345" s="36" t="s">
        <v>1220</v>
      </c>
      <c r="B345" s="171" t="s">
        <v>1221</v>
      </c>
      <c r="C345" s="171" t="s">
        <v>1221</v>
      </c>
      <c r="D345" s="172" t="s">
        <v>1631</v>
      </c>
      <c r="E345" s="172" t="s">
        <v>5062</v>
      </c>
      <c r="F345" s="172" t="s">
        <v>1631</v>
      </c>
      <c r="G345" s="172" t="s">
        <v>1631</v>
      </c>
      <c r="H345" s="172" t="s">
        <v>1631</v>
      </c>
      <c r="I345" s="172" t="s">
        <v>5062</v>
      </c>
      <c r="J345" s="36">
        <v>2</v>
      </c>
      <c r="K345" s="180">
        <v>550</v>
      </c>
      <c r="L345" s="180"/>
      <c r="M345" s="22">
        <f>IFERROR((VLOOKUP(A345,'Current Stocks July-26'!$B:$K,10,0)),0)</f>
        <v>0</v>
      </c>
      <c r="N345" s="22">
        <f t="shared" si="40"/>
        <v>0</v>
      </c>
      <c r="O345" s="22" t="str">
        <f t="shared" si="41"/>
        <v>ORDER NOW</v>
      </c>
      <c r="P345" s="22" t="str">
        <f t="shared" si="42"/>
        <v>CRITICAL</v>
      </c>
      <c r="Q345" s="58">
        <f t="shared" si="43"/>
        <v>183.33333333333331</v>
      </c>
      <c r="R345" s="58">
        <f t="shared" si="44"/>
        <v>733.33333333333326</v>
      </c>
      <c r="S345" s="58">
        <f t="shared" si="45"/>
        <v>733.33333333333326</v>
      </c>
      <c r="T345" s="5">
        <v>7</v>
      </c>
      <c r="U345" s="5" t="s">
        <v>1669</v>
      </c>
      <c r="V345" s="173">
        <f>VLOOKUP(A345,'[1]Final-Short'!$B:$AE,29,0)</f>
        <v>33.333329999999997</v>
      </c>
      <c r="W345" s="171" t="s">
        <v>1716</v>
      </c>
      <c r="X345" s="58">
        <f t="shared" si="46"/>
        <v>24444.441999999995</v>
      </c>
      <c r="Y345" s="58">
        <f t="shared" si="47"/>
        <v>18333.331499999997</v>
      </c>
    </row>
    <row r="346" spans="1:25" x14ac:dyDescent="0.25">
      <c r="A346" s="36" t="s">
        <v>786</v>
      </c>
      <c r="B346" s="171" t="s">
        <v>787</v>
      </c>
      <c r="C346" s="171" t="s">
        <v>787</v>
      </c>
      <c r="D346" s="172" t="s">
        <v>5062</v>
      </c>
      <c r="E346" s="172" t="s">
        <v>1631</v>
      </c>
      <c r="F346" s="172" t="s">
        <v>1631</v>
      </c>
      <c r="G346" s="172" t="s">
        <v>1631</v>
      </c>
      <c r="H346" s="172" t="s">
        <v>1631</v>
      </c>
      <c r="I346" s="172" t="s">
        <v>5062</v>
      </c>
      <c r="J346" s="36">
        <v>2</v>
      </c>
      <c r="K346" s="180">
        <v>1000</v>
      </c>
      <c r="L346" s="180"/>
      <c r="M346" s="22">
        <f>IFERROR((VLOOKUP(A346,'Current Stocks July-26'!$B:$K,10,0)),0)</f>
        <v>0</v>
      </c>
      <c r="N346" s="22">
        <f t="shared" si="40"/>
        <v>0</v>
      </c>
      <c r="O346" s="22" t="str">
        <f t="shared" si="41"/>
        <v>ORDER NOW</v>
      </c>
      <c r="P346" s="22" t="str">
        <f t="shared" si="42"/>
        <v>CRITICAL</v>
      </c>
      <c r="Q346" s="58">
        <f t="shared" si="43"/>
        <v>333.33333333333331</v>
      </c>
      <c r="R346" s="58">
        <f t="shared" si="44"/>
        <v>1333.3333333333333</v>
      </c>
      <c r="S346" s="58">
        <f t="shared" si="45"/>
        <v>1333.3333333333333</v>
      </c>
      <c r="T346" s="5">
        <v>7</v>
      </c>
      <c r="U346" s="5" t="s">
        <v>1669</v>
      </c>
      <c r="V346" s="173">
        <f>VLOOKUP(A346,'[1]Final-Short'!$B:$AE,29,0)</f>
        <v>44.79083</v>
      </c>
      <c r="W346" s="171" t="str">
        <f>VLOOKUP(A346,'[1]Final-Short'!$B:$AE,30,0)</f>
        <v>شركة مصدر الامداد - Masdar Food Supply</v>
      </c>
      <c r="X346" s="58">
        <f t="shared" si="46"/>
        <v>59721.106666666659</v>
      </c>
      <c r="Y346" s="58">
        <f t="shared" si="47"/>
        <v>44790.83</v>
      </c>
    </row>
    <row r="347" spans="1:25" x14ac:dyDescent="0.25">
      <c r="A347" s="36" t="s">
        <v>1523</v>
      </c>
      <c r="B347" s="171" t="s">
        <v>1524</v>
      </c>
      <c r="C347" s="171" t="s">
        <v>1524</v>
      </c>
      <c r="D347" s="172" t="s">
        <v>1631</v>
      </c>
      <c r="E347" s="172" t="s">
        <v>1631</v>
      </c>
      <c r="F347" s="172" t="s">
        <v>1631</v>
      </c>
      <c r="G347" s="172" t="s">
        <v>1631</v>
      </c>
      <c r="H347" s="172" t="s">
        <v>1631</v>
      </c>
      <c r="I347" s="172" t="s">
        <v>5062</v>
      </c>
      <c r="J347" s="36">
        <v>1</v>
      </c>
      <c r="K347" s="180">
        <v>15</v>
      </c>
      <c r="L347" s="180"/>
      <c r="M347" s="22">
        <f>IFERROR((VLOOKUP(A347,'Current Stocks July-26'!$B:$K,10,0)),0)</f>
        <v>19.2</v>
      </c>
      <c r="N347" s="22">
        <f t="shared" si="40"/>
        <v>38.4</v>
      </c>
      <c r="O347" s="22" t="str">
        <f t="shared" si="41"/>
        <v>IN STOCK</v>
      </c>
      <c r="P347" s="22" t="str">
        <f t="shared" si="42"/>
        <v>FOLLOW UP DELIVERY</v>
      </c>
      <c r="Q347" s="58">
        <f t="shared" si="43"/>
        <v>5</v>
      </c>
      <c r="R347" s="58">
        <f t="shared" si="44"/>
        <v>20</v>
      </c>
      <c r="S347" s="58">
        <f t="shared" si="45"/>
        <v>0.80000000000000071</v>
      </c>
      <c r="T347" s="5">
        <v>7</v>
      </c>
      <c r="U347" s="5" t="s">
        <v>30</v>
      </c>
      <c r="V347" s="173">
        <f>VLOOKUP(A347,'[1]Final-Short'!$B:$AE,29,0)</f>
        <v>31.14583</v>
      </c>
      <c r="W347" s="171" t="s">
        <v>1700</v>
      </c>
      <c r="X347" s="58">
        <f t="shared" si="46"/>
        <v>24.916664000000022</v>
      </c>
      <c r="Y347" s="58">
        <f t="shared" si="47"/>
        <v>467.18745000000001</v>
      </c>
    </row>
    <row r="348" spans="1:25" x14ac:dyDescent="0.25">
      <c r="A348" s="36" t="s">
        <v>526</v>
      </c>
      <c r="B348" s="171" t="s">
        <v>527</v>
      </c>
      <c r="C348" s="171" t="s">
        <v>527</v>
      </c>
      <c r="D348" s="172" t="s">
        <v>1631</v>
      </c>
      <c r="E348" s="172" t="s">
        <v>1631</v>
      </c>
      <c r="F348" s="172" t="s">
        <v>1631</v>
      </c>
      <c r="G348" s="172" t="s">
        <v>5062</v>
      </c>
      <c r="H348" s="172" t="s">
        <v>1631</v>
      </c>
      <c r="I348" s="172" t="s">
        <v>1631</v>
      </c>
      <c r="J348" s="36">
        <v>1</v>
      </c>
      <c r="K348" s="58">
        <v>1</v>
      </c>
      <c r="L348" s="58"/>
      <c r="M348" s="22">
        <f>IFERROR((VLOOKUP(A348,'Current Stocks July-26'!$B:$K,10,0)),0)</f>
        <v>8</v>
      </c>
      <c r="N348" s="22">
        <f t="shared" si="40"/>
        <v>240</v>
      </c>
      <c r="O348" s="22" t="str">
        <f t="shared" si="41"/>
        <v>IN STOCK</v>
      </c>
      <c r="P348" s="22" t="str">
        <f t="shared" si="42"/>
        <v>FOLLOW UP DELIVERY</v>
      </c>
      <c r="Q348" s="58">
        <f t="shared" si="43"/>
        <v>0.33333333333333331</v>
      </c>
      <c r="R348" s="58">
        <f t="shared" si="44"/>
        <v>1.3333333333333333</v>
      </c>
      <c r="S348" s="58">
        <f t="shared" si="45"/>
        <v>0</v>
      </c>
      <c r="T348" s="5">
        <v>7</v>
      </c>
      <c r="U348" s="5" t="s">
        <v>30</v>
      </c>
      <c r="V348" s="173">
        <f>VLOOKUP(A348,'[1]Final-Short'!$B:$AE,29,0)</f>
        <v>29.7</v>
      </c>
      <c r="W348" s="171" t="s">
        <v>1700</v>
      </c>
      <c r="X348" s="58">
        <f t="shared" si="46"/>
        <v>0</v>
      </c>
      <c r="Y348" s="58">
        <f t="shared" si="47"/>
        <v>29.7</v>
      </c>
    </row>
    <row r="349" spans="1:25" x14ac:dyDescent="0.25">
      <c r="A349" s="36" t="s">
        <v>897</v>
      </c>
      <c r="B349" s="171" t="s">
        <v>898</v>
      </c>
      <c r="C349" s="171" t="s">
        <v>898</v>
      </c>
      <c r="D349" s="172" t="s">
        <v>1631</v>
      </c>
      <c r="E349" s="172" t="s">
        <v>1631</v>
      </c>
      <c r="F349" s="172" t="s">
        <v>1631</v>
      </c>
      <c r="G349" s="172" t="s">
        <v>1631</v>
      </c>
      <c r="H349" s="172" t="s">
        <v>1631</v>
      </c>
      <c r="I349" s="172" t="s">
        <v>5062</v>
      </c>
      <c r="J349" s="36">
        <v>1</v>
      </c>
      <c r="K349" s="58">
        <v>6200</v>
      </c>
      <c r="L349" s="58"/>
      <c r="M349" s="22">
        <f>IFERROR((VLOOKUP(A349,'Current Stocks July-26'!$B:$K,10,0)),0)</f>
        <v>6995</v>
      </c>
      <c r="N349" s="22">
        <f t="shared" si="40"/>
        <v>33.846774193548384</v>
      </c>
      <c r="O349" s="22" t="str">
        <f t="shared" si="41"/>
        <v>IN STOCK</v>
      </c>
      <c r="P349" s="22" t="str">
        <f t="shared" si="42"/>
        <v>FOLLOW UP DELIVERY</v>
      </c>
      <c r="Q349" s="58">
        <f t="shared" si="43"/>
        <v>3513.333333333333</v>
      </c>
      <c r="R349" s="58">
        <f t="shared" si="44"/>
        <v>9713.3333333333321</v>
      </c>
      <c r="S349" s="58">
        <f t="shared" si="45"/>
        <v>2718.3333333333321</v>
      </c>
      <c r="T349" s="5">
        <v>14</v>
      </c>
      <c r="U349" s="5" t="s">
        <v>1669</v>
      </c>
      <c r="V349" s="173">
        <f>VLOOKUP(A349,'[1]Final-Short'!$B:$AE,29,0)</f>
        <v>26</v>
      </c>
      <c r="W349" s="171" t="s">
        <v>1704</v>
      </c>
      <c r="X349" s="58">
        <f t="shared" si="46"/>
        <v>70676.666666666628</v>
      </c>
      <c r="Y349" s="58">
        <f t="shared" si="47"/>
        <v>161200</v>
      </c>
    </row>
    <row r="350" spans="1:25" x14ac:dyDescent="0.25">
      <c r="A350" s="36" t="s">
        <v>1084</v>
      </c>
      <c r="B350" s="171" t="s">
        <v>1085</v>
      </c>
      <c r="C350" s="171" t="s">
        <v>1085</v>
      </c>
      <c r="D350" s="172" t="s">
        <v>1631</v>
      </c>
      <c r="E350" s="172" t="s">
        <v>1631</v>
      </c>
      <c r="F350" s="172" t="s">
        <v>1631</v>
      </c>
      <c r="G350" s="172" t="s">
        <v>1631</v>
      </c>
      <c r="H350" s="172" t="s">
        <v>1631</v>
      </c>
      <c r="I350" s="172" t="s">
        <v>5062</v>
      </c>
      <c r="J350" s="36">
        <v>1</v>
      </c>
      <c r="K350" s="58">
        <v>319</v>
      </c>
      <c r="L350" s="58"/>
      <c r="M350" s="22">
        <f>IFERROR((VLOOKUP(A350,'Current Stocks July-26'!$B:$K,10,0)),0)</f>
        <v>14995</v>
      </c>
      <c r="N350" s="22">
        <f t="shared" si="40"/>
        <v>1410.1880877742947</v>
      </c>
      <c r="O350" s="22" t="str">
        <f t="shared" si="41"/>
        <v>IN STOCK</v>
      </c>
      <c r="P350" s="22" t="str">
        <f t="shared" si="42"/>
        <v>FOLLOW UP DELIVERY</v>
      </c>
      <c r="Q350" s="58">
        <f t="shared" si="43"/>
        <v>180.76666666666665</v>
      </c>
      <c r="R350" s="58">
        <f t="shared" si="44"/>
        <v>499.76666666666665</v>
      </c>
      <c r="S350" s="58">
        <f t="shared" si="45"/>
        <v>0</v>
      </c>
      <c r="T350" s="5">
        <v>14</v>
      </c>
      <c r="U350" s="5" t="s">
        <v>30</v>
      </c>
      <c r="V350" s="173">
        <f>VLOOKUP(A350,'[1]Final-Short'!$B:$AE,29,0)</f>
        <v>0.6</v>
      </c>
      <c r="W350" s="171" t="s">
        <v>1802</v>
      </c>
      <c r="X350" s="58">
        <f t="shared" si="46"/>
        <v>0</v>
      </c>
      <c r="Y350" s="58">
        <f t="shared" si="47"/>
        <v>191.4</v>
      </c>
    </row>
    <row r="351" spans="1:25" x14ac:dyDescent="0.25">
      <c r="A351" s="36" t="s">
        <v>1295</v>
      </c>
      <c r="B351" s="171" t="s">
        <v>1296</v>
      </c>
      <c r="C351" s="171" t="s">
        <v>1296</v>
      </c>
      <c r="D351" s="172" t="s">
        <v>1631</v>
      </c>
      <c r="E351" s="172" t="s">
        <v>1631</v>
      </c>
      <c r="F351" s="172" t="s">
        <v>1631</v>
      </c>
      <c r="G351" s="172" t="s">
        <v>1631</v>
      </c>
      <c r="H351" s="172" t="s">
        <v>1631</v>
      </c>
      <c r="I351" s="172" t="s">
        <v>5062</v>
      </c>
      <c r="J351" s="36">
        <v>1</v>
      </c>
      <c r="K351" s="180">
        <v>120</v>
      </c>
      <c r="L351" s="180"/>
      <c r="M351" s="22">
        <f>IFERROR((VLOOKUP(A351,'Current Stocks July-26'!$B:$K,10,0)),0)</f>
        <v>250</v>
      </c>
      <c r="N351" s="22">
        <f t="shared" si="40"/>
        <v>62.500000000000007</v>
      </c>
      <c r="O351" s="22" t="str">
        <f t="shared" si="41"/>
        <v>IN STOCK</v>
      </c>
      <c r="P351" s="22" t="str">
        <f t="shared" si="42"/>
        <v>FOLLOW UP DELIVERY</v>
      </c>
      <c r="Q351" s="58">
        <f t="shared" si="43"/>
        <v>40</v>
      </c>
      <c r="R351" s="58">
        <f t="shared" si="44"/>
        <v>160</v>
      </c>
      <c r="S351" s="58">
        <f t="shared" si="45"/>
        <v>0</v>
      </c>
      <c r="T351" s="5">
        <v>7</v>
      </c>
      <c r="U351" s="5" t="s">
        <v>30</v>
      </c>
      <c r="V351" s="173">
        <f>VLOOKUP(A351,'[1]Final-Short'!$B:$AE,29,0)</f>
        <v>14</v>
      </c>
      <c r="W351" s="171" t="s">
        <v>1774</v>
      </c>
      <c r="X351" s="58">
        <f t="shared" si="46"/>
        <v>0</v>
      </c>
      <c r="Y351" s="58">
        <f t="shared" si="47"/>
        <v>1680</v>
      </c>
    </row>
    <row r="352" spans="1:25" x14ac:dyDescent="0.25">
      <c r="A352" s="6" t="s">
        <v>648</v>
      </c>
      <c r="B352" s="171" t="s">
        <v>649</v>
      </c>
      <c r="C352" s="171" t="s">
        <v>649</v>
      </c>
      <c r="D352" s="172" t="s">
        <v>1631</v>
      </c>
      <c r="E352" s="172" t="s">
        <v>1631</v>
      </c>
      <c r="F352" s="172" t="s">
        <v>1631</v>
      </c>
      <c r="G352" s="172" t="s">
        <v>1631</v>
      </c>
      <c r="H352" s="172" t="s">
        <v>1631</v>
      </c>
      <c r="I352" s="172" t="s">
        <v>5062</v>
      </c>
      <c r="J352" s="36">
        <v>1</v>
      </c>
      <c r="K352" s="58">
        <v>3</v>
      </c>
      <c r="L352" s="58"/>
      <c r="M352" s="22">
        <f>IFERROR((VLOOKUP(A352,'Current Stocks July-26'!$B:$K,10,0)),0)</f>
        <v>0</v>
      </c>
      <c r="N352" s="22">
        <f t="shared" si="40"/>
        <v>0</v>
      </c>
      <c r="O352" s="22" t="str">
        <f t="shared" si="41"/>
        <v>ORDER NOW</v>
      </c>
      <c r="P352" s="22" t="str">
        <f t="shared" si="42"/>
        <v>CRITICAL</v>
      </c>
      <c r="Q352" s="58">
        <f t="shared" si="43"/>
        <v>1</v>
      </c>
      <c r="R352" s="58">
        <f t="shared" si="44"/>
        <v>4</v>
      </c>
      <c r="S352" s="58">
        <f t="shared" si="45"/>
        <v>4</v>
      </c>
      <c r="T352" s="5">
        <v>7</v>
      </c>
      <c r="U352" s="5" t="s">
        <v>30</v>
      </c>
      <c r="V352" s="195">
        <f>VLOOKUP(A352,'[1]Final-Short'!$B:$AE,29,0)</f>
        <v>8</v>
      </c>
      <c r="W352" s="185" t="s">
        <v>1715</v>
      </c>
      <c r="X352" s="58">
        <f t="shared" si="46"/>
        <v>32</v>
      </c>
      <c r="Y352" s="58">
        <f t="shared" si="47"/>
        <v>24</v>
      </c>
    </row>
    <row r="353" spans="1:25" x14ac:dyDescent="0.25">
      <c r="A353" s="36" t="s">
        <v>1980</v>
      </c>
      <c r="B353" s="171" t="s">
        <v>1981</v>
      </c>
      <c r="C353" s="171" t="s">
        <v>1981</v>
      </c>
      <c r="D353" s="172" t="s">
        <v>1631</v>
      </c>
      <c r="E353" s="172" t="s">
        <v>1631</v>
      </c>
      <c r="F353" s="172" t="s">
        <v>1631</v>
      </c>
      <c r="G353" s="172" t="s">
        <v>5062</v>
      </c>
      <c r="H353" s="172" t="s">
        <v>1631</v>
      </c>
      <c r="I353" s="172" t="s">
        <v>5062</v>
      </c>
      <c r="J353" s="36">
        <v>2</v>
      </c>
      <c r="K353" s="58">
        <v>90</v>
      </c>
      <c r="L353" s="58"/>
      <c r="M353" s="22">
        <f>IFERROR((VLOOKUP(A353,'Current Stocks July-26'!$B:$K,10,0)),0)</f>
        <v>0</v>
      </c>
      <c r="N353" s="22">
        <f t="shared" si="40"/>
        <v>0</v>
      </c>
      <c r="O353" s="22" t="str">
        <f t="shared" si="41"/>
        <v>ORDER NOW</v>
      </c>
      <c r="P353" s="22" t="str">
        <f t="shared" si="42"/>
        <v>CRITICAL</v>
      </c>
      <c r="Q353" s="58">
        <f t="shared" si="43"/>
        <v>30</v>
      </c>
      <c r="R353" s="58">
        <f t="shared" si="44"/>
        <v>120</v>
      </c>
      <c r="S353" s="58">
        <f t="shared" si="45"/>
        <v>120</v>
      </c>
      <c r="T353" s="5">
        <v>7</v>
      </c>
      <c r="U353" s="5" t="s">
        <v>30</v>
      </c>
      <c r="V353" s="173">
        <f>VLOOKUP(A353,'[1]Final-Short'!$B:$AE,29,0)</f>
        <v>41</v>
      </c>
      <c r="W353" s="171" t="s">
        <v>1696</v>
      </c>
      <c r="X353" s="58">
        <f t="shared" si="46"/>
        <v>4920</v>
      </c>
      <c r="Y353" s="58">
        <f t="shared" si="47"/>
        <v>3690</v>
      </c>
    </row>
    <row r="354" spans="1:25" x14ac:dyDescent="0.25">
      <c r="A354" s="36" t="s">
        <v>1574</v>
      </c>
      <c r="B354" s="171" t="s">
        <v>1575</v>
      </c>
      <c r="C354" s="171" t="s">
        <v>1575</v>
      </c>
      <c r="D354" s="172" t="s">
        <v>1631</v>
      </c>
      <c r="E354" s="172" t="s">
        <v>1631</v>
      </c>
      <c r="F354" s="172" t="s">
        <v>1631</v>
      </c>
      <c r="G354" s="172" t="s">
        <v>5062</v>
      </c>
      <c r="H354" s="172" t="s">
        <v>1631</v>
      </c>
      <c r="I354" s="172" t="s">
        <v>1631</v>
      </c>
      <c r="J354" s="36">
        <v>1</v>
      </c>
      <c r="K354" s="58">
        <v>1500</v>
      </c>
      <c r="L354" s="58"/>
      <c r="M354" s="22">
        <f>IFERROR((VLOOKUP(A354,'Current Stocks July-26'!$B:$K,10,0)),0)</f>
        <v>21600</v>
      </c>
      <c r="N354" s="22">
        <f t="shared" si="40"/>
        <v>432</v>
      </c>
      <c r="O354" s="22" t="str">
        <f t="shared" si="41"/>
        <v>IN STOCK</v>
      </c>
      <c r="P354" s="22" t="str">
        <f t="shared" si="42"/>
        <v>FOLLOW UP DELIVERY</v>
      </c>
      <c r="Q354" s="58">
        <f t="shared" si="43"/>
        <v>500</v>
      </c>
      <c r="R354" s="58">
        <f t="shared" si="44"/>
        <v>2000</v>
      </c>
      <c r="S354" s="58">
        <f t="shared" si="45"/>
        <v>0</v>
      </c>
      <c r="T354" s="5">
        <v>7</v>
      </c>
      <c r="U354" s="5" t="s">
        <v>30</v>
      </c>
      <c r="V354" s="173">
        <f>VLOOKUP(A354,'[1]Final-Short'!$B:$AE,29,0)</f>
        <v>29.7</v>
      </c>
      <c r="W354" s="171" t="s">
        <v>1700</v>
      </c>
      <c r="X354" s="58">
        <f t="shared" si="46"/>
        <v>0</v>
      </c>
      <c r="Y354" s="58">
        <f t="shared" si="47"/>
        <v>44550</v>
      </c>
    </row>
    <row r="355" spans="1:25" x14ac:dyDescent="0.25">
      <c r="A355" s="36" t="s">
        <v>1578</v>
      </c>
      <c r="B355" s="171" t="s">
        <v>1579</v>
      </c>
      <c r="C355" s="171" t="s">
        <v>1579</v>
      </c>
      <c r="D355" s="172" t="s">
        <v>1631</v>
      </c>
      <c r="E355" s="172" t="s">
        <v>1631</v>
      </c>
      <c r="F355" s="172" t="s">
        <v>1631</v>
      </c>
      <c r="G355" s="172" t="s">
        <v>5062</v>
      </c>
      <c r="H355" s="172" t="s">
        <v>1631</v>
      </c>
      <c r="I355" s="172" t="s">
        <v>1631</v>
      </c>
      <c r="J355" s="36">
        <v>1</v>
      </c>
      <c r="K355" s="58">
        <v>1200</v>
      </c>
      <c r="L355" s="58"/>
      <c r="M355" s="22">
        <f>IFERROR((VLOOKUP(A355,'Current Stocks July-26'!$B:$K,10,0)),0)</f>
        <v>19200</v>
      </c>
      <c r="N355" s="22">
        <f t="shared" si="40"/>
        <v>480</v>
      </c>
      <c r="O355" s="22" t="str">
        <f t="shared" si="41"/>
        <v>IN STOCK</v>
      </c>
      <c r="P355" s="22" t="str">
        <f t="shared" si="42"/>
        <v>FOLLOW UP DELIVERY</v>
      </c>
      <c r="Q355" s="58">
        <f t="shared" si="43"/>
        <v>400</v>
      </c>
      <c r="R355" s="58">
        <f t="shared" si="44"/>
        <v>1600</v>
      </c>
      <c r="S355" s="58">
        <f t="shared" si="45"/>
        <v>0</v>
      </c>
      <c r="T355" s="5">
        <v>7</v>
      </c>
      <c r="U355" s="5" t="s">
        <v>30</v>
      </c>
      <c r="V355" s="173">
        <f>VLOOKUP(A355,'[1]Final-Short'!$B:$AE,29,0)</f>
        <v>7.46E-2</v>
      </c>
      <c r="W355" s="171" t="s">
        <v>1891</v>
      </c>
      <c r="X355" s="58">
        <f t="shared" si="46"/>
        <v>0</v>
      </c>
      <c r="Y355" s="58">
        <f t="shared" si="47"/>
        <v>89.52</v>
      </c>
    </row>
    <row r="356" spans="1:25" x14ac:dyDescent="0.25">
      <c r="A356" s="36" t="s">
        <v>362</v>
      </c>
      <c r="B356" s="171" t="s">
        <v>363</v>
      </c>
      <c r="C356" s="171" t="s">
        <v>363</v>
      </c>
      <c r="D356" s="172" t="s">
        <v>1631</v>
      </c>
      <c r="E356" s="172" t="s">
        <v>1631</v>
      </c>
      <c r="F356" s="172" t="s">
        <v>1631</v>
      </c>
      <c r="G356" s="172" t="s">
        <v>5062</v>
      </c>
      <c r="H356" s="172" t="s">
        <v>1631</v>
      </c>
      <c r="I356" s="172" t="s">
        <v>1631</v>
      </c>
      <c r="J356" s="36">
        <v>1</v>
      </c>
      <c r="K356" s="58">
        <v>1</v>
      </c>
      <c r="L356" s="58"/>
      <c r="M356" s="22">
        <f>IFERROR((VLOOKUP(A356,'Current Stocks July-26'!$B:$K,10,0)),0)</f>
        <v>0</v>
      </c>
      <c r="N356" s="22">
        <f t="shared" si="40"/>
        <v>0</v>
      </c>
      <c r="O356" s="22" t="str">
        <f t="shared" si="41"/>
        <v>ORDER NOW</v>
      </c>
      <c r="P356" s="22" t="str">
        <f t="shared" si="42"/>
        <v>CRITICAL</v>
      </c>
      <c r="Q356" s="58">
        <f t="shared" si="43"/>
        <v>0.33333333333333331</v>
      </c>
      <c r="R356" s="58">
        <f t="shared" si="44"/>
        <v>1.3333333333333333</v>
      </c>
      <c r="S356" s="58">
        <f t="shared" si="45"/>
        <v>1.3333333333333333</v>
      </c>
      <c r="T356" s="5">
        <v>7</v>
      </c>
      <c r="U356" s="5" t="s">
        <v>1729</v>
      </c>
      <c r="V356" s="173">
        <f>VLOOKUP(A356,'[1]Final-Short'!$B:$AE,29,0)</f>
        <v>12</v>
      </c>
      <c r="W356" s="171" t="s">
        <v>1982</v>
      </c>
      <c r="X356" s="58">
        <f t="shared" si="46"/>
        <v>16</v>
      </c>
      <c r="Y356" s="58">
        <f t="shared" si="47"/>
        <v>12</v>
      </c>
    </row>
    <row r="357" spans="1:25" x14ac:dyDescent="0.25">
      <c r="A357" s="36" t="s">
        <v>1983</v>
      </c>
      <c r="B357" s="171" t="s">
        <v>1984</v>
      </c>
      <c r="C357" s="171" t="s">
        <v>1984</v>
      </c>
      <c r="D357" s="172" t="s">
        <v>1631</v>
      </c>
      <c r="E357" s="172" t="s">
        <v>1631</v>
      </c>
      <c r="F357" s="172" t="s">
        <v>1631</v>
      </c>
      <c r="G357" s="172" t="s">
        <v>5062</v>
      </c>
      <c r="H357" s="172" t="s">
        <v>1631</v>
      </c>
      <c r="I357" s="172" t="s">
        <v>1631</v>
      </c>
      <c r="J357" s="36">
        <v>1</v>
      </c>
      <c r="K357" s="58">
        <v>4</v>
      </c>
      <c r="L357" s="58"/>
      <c r="M357" s="22">
        <f>IFERROR((VLOOKUP(A357,'Current Stocks July-26'!$B:$K,10,0)),0)</f>
        <v>12</v>
      </c>
      <c r="N357" s="22">
        <f t="shared" si="40"/>
        <v>90</v>
      </c>
      <c r="O357" s="22" t="str">
        <f t="shared" si="41"/>
        <v>IN STOCK</v>
      </c>
      <c r="P357" s="22" t="str">
        <f t="shared" si="42"/>
        <v>FOLLOW UP DELIVERY</v>
      </c>
      <c r="Q357" s="58">
        <f t="shared" si="43"/>
        <v>1.3333333333333333</v>
      </c>
      <c r="R357" s="58">
        <f t="shared" si="44"/>
        <v>5.333333333333333</v>
      </c>
      <c r="S357" s="58">
        <f t="shared" si="45"/>
        <v>0</v>
      </c>
      <c r="T357" s="5">
        <v>7</v>
      </c>
      <c r="U357" s="5" t="s">
        <v>30</v>
      </c>
      <c r="V357" s="173">
        <f>VLOOKUP(A357,'[1]Final-Short'!$B:$AE,29,0)</f>
        <v>35</v>
      </c>
      <c r="W357" s="171" t="s">
        <v>1769</v>
      </c>
      <c r="X357" s="58">
        <f t="shared" si="46"/>
        <v>0</v>
      </c>
      <c r="Y357" s="58">
        <f t="shared" si="47"/>
        <v>140</v>
      </c>
    </row>
    <row r="358" spans="1:25" x14ac:dyDescent="0.25">
      <c r="A358" s="36" t="s">
        <v>1280</v>
      </c>
      <c r="B358" s="171" t="s">
        <v>1281</v>
      </c>
      <c r="C358" s="171" t="s">
        <v>1281</v>
      </c>
      <c r="D358" s="172" t="s">
        <v>1631</v>
      </c>
      <c r="E358" s="172" t="s">
        <v>1631</v>
      </c>
      <c r="F358" s="172" t="s">
        <v>1631</v>
      </c>
      <c r="G358" s="172" t="s">
        <v>5062</v>
      </c>
      <c r="H358" s="172" t="s">
        <v>1631</v>
      </c>
      <c r="I358" s="172" t="s">
        <v>1631</v>
      </c>
      <c r="J358" s="36">
        <v>1</v>
      </c>
      <c r="K358" s="58">
        <v>2</v>
      </c>
      <c r="L358" s="58"/>
      <c r="M358" s="22">
        <f>IFERROR((VLOOKUP(A358,'Current Stocks July-26'!$B:$K,10,0)),0)</f>
        <v>1167</v>
      </c>
      <c r="N358" s="22">
        <f t="shared" si="40"/>
        <v>17505</v>
      </c>
      <c r="O358" s="22" t="str">
        <f t="shared" si="41"/>
        <v>IN STOCK</v>
      </c>
      <c r="P358" s="22" t="str">
        <f t="shared" si="42"/>
        <v>FOLLOW UP DELIVERY</v>
      </c>
      <c r="Q358" s="58">
        <f t="shared" si="43"/>
        <v>0.66666666666666663</v>
      </c>
      <c r="R358" s="58">
        <f t="shared" si="44"/>
        <v>2.6666666666666665</v>
      </c>
      <c r="S358" s="58">
        <f t="shared" si="45"/>
        <v>0</v>
      </c>
      <c r="T358" s="5">
        <v>7</v>
      </c>
      <c r="U358" s="5" t="s">
        <v>30</v>
      </c>
      <c r="V358" s="173">
        <f>VLOOKUP(A358,'[1]Final-Short'!$B:$AE,29,0)</f>
        <v>61.25</v>
      </c>
      <c r="W358" s="171" t="s">
        <v>1752</v>
      </c>
      <c r="X358" s="58">
        <f t="shared" si="46"/>
        <v>0</v>
      </c>
      <c r="Y358" s="58">
        <f t="shared" si="47"/>
        <v>122.5</v>
      </c>
    </row>
    <row r="359" spans="1:25" x14ac:dyDescent="0.25">
      <c r="A359" s="36" t="s">
        <v>1065</v>
      </c>
      <c r="B359" s="171" t="s">
        <v>1066</v>
      </c>
      <c r="C359" s="171" t="s">
        <v>1066</v>
      </c>
      <c r="D359" s="172" t="s">
        <v>1631</v>
      </c>
      <c r="E359" s="172" t="s">
        <v>1631</v>
      </c>
      <c r="F359" s="172" t="s">
        <v>1631</v>
      </c>
      <c r="G359" s="172" t="s">
        <v>5062</v>
      </c>
      <c r="H359" s="172" t="s">
        <v>1631</v>
      </c>
      <c r="I359" s="172" t="s">
        <v>1631</v>
      </c>
      <c r="J359" s="36">
        <v>1</v>
      </c>
      <c r="K359" s="58">
        <v>1000</v>
      </c>
      <c r="L359" s="58"/>
      <c r="M359" s="22">
        <f>IFERROR((VLOOKUP(A359,'Current Stocks July-26'!$B:$K,10,0)),0)</f>
        <v>396</v>
      </c>
      <c r="N359" s="22">
        <f t="shared" si="40"/>
        <v>11.88</v>
      </c>
      <c r="O359" s="22" t="str">
        <f t="shared" si="41"/>
        <v>IN STOCK</v>
      </c>
      <c r="P359" s="22" t="str">
        <f t="shared" si="42"/>
        <v>FOLLOW UP DELIVERY</v>
      </c>
      <c r="Q359" s="58">
        <f t="shared" si="43"/>
        <v>333.33333333333331</v>
      </c>
      <c r="R359" s="58">
        <f t="shared" si="44"/>
        <v>1333.3333333333333</v>
      </c>
      <c r="S359" s="58">
        <f t="shared" si="45"/>
        <v>937.33333333333326</v>
      </c>
      <c r="T359" s="5">
        <v>7</v>
      </c>
      <c r="U359" s="5" t="s">
        <v>1669</v>
      </c>
      <c r="V359" s="195">
        <f>VLOOKUP(A359,'[1]Final-Short'!$B:$AE,29,0)</f>
        <v>7</v>
      </c>
      <c r="W359" s="185" t="s">
        <v>1755</v>
      </c>
      <c r="X359" s="58">
        <f t="shared" si="46"/>
        <v>6561.333333333333</v>
      </c>
      <c r="Y359" s="58">
        <f t="shared" si="47"/>
        <v>7000</v>
      </c>
    </row>
    <row r="360" spans="1:25" x14ac:dyDescent="0.25">
      <c r="A360" s="36" t="s">
        <v>1318</v>
      </c>
      <c r="B360" s="171" t="s">
        <v>1319</v>
      </c>
      <c r="C360" s="171" t="s">
        <v>1319</v>
      </c>
      <c r="D360" s="172" t="s">
        <v>1631</v>
      </c>
      <c r="E360" s="172" t="s">
        <v>1631</v>
      </c>
      <c r="F360" s="172" t="s">
        <v>1631</v>
      </c>
      <c r="G360" s="172" t="s">
        <v>5062</v>
      </c>
      <c r="H360" s="172" t="s">
        <v>1631</v>
      </c>
      <c r="I360" s="172" t="s">
        <v>5062</v>
      </c>
      <c r="J360" s="36">
        <v>2</v>
      </c>
      <c r="K360" s="5">
        <v>620</v>
      </c>
      <c r="L360" s="5"/>
      <c r="M360" s="22">
        <f>IFERROR((VLOOKUP(A360,'Current Stocks July-26'!$B:$K,10,0)),0)</f>
        <v>1980</v>
      </c>
      <c r="N360" s="22">
        <f t="shared" si="40"/>
        <v>95.806451612903217</v>
      </c>
      <c r="O360" s="22" t="str">
        <f t="shared" si="41"/>
        <v>IN STOCK</v>
      </c>
      <c r="P360" s="22" t="str">
        <f t="shared" si="42"/>
        <v>FOLLOW UP DELIVERY</v>
      </c>
      <c r="Q360" s="58">
        <f t="shared" si="43"/>
        <v>206.66666666666666</v>
      </c>
      <c r="R360" s="58">
        <f t="shared" si="44"/>
        <v>826.66666666666663</v>
      </c>
      <c r="S360" s="58">
        <f t="shared" si="45"/>
        <v>0</v>
      </c>
      <c r="T360" s="5">
        <v>7</v>
      </c>
      <c r="U360" s="5" t="s">
        <v>30</v>
      </c>
      <c r="V360" s="173">
        <f>VLOOKUP(A360,'[1]Final-Short'!$B:$AE,29,0)</f>
        <v>0.43889</v>
      </c>
      <c r="W360" s="171" t="s">
        <v>1757</v>
      </c>
      <c r="X360" s="58">
        <f t="shared" si="46"/>
        <v>0</v>
      </c>
      <c r="Y360" s="58">
        <f t="shared" si="47"/>
        <v>272.11180000000002</v>
      </c>
    </row>
    <row r="361" spans="1:25" x14ac:dyDescent="0.25">
      <c r="A361" s="36" t="s">
        <v>1418</v>
      </c>
      <c r="B361" s="171" t="s">
        <v>1985</v>
      </c>
      <c r="C361" s="171" t="s">
        <v>1546</v>
      </c>
      <c r="D361" s="172" t="s">
        <v>5062</v>
      </c>
      <c r="E361" s="172" t="s">
        <v>1631</v>
      </c>
      <c r="F361" s="172" t="s">
        <v>1631</v>
      </c>
      <c r="G361" s="172" t="s">
        <v>1631</v>
      </c>
      <c r="H361" s="172" t="s">
        <v>1631</v>
      </c>
      <c r="I361" s="172" t="s">
        <v>1631</v>
      </c>
      <c r="J361" s="36">
        <v>1</v>
      </c>
      <c r="K361" s="5">
        <v>10</v>
      </c>
      <c r="L361" s="5"/>
      <c r="M361" s="22">
        <f>IFERROR((VLOOKUP(A361,'Current Stocks July-26'!$B:$K,10,0)),0)</f>
        <v>18.649999999999999</v>
      </c>
      <c r="N361" s="22">
        <f t="shared" si="40"/>
        <v>55.949999999999996</v>
      </c>
      <c r="O361" s="22" t="str">
        <f t="shared" si="41"/>
        <v>IN STOCK</v>
      </c>
      <c r="P361" s="22" t="str">
        <f t="shared" si="42"/>
        <v>FOLLOW UP DELIVERY</v>
      </c>
      <c r="Q361" s="58">
        <f t="shared" si="43"/>
        <v>3.333333333333333</v>
      </c>
      <c r="R361" s="58">
        <f t="shared" si="44"/>
        <v>13.333333333333332</v>
      </c>
      <c r="S361" s="58">
        <f t="shared" si="45"/>
        <v>0</v>
      </c>
      <c r="T361" s="5">
        <v>7</v>
      </c>
      <c r="U361" s="5" t="s">
        <v>30</v>
      </c>
      <c r="V361" s="173">
        <f>VLOOKUP(A361,'[1]Final-Short'!$B:$AE,29,0)</f>
        <v>0</v>
      </c>
      <c r="W361" s="171" t="e">
        <v>#N/A</v>
      </c>
      <c r="X361" s="58">
        <f t="shared" si="46"/>
        <v>0</v>
      </c>
      <c r="Y361" s="58">
        <f t="shared" si="47"/>
        <v>0</v>
      </c>
    </row>
    <row r="362" spans="1:25" x14ac:dyDescent="0.25">
      <c r="A362" s="36" t="s">
        <v>1683</v>
      </c>
      <c r="B362" s="171" t="s">
        <v>1068</v>
      </c>
      <c r="C362" s="171" t="s">
        <v>1986</v>
      </c>
      <c r="D362" s="172" t="s">
        <v>1631</v>
      </c>
      <c r="E362" s="172" t="s">
        <v>1631</v>
      </c>
      <c r="F362" s="172" t="s">
        <v>1631</v>
      </c>
      <c r="G362" s="172" t="s">
        <v>5062</v>
      </c>
      <c r="H362" s="172" t="s">
        <v>1631</v>
      </c>
      <c r="I362" s="172" t="s">
        <v>1631</v>
      </c>
      <c r="J362" s="36">
        <v>1</v>
      </c>
      <c r="K362" s="5">
        <v>1</v>
      </c>
      <c r="L362" s="5"/>
      <c r="M362" s="22">
        <f>IFERROR((VLOOKUP(A362,'Current Stocks July-26'!$B:$K,10,0)),0)</f>
        <v>9347</v>
      </c>
      <c r="N362" s="22">
        <f t="shared" si="40"/>
        <v>280410</v>
      </c>
      <c r="O362" s="22" t="str">
        <f t="shared" si="41"/>
        <v>IN STOCK</v>
      </c>
      <c r="P362" s="22" t="str">
        <f t="shared" si="42"/>
        <v>FOLLOW UP DELIVERY</v>
      </c>
      <c r="Q362" s="58">
        <f t="shared" si="43"/>
        <v>0.56666666666666665</v>
      </c>
      <c r="R362" s="58">
        <f t="shared" si="44"/>
        <v>1.5666666666666667</v>
      </c>
      <c r="S362" s="58">
        <f t="shared" si="45"/>
        <v>0</v>
      </c>
      <c r="T362" s="5">
        <v>14</v>
      </c>
      <c r="U362" s="5" t="s">
        <v>30</v>
      </c>
      <c r="V362" s="173">
        <f>VLOOKUP(A362,'[1]Final-Short'!$B:$AE,29,0)</f>
        <v>2.2000000000000002</v>
      </c>
      <c r="W362" s="171" t="s">
        <v>1757</v>
      </c>
      <c r="X362" s="58">
        <f t="shared" si="46"/>
        <v>0</v>
      </c>
      <c r="Y362" s="58">
        <f t="shared" si="47"/>
        <v>2.2000000000000002</v>
      </c>
    </row>
    <row r="363" spans="1:25" x14ac:dyDescent="0.25">
      <c r="A363" s="36" t="s">
        <v>1987</v>
      </c>
      <c r="B363" s="171" t="s">
        <v>1988</v>
      </c>
      <c r="C363" s="171" t="s">
        <v>1988</v>
      </c>
      <c r="D363" s="172" t="s">
        <v>1631</v>
      </c>
      <c r="E363" s="172" t="s">
        <v>1631</v>
      </c>
      <c r="F363" s="172" t="s">
        <v>1631</v>
      </c>
      <c r="G363" s="172" t="s">
        <v>5062</v>
      </c>
      <c r="H363" s="172" t="s">
        <v>1631</v>
      </c>
      <c r="I363" s="172" t="s">
        <v>1631</v>
      </c>
      <c r="J363" s="36">
        <v>1</v>
      </c>
      <c r="K363" s="58">
        <v>5000</v>
      </c>
      <c r="L363" s="58"/>
      <c r="M363" s="22">
        <f>IFERROR((VLOOKUP(A363,'Current Stocks July-26'!$B:$K,10,0)),0)</f>
        <v>0</v>
      </c>
      <c r="N363" s="22">
        <f t="shared" si="40"/>
        <v>0</v>
      </c>
      <c r="O363" s="22" t="str">
        <f t="shared" si="41"/>
        <v>ORDER NOW</v>
      </c>
      <c r="P363" s="22" t="str">
        <f t="shared" si="42"/>
        <v>CRITICAL</v>
      </c>
      <c r="Q363" s="58">
        <f t="shared" si="43"/>
        <v>1666.6666666666665</v>
      </c>
      <c r="R363" s="58">
        <f t="shared" si="44"/>
        <v>6666.6666666666661</v>
      </c>
      <c r="S363" s="58">
        <f t="shared" si="45"/>
        <v>6666.6666666666661</v>
      </c>
      <c r="T363" s="5">
        <v>7</v>
      </c>
      <c r="U363" s="5" t="s">
        <v>30</v>
      </c>
      <c r="V363" s="173">
        <f>VLOOKUP(A363,'[1]Final-Short'!$B:$AE,29,0)</f>
        <v>0.05</v>
      </c>
      <c r="W363" s="171" t="s">
        <v>1795</v>
      </c>
      <c r="X363" s="58">
        <f t="shared" si="46"/>
        <v>333.33333333333331</v>
      </c>
      <c r="Y363" s="58">
        <f t="shared" si="47"/>
        <v>250</v>
      </c>
    </row>
    <row r="364" spans="1:25" x14ac:dyDescent="0.25">
      <c r="A364" s="36" t="s">
        <v>1989</v>
      </c>
      <c r="B364" s="171" t="s">
        <v>1990</v>
      </c>
      <c r="C364" s="171" t="s">
        <v>1990</v>
      </c>
      <c r="D364" s="172" t="s">
        <v>1631</v>
      </c>
      <c r="E364" s="172" t="s">
        <v>1631</v>
      </c>
      <c r="F364" s="172" t="s">
        <v>1631</v>
      </c>
      <c r="G364" s="172" t="s">
        <v>5062</v>
      </c>
      <c r="H364" s="172" t="s">
        <v>1631</v>
      </c>
      <c r="I364" s="172" t="s">
        <v>1631</v>
      </c>
      <c r="J364" s="36">
        <v>1</v>
      </c>
      <c r="K364" s="58">
        <v>5000</v>
      </c>
      <c r="L364" s="58"/>
      <c r="M364" s="22">
        <f>IFERROR((VLOOKUP(A364,'Current Stocks July-26'!$B:$K,10,0)),0)</f>
        <v>3000</v>
      </c>
      <c r="N364" s="22">
        <f t="shared" si="40"/>
        <v>18</v>
      </c>
      <c r="O364" s="22" t="str">
        <f t="shared" si="41"/>
        <v>IN STOCK</v>
      </c>
      <c r="P364" s="22" t="str">
        <f t="shared" si="42"/>
        <v>FOLLOW UP DELIVERY</v>
      </c>
      <c r="Q364" s="58">
        <f t="shared" si="43"/>
        <v>1666.6666666666665</v>
      </c>
      <c r="R364" s="58">
        <f t="shared" si="44"/>
        <v>6666.6666666666661</v>
      </c>
      <c r="S364" s="58">
        <f t="shared" si="45"/>
        <v>3666.6666666666661</v>
      </c>
      <c r="T364" s="5">
        <v>7</v>
      </c>
      <c r="U364" s="5" t="s">
        <v>30</v>
      </c>
      <c r="V364" s="173">
        <f>VLOOKUP(A364,'[1]Final-Short'!$B:$AE,29,0)</f>
        <v>0.05</v>
      </c>
      <c r="W364" s="171" t="s">
        <v>1795</v>
      </c>
      <c r="X364" s="58">
        <f t="shared" si="46"/>
        <v>183.33333333333331</v>
      </c>
      <c r="Y364" s="58">
        <f t="shared" si="47"/>
        <v>250</v>
      </c>
    </row>
    <row r="365" spans="1:25" x14ac:dyDescent="0.25">
      <c r="A365" s="36" t="s">
        <v>136</v>
      </c>
      <c r="B365" s="171" t="s">
        <v>137</v>
      </c>
      <c r="C365" s="171" t="s">
        <v>137</v>
      </c>
      <c r="D365" s="172" t="s">
        <v>1631</v>
      </c>
      <c r="E365" s="172" t="s">
        <v>1631</v>
      </c>
      <c r="F365" s="172" t="s">
        <v>1631</v>
      </c>
      <c r="G365" s="172" t="s">
        <v>1631</v>
      </c>
      <c r="H365" s="172" t="s">
        <v>1631</v>
      </c>
      <c r="I365" s="172" t="s">
        <v>5062</v>
      </c>
      <c r="J365" s="36">
        <v>1</v>
      </c>
      <c r="K365" s="58">
        <v>200</v>
      </c>
      <c r="L365" s="58"/>
      <c r="M365" s="22">
        <f>IFERROR((VLOOKUP(A365,'Current Stocks July-26'!$B:$K,10,0)),0)</f>
        <v>1565</v>
      </c>
      <c r="N365" s="22">
        <f t="shared" si="40"/>
        <v>234.75</v>
      </c>
      <c r="O365" s="22" t="str">
        <f t="shared" si="41"/>
        <v>IN STOCK</v>
      </c>
      <c r="P365" s="22" t="str">
        <f t="shared" si="42"/>
        <v>FOLLOW UP DELIVERY</v>
      </c>
      <c r="Q365" s="58">
        <f t="shared" si="43"/>
        <v>66.666666666666657</v>
      </c>
      <c r="R365" s="58">
        <f t="shared" si="44"/>
        <v>266.66666666666663</v>
      </c>
      <c r="S365" s="58">
        <f t="shared" si="45"/>
        <v>0</v>
      </c>
      <c r="T365" s="5">
        <v>7</v>
      </c>
      <c r="U365" s="5" t="s">
        <v>1669</v>
      </c>
      <c r="V365" s="173">
        <f>VLOOKUP(A365,'[1]Final-Short'!$B:$AE,29,0)</f>
        <v>126.66667</v>
      </c>
      <c r="W365" s="171" t="s">
        <v>1774</v>
      </c>
      <c r="X365" s="58">
        <f t="shared" si="46"/>
        <v>0</v>
      </c>
      <c r="Y365" s="58">
        <f t="shared" si="47"/>
        <v>25333.333999999999</v>
      </c>
    </row>
    <row r="366" spans="1:25" x14ac:dyDescent="0.25">
      <c r="A366" s="36" t="s">
        <v>1466</v>
      </c>
      <c r="B366" s="171" t="s">
        <v>1467</v>
      </c>
      <c r="C366" s="171" t="s">
        <v>1467</v>
      </c>
      <c r="D366" s="172" t="s">
        <v>5062</v>
      </c>
      <c r="E366" s="172" t="s">
        <v>1631</v>
      </c>
      <c r="F366" s="172" t="s">
        <v>1631</v>
      </c>
      <c r="G366" s="172" t="s">
        <v>1631</v>
      </c>
      <c r="H366" s="172" t="s">
        <v>1631</v>
      </c>
      <c r="I366" s="172" t="s">
        <v>1631</v>
      </c>
      <c r="J366" s="36">
        <v>1</v>
      </c>
      <c r="K366" s="58">
        <v>35000</v>
      </c>
      <c r="L366" s="58"/>
      <c r="M366" s="22">
        <f>IFERROR((VLOOKUP(A366,'Current Stocks July-26'!$B:$K,10,0)),0)</f>
        <v>72000</v>
      </c>
      <c r="N366" s="22">
        <f t="shared" si="40"/>
        <v>61.714285714285708</v>
      </c>
      <c r="O366" s="22" t="str">
        <f t="shared" si="41"/>
        <v>IN STOCK</v>
      </c>
      <c r="P366" s="22" t="str">
        <f t="shared" si="42"/>
        <v>FOLLOW UP DELIVERY</v>
      </c>
      <c r="Q366" s="58">
        <f t="shared" si="43"/>
        <v>11666.666666666666</v>
      </c>
      <c r="R366" s="58">
        <f t="shared" si="44"/>
        <v>46666.666666666664</v>
      </c>
      <c r="S366" s="58">
        <f t="shared" si="45"/>
        <v>0</v>
      </c>
      <c r="T366" s="5">
        <v>7</v>
      </c>
      <c r="U366" s="5" t="s">
        <v>30</v>
      </c>
      <c r="V366" s="173">
        <f>VLOOKUP(A366,'[1]Final-Short'!$B:$AE,29,0)</f>
        <v>6.8000000000000005E-2</v>
      </c>
      <c r="W366" s="171" t="str">
        <f>VLOOKUP(A366,'[1]Final-Short'!$B:$AE,30,0)</f>
        <v>Ashraf Saleh Aldazaz Factory مصنع اشرف صالح الدعزازا للتعبئة والتغليف</v>
      </c>
      <c r="X366" s="58">
        <f t="shared" si="46"/>
        <v>0</v>
      </c>
      <c r="Y366" s="58">
        <f t="shared" si="47"/>
        <v>2380</v>
      </c>
    </row>
    <row r="367" spans="1:25" x14ac:dyDescent="0.25">
      <c r="A367" s="36" t="s">
        <v>1991</v>
      </c>
      <c r="B367" s="171" t="s">
        <v>1191</v>
      </c>
      <c r="C367" s="171" t="s">
        <v>1191</v>
      </c>
      <c r="D367" s="172" t="s">
        <v>1631</v>
      </c>
      <c r="E367" s="172" t="s">
        <v>1631</v>
      </c>
      <c r="F367" s="172" t="s">
        <v>1631</v>
      </c>
      <c r="G367" s="172" t="s">
        <v>1631</v>
      </c>
      <c r="H367" s="172" t="s">
        <v>1631</v>
      </c>
      <c r="I367" s="172" t="s">
        <v>1631</v>
      </c>
      <c r="J367" s="36">
        <v>0</v>
      </c>
      <c r="K367" s="58">
        <v>2100</v>
      </c>
      <c r="L367" s="58"/>
      <c r="M367" s="22">
        <f>IFERROR((VLOOKUP(A367,'Current Stocks July-26'!$B:$K,10,0)),0)</f>
        <v>393</v>
      </c>
      <c r="N367" s="22">
        <f t="shared" si="40"/>
        <v>5.6142857142857139</v>
      </c>
      <c r="O367" s="22" t="str">
        <f t="shared" si="41"/>
        <v>ORDER NOW</v>
      </c>
      <c r="P367" s="22" t="str">
        <f t="shared" si="42"/>
        <v>CRITICAL</v>
      </c>
      <c r="Q367" s="58">
        <f t="shared" si="43"/>
        <v>6510</v>
      </c>
      <c r="R367" s="58">
        <f t="shared" si="44"/>
        <v>8610</v>
      </c>
      <c r="S367" s="58">
        <f t="shared" si="45"/>
        <v>8217</v>
      </c>
      <c r="T367" s="5">
        <v>90</v>
      </c>
      <c r="U367" s="5" t="s">
        <v>30</v>
      </c>
      <c r="V367" s="173">
        <f>VLOOKUP(A367,'[1]Final-Short'!$B:$AE,29,0)</f>
        <v>245.05</v>
      </c>
      <c r="W367" s="171" t="str">
        <f>VLOOKUP(A367,'[1]Final-Short'!$B:$AE,30,0)</f>
        <v>Xi’an Pincredit Bio-Tech Co.,Ltd</v>
      </c>
      <c r="X367" s="58">
        <f t="shared" si="46"/>
        <v>2013575.85</v>
      </c>
      <c r="Y367" s="58">
        <f t="shared" si="47"/>
        <v>514605</v>
      </c>
    </row>
    <row r="368" spans="1:25" x14ac:dyDescent="0.25">
      <c r="A368" s="36" t="s">
        <v>458</v>
      </c>
      <c r="B368" s="171" t="s">
        <v>459</v>
      </c>
      <c r="C368" s="171" t="s">
        <v>468</v>
      </c>
      <c r="D368" s="172" t="s">
        <v>1631</v>
      </c>
      <c r="E368" s="172" t="s">
        <v>1631</v>
      </c>
      <c r="F368" s="172" t="s">
        <v>1631</v>
      </c>
      <c r="G368" s="172" t="s">
        <v>1631</v>
      </c>
      <c r="H368" s="172" t="s">
        <v>1631</v>
      </c>
      <c r="I368" s="172" t="s">
        <v>1631</v>
      </c>
      <c r="J368" s="36">
        <v>0</v>
      </c>
      <c r="K368" s="58">
        <v>6375</v>
      </c>
      <c r="L368" s="58"/>
      <c r="M368" s="22">
        <f>IFERROR((VLOOKUP(A368,'Current Stocks July-26'!$B:$K,10,0)),0)</f>
        <v>345</v>
      </c>
      <c r="N368" s="22">
        <f t="shared" si="40"/>
        <v>1.6235294117647059</v>
      </c>
      <c r="O368" s="22" t="str">
        <f t="shared" si="41"/>
        <v>ORDER NOW</v>
      </c>
      <c r="P368" s="22" t="str">
        <f t="shared" si="42"/>
        <v>CRITICAL</v>
      </c>
      <c r="Q368" s="58">
        <f t="shared" si="43"/>
        <v>2125</v>
      </c>
      <c r="R368" s="58">
        <f t="shared" si="44"/>
        <v>8500</v>
      </c>
      <c r="S368" s="58">
        <f t="shared" si="45"/>
        <v>8155</v>
      </c>
      <c r="T368" s="5">
        <v>7</v>
      </c>
      <c r="U368" s="5" t="s">
        <v>1669</v>
      </c>
      <c r="V368" s="173">
        <f>VLOOKUP(A368,'[1]Final-Short'!$B:$AE,29,0)</f>
        <v>55</v>
      </c>
      <c r="W368" s="171" t="s">
        <v>1698</v>
      </c>
      <c r="X368" s="58">
        <f t="shared" si="46"/>
        <v>448525</v>
      </c>
      <c r="Y368" s="58">
        <f t="shared" si="47"/>
        <v>350625</v>
      </c>
    </row>
    <row r="369" spans="1:25" x14ac:dyDescent="0.25">
      <c r="A369" s="36" t="s">
        <v>1196</v>
      </c>
      <c r="B369" s="171" t="s">
        <v>1197</v>
      </c>
      <c r="C369" s="171" t="s">
        <v>1197</v>
      </c>
      <c r="D369" s="172" t="s">
        <v>5062</v>
      </c>
      <c r="E369" s="172" t="s">
        <v>1631</v>
      </c>
      <c r="F369" s="172" t="s">
        <v>1631</v>
      </c>
      <c r="G369" s="172" t="s">
        <v>1631</v>
      </c>
      <c r="H369" s="172" t="s">
        <v>1631</v>
      </c>
      <c r="I369" s="172" t="s">
        <v>1631</v>
      </c>
      <c r="J369" s="36">
        <v>1</v>
      </c>
      <c r="K369" s="58">
        <v>4700</v>
      </c>
      <c r="L369" s="58"/>
      <c r="M369" s="22">
        <f>IFERROR((VLOOKUP(A369,'Current Stocks July-26'!$B:$K,10,0)),0)</f>
        <v>2570</v>
      </c>
      <c r="N369" s="22">
        <f t="shared" si="40"/>
        <v>16.404255319148934</v>
      </c>
      <c r="O369" s="22" t="str">
        <f t="shared" si="41"/>
        <v>IN STOCK</v>
      </c>
      <c r="P369" s="22" t="str">
        <f t="shared" si="42"/>
        <v>FOLLOW UP DELIVERY</v>
      </c>
      <c r="Q369" s="58">
        <f t="shared" si="43"/>
        <v>1566.6666666666665</v>
      </c>
      <c r="R369" s="58">
        <f t="shared" si="44"/>
        <v>6266.6666666666661</v>
      </c>
      <c r="S369" s="58">
        <f t="shared" si="45"/>
        <v>3696.6666666666661</v>
      </c>
      <c r="T369" s="5">
        <v>7</v>
      </c>
      <c r="U369" s="5" t="s">
        <v>1669</v>
      </c>
      <c r="V369" s="173">
        <f>VLOOKUP(A369,'[1]Final-Short'!$B:$AE,29,0)</f>
        <v>3.3879199999999998</v>
      </c>
      <c r="W369" s="171" t="str">
        <f>VLOOKUP(A369,'[1]Final-Short'!$B:$AE,30,0)</f>
        <v>شركة ناف الجود- NAF AL JOOD</v>
      </c>
      <c r="X369" s="58">
        <f t="shared" si="46"/>
        <v>12524.010933333331</v>
      </c>
      <c r="Y369" s="58">
        <f t="shared" si="47"/>
        <v>15923.223999999998</v>
      </c>
    </row>
    <row r="370" spans="1:25" x14ac:dyDescent="0.25">
      <c r="A370" s="36" t="s">
        <v>912</v>
      </c>
      <c r="B370" s="171" t="s">
        <v>913</v>
      </c>
      <c r="C370" s="171" t="s">
        <v>913</v>
      </c>
      <c r="D370" s="172" t="s">
        <v>5062</v>
      </c>
      <c r="E370" s="172" t="s">
        <v>5062</v>
      </c>
      <c r="F370" s="172" t="s">
        <v>1631</v>
      </c>
      <c r="G370" s="172" t="s">
        <v>1631</v>
      </c>
      <c r="H370" s="172" t="s">
        <v>1631</v>
      </c>
      <c r="I370" s="172" t="s">
        <v>1631</v>
      </c>
      <c r="J370" s="36">
        <v>2</v>
      </c>
      <c r="K370" s="58">
        <v>360</v>
      </c>
      <c r="L370" s="58"/>
      <c r="M370" s="22">
        <f>IFERROR((VLOOKUP(A370,'Current Stocks July-26'!$B:$K,10,0)),0)</f>
        <v>354</v>
      </c>
      <c r="N370" s="22">
        <f t="shared" si="40"/>
        <v>29.5</v>
      </c>
      <c r="O370" s="22" t="str">
        <f t="shared" si="41"/>
        <v>IN STOCK</v>
      </c>
      <c r="P370" s="22" t="str">
        <f t="shared" si="42"/>
        <v>FOLLOW UP DELIVERY</v>
      </c>
      <c r="Q370" s="58">
        <f t="shared" si="43"/>
        <v>120</v>
      </c>
      <c r="R370" s="58">
        <f t="shared" si="44"/>
        <v>480</v>
      </c>
      <c r="S370" s="58">
        <f t="shared" si="45"/>
        <v>126</v>
      </c>
      <c r="T370" s="5">
        <v>7</v>
      </c>
      <c r="U370" s="5" t="s">
        <v>1669</v>
      </c>
      <c r="V370" s="173">
        <f>VLOOKUP(A370,'[1]Final-Short'!$B:$AE,29,0)</f>
        <v>48.333329999999997</v>
      </c>
      <c r="W370" s="171" t="str">
        <f>VLOOKUP(A370,'[1]Final-Short'!$B:$AE,30,0)</f>
        <v>شركة أعمال الضيافة للخدمات التموينية</v>
      </c>
      <c r="X370" s="58">
        <f t="shared" si="46"/>
        <v>6089.9995799999997</v>
      </c>
      <c r="Y370" s="58">
        <f t="shared" si="47"/>
        <v>17399.998799999998</v>
      </c>
    </row>
    <row r="371" spans="1:25" x14ac:dyDescent="0.25">
      <c r="A371" s="36" t="s">
        <v>769</v>
      </c>
      <c r="B371" s="171" t="s">
        <v>770</v>
      </c>
      <c r="C371" s="171" t="s">
        <v>770</v>
      </c>
      <c r="D371" s="172" t="s">
        <v>5062</v>
      </c>
      <c r="E371" s="172" t="s">
        <v>1631</v>
      </c>
      <c r="F371" s="172" t="s">
        <v>1631</v>
      </c>
      <c r="G371" s="172" t="s">
        <v>1631</v>
      </c>
      <c r="H371" s="172" t="s">
        <v>1631</v>
      </c>
      <c r="I371" s="172" t="s">
        <v>1631</v>
      </c>
      <c r="J371" s="36">
        <v>1</v>
      </c>
      <c r="K371" s="58">
        <v>180</v>
      </c>
      <c r="L371" s="58"/>
      <c r="M371" s="22">
        <f>IFERROR((VLOOKUP(A371,'Current Stocks July-26'!$B:$K,10,0)),0)</f>
        <v>0</v>
      </c>
      <c r="N371" s="22">
        <f t="shared" si="40"/>
        <v>0</v>
      </c>
      <c r="O371" s="22" t="str">
        <f t="shared" si="41"/>
        <v>ORDER NOW</v>
      </c>
      <c r="P371" s="22" t="str">
        <f t="shared" si="42"/>
        <v>CRITICAL</v>
      </c>
      <c r="Q371" s="58">
        <f t="shared" si="43"/>
        <v>60</v>
      </c>
      <c r="R371" s="58">
        <f t="shared" si="44"/>
        <v>240</v>
      </c>
      <c r="S371" s="58">
        <f t="shared" si="45"/>
        <v>240</v>
      </c>
      <c r="T371" s="5">
        <v>7</v>
      </c>
      <c r="U371" s="5" t="s">
        <v>1669</v>
      </c>
      <c r="V371" s="173">
        <f>VLOOKUP(A371,'[1]Final-Short'!$B:$AE,29,0)</f>
        <v>70</v>
      </c>
      <c r="W371" s="171" t="str">
        <f>VLOOKUP(A371,'[1]Final-Short'!$B:$AE,30,0)</f>
        <v>شركة رماح الشرق الأوسط المحدودة</v>
      </c>
      <c r="X371" s="58">
        <f t="shared" si="46"/>
        <v>16800</v>
      </c>
      <c r="Y371" s="58">
        <f t="shared" si="47"/>
        <v>12600</v>
      </c>
    </row>
    <row r="372" spans="1:25" x14ac:dyDescent="0.25">
      <c r="A372" s="36" t="s">
        <v>812</v>
      </c>
      <c r="B372" s="171" t="s">
        <v>813</v>
      </c>
      <c r="C372" s="171" t="s">
        <v>813</v>
      </c>
      <c r="D372" s="172" t="s">
        <v>1631</v>
      </c>
      <c r="E372" s="172" t="s">
        <v>1631</v>
      </c>
      <c r="F372" s="172" t="s">
        <v>1631</v>
      </c>
      <c r="G372" s="172" t="s">
        <v>1631</v>
      </c>
      <c r="H372" s="172" t="s">
        <v>1631</v>
      </c>
      <c r="I372" s="172" t="s">
        <v>5062</v>
      </c>
      <c r="J372" s="36">
        <v>1</v>
      </c>
      <c r="K372" s="58">
        <v>6500</v>
      </c>
      <c r="L372" s="58"/>
      <c r="M372" s="22">
        <f>IFERROR((VLOOKUP(A372,'Current Stocks July-26'!$B:$K,10,0)),0)</f>
        <v>0</v>
      </c>
      <c r="N372" s="22">
        <f t="shared" si="40"/>
        <v>0</v>
      </c>
      <c r="O372" s="22" t="str">
        <f t="shared" si="41"/>
        <v>ORDER NOW</v>
      </c>
      <c r="P372" s="22" t="str">
        <f t="shared" si="42"/>
        <v>CRITICAL</v>
      </c>
      <c r="Q372" s="58">
        <f t="shared" si="43"/>
        <v>2166.6666666666665</v>
      </c>
      <c r="R372" s="58">
        <f t="shared" si="44"/>
        <v>8666.6666666666661</v>
      </c>
      <c r="S372" s="58">
        <f t="shared" si="45"/>
        <v>8666.6666666666661</v>
      </c>
      <c r="T372" s="5">
        <v>7</v>
      </c>
      <c r="U372" s="5" t="s">
        <v>30</v>
      </c>
      <c r="V372" s="173">
        <f>VLOOKUP(A372,'[1]Final-Short'!$B:$AE,29,0)</f>
        <v>9.2777799999999999</v>
      </c>
      <c r="W372" s="171" t="s">
        <v>1992</v>
      </c>
      <c r="X372" s="58">
        <f t="shared" si="46"/>
        <v>80407.426666666666</v>
      </c>
      <c r="Y372" s="58">
        <f t="shared" si="47"/>
        <v>60305.57</v>
      </c>
    </row>
    <row r="373" spans="1:25" x14ac:dyDescent="0.25">
      <c r="A373" s="36" t="s">
        <v>1242</v>
      </c>
      <c r="B373" s="171" t="s">
        <v>1243</v>
      </c>
      <c r="C373" s="171" t="s">
        <v>1243</v>
      </c>
      <c r="D373" s="172" t="s">
        <v>5062</v>
      </c>
      <c r="E373" s="172" t="s">
        <v>1631</v>
      </c>
      <c r="F373" s="172" t="s">
        <v>1631</v>
      </c>
      <c r="G373" s="172" t="s">
        <v>1631</v>
      </c>
      <c r="H373" s="172" t="s">
        <v>1631</v>
      </c>
      <c r="I373" s="172" t="s">
        <v>1631</v>
      </c>
      <c r="J373" s="36">
        <v>1</v>
      </c>
      <c r="K373" s="58">
        <v>280</v>
      </c>
      <c r="L373" s="58"/>
      <c r="M373" s="22">
        <f>IFERROR((VLOOKUP(A373,'Current Stocks July-26'!$B:$K,10,0)),0)</f>
        <v>5</v>
      </c>
      <c r="N373" s="22">
        <f t="shared" si="40"/>
        <v>0.5357142857142857</v>
      </c>
      <c r="O373" s="22" t="str">
        <f t="shared" si="41"/>
        <v>ORDER NOW</v>
      </c>
      <c r="P373" s="22" t="str">
        <f t="shared" si="42"/>
        <v>CRITICAL</v>
      </c>
      <c r="Q373" s="58">
        <f t="shared" si="43"/>
        <v>93.333333333333329</v>
      </c>
      <c r="R373" s="58">
        <f t="shared" si="44"/>
        <v>373.33333333333331</v>
      </c>
      <c r="S373" s="58">
        <f t="shared" si="45"/>
        <v>368.33333333333331</v>
      </c>
      <c r="T373" s="5">
        <v>7</v>
      </c>
      <c r="U373" s="5" t="s">
        <v>30</v>
      </c>
      <c r="V373" s="173">
        <f>VLOOKUP(A373,'[1]Final-Short'!$B:$AE,29,0)</f>
        <v>33.909999999999997</v>
      </c>
      <c r="W373" s="171" t="str">
        <f>VLOOKUP(A373,'[1]Final-Short'!$B:$AE,30,0)</f>
        <v>Najdyh Dates Co. شركة تمور نجدية للتجارة</v>
      </c>
      <c r="X373" s="58">
        <f t="shared" si="46"/>
        <v>12490.183333333331</v>
      </c>
      <c r="Y373" s="58">
        <f t="shared" si="47"/>
        <v>9494.7999999999993</v>
      </c>
    </row>
    <row r="374" spans="1:25" x14ac:dyDescent="0.25">
      <c r="A374" s="36" t="s">
        <v>1110</v>
      </c>
      <c r="B374" s="171" t="s">
        <v>1111</v>
      </c>
      <c r="C374" s="171" t="s">
        <v>1111</v>
      </c>
      <c r="D374" s="172" t="s">
        <v>1631</v>
      </c>
      <c r="E374" s="172" t="s">
        <v>1631</v>
      </c>
      <c r="F374" s="172" t="s">
        <v>1631</v>
      </c>
      <c r="G374" s="172" t="s">
        <v>5062</v>
      </c>
      <c r="H374" s="172" t="s">
        <v>1631</v>
      </c>
      <c r="I374" s="172" t="s">
        <v>5062</v>
      </c>
      <c r="J374" s="36">
        <v>2</v>
      </c>
      <c r="K374" s="58">
        <v>1</v>
      </c>
      <c r="L374" s="58"/>
      <c r="M374" s="22">
        <f>IFERROR((VLOOKUP(A374,'Current Stocks July-26'!$B:$K,10,0)),0)</f>
        <v>320</v>
      </c>
      <c r="N374" s="22">
        <f t="shared" si="40"/>
        <v>9600</v>
      </c>
      <c r="O374" s="22" t="str">
        <f t="shared" si="41"/>
        <v>IN STOCK</v>
      </c>
      <c r="P374" s="22" t="str">
        <f t="shared" si="42"/>
        <v>FOLLOW UP DELIVERY</v>
      </c>
      <c r="Q374" s="58">
        <f t="shared" si="43"/>
        <v>0.33333333333333331</v>
      </c>
      <c r="R374" s="58">
        <f t="shared" si="44"/>
        <v>1.3333333333333333</v>
      </c>
      <c r="S374" s="58">
        <f t="shared" si="45"/>
        <v>0</v>
      </c>
      <c r="T374" s="5">
        <v>7</v>
      </c>
      <c r="U374" s="5" t="s">
        <v>30</v>
      </c>
      <c r="V374" s="195">
        <f>VLOOKUP(A374,'[1]Final-Short'!$B:$AE,29,0)</f>
        <v>24.15</v>
      </c>
      <c r="W374" s="171" t="s">
        <v>1700</v>
      </c>
      <c r="X374" s="58">
        <f t="shared" si="46"/>
        <v>0</v>
      </c>
      <c r="Y374" s="58">
        <f t="shared" si="47"/>
        <v>24.15</v>
      </c>
    </row>
    <row r="375" spans="1:25" x14ac:dyDescent="0.25">
      <c r="A375" s="36" t="s">
        <v>86</v>
      </c>
      <c r="B375" s="171" t="s">
        <v>87</v>
      </c>
      <c r="C375" s="171" t="s">
        <v>87</v>
      </c>
      <c r="D375" s="172" t="s">
        <v>5062</v>
      </c>
      <c r="E375" s="172" t="s">
        <v>1631</v>
      </c>
      <c r="F375" s="172" t="s">
        <v>1631</v>
      </c>
      <c r="G375" s="172" t="s">
        <v>1631</v>
      </c>
      <c r="H375" s="172" t="s">
        <v>1631</v>
      </c>
      <c r="I375" s="172" t="s">
        <v>1631</v>
      </c>
      <c r="J375" s="36">
        <v>1</v>
      </c>
      <c r="K375" s="58">
        <v>750</v>
      </c>
      <c r="L375" s="58"/>
      <c r="M375" s="22">
        <f>IFERROR((VLOOKUP(A375,'Current Stocks July-26'!$B:$K,10,0)),0)</f>
        <v>1070</v>
      </c>
      <c r="N375" s="22">
        <f t="shared" si="40"/>
        <v>42.800000000000004</v>
      </c>
      <c r="O375" s="22" t="str">
        <f t="shared" si="41"/>
        <v>IN STOCK</v>
      </c>
      <c r="P375" s="22" t="str">
        <f t="shared" si="42"/>
        <v>FOLLOW UP DELIVERY</v>
      </c>
      <c r="Q375" s="58">
        <f t="shared" si="43"/>
        <v>250</v>
      </c>
      <c r="R375" s="58">
        <f t="shared" si="44"/>
        <v>1000</v>
      </c>
      <c r="S375" s="58">
        <f t="shared" si="45"/>
        <v>0</v>
      </c>
      <c r="T375" s="5">
        <v>7</v>
      </c>
      <c r="U375" s="5" t="s">
        <v>30</v>
      </c>
      <c r="V375" s="173">
        <f>VLOOKUP(A375,'[1]Final-Short'!$B:$AE,29,0)</f>
        <v>84.8</v>
      </c>
      <c r="W375" s="171" t="str">
        <f>VLOOKUP(A375,'[1]Final-Short'!$B:$AE,30,0)</f>
        <v>AL Babtain Food Co. شركة عبدالعزيز ومنصور إبراهيم البابطين</v>
      </c>
      <c r="X375" s="58">
        <f t="shared" si="46"/>
        <v>0</v>
      </c>
      <c r="Y375" s="58">
        <f t="shared" si="47"/>
        <v>63600</v>
      </c>
    </row>
    <row r="376" spans="1:25" x14ac:dyDescent="0.25">
      <c r="A376" s="36" t="s">
        <v>1287</v>
      </c>
      <c r="B376" s="171" t="s">
        <v>1993</v>
      </c>
      <c r="C376" s="171" t="s">
        <v>1288</v>
      </c>
      <c r="D376" s="172" t="s">
        <v>1631</v>
      </c>
      <c r="E376" s="172" t="s">
        <v>1631</v>
      </c>
      <c r="F376" s="172" t="s">
        <v>1631</v>
      </c>
      <c r="G376" s="172" t="s">
        <v>5062</v>
      </c>
      <c r="H376" s="172" t="s">
        <v>1631</v>
      </c>
      <c r="I376" s="172" t="s">
        <v>1631</v>
      </c>
      <c r="J376" s="36">
        <v>1</v>
      </c>
      <c r="K376" s="58">
        <v>10</v>
      </c>
      <c r="L376" s="58"/>
      <c r="M376" s="22">
        <f>IFERROR((VLOOKUP(A376,'Current Stocks July-26'!$B:$K,10,0)),0)</f>
        <v>18</v>
      </c>
      <c r="N376" s="22">
        <f t="shared" si="40"/>
        <v>54</v>
      </c>
      <c r="O376" s="22" t="str">
        <f t="shared" si="41"/>
        <v>IN STOCK</v>
      </c>
      <c r="P376" s="22" t="str">
        <f t="shared" si="42"/>
        <v>FOLLOW UP DELIVERY</v>
      </c>
      <c r="Q376" s="58">
        <f t="shared" si="43"/>
        <v>3.333333333333333</v>
      </c>
      <c r="R376" s="58">
        <f t="shared" si="44"/>
        <v>13.333333333333332</v>
      </c>
      <c r="S376" s="58">
        <f t="shared" si="45"/>
        <v>0</v>
      </c>
      <c r="T376" s="5">
        <v>7</v>
      </c>
      <c r="U376" s="5" t="s">
        <v>30</v>
      </c>
      <c r="V376" s="173">
        <f>VLOOKUP(A376,'[1]Final-Short'!$B:$AE,29,0)</f>
        <v>15.6</v>
      </c>
      <c r="W376" s="171" t="s">
        <v>1696</v>
      </c>
      <c r="X376" s="58">
        <f t="shared" si="46"/>
        <v>0</v>
      </c>
      <c r="Y376" s="58">
        <f t="shared" si="47"/>
        <v>156</v>
      </c>
    </row>
    <row r="377" spans="1:25" x14ac:dyDescent="0.25">
      <c r="A377" s="36" t="s">
        <v>1185</v>
      </c>
      <c r="B377" s="171" t="s">
        <v>1186</v>
      </c>
      <c r="C377" s="171" t="s">
        <v>1186</v>
      </c>
      <c r="D377" s="172" t="s">
        <v>1631</v>
      </c>
      <c r="E377" s="172" t="s">
        <v>1631</v>
      </c>
      <c r="F377" s="172" t="s">
        <v>1631</v>
      </c>
      <c r="G377" s="172" t="s">
        <v>1631</v>
      </c>
      <c r="H377" s="172" t="s">
        <v>1631</v>
      </c>
      <c r="I377" s="172" t="s">
        <v>5062</v>
      </c>
      <c r="J377" s="36">
        <v>1</v>
      </c>
      <c r="K377" s="58">
        <v>1800</v>
      </c>
      <c r="L377" s="58"/>
      <c r="M377" s="22">
        <f>IFERROR((VLOOKUP(A377,'Current Stocks July-26'!$B:$K,10,0)),0)</f>
        <v>1480</v>
      </c>
      <c r="N377" s="22">
        <f t="shared" si="40"/>
        <v>24.666666666666664</v>
      </c>
      <c r="O377" s="22" t="str">
        <f t="shared" si="41"/>
        <v>IN STOCK</v>
      </c>
      <c r="P377" s="22" t="str">
        <f t="shared" si="42"/>
        <v>FOLLOW UP DELIVERY</v>
      </c>
      <c r="Q377" s="58">
        <f t="shared" si="43"/>
        <v>600</v>
      </c>
      <c r="R377" s="58">
        <f t="shared" si="44"/>
        <v>2400</v>
      </c>
      <c r="S377" s="58">
        <f t="shared" si="45"/>
        <v>920</v>
      </c>
      <c r="T377" s="5">
        <v>7</v>
      </c>
      <c r="U377" s="5" t="s">
        <v>30</v>
      </c>
      <c r="V377" s="173">
        <f>VLOOKUP(A377,'[1]Final-Short'!$B:$AE,29,0)</f>
        <v>10</v>
      </c>
      <c r="W377" s="171" t="s">
        <v>1994</v>
      </c>
      <c r="X377" s="58">
        <f t="shared" si="46"/>
        <v>9200</v>
      </c>
      <c r="Y377" s="58">
        <f t="shared" si="47"/>
        <v>18000</v>
      </c>
    </row>
    <row r="378" spans="1:25" x14ac:dyDescent="0.25">
      <c r="A378" s="36" t="s">
        <v>1511</v>
      </c>
      <c r="B378" s="171" t="s">
        <v>1512</v>
      </c>
      <c r="C378" s="171" t="s">
        <v>1512</v>
      </c>
      <c r="D378" s="172" t="s">
        <v>5062</v>
      </c>
      <c r="E378" s="172" t="s">
        <v>5062</v>
      </c>
      <c r="F378" s="172" t="s">
        <v>1631</v>
      </c>
      <c r="G378" s="172" t="s">
        <v>1631</v>
      </c>
      <c r="H378" s="172" t="s">
        <v>1631</v>
      </c>
      <c r="I378" s="172" t="s">
        <v>1631</v>
      </c>
      <c r="J378" s="36">
        <v>2</v>
      </c>
      <c r="K378" s="58">
        <v>20</v>
      </c>
      <c r="L378" s="58"/>
      <c r="M378" s="22">
        <f>IFERROR((VLOOKUP(A378,'Current Stocks July-26'!$B:$K,10,0)),0)</f>
        <v>89</v>
      </c>
      <c r="N378" s="22">
        <f t="shared" si="40"/>
        <v>133.5</v>
      </c>
      <c r="O378" s="22" t="str">
        <f t="shared" si="41"/>
        <v>IN STOCK</v>
      </c>
      <c r="P378" s="22" t="str">
        <f t="shared" si="42"/>
        <v>FOLLOW UP DELIVERY</v>
      </c>
      <c r="Q378" s="58">
        <f t="shared" si="43"/>
        <v>6.6666666666666661</v>
      </c>
      <c r="R378" s="58">
        <f t="shared" si="44"/>
        <v>26.666666666666664</v>
      </c>
      <c r="S378" s="58">
        <f t="shared" si="45"/>
        <v>0</v>
      </c>
      <c r="T378" s="5">
        <v>7</v>
      </c>
      <c r="U378" s="5" t="s">
        <v>30</v>
      </c>
      <c r="V378" s="173">
        <f>VLOOKUP(A378,'[1]Final-Short'!$B:$AE,29,0)</f>
        <v>42.142859999999999</v>
      </c>
      <c r="W378" s="171" t="str">
        <f>VLOOKUP(A378,'[1]Final-Short'!$B:$AE,30,0)</f>
        <v>شركة اضافات العالمية للتجارة-Edafat</v>
      </c>
      <c r="X378" s="58">
        <f t="shared" si="46"/>
        <v>0</v>
      </c>
      <c r="Y378" s="58">
        <f t="shared" si="47"/>
        <v>842.85719999999992</v>
      </c>
    </row>
    <row r="379" spans="1:25" x14ac:dyDescent="0.25">
      <c r="A379" s="36" t="s">
        <v>807</v>
      </c>
      <c r="B379" s="171" t="s">
        <v>808</v>
      </c>
      <c r="C379" s="171" t="s">
        <v>808</v>
      </c>
      <c r="D379" s="172" t="s">
        <v>5062</v>
      </c>
      <c r="E379" s="172" t="s">
        <v>1631</v>
      </c>
      <c r="F379" s="172" t="s">
        <v>1631</v>
      </c>
      <c r="G379" s="172" t="s">
        <v>1631</v>
      </c>
      <c r="H379" s="172" t="s">
        <v>1631</v>
      </c>
      <c r="I379" s="172" t="s">
        <v>5062</v>
      </c>
      <c r="J379" s="36">
        <v>2</v>
      </c>
      <c r="K379" s="58">
        <v>220</v>
      </c>
      <c r="L379" s="58"/>
      <c r="M379" s="22">
        <f>IFERROR((VLOOKUP(A379,'Current Stocks July-26'!$B:$K,10,0)),0)</f>
        <v>2328</v>
      </c>
      <c r="N379" s="22">
        <f t="shared" si="40"/>
        <v>317.45454545454544</v>
      </c>
      <c r="O379" s="22" t="str">
        <f t="shared" si="41"/>
        <v>IN STOCK</v>
      </c>
      <c r="P379" s="22" t="str">
        <f t="shared" si="42"/>
        <v>FOLLOW UP DELIVERY</v>
      </c>
      <c r="Q379" s="58">
        <f t="shared" si="43"/>
        <v>124.66666666666666</v>
      </c>
      <c r="R379" s="58">
        <f t="shared" si="44"/>
        <v>344.66666666666663</v>
      </c>
      <c r="S379" s="58">
        <f t="shared" si="45"/>
        <v>0</v>
      </c>
      <c r="T379" s="5">
        <v>14</v>
      </c>
      <c r="U379" s="5" t="s">
        <v>1669</v>
      </c>
      <c r="V379" s="173">
        <f>VLOOKUP(A379,'[1]Final-Short'!$B:$AE,29,0)</f>
        <v>41</v>
      </c>
      <c r="W379" s="171" t="str">
        <f>VLOOKUP(A379,'[1]Final-Short'!$B:$AE,30,0)</f>
        <v>BanoPuratos Arabia Co. "Sweet Mix Co. شركة خليط الحلى المتحدة"</v>
      </c>
      <c r="X379" s="58">
        <f t="shared" si="46"/>
        <v>0</v>
      </c>
      <c r="Y379" s="58">
        <f t="shared" si="47"/>
        <v>9020</v>
      </c>
    </row>
    <row r="380" spans="1:25" x14ac:dyDescent="0.25">
      <c r="A380" s="36" t="s">
        <v>1096</v>
      </c>
      <c r="B380" s="171" t="s">
        <v>1097</v>
      </c>
      <c r="C380" s="171" t="s">
        <v>1097</v>
      </c>
      <c r="D380" s="172" t="s">
        <v>1631</v>
      </c>
      <c r="E380" s="172" t="s">
        <v>1631</v>
      </c>
      <c r="F380" s="172" t="s">
        <v>1631</v>
      </c>
      <c r="G380" s="172" t="s">
        <v>1631</v>
      </c>
      <c r="H380" s="172" t="s">
        <v>1631</v>
      </c>
      <c r="I380" s="172" t="s">
        <v>5062</v>
      </c>
      <c r="J380" s="36">
        <v>1</v>
      </c>
      <c r="K380" s="58">
        <v>1500</v>
      </c>
      <c r="L380" s="58"/>
      <c r="M380" s="22">
        <f>IFERROR((VLOOKUP(A380,'Current Stocks July-26'!$B:$K,10,0)),0)</f>
        <v>750</v>
      </c>
      <c r="N380" s="22">
        <f t="shared" si="40"/>
        <v>15</v>
      </c>
      <c r="O380" s="22" t="str">
        <f t="shared" si="41"/>
        <v>IN STOCK</v>
      </c>
      <c r="P380" s="22" t="str">
        <f t="shared" si="42"/>
        <v>FOLLOW UP DELIVERY</v>
      </c>
      <c r="Q380" s="58">
        <f t="shared" si="43"/>
        <v>500</v>
      </c>
      <c r="R380" s="58">
        <f t="shared" si="44"/>
        <v>2000</v>
      </c>
      <c r="S380" s="58">
        <f t="shared" si="45"/>
        <v>1250</v>
      </c>
      <c r="T380" s="5">
        <v>7</v>
      </c>
      <c r="U380" s="5" t="s">
        <v>1669</v>
      </c>
      <c r="V380" s="173">
        <f>VLOOKUP(A380,'[1]Final-Short'!$B:$AE,29,0)</f>
        <v>52</v>
      </c>
      <c r="W380" s="171" t="s">
        <v>1704</v>
      </c>
      <c r="X380" s="58">
        <f t="shared" si="46"/>
        <v>65000</v>
      </c>
      <c r="Y380" s="58">
        <f t="shared" si="47"/>
        <v>78000</v>
      </c>
    </row>
    <row r="381" spans="1:25" x14ac:dyDescent="0.25">
      <c r="A381" s="36" t="s">
        <v>1453</v>
      </c>
      <c r="B381" s="171" t="s">
        <v>1454</v>
      </c>
      <c r="C381" s="171" t="s">
        <v>1454</v>
      </c>
      <c r="D381" s="172" t="s">
        <v>5062</v>
      </c>
      <c r="E381" s="172" t="s">
        <v>1631</v>
      </c>
      <c r="F381" s="172" t="s">
        <v>1631</v>
      </c>
      <c r="G381" s="172" t="s">
        <v>1631</v>
      </c>
      <c r="H381" s="172" t="s">
        <v>1631</v>
      </c>
      <c r="I381" s="172" t="s">
        <v>1631</v>
      </c>
      <c r="J381" s="36">
        <v>1</v>
      </c>
      <c r="K381" s="180">
        <v>150</v>
      </c>
      <c r="L381" s="180"/>
      <c r="M381" s="22">
        <f>IFERROR((VLOOKUP(A381,'Current Stocks July-26'!$B:$K,10,0)),0)</f>
        <v>624</v>
      </c>
      <c r="N381" s="22">
        <f t="shared" si="40"/>
        <v>124.80000000000001</v>
      </c>
      <c r="O381" s="22" t="str">
        <f t="shared" si="41"/>
        <v>IN STOCK</v>
      </c>
      <c r="P381" s="22" t="str">
        <f t="shared" si="42"/>
        <v>FOLLOW UP DELIVERY</v>
      </c>
      <c r="Q381" s="58">
        <f t="shared" si="43"/>
        <v>50</v>
      </c>
      <c r="R381" s="58">
        <f t="shared" si="44"/>
        <v>200</v>
      </c>
      <c r="S381" s="58">
        <f t="shared" si="45"/>
        <v>0</v>
      </c>
      <c r="T381" s="5">
        <v>7</v>
      </c>
      <c r="U381" s="5" t="s">
        <v>30</v>
      </c>
      <c r="V381" s="173">
        <f>VLOOKUP(A381,'[1]Final-Short'!$B:$AE,29,0)</f>
        <v>40</v>
      </c>
      <c r="W381" s="171" t="str">
        <f>VLOOKUP(A381,'[1]Final-Short'!$B:$AE,30,0)</f>
        <v>شركة خطوط الافكار للتجارة</v>
      </c>
      <c r="X381" s="58">
        <f t="shared" si="46"/>
        <v>0</v>
      </c>
      <c r="Y381" s="58">
        <f t="shared" si="47"/>
        <v>6000</v>
      </c>
    </row>
    <row r="382" spans="1:25" x14ac:dyDescent="0.25">
      <c r="A382" s="36" t="s">
        <v>1247</v>
      </c>
      <c r="B382" s="171" t="s">
        <v>1248</v>
      </c>
      <c r="C382" s="171" t="s">
        <v>1248</v>
      </c>
      <c r="D382" s="172" t="s">
        <v>5062</v>
      </c>
      <c r="E382" s="172" t="s">
        <v>1631</v>
      </c>
      <c r="F382" s="172" t="s">
        <v>1631</v>
      </c>
      <c r="G382" s="172" t="s">
        <v>1631</v>
      </c>
      <c r="H382" s="172" t="s">
        <v>1631</v>
      </c>
      <c r="I382" s="172" t="s">
        <v>1631</v>
      </c>
      <c r="J382" s="36">
        <v>1</v>
      </c>
      <c r="K382" s="58">
        <v>90</v>
      </c>
      <c r="L382" s="194"/>
      <c r="M382" s="22">
        <f>IFERROR((VLOOKUP(A382,'Current Stocks July-26'!$B:$K,10,0)),0)</f>
        <v>167</v>
      </c>
      <c r="N382" s="22">
        <f t="shared" si="40"/>
        <v>55.666666666666671</v>
      </c>
      <c r="O382" s="22" t="str">
        <f t="shared" si="41"/>
        <v>IN STOCK</v>
      </c>
      <c r="P382" s="22" t="str">
        <f t="shared" si="42"/>
        <v>FOLLOW UP DELIVERY</v>
      </c>
      <c r="Q382" s="58">
        <f t="shared" si="43"/>
        <v>30</v>
      </c>
      <c r="R382" s="58">
        <f t="shared" si="44"/>
        <v>120</v>
      </c>
      <c r="S382" s="58">
        <f t="shared" si="45"/>
        <v>0</v>
      </c>
      <c r="T382" s="5">
        <v>7</v>
      </c>
      <c r="U382" s="5" t="s">
        <v>30</v>
      </c>
      <c r="V382" s="195">
        <f>VLOOKUP(A382,'[1]Final-Short'!$B:$AE,29,0)</f>
        <v>45.885289999999998</v>
      </c>
      <c r="W382" s="171" t="str">
        <f>VLOOKUP(A382,'[1]Final-Short'!$B:$AE,30,0)</f>
        <v>شركة مصدر الامداد - Masdar Food Supply</v>
      </c>
      <c r="X382" s="58">
        <f t="shared" si="46"/>
        <v>0</v>
      </c>
      <c r="Y382" s="58">
        <f t="shared" si="47"/>
        <v>4129.6760999999997</v>
      </c>
    </row>
    <row r="383" spans="1:25" x14ac:dyDescent="0.25">
      <c r="A383" s="36" t="s">
        <v>1285</v>
      </c>
      <c r="B383" s="171" t="s">
        <v>1286</v>
      </c>
      <c r="C383" s="171" t="s">
        <v>1286</v>
      </c>
      <c r="D383" s="172" t="s">
        <v>1631</v>
      </c>
      <c r="E383" s="172" t="s">
        <v>1631</v>
      </c>
      <c r="F383" s="172" t="s">
        <v>1631</v>
      </c>
      <c r="G383" s="172" t="s">
        <v>5062</v>
      </c>
      <c r="H383" s="172" t="s">
        <v>1631</v>
      </c>
      <c r="I383" s="172" t="s">
        <v>1631</v>
      </c>
      <c r="J383" s="36">
        <v>1</v>
      </c>
      <c r="K383" s="58">
        <v>2</v>
      </c>
      <c r="L383" s="58"/>
      <c r="M383" s="22">
        <f>IFERROR((VLOOKUP(A383,'Current Stocks July-26'!$B:$K,10,0)),0)</f>
        <v>3</v>
      </c>
      <c r="N383" s="22">
        <f t="shared" si="40"/>
        <v>45</v>
      </c>
      <c r="O383" s="22" t="str">
        <f t="shared" si="41"/>
        <v>IN STOCK</v>
      </c>
      <c r="P383" s="22" t="str">
        <f t="shared" si="42"/>
        <v>FOLLOW UP DELIVERY</v>
      </c>
      <c r="Q383" s="58">
        <f t="shared" si="43"/>
        <v>0.66666666666666663</v>
      </c>
      <c r="R383" s="58">
        <f t="shared" si="44"/>
        <v>2.6666666666666665</v>
      </c>
      <c r="S383" s="58">
        <f t="shared" si="45"/>
        <v>0</v>
      </c>
      <c r="T383" s="5">
        <v>7</v>
      </c>
      <c r="U383" s="5" t="s">
        <v>30</v>
      </c>
      <c r="V383" s="173">
        <f>VLOOKUP(A383,'[1]Final-Short'!$B:$AE,29,0)</f>
        <v>35</v>
      </c>
      <c r="W383" s="171" t="s">
        <v>1696</v>
      </c>
      <c r="X383" s="58">
        <f t="shared" si="46"/>
        <v>0</v>
      </c>
      <c r="Y383" s="58">
        <f t="shared" si="47"/>
        <v>70</v>
      </c>
    </row>
    <row r="384" spans="1:25" x14ac:dyDescent="0.25">
      <c r="A384" s="36" t="s">
        <v>888</v>
      </c>
      <c r="B384" s="171" t="s">
        <v>889</v>
      </c>
      <c r="C384" s="171" t="s">
        <v>889</v>
      </c>
      <c r="D384" s="172" t="s">
        <v>5062</v>
      </c>
      <c r="E384" s="172" t="s">
        <v>1631</v>
      </c>
      <c r="F384" s="172" t="s">
        <v>1631</v>
      </c>
      <c r="G384" s="172" t="s">
        <v>1631</v>
      </c>
      <c r="H384" s="172" t="s">
        <v>1631</v>
      </c>
      <c r="I384" s="172" t="s">
        <v>1631</v>
      </c>
      <c r="J384" s="36">
        <v>1</v>
      </c>
      <c r="K384" s="58">
        <v>615</v>
      </c>
      <c r="L384" s="58"/>
      <c r="M384" s="22">
        <f>IFERROR((VLOOKUP(A384,'Current Stocks July-26'!$B:$K,10,0)),0)</f>
        <v>840</v>
      </c>
      <c r="N384" s="22">
        <f t="shared" si="40"/>
        <v>40.975609756097562</v>
      </c>
      <c r="O384" s="22" t="str">
        <f t="shared" si="41"/>
        <v>IN STOCK</v>
      </c>
      <c r="P384" s="22" t="str">
        <f t="shared" si="42"/>
        <v>FOLLOW UP DELIVERY</v>
      </c>
      <c r="Q384" s="58">
        <f t="shared" si="43"/>
        <v>205</v>
      </c>
      <c r="R384" s="58">
        <f t="shared" si="44"/>
        <v>820</v>
      </c>
      <c r="S384" s="58">
        <f t="shared" si="45"/>
        <v>0</v>
      </c>
      <c r="T384" s="5">
        <v>7</v>
      </c>
      <c r="U384" s="5" t="s">
        <v>30</v>
      </c>
      <c r="V384" s="173">
        <f>VLOOKUP(A384,'[1]Final-Short'!$B:$AE,29,0)</f>
        <v>40</v>
      </c>
      <c r="W384" s="171" t="str">
        <f>VLOOKUP(A384,'[1]Final-Short'!$B:$AE,30,0)</f>
        <v>شركة اضافات العالمية للتجارة-Edafat</v>
      </c>
      <c r="X384" s="58">
        <f t="shared" si="46"/>
        <v>0</v>
      </c>
      <c r="Y384" s="58">
        <f t="shared" si="47"/>
        <v>24600</v>
      </c>
    </row>
    <row r="385" spans="1:25" x14ac:dyDescent="0.25">
      <c r="A385" s="36" t="s">
        <v>987</v>
      </c>
      <c r="B385" s="171" t="s">
        <v>988</v>
      </c>
      <c r="C385" s="171" t="s">
        <v>988</v>
      </c>
      <c r="D385" s="172" t="s">
        <v>5062</v>
      </c>
      <c r="E385" s="172" t="s">
        <v>5062</v>
      </c>
      <c r="F385" s="172" t="s">
        <v>1631</v>
      </c>
      <c r="G385" s="172" t="s">
        <v>1631</v>
      </c>
      <c r="H385" s="172" t="s">
        <v>1631</v>
      </c>
      <c r="I385" s="172" t="s">
        <v>1631</v>
      </c>
      <c r="J385" s="36">
        <v>2</v>
      </c>
      <c r="K385" s="58">
        <v>350</v>
      </c>
      <c r="L385" s="58"/>
      <c r="M385" s="22">
        <f>IFERROR((VLOOKUP(A385,'Current Stocks July-26'!$B:$K,10,0)),0)</f>
        <v>0</v>
      </c>
      <c r="N385" s="22">
        <f t="shared" si="40"/>
        <v>0</v>
      </c>
      <c r="O385" s="22" t="str">
        <f t="shared" si="41"/>
        <v>ORDER NOW</v>
      </c>
      <c r="P385" s="22" t="str">
        <f t="shared" si="42"/>
        <v>CRITICAL</v>
      </c>
      <c r="Q385" s="58">
        <f t="shared" si="43"/>
        <v>116.66666666666666</v>
      </c>
      <c r="R385" s="58">
        <f t="shared" si="44"/>
        <v>466.66666666666663</v>
      </c>
      <c r="S385" s="58">
        <f t="shared" si="45"/>
        <v>466.66666666666663</v>
      </c>
      <c r="T385" s="5">
        <v>7</v>
      </c>
      <c r="U385" s="5" t="s">
        <v>30</v>
      </c>
      <c r="V385" s="173">
        <f>VLOOKUP(A385,'[1]Final-Short'!$B:$AE,29,0)</f>
        <v>14</v>
      </c>
      <c r="W385" s="171" t="str">
        <f>VLOOKUP(A385,'[1]Final-Short'!$B:$AE,30,0)</f>
        <v>شركة أعمال الضيافة للخدمات التموينية</v>
      </c>
      <c r="X385" s="58">
        <f t="shared" si="46"/>
        <v>6533.333333333333</v>
      </c>
      <c r="Y385" s="58">
        <f t="shared" si="47"/>
        <v>4900</v>
      </c>
    </row>
    <row r="386" spans="1:25" x14ac:dyDescent="0.25">
      <c r="A386" s="36" t="s">
        <v>1103</v>
      </c>
      <c r="B386" s="171" t="s">
        <v>1104</v>
      </c>
      <c r="C386" s="171" t="s">
        <v>1104</v>
      </c>
      <c r="D386" s="172" t="s">
        <v>5062</v>
      </c>
      <c r="E386" s="172" t="s">
        <v>1631</v>
      </c>
      <c r="F386" s="172" t="s">
        <v>1631</v>
      </c>
      <c r="G386" s="172" t="s">
        <v>1631</v>
      </c>
      <c r="H386" s="172" t="s">
        <v>1631</v>
      </c>
      <c r="I386" s="172" t="s">
        <v>5062</v>
      </c>
      <c r="J386" s="36">
        <v>2</v>
      </c>
      <c r="K386" s="58">
        <v>12000</v>
      </c>
      <c r="L386" s="58"/>
      <c r="M386" s="22">
        <f>IFERROR((VLOOKUP(A386,'Current Stocks July-26'!$B:$K,10,0)),0)</f>
        <v>37324</v>
      </c>
      <c r="N386" s="22">
        <f t="shared" ref="N386:N449" si="48">IFERROR((M386/K386*30),0)</f>
        <v>93.31</v>
      </c>
      <c r="O386" s="22" t="str">
        <f t="shared" ref="O386:O449" si="49">IF(N386&lt;T386,"ORDER NOW","IN STOCK")</f>
        <v>IN STOCK</v>
      </c>
      <c r="P386" s="22" t="str">
        <f t="shared" ref="P386:P449" si="50">IF(N386&lt;T386,"CRITICAL","FOLLOW UP DELIVERY")</f>
        <v>FOLLOW UP DELIVERY</v>
      </c>
      <c r="Q386" s="58">
        <f t="shared" ref="Q386:Q449" si="51">K386*((T386+3)/30)</f>
        <v>37200</v>
      </c>
      <c r="R386" s="58">
        <f t="shared" ref="R386:R449" si="52">Q386+K386</f>
        <v>49200</v>
      </c>
      <c r="S386" s="58">
        <f t="shared" ref="S386:S449" si="53">MAX((K386+Q386)-M386,0)</f>
        <v>11876</v>
      </c>
      <c r="T386" s="5">
        <v>90</v>
      </c>
      <c r="U386" s="5" t="s">
        <v>1669</v>
      </c>
      <c r="V386" s="173">
        <f>VLOOKUP(A386,'[1]Final-Short'!$B:$AE,29,0)</f>
        <v>22.1</v>
      </c>
      <c r="W386" s="171" t="str">
        <f>VLOOKUP(A386,'[1]Final-Short'!$B:$AE,30,0)</f>
        <v>Crea Chocoalte Italy</v>
      </c>
      <c r="X386" s="58">
        <f t="shared" ref="X386:X449" si="54">S386*V386</f>
        <v>262459.60000000003</v>
      </c>
      <c r="Y386" s="58">
        <f t="shared" ref="Y386:Y449" si="55">K386*V386</f>
        <v>265200</v>
      </c>
    </row>
    <row r="387" spans="1:25" x14ac:dyDescent="0.25">
      <c r="A387" s="36" t="s">
        <v>226</v>
      </c>
      <c r="B387" s="171" t="s">
        <v>227</v>
      </c>
      <c r="C387" s="171" t="s">
        <v>227</v>
      </c>
      <c r="D387" s="172" t="s">
        <v>1631</v>
      </c>
      <c r="E387" s="172" t="s">
        <v>1631</v>
      </c>
      <c r="F387" s="172" t="s">
        <v>1631</v>
      </c>
      <c r="G387" s="172" t="s">
        <v>5062</v>
      </c>
      <c r="H387" s="172" t="s">
        <v>1631</v>
      </c>
      <c r="I387" s="172" t="s">
        <v>1631</v>
      </c>
      <c r="J387" s="36">
        <v>1</v>
      </c>
      <c r="K387" s="58">
        <v>4000</v>
      </c>
      <c r="L387" s="58"/>
      <c r="M387" s="22">
        <f>IFERROR((VLOOKUP(A387,'Current Stocks July-26'!$B:$K,10,0)),0)</f>
        <v>12500</v>
      </c>
      <c r="N387" s="22">
        <f t="shared" si="48"/>
        <v>93.75</v>
      </c>
      <c r="O387" s="22" t="str">
        <f t="shared" si="49"/>
        <v>IN STOCK</v>
      </c>
      <c r="P387" s="22" t="str">
        <f t="shared" si="50"/>
        <v>FOLLOW UP DELIVERY</v>
      </c>
      <c r="Q387" s="58">
        <f t="shared" si="51"/>
        <v>1333.3333333333333</v>
      </c>
      <c r="R387" s="58">
        <f t="shared" si="52"/>
        <v>5333.333333333333</v>
      </c>
      <c r="S387" s="58">
        <f t="shared" si="53"/>
        <v>0</v>
      </c>
      <c r="T387" s="5">
        <v>7</v>
      </c>
      <c r="U387" s="5" t="s">
        <v>30</v>
      </c>
      <c r="V387" s="173">
        <f>VLOOKUP(A387,'[1]Final-Short'!$B:$AE,29,0)</f>
        <v>0.15</v>
      </c>
      <c r="W387" s="171" t="s">
        <v>1795</v>
      </c>
      <c r="X387" s="58">
        <f t="shared" si="54"/>
        <v>0</v>
      </c>
      <c r="Y387" s="58">
        <f t="shared" si="55"/>
        <v>600</v>
      </c>
    </row>
    <row r="388" spans="1:25" x14ac:dyDescent="0.25">
      <c r="A388" s="36" t="s">
        <v>1576</v>
      </c>
      <c r="B388" s="171" t="s">
        <v>1577</v>
      </c>
      <c r="C388" s="171" t="s">
        <v>1577</v>
      </c>
      <c r="D388" s="172" t="s">
        <v>1631</v>
      </c>
      <c r="E388" s="172" t="s">
        <v>1631</v>
      </c>
      <c r="F388" s="172" t="s">
        <v>1631</v>
      </c>
      <c r="G388" s="172" t="s">
        <v>5062</v>
      </c>
      <c r="H388" s="172" t="s">
        <v>1631</v>
      </c>
      <c r="I388" s="172" t="s">
        <v>1631</v>
      </c>
      <c r="J388" s="36">
        <v>1</v>
      </c>
      <c r="K388" s="58">
        <v>1</v>
      </c>
      <c r="L388" s="58"/>
      <c r="M388" s="22">
        <f>IFERROR((VLOOKUP(A388,'Current Stocks July-26'!$B:$K,10,0)),0)</f>
        <v>90</v>
      </c>
      <c r="N388" s="22">
        <f t="shared" si="48"/>
        <v>2700</v>
      </c>
      <c r="O388" s="22" t="str">
        <f t="shared" si="49"/>
        <v>IN STOCK</v>
      </c>
      <c r="P388" s="22" t="str">
        <f t="shared" si="50"/>
        <v>FOLLOW UP DELIVERY</v>
      </c>
      <c r="Q388" s="58">
        <f t="shared" si="51"/>
        <v>0.33333333333333331</v>
      </c>
      <c r="R388" s="58">
        <f t="shared" si="52"/>
        <v>1.3333333333333333</v>
      </c>
      <c r="S388" s="58">
        <f t="shared" si="53"/>
        <v>0</v>
      </c>
      <c r="T388" s="5">
        <v>7</v>
      </c>
      <c r="U388" s="5" t="s">
        <v>30</v>
      </c>
      <c r="V388" s="173">
        <f>VLOOKUP(A388,'[1]Final-Short'!$B:$AE,29,0)</f>
        <v>24.911999999999999</v>
      </c>
      <c r="W388" s="171" t="s">
        <v>1700</v>
      </c>
      <c r="X388" s="58">
        <f t="shared" si="54"/>
        <v>0</v>
      </c>
      <c r="Y388" s="58">
        <f t="shared" si="55"/>
        <v>24.911999999999999</v>
      </c>
    </row>
    <row r="389" spans="1:25" x14ac:dyDescent="0.25">
      <c r="A389" s="36" t="s">
        <v>1138</v>
      </c>
      <c r="B389" s="171" t="s">
        <v>1139</v>
      </c>
      <c r="C389" s="171" t="s">
        <v>1139</v>
      </c>
      <c r="D389" s="172" t="s">
        <v>1631</v>
      </c>
      <c r="E389" s="172" t="s">
        <v>1631</v>
      </c>
      <c r="F389" s="172" t="s">
        <v>1631</v>
      </c>
      <c r="G389" s="172" t="s">
        <v>1631</v>
      </c>
      <c r="H389" s="172" t="s">
        <v>1631</v>
      </c>
      <c r="I389" s="172" t="s">
        <v>5062</v>
      </c>
      <c r="J389" s="36">
        <v>1</v>
      </c>
      <c r="K389" s="58">
        <v>1650</v>
      </c>
      <c r="L389" s="58"/>
      <c r="M389" s="22">
        <f>IFERROR((VLOOKUP(A389,'Current Stocks July-26'!$B:$K,10,0)),0)</f>
        <v>1250</v>
      </c>
      <c r="N389" s="22">
        <f t="shared" si="48"/>
        <v>22.727272727272727</v>
      </c>
      <c r="O389" s="22" t="str">
        <f t="shared" si="49"/>
        <v>IN STOCK</v>
      </c>
      <c r="P389" s="22" t="str">
        <f t="shared" si="50"/>
        <v>FOLLOW UP DELIVERY</v>
      </c>
      <c r="Q389" s="58">
        <f t="shared" si="51"/>
        <v>550</v>
      </c>
      <c r="R389" s="58">
        <f t="shared" si="52"/>
        <v>2200</v>
      </c>
      <c r="S389" s="58">
        <f t="shared" si="53"/>
        <v>950</v>
      </c>
      <c r="T389" s="5">
        <v>7</v>
      </c>
      <c r="U389" s="5" t="s">
        <v>1669</v>
      </c>
      <c r="V389" s="173">
        <f>VLOOKUP(A389,'[1]Final-Short'!$B:$AE,29,0)</f>
        <v>29</v>
      </c>
      <c r="W389" s="171" t="s">
        <v>1995</v>
      </c>
      <c r="X389" s="58">
        <f t="shared" si="54"/>
        <v>27550</v>
      </c>
      <c r="Y389" s="58">
        <f t="shared" si="55"/>
        <v>47850</v>
      </c>
    </row>
    <row r="390" spans="1:25" x14ac:dyDescent="0.25">
      <c r="A390" s="36" t="s">
        <v>1354</v>
      </c>
      <c r="B390" s="171" t="s">
        <v>1355</v>
      </c>
      <c r="C390" s="171" t="s">
        <v>1355</v>
      </c>
      <c r="D390" s="172" t="s">
        <v>1631</v>
      </c>
      <c r="E390" s="172" t="s">
        <v>1631</v>
      </c>
      <c r="F390" s="172" t="s">
        <v>1631</v>
      </c>
      <c r="G390" s="172" t="s">
        <v>1631</v>
      </c>
      <c r="H390" s="172" t="s">
        <v>1631</v>
      </c>
      <c r="I390" s="172" t="s">
        <v>5062</v>
      </c>
      <c r="J390" s="36">
        <v>1</v>
      </c>
      <c r="K390" s="58">
        <v>50</v>
      </c>
      <c r="L390" s="58"/>
      <c r="M390" s="22">
        <f>IFERROR((VLOOKUP(A390,'Current Stocks July-26'!$B:$K,10,0)),0)</f>
        <v>820</v>
      </c>
      <c r="N390" s="22">
        <f t="shared" si="48"/>
        <v>491.99999999999994</v>
      </c>
      <c r="O390" s="22" t="str">
        <f t="shared" si="49"/>
        <v>IN STOCK</v>
      </c>
      <c r="P390" s="22" t="str">
        <f t="shared" si="50"/>
        <v>FOLLOW UP DELIVERY</v>
      </c>
      <c r="Q390" s="58">
        <f t="shared" si="51"/>
        <v>28.333333333333332</v>
      </c>
      <c r="R390" s="58">
        <f t="shared" si="52"/>
        <v>78.333333333333329</v>
      </c>
      <c r="S390" s="58">
        <f t="shared" si="53"/>
        <v>0</v>
      </c>
      <c r="T390" s="5">
        <v>14</v>
      </c>
      <c r="U390" s="5" t="s">
        <v>1669</v>
      </c>
      <c r="V390" s="173">
        <f>VLOOKUP(A390,'[1]Final-Short'!$B:$AE,29,0)</f>
        <v>130</v>
      </c>
      <c r="W390" s="171" t="s">
        <v>1721</v>
      </c>
      <c r="X390" s="58">
        <f t="shared" si="54"/>
        <v>0</v>
      </c>
      <c r="Y390" s="58">
        <f t="shared" si="55"/>
        <v>6500</v>
      </c>
    </row>
    <row r="391" spans="1:25" x14ac:dyDescent="0.25">
      <c r="A391" s="36" t="s">
        <v>131</v>
      </c>
      <c r="B391" s="171" t="s">
        <v>132</v>
      </c>
      <c r="C391" s="171" t="s">
        <v>132</v>
      </c>
      <c r="D391" s="172" t="s">
        <v>1631</v>
      </c>
      <c r="E391" s="172" t="s">
        <v>1631</v>
      </c>
      <c r="F391" s="172" t="s">
        <v>1631</v>
      </c>
      <c r="G391" s="172" t="s">
        <v>5062</v>
      </c>
      <c r="H391" s="172" t="s">
        <v>1631</v>
      </c>
      <c r="I391" s="172" t="s">
        <v>5062</v>
      </c>
      <c r="J391" s="36">
        <v>2</v>
      </c>
      <c r="K391" s="58">
        <v>1200</v>
      </c>
      <c r="L391" s="58"/>
      <c r="M391" s="22">
        <f>IFERROR((VLOOKUP(A391,'Current Stocks July-26'!$B:$K,10,0)),0)</f>
        <v>1070</v>
      </c>
      <c r="N391" s="22">
        <f t="shared" si="48"/>
        <v>26.75</v>
      </c>
      <c r="O391" s="22" t="str">
        <f t="shared" si="49"/>
        <v>IN STOCK</v>
      </c>
      <c r="P391" s="22" t="str">
        <f t="shared" si="50"/>
        <v>FOLLOW UP DELIVERY</v>
      </c>
      <c r="Q391" s="58">
        <f t="shared" si="51"/>
        <v>400</v>
      </c>
      <c r="R391" s="58">
        <f t="shared" si="52"/>
        <v>1600</v>
      </c>
      <c r="S391" s="58">
        <f t="shared" si="53"/>
        <v>530</v>
      </c>
      <c r="T391" s="5">
        <v>7</v>
      </c>
      <c r="U391" s="5" t="s">
        <v>30</v>
      </c>
      <c r="V391" s="173">
        <f>VLOOKUP(A391,'[1]Final-Short'!$B:$AE,29,0)</f>
        <v>34.200000000000003</v>
      </c>
      <c r="W391" s="171" t="s">
        <v>1700</v>
      </c>
      <c r="X391" s="58">
        <f t="shared" si="54"/>
        <v>18126</v>
      </c>
      <c r="Y391" s="58">
        <f t="shared" si="55"/>
        <v>41040</v>
      </c>
    </row>
    <row r="392" spans="1:25" x14ac:dyDescent="0.25">
      <c r="A392" s="36" t="s">
        <v>1352</v>
      </c>
      <c r="B392" s="171" t="s">
        <v>1353</v>
      </c>
      <c r="C392" s="171" t="s">
        <v>1353</v>
      </c>
      <c r="D392" s="172" t="s">
        <v>5062</v>
      </c>
      <c r="E392" s="172" t="s">
        <v>1631</v>
      </c>
      <c r="F392" s="172" t="s">
        <v>1631</v>
      </c>
      <c r="G392" s="172" t="s">
        <v>1631</v>
      </c>
      <c r="H392" s="172" t="s">
        <v>1631</v>
      </c>
      <c r="I392" s="172" t="s">
        <v>5062</v>
      </c>
      <c r="J392" s="36">
        <v>2</v>
      </c>
      <c r="K392" s="58">
        <v>540</v>
      </c>
      <c r="L392" s="58"/>
      <c r="M392" s="22">
        <f>IFERROR((VLOOKUP(A392,'Current Stocks July-26'!$B:$K,10,0)),0)</f>
        <v>513.6</v>
      </c>
      <c r="N392" s="22">
        <f t="shared" si="48"/>
        <v>28.533333333333335</v>
      </c>
      <c r="O392" s="22" t="str">
        <f t="shared" si="49"/>
        <v>IN STOCK</v>
      </c>
      <c r="P392" s="22" t="str">
        <f t="shared" si="50"/>
        <v>FOLLOW UP DELIVERY</v>
      </c>
      <c r="Q392" s="58">
        <f t="shared" si="51"/>
        <v>180</v>
      </c>
      <c r="R392" s="58">
        <f t="shared" si="52"/>
        <v>720</v>
      </c>
      <c r="S392" s="58">
        <f t="shared" si="53"/>
        <v>206.39999999999998</v>
      </c>
      <c r="T392" s="5">
        <v>7</v>
      </c>
      <c r="U392" s="5" t="s">
        <v>30</v>
      </c>
      <c r="V392" s="173">
        <f>VLOOKUP(A392,'[1]Final-Short'!$B:$AE,29,0)</f>
        <v>40</v>
      </c>
      <c r="W392" s="171" t="str">
        <f>VLOOKUP(A392,'[1]Final-Short'!$B:$AE,30,0)</f>
        <v>شركة اضافات العالمية للتجارة-Edafat</v>
      </c>
      <c r="X392" s="58">
        <f t="shared" si="54"/>
        <v>8256</v>
      </c>
      <c r="Y392" s="58">
        <f t="shared" si="55"/>
        <v>21600</v>
      </c>
    </row>
    <row r="393" spans="1:25" x14ac:dyDescent="0.25">
      <c r="A393" s="36" t="s">
        <v>1365</v>
      </c>
      <c r="B393" s="171" t="s">
        <v>1996</v>
      </c>
      <c r="C393" s="171" t="s">
        <v>1997</v>
      </c>
      <c r="D393" s="172" t="s">
        <v>5062</v>
      </c>
      <c r="E393" s="172" t="s">
        <v>5062</v>
      </c>
      <c r="F393" s="172" t="s">
        <v>1631</v>
      </c>
      <c r="G393" s="172" t="s">
        <v>1631</v>
      </c>
      <c r="H393" s="172" t="s">
        <v>1631</v>
      </c>
      <c r="I393" s="172" t="s">
        <v>1631</v>
      </c>
      <c r="J393" s="36">
        <v>2</v>
      </c>
      <c r="K393" s="58">
        <v>15000</v>
      </c>
      <c r="L393" s="58"/>
      <c r="M393" s="22">
        <f>IFERROR((VLOOKUP(A393,'Current Stocks July-26'!$B:$K,10,0)),0)</f>
        <v>60800</v>
      </c>
      <c r="N393" s="22">
        <f t="shared" si="48"/>
        <v>121.60000000000001</v>
      </c>
      <c r="O393" s="22" t="str">
        <f t="shared" si="49"/>
        <v>IN STOCK</v>
      </c>
      <c r="P393" s="22" t="str">
        <f t="shared" si="50"/>
        <v>FOLLOW UP DELIVERY</v>
      </c>
      <c r="Q393" s="58">
        <f t="shared" si="51"/>
        <v>5000</v>
      </c>
      <c r="R393" s="58">
        <f t="shared" si="52"/>
        <v>20000</v>
      </c>
      <c r="S393" s="58">
        <f t="shared" si="53"/>
        <v>0</v>
      </c>
      <c r="T393" s="5">
        <v>7</v>
      </c>
      <c r="U393" s="5" t="s">
        <v>1669</v>
      </c>
      <c r="V393" s="173">
        <f>VLOOKUP(A393,'[1]Final-Short'!$B:$AE,29,0)</f>
        <v>0.93</v>
      </c>
      <c r="W393" s="171" t="str">
        <f>VLOOKUP(A393,'[1]Final-Short'!$B:$AE,30,0)</f>
        <v>شركة السلة الخضراء الزراعیة - BATHER SMART FARM</v>
      </c>
      <c r="X393" s="58">
        <f t="shared" si="54"/>
        <v>0</v>
      </c>
      <c r="Y393" s="58">
        <f t="shared" si="55"/>
        <v>13950</v>
      </c>
    </row>
    <row r="394" spans="1:25" x14ac:dyDescent="0.25">
      <c r="A394" s="36" t="s">
        <v>120</v>
      </c>
      <c r="B394" s="171" t="s">
        <v>121</v>
      </c>
      <c r="C394" s="171" t="s">
        <v>121</v>
      </c>
      <c r="D394" s="172" t="s">
        <v>5062</v>
      </c>
      <c r="E394" s="172" t="s">
        <v>1631</v>
      </c>
      <c r="F394" s="172" t="s">
        <v>1631</v>
      </c>
      <c r="G394" s="172" t="s">
        <v>1631</v>
      </c>
      <c r="H394" s="172" t="s">
        <v>1631</v>
      </c>
      <c r="I394" s="172" t="s">
        <v>1631</v>
      </c>
      <c r="J394" s="36">
        <v>1</v>
      </c>
      <c r="K394" s="58">
        <v>25</v>
      </c>
      <c r="L394" s="58"/>
      <c r="M394" s="22">
        <f>IFERROR((VLOOKUP(A394,'Current Stocks July-26'!$B:$K,10,0)),0)</f>
        <v>0</v>
      </c>
      <c r="N394" s="22">
        <f t="shared" si="48"/>
        <v>0</v>
      </c>
      <c r="O394" s="22" t="str">
        <f t="shared" si="49"/>
        <v>ORDER NOW</v>
      </c>
      <c r="P394" s="22" t="str">
        <f t="shared" si="50"/>
        <v>CRITICAL</v>
      </c>
      <c r="Q394" s="58">
        <f t="shared" si="51"/>
        <v>8.3333333333333321</v>
      </c>
      <c r="R394" s="58">
        <f t="shared" si="52"/>
        <v>33.333333333333329</v>
      </c>
      <c r="S394" s="58">
        <f t="shared" si="53"/>
        <v>33.333333333333329</v>
      </c>
      <c r="T394" s="5">
        <v>7</v>
      </c>
      <c r="U394" s="5" t="s">
        <v>30</v>
      </c>
      <c r="V394" s="173">
        <f>VLOOKUP(A394,'[1]Final-Short'!$B:$AE,29,0)</f>
        <v>128.88889</v>
      </c>
      <c r="W394" s="171" t="str">
        <f>VLOOKUP(A394,'[1]Final-Short'!$B:$AE,30,0)</f>
        <v>شركة أعمال الضيافة للخدمات التموينية</v>
      </c>
      <c r="X394" s="58">
        <f t="shared" si="54"/>
        <v>4296.2963333333328</v>
      </c>
      <c r="Y394" s="58">
        <f t="shared" si="55"/>
        <v>3222.2222500000003</v>
      </c>
    </row>
    <row r="395" spans="1:25" x14ac:dyDescent="0.25">
      <c r="A395" s="36" t="s">
        <v>114</v>
      </c>
      <c r="B395" s="171" t="s">
        <v>115</v>
      </c>
      <c r="C395" s="171" t="s">
        <v>115</v>
      </c>
      <c r="D395" s="172" t="s">
        <v>1631</v>
      </c>
      <c r="E395" s="172" t="s">
        <v>1631</v>
      </c>
      <c r="F395" s="172" t="s">
        <v>1631</v>
      </c>
      <c r="G395" s="172" t="s">
        <v>1631</v>
      </c>
      <c r="H395" s="172" t="s">
        <v>1631</v>
      </c>
      <c r="I395" s="172" t="s">
        <v>5062</v>
      </c>
      <c r="J395" s="36">
        <v>1</v>
      </c>
      <c r="K395" s="58">
        <v>130</v>
      </c>
      <c r="L395" s="58"/>
      <c r="M395" s="22">
        <f>IFERROR((VLOOKUP(A395,'Current Stocks July-26'!$B:$K,10,0)),0)</f>
        <v>44</v>
      </c>
      <c r="N395" s="22">
        <f t="shared" si="48"/>
        <v>10.153846153846155</v>
      </c>
      <c r="O395" s="22" t="str">
        <f t="shared" si="49"/>
        <v>IN STOCK</v>
      </c>
      <c r="P395" s="22" t="str">
        <f t="shared" si="50"/>
        <v>FOLLOW UP DELIVERY</v>
      </c>
      <c r="Q395" s="58">
        <f t="shared" si="51"/>
        <v>43.333333333333329</v>
      </c>
      <c r="R395" s="58">
        <f t="shared" si="52"/>
        <v>173.33333333333331</v>
      </c>
      <c r="S395" s="58">
        <f t="shared" si="53"/>
        <v>129.33333333333331</v>
      </c>
      <c r="T395" s="5">
        <v>7</v>
      </c>
      <c r="U395" s="5" t="s">
        <v>30</v>
      </c>
      <c r="V395" s="173">
        <f>VLOOKUP(A395,'[1]Final-Short'!$B:$AE,29,0)</f>
        <v>36.155200000000001</v>
      </c>
      <c r="W395" s="171" t="s">
        <v>1959</v>
      </c>
      <c r="X395" s="58">
        <f t="shared" si="54"/>
        <v>4676.072533333333</v>
      </c>
      <c r="Y395" s="58">
        <f t="shared" si="55"/>
        <v>4700.1760000000004</v>
      </c>
    </row>
    <row r="396" spans="1:25" x14ac:dyDescent="0.25">
      <c r="A396" s="36" t="s">
        <v>488</v>
      </c>
      <c r="B396" s="171" t="s">
        <v>489</v>
      </c>
      <c r="C396" s="171" t="s">
        <v>489</v>
      </c>
      <c r="D396" s="172" t="s">
        <v>1631</v>
      </c>
      <c r="E396" s="172" t="s">
        <v>1631</v>
      </c>
      <c r="F396" s="172" t="s">
        <v>1631</v>
      </c>
      <c r="G396" s="172" t="s">
        <v>5062</v>
      </c>
      <c r="H396" s="172" t="s">
        <v>1631</v>
      </c>
      <c r="I396" s="172" t="s">
        <v>5062</v>
      </c>
      <c r="J396" s="36">
        <v>2</v>
      </c>
      <c r="K396" s="58">
        <v>5</v>
      </c>
      <c r="L396" s="58"/>
      <c r="M396" s="22">
        <f>IFERROR((VLOOKUP(A396,'Current Stocks July-26'!$B:$K,10,0)),0)</f>
        <v>78</v>
      </c>
      <c r="N396" s="22">
        <f t="shared" si="48"/>
        <v>468</v>
      </c>
      <c r="O396" s="22" t="str">
        <f t="shared" si="49"/>
        <v>IN STOCK</v>
      </c>
      <c r="P396" s="22" t="str">
        <f t="shared" si="50"/>
        <v>FOLLOW UP DELIVERY</v>
      </c>
      <c r="Q396" s="58">
        <f t="shared" si="51"/>
        <v>1.6666666666666665</v>
      </c>
      <c r="R396" s="58">
        <f t="shared" si="52"/>
        <v>6.6666666666666661</v>
      </c>
      <c r="S396" s="58">
        <f t="shared" si="53"/>
        <v>0</v>
      </c>
      <c r="T396" s="5">
        <v>7</v>
      </c>
      <c r="U396" s="5" t="s">
        <v>30</v>
      </c>
      <c r="V396" s="173">
        <f>VLOOKUP(A396,'[1]Final-Short'!$B:$AE,29,0)</f>
        <v>28.08</v>
      </c>
      <c r="W396" s="171" t="s">
        <v>1700</v>
      </c>
      <c r="X396" s="58">
        <f t="shared" si="54"/>
        <v>0</v>
      </c>
      <c r="Y396" s="58">
        <f t="shared" si="55"/>
        <v>140.39999999999998</v>
      </c>
    </row>
    <row r="397" spans="1:25" x14ac:dyDescent="0.25">
      <c r="A397" s="36" t="s">
        <v>228</v>
      </c>
      <c r="B397" s="171" t="s">
        <v>229</v>
      </c>
      <c r="C397" s="171" t="s">
        <v>229</v>
      </c>
      <c r="D397" s="172" t="s">
        <v>1631</v>
      </c>
      <c r="E397" s="172" t="s">
        <v>1631</v>
      </c>
      <c r="F397" s="172" t="s">
        <v>1631</v>
      </c>
      <c r="G397" s="172" t="s">
        <v>5062</v>
      </c>
      <c r="H397" s="172" t="s">
        <v>1631</v>
      </c>
      <c r="I397" s="172" t="s">
        <v>1631</v>
      </c>
      <c r="J397" s="36">
        <v>1</v>
      </c>
      <c r="K397" s="58">
        <v>4000</v>
      </c>
      <c r="L397" s="58"/>
      <c r="M397" s="22">
        <f>IFERROR((VLOOKUP(A397,'Current Stocks July-26'!$B:$K,10,0)),0)</f>
        <v>15000</v>
      </c>
      <c r="N397" s="22">
        <f t="shared" si="48"/>
        <v>112.5</v>
      </c>
      <c r="O397" s="22" t="str">
        <f t="shared" si="49"/>
        <v>IN STOCK</v>
      </c>
      <c r="P397" s="22" t="str">
        <f t="shared" si="50"/>
        <v>FOLLOW UP DELIVERY</v>
      </c>
      <c r="Q397" s="58">
        <f t="shared" si="51"/>
        <v>1333.3333333333333</v>
      </c>
      <c r="R397" s="58">
        <f t="shared" si="52"/>
        <v>5333.333333333333</v>
      </c>
      <c r="S397" s="58">
        <f t="shared" si="53"/>
        <v>0</v>
      </c>
      <c r="T397" s="5">
        <v>7</v>
      </c>
      <c r="U397" s="5" t="s">
        <v>30</v>
      </c>
      <c r="V397" s="195">
        <f>VLOOKUP(A397,'[1]Final-Short'!$B:$AE,29,0)</f>
        <v>0.08</v>
      </c>
      <c r="W397" s="185" t="s">
        <v>1795</v>
      </c>
      <c r="X397" s="58">
        <f t="shared" si="54"/>
        <v>0</v>
      </c>
      <c r="Y397" s="58">
        <f t="shared" si="55"/>
        <v>320</v>
      </c>
    </row>
    <row r="398" spans="1:25" x14ac:dyDescent="0.25">
      <c r="A398" s="36" t="s">
        <v>1373</v>
      </c>
      <c r="B398" s="171" t="s">
        <v>1374</v>
      </c>
      <c r="C398" s="171" t="s">
        <v>1374</v>
      </c>
      <c r="D398" s="172" t="s">
        <v>1631</v>
      </c>
      <c r="E398" s="172" t="s">
        <v>1631</v>
      </c>
      <c r="F398" s="172" t="s">
        <v>1631</v>
      </c>
      <c r="G398" s="172" t="s">
        <v>1631</v>
      </c>
      <c r="H398" s="172" t="s">
        <v>1631</v>
      </c>
      <c r="I398" s="172" t="s">
        <v>5062</v>
      </c>
      <c r="J398" s="36">
        <v>1</v>
      </c>
      <c r="K398" s="58">
        <v>100</v>
      </c>
      <c r="L398" s="58"/>
      <c r="M398" s="22">
        <f>IFERROR((VLOOKUP(A398,'Current Stocks July-26'!$B:$K,10,0)),0)</f>
        <v>2360</v>
      </c>
      <c r="N398" s="22">
        <f t="shared" si="48"/>
        <v>708</v>
      </c>
      <c r="O398" s="22" t="str">
        <f t="shared" si="49"/>
        <v>IN STOCK</v>
      </c>
      <c r="P398" s="22" t="str">
        <f t="shared" si="50"/>
        <v>FOLLOW UP DELIVERY</v>
      </c>
      <c r="Q398" s="58">
        <f t="shared" si="51"/>
        <v>33.333333333333329</v>
      </c>
      <c r="R398" s="58">
        <f t="shared" si="52"/>
        <v>133.33333333333331</v>
      </c>
      <c r="S398" s="58">
        <f t="shared" si="53"/>
        <v>0</v>
      </c>
      <c r="T398" s="5">
        <v>7</v>
      </c>
      <c r="U398" s="5" t="s">
        <v>30</v>
      </c>
      <c r="V398" s="173">
        <f>VLOOKUP(A398,'[1]Final-Short'!$B:$AE,29,0)</f>
        <v>3.25</v>
      </c>
      <c r="W398" s="171" t="s">
        <v>1774</v>
      </c>
      <c r="X398" s="58">
        <f t="shared" si="54"/>
        <v>0</v>
      </c>
      <c r="Y398" s="58">
        <f t="shared" si="55"/>
        <v>325</v>
      </c>
    </row>
    <row r="399" spans="1:25" x14ac:dyDescent="0.25">
      <c r="A399" s="36" t="s">
        <v>1211</v>
      </c>
      <c r="B399" s="171" t="s">
        <v>1212</v>
      </c>
      <c r="C399" s="171" t="s">
        <v>1212</v>
      </c>
      <c r="D399" s="172" t="s">
        <v>1631</v>
      </c>
      <c r="E399" s="172" t="s">
        <v>1631</v>
      </c>
      <c r="F399" s="172" t="s">
        <v>1631</v>
      </c>
      <c r="G399" s="172" t="s">
        <v>5062</v>
      </c>
      <c r="H399" s="172" t="s">
        <v>1631</v>
      </c>
      <c r="I399" s="172" t="s">
        <v>5062</v>
      </c>
      <c r="J399" s="36">
        <v>2</v>
      </c>
      <c r="K399" s="58">
        <v>10</v>
      </c>
      <c r="L399" s="58"/>
      <c r="M399" s="22">
        <f>IFERROR((VLOOKUP(A399,'Current Stocks July-26'!$B:$K,10,0)),0)</f>
        <v>0</v>
      </c>
      <c r="N399" s="22">
        <f t="shared" si="48"/>
        <v>0</v>
      </c>
      <c r="O399" s="22" t="str">
        <f t="shared" si="49"/>
        <v>ORDER NOW</v>
      </c>
      <c r="P399" s="22" t="str">
        <f t="shared" si="50"/>
        <v>CRITICAL</v>
      </c>
      <c r="Q399" s="58">
        <f t="shared" si="51"/>
        <v>3.333333333333333</v>
      </c>
      <c r="R399" s="58">
        <f t="shared" si="52"/>
        <v>13.333333333333332</v>
      </c>
      <c r="S399" s="58">
        <f t="shared" si="53"/>
        <v>13.333333333333332</v>
      </c>
      <c r="T399" s="5">
        <v>7</v>
      </c>
      <c r="U399" s="5" t="s">
        <v>30</v>
      </c>
      <c r="V399" s="195">
        <f>VLOOKUP(A399,'[1]Final-Short'!$B:$AE,29,0)</f>
        <v>33</v>
      </c>
      <c r="W399" s="171" t="s">
        <v>1698</v>
      </c>
      <c r="X399" s="58">
        <f t="shared" si="54"/>
        <v>439.99999999999994</v>
      </c>
      <c r="Y399" s="58">
        <f t="shared" si="55"/>
        <v>330</v>
      </c>
    </row>
    <row r="400" spans="1:25" x14ac:dyDescent="0.25">
      <c r="A400" s="36" t="s">
        <v>1460</v>
      </c>
      <c r="B400" s="171" t="s">
        <v>1461</v>
      </c>
      <c r="C400" s="171" t="s">
        <v>1461</v>
      </c>
      <c r="D400" s="172" t="s">
        <v>1631</v>
      </c>
      <c r="E400" s="172" t="s">
        <v>1631</v>
      </c>
      <c r="F400" s="172" t="s">
        <v>1631</v>
      </c>
      <c r="G400" s="172" t="s">
        <v>5062</v>
      </c>
      <c r="H400" s="172" t="s">
        <v>1631</v>
      </c>
      <c r="I400" s="172" t="s">
        <v>5062</v>
      </c>
      <c r="J400" s="36">
        <v>2</v>
      </c>
      <c r="K400" s="58">
        <v>5</v>
      </c>
      <c r="L400" s="58"/>
      <c r="M400" s="22">
        <f>IFERROR((VLOOKUP(A400,'Current Stocks July-26'!$B:$K,10,0)),0)</f>
        <v>32.037999999999997</v>
      </c>
      <c r="N400" s="22">
        <f t="shared" si="48"/>
        <v>192.22799999999998</v>
      </c>
      <c r="O400" s="22" t="str">
        <f t="shared" si="49"/>
        <v>IN STOCK</v>
      </c>
      <c r="P400" s="22" t="str">
        <f t="shared" si="50"/>
        <v>FOLLOW UP DELIVERY</v>
      </c>
      <c r="Q400" s="58">
        <f t="shared" si="51"/>
        <v>1.6666666666666665</v>
      </c>
      <c r="R400" s="58">
        <f t="shared" si="52"/>
        <v>6.6666666666666661</v>
      </c>
      <c r="S400" s="58">
        <f t="shared" si="53"/>
        <v>0</v>
      </c>
      <c r="T400" s="5">
        <v>7</v>
      </c>
      <c r="U400" s="5" t="s">
        <v>30</v>
      </c>
      <c r="V400" s="173">
        <f>VLOOKUP(A400,'[1]Final-Short'!$B:$AE,29,0)</f>
        <v>47.114249999999998</v>
      </c>
      <c r="W400" s="171" t="s">
        <v>1706</v>
      </c>
      <c r="X400" s="58">
        <f t="shared" si="54"/>
        <v>0</v>
      </c>
      <c r="Y400" s="58">
        <f t="shared" si="55"/>
        <v>235.57124999999999</v>
      </c>
    </row>
    <row r="401" spans="1:25" x14ac:dyDescent="0.25">
      <c r="A401" s="36" t="s">
        <v>749</v>
      </c>
      <c r="B401" s="171" t="s">
        <v>750</v>
      </c>
      <c r="C401" s="171" t="s">
        <v>750</v>
      </c>
      <c r="D401" s="172" t="s">
        <v>1631</v>
      </c>
      <c r="E401" s="172" t="s">
        <v>1631</v>
      </c>
      <c r="F401" s="172" t="s">
        <v>1631</v>
      </c>
      <c r="G401" s="172" t="s">
        <v>5062</v>
      </c>
      <c r="H401" s="172" t="s">
        <v>1631</v>
      </c>
      <c r="I401" s="172" t="s">
        <v>5062</v>
      </c>
      <c r="J401" s="36">
        <v>2</v>
      </c>
      <c r="K401" s="58">
        <v>25</v>
      </c>
      <c r="L401" s="58"/>
      <c r="M401" s="22">
        <f>IFERROR((VLOOKUP(A401,'Current Stocks July-26'!$B:$K,10,0)),0)</f>
        <v>140</v>
      </c>
      <c r="N401" s="22">
        <f t="shared" si="48"/>
        <v>168</v>
      </c>
      <c r="O401" s="22" t="str">
        <f t="shared" si="49"/>
        <v>IN STOCK</v>
      </c>
      <c r="P401" s="22" t="str">
        <f t="shared" si="50"/>
        <v>FOLLOW UP DELIVERY</v>
      </c>
      <c r="Q401" s="58">
        <f t="shared" si="51"/>
        <v>8.3333333333333321</v>
      </c>
      <c r="R401" s="58">
        <f t="shared" si="52"/>
        <v>33.333333333333329</v>
      </c>
      <c r="S401" s="58">
        <f t="shared" si="53"/>
        <v>0</v>
      </c>
      <c r="T401" s="5">
        <v>7</v>
      </c>
      <c r="U401" s="5" t="s">
        <v>30</v>
      </c>
      <c r="V401" s="173">
        <f>VLOOKUP(A401,'[1]Final-Short'!$B:$AE,29,0)</f>
        <v>48</v>
      </c>
      <c r="W401" s="171" t="s">
        <v>1700</v>
      </c>
      <c r="X401" s="58">
        <f t="shared" si="54"/>
        <v>0</v>
      </c>
      <c r="Y401" s="58">
        <f t="shared" si="55"/>
        <v>1200</v>
      </c>
    </row>
    <row r="402" spans="1:25" x14ac:dyDescent="0.25">
      <c r="A402" s="36" t="s">
        <v>432</v>
      </c>
      <c r="B402" s="171" t="s">
        <v>433</v>
      </c>
      <c r="C402" s="171" t="s">
        <v>433</v>
      </c>
      <c r="D402" s="172" t="s">
        <v>1631</v>
      </c>
      <c r="E402" s="172" t="s">
        <v>1631</v>
      </c>
      <c r="F402" s="172" t="s">
        <v>1631</v>
      </c>
      <c r="G402" s="172" t="s">
        <v>1631</v>
      </c>
      <c r="H402" s="172" t="s">
        <v>1631</v>
      </c>
      <c r="I402" s="172" t="s">
        <v>5062</v>
      </c>
      <c r="J402" s="36">
        <v>1</v>
      </c>
      <c r="K402" s="58">
        <v>30</v>
      </c>
      <c r="L402" s="58"/>
      <c r="M402" s="22">
        <f>IFERROR((VLOOKUP(A402,'Current Stocks July-26'!$B:$K,10,0)),0)</f>
        <v>140.4</v>
      </c>
      <c r="N402" s="22">
        <f t="shared" si="48"/>
        <v>140.4</v>
      </c>
      <c r="O402" s="22" t="str">
        <f t="shared" si="49"/>
        <v>IN STOCK</v>
      </c>
      <c r="P402" s="22" t="str">
        <f t="shared" si="50"/>
        <v>FOLLOW UP DELIVERY</v>
      </c>
      <c r="Q402" s="58">
        <f t="shared" si="51"/>
        <v>10</v>
      </c>
      <c r="R402" s="58">
        <f t="shared" si="52"/>
        <v>40</v>
      </c>
      <c r="S402" s="58">
        <f t="shared" si="53"/>
        <v>0</v>
      </c>
      <c r="T402" s="5">
        <v>7</v>
      </c>
      <c r="U402" s="5" t="s">
        <v>1703</v>
      </c>
      <c r="V402" s="173">
        <f>VLOOKUP(A402,'[1]Final-Short'!$B:$AE,29,0)</f>
        <v>27.466670000000001</v>
      </c>
      <c r="W402" s="171" t="s">
        <v>1696</v>
      </c>
      <c r="X402" s="58">
        <f t="shared" si="54"/>
        <v>0</v>
      </c>
      <c r="Y402" s="58">
        <f t="shared" si="55"/>
        <v>824.00009999999997</v>
      </c>
    </row>
    <row r="403" spans="1:25" x14ac:dyDescent="0.25">
      <c r="A403" s="36" t="s">
        <v>1169</v>
      </c>
      <c r="B403" s="171" t="s">
        <v>1170</v>
      </c>
      <c r="C403" s="171" t="s">
        <v>1170</v>
      </c>
      <c r="D403" s="172" t="s">
        <v>1631</v>
      </c>
      <c r="E403" s="172" t="s">
        <v>1631</v>
      </c>
      <c r="F403" s="172" t="s">
        <v>1631</v>
      </c>
      <c r="G403" s="172" t="s">
        <v>5062</v>
      </c>
      <c r="H403" s="172" t="s">
        <v>1631</v>
      </c>
      <c r="I403" s="172" t="s">
        <v>5062</v>
      </c>
      <c r="J403" s="36">
        <v>2</v>
      </c>
      <c r="K403" s="58">
        <v>6</v>
      </c>
      <c r="L403" s="58"/>
      <c r="M403" s="22">
        <f>IFERROR((VLOOKUP(A403,'Current Stocks July-26'!$B:$K,10,0)),0)</f>
        <v>105</v>
      </c>
      <c r="N403" s="22">
        <f t="shared" si="48"/>
        <v>525</v>
      </c>
      <c r="O403" s="22" t="str">
        <f t="shared" si="49"/>
        <v>IN STOCK</v>
      </c>
      <c r="P403" s="22" t="str">
        <f t="shared" si="50"/>
        <v>FOLLOW UP DELIVERY</v>
      </c>
      <c r="Q403" s="58">
        <f t="shared" si="51"/>
        <v>2</v>
      </c>
      <c r="R403" s="58">
        <f t="shared" si="52"/>
        <v>8</v>
      </c>
      <c r="S403" s="58">
        <f t="shared" si="53"/>
        <v>0</v>
      </c>
      <c r="T403" s="5">
        <v>7</v>
      </c>
      <c r="U403" s="5" t="s">
        <v>30</v>
      </c>
      <c r="V403" s="173">
        <f>VLOOKUP(A403,'[1]Final-Short'!$B:$AE,29,0)</f>
        <v>8.5</v>
      </c>
      <c r="W403" s="171" t="s">
        <v>1700</v>
      </c>
      <c r="X403" s="58">
        <f t="shared" si="54"/>
        <v>0</v>
      </c>
      <c r="Y403" s="58">
        <f t="shared" si="55"/>
        <v>51</v>
      </c>
    </row>
    <row r="404" spans="1:25" x14ac:dyDescent="0.25">
      <c r="A404" s="36" t="s">
        <v>544</v>
      </c>
      <c r="B404" s="171" t="s">
        <v>545</v>
      </c>
      <c r="C404" s="171" t="s">
        <v>545</v>
      </c>
      <c r="D404" s="172" t="s">
        <v>1631</v>
      </c>
      <c r="E404" s="172" t="s">
        <v>1631</v>
      </c>
      <c r="F404" s="172" t="s">
        <v>1631</v>
      </c>
      <c r="G404" s="172" t="s">
        <v>5062</v>
      </c>
      <c r="H404" s="172" t="s">
        <v>1631</v>
      </c>
      <c r="I404" s="172" t="s">
        <v>5062</v>
      </c>
      <c r="J404" s="36">
        <v>2</v>
      </c>
      <c r="K404" s="58">
        <v>2</v>
      </c>
      <c r="L404" s="58"/>
      <c r="M404" s="22">
        <f>IFERROR((VLOOKUP(A404,'Current Stocks July-26'!$B:$K,10,0)),0)</f>
        <v>0</v>
      </c>
      <c r="N404" s="22">
        <f t="shared" si="48"/>
        <v>0</v>
      </c>
      <c r="O404" s="22" t="str">
        <f t="shared" si="49"/>
        <v>ORDER NOW</v>
      </c>
      <c r="P404" s="22" t="str">
        <f t="shared" si="50"/>
        <v>CRITICAL</v>
      </c>
      <c r="Q404" s="58">
        <f t="shared" si="51"/>
        <v>0.66666666666666663</v>
      </c>
      <c r="R404" s="58">
        <f t="shared" si="52"/>
        <v>2.6666666666666665</v>
      </c>
      <c r="S404" s="58">
        <f t="shared" si="53"/>
        <v>2.6666666666666665</v>
      </c>
      <c r="T404" s="5">
        <v>7</v>
      </c>
      <c r="U404" s="5" t="s">
        <v>30</v>
      </c>
      <c r="V404" s="173">
        <f>VLOOKUP(A404,'[1]Final-Short'!$B:$AE,29,0)</f>
        <v>17.7</v>
      </c>
      <c r="W404" s="171" t="s">
        <v>1696</v>
      </c>
      <c r="X404" s="58">
        <f t="shared" si="54"/>
        <v>47.199999999999996</v>
      </c>
      <c r="Y404" s="58">
        <f t="shared" si="55"/>
        <v>35.4</v>
      </c>
    </row>
    <row r="405" spans="1:25" x14ac:dyDescent="0.25">
      <c r="A405" s="36" t="s">
        <v>1478</v>
      </c>
      <c r="B405" s="171" t="s">
        <v>1479</v>
      </c>
      <c r="C405" s="171" t="s">
        <v>1479</v>
      </c>
      <c r="D405" s="172" t="s">
        <v>1631</v>
      </c>
      <c r="E405" s="172" t="s">
        <v>1631</v>
      </c>
      <c r="F405" s="172" t="s">
        <v>1631</v>
      </c>
      <c r="G405" s="172" t="s">
        <v>5062</v>
      </c>
      <c r="H405" s="172" t="s">
        <v>1631</v>
      </c>
      <c r="I405" s="172" t="s">
        <v>5062</v>
      </c>
      <c r="J405" s="36">
        <v>2</v>
      </c>
      <c r="K405" s="58">
        <v>20</v>
      </c>
      <c r="L405" s="58"/>
      <c r="M405" s="22">
        <f>IFERROR((VLOOKUP(A405,'Current Stocks July-26'!$B:$K,10,0)),0)</f>
        <v>0</v>
      </c>
      <c r="N405" s="22">
        <f t="shared" si="48"/>
        <v>0</v>
      </c>
      <c r="O405" s="22" t="str">
        <f t="shared" si="49"/>
        <v>ORDER NOW</v>
      </c>
      <c r="P405" s="22" t="str">
        <f t="shared" si="50"/>
        <v>CRITICAL</v>
      </c>
      <c r="Q405" s="58">
        <f t="shared" si="51"/>
        <v>6.6666666666666661</v>
      </c>
      <c r="R405" s="58">
        <f t="shared" si="52"/>
        <v>26.666666666666664</v>
      </c>
      <c r="S405" s="58">
        <f t="shared" si="53"/>
        <v>26.666666666666664</v>
      </c>
      <c r="T405" s="5">
        <v>7</v>
      </c>
      <c r="U405" s="5" t="s">
        <v>30</v>
      </c>
      <c r="V405" s="173">
        <f>VLOOKUP(A405,'[1]Final-Short'!$B:$AE,29,0)</f>
        <v>60.130719999999997</v>
      </c>
      <c r="W405" s="171" t="s">
        <v>1952</v>
      </c>
      <c r="X405" s="58">
        <f t="shared" si="54"/>
        <v>1603.4858666666664</v>
      </c>
      <c r="Y405" s="58">
        <f t="shared" si="55"/>
        <v>1202.6143999999999</v>
      </c>
    </row>
    <row r="406" spans="1:25" x14ac:dyDescent="0.25">
      <c r="A406" s="36" t="s">
        <v>1998</v>
      </c>
      <c r="B406" s="171" t="s">
        <v>1408</v>
      </c>
      <c r="C406" s="171" t="s">
        <v>1408</v>
      </c>
      <c r="D406" s="172" t="s">
        <v>1631</v>
      </c>
      <c r="E406" s="172" t="s">
        <v>1631</v>
      </c>
      <c r="F406" s="172" t="s">
        <v>1631</v>
      </c>
      <c r="G406" s="172" t="s">
        <v>1631</v>
      </c>
      <c r="H406" s="172" t="s">
        <v>1631</v>
      </c>
      <c r="I406" s="172" t="s">
        <v>1631</v>
      </c>
      <c r="J406" s="36">
        <v>0</v>
      </c>
      <c r="K406" s="58">
        <v>65000</v>
      </c>
      <c r="L406" s="58" t="s">
        <v>1681</v>
      </c>
      <c r="M406" s="22">
        <f>IFERROR((VLOOKUP(A406,'Current Stocks July-26'!$B:$K,10,0)),0)</f>
        <v>143000</v>
      </c>
      <c r="N406" s="22">
        <f t="shared" si="48"/>
        <v>66</v>
      </c>
      <c r="O406" s="22" t="str">
        <f t="shared" si="49"/>
        <v>IN STOCK</v>
      </c>
      <c r="P406" s="22" t="str">
        <f t="shared" si="50"/>
        <v>FOLLOW UP DELIVERY</v>
      </c>
      <c r="Q406" s="58">
        <f t="shared" si="51"/>
        <v>21666.666666666664</v>
      </c>
      <c r="R406" s="58">
        <f t="shared" si="52"/>
        <v>86666.666666666657</v>
      </c>
      <c r="S406" s="58">
        <f t="shared" si="53"/>
        <v>0</v>
      </c>
      <c r="T406" s="5">
        <v>7</v>
      </c>
      <c r="U406" s="5" t="s">
        <v>30</v>
      </c>
      <c r="V406" s="173">
        <f>VLOOKUP(A406,'[1]Final-Short'!$B:$AE,29,0)</f>
        <v>3.5049999999999998E-2</v>
      </c>
      <c r="W406" s="171" t="str">
        <f>VLOOKUP(A406,'[1]Final-Short'!$B:$AE,30,0)</f>
        <v>Ashraf Saleh Aldazaz Factory مصنع اشرف صالح الدعزازا للتعبئة والتغليف</v>
      </c>
      <c r="X406" s="58">
        <f t="shared" si="54"/>
        <v>0</v>
      </c>
      <c r="Y406" s="58">
        <f t="shared" si="55"/>
        <v>2278.25</v>
      </c>
    </row>
    <row r="407" spans="1:25" x14ac:dyDescent="0.25">
      <c r="A407" s="36" t="s">
        <v>1213</v>
      </c>
      <c r="B407" s="171" t="s">
        <v>1214</v>
      </c>
      <c r="C407" s="171" t="s">
        <v>1494</v>
      </c>
      <c r="D407" s="172" t="s">
        <v>1631</v>
      </c>
      <c r="E407" s="172" t="s">
        <v>1631</v>
      </c>
      <c r="F407" s="172" t="s">
        <v>1631</v>
      </c>
      <c r="G407" s="172" t="s">
        <v>1631</v>
      </c>
      <c r="H407" s="172" t="s">
        <v>1631</v>
      </c>
      <c r="I407" s="172" t="s">
        <v>5062</v>
      </c>
      <c r="J407" s="36">
        <v>1</v>
      </c>
      <c r="K407" s="58">
        <v>1</v>
      </c>
      <c r="L407" s="58"/>
      <c r="M407" s="22">
        <f>IFERROR((VLOOKUP(A407,'Current Stocks July-26'!$B:$K,10,0)),0)</f>
        <v>65.448000000000008</v>
      </c>
      <c r="N407" s="22">
        <f t="shared" si="48"/>
        <v>1963.4400000000003</v>
      </c>
      <c r="O407" s="22" t="str">
        <f t="shared" si="49"/>
        <v>IN STOCK</v>
      </c>
      <c r="P407" s="22" t="str">
        <f t="shared" si="50"/>
        <v>FOLLOW UP DELIVERY</v>
      </c>
      <c r="Q407" s="58">
        <f t="shared" si="51"/>
        <v>0.33333333333333331</v>
      </c>
      <c r="R407" s="58">
        <f t="shared" si="52"/>
        <v>1.3333333333333333</v>
      </c>
      <c r="S407" s="58">
        <f t="shared" si="53"/>
        <v>0</v>
      </c>
      <c r="T407" s="5">
        <v>7</v>
      </c>
      <c r="U407" s="5" t="s">
        <v>30</v>
      </c>
      <c r="V407" s="173">
        <f>VLOOKUP(A407,'[1]Final-Short'!$B:$AE,29,0)</f>
        <v>112.88545999999999</v>
      </c>
      <c r="W407" s="171" t="s">
        <v>1696</v>
      </c>
      <c r="X407" s="58">
        <f t="shared" si="54"/>
        <v>0</v>
      </c>
      <c r="Y407" s="58">
        <f t="shared" si="55"/>
        <v>112.88545999999999</v>
      </c>
    </row>
    <row r="408" spans="1:25" x14ac:dyDescent="0.25">
      <c r="A408" s="36" t="s">
        <v>51</v>
      </c>
      <c r="B408" s="171" t="s">
        <v>52</v>
      </c>
      <c r="C408" s="171" t="s">
        <v>52</v>
      </c>
      <c r="D408" s="172" t="s">
        <v>5062</v>
      </c>
      <c r="E408" s="172" t="s">
        <v>1631</v>
      </c>
      <c r="F408" s="172" t="s">
        <v>1631</v>
      </c>
      <c r="G408" s="172" t="s">
        <v>1631</v>
      </c>
      <c r="H408" s="172" t="s">
        <v>1631</v>
      </c>
      <c r="I408" s="172" t="s">
        <v>5062</v>
      </c>
      <c r="J408" s="36">
        <v>2</v>
      </c>
      <c r="K408" s="58">
        <v>500</v>
      </c>
      <c r="L408" s="58"/>
      <c r="M408" s="22">
        <f>IFERROR((VLOOKUP(A408,'Current Stocks July-26'!$B:$K,10,0)),0)</f>
        <v>613.35</v>
      </c>
      <c r="N408" s="22">
        <f t="shared" si="48"/>
        <v>36.801000000000002</v>
      </c>
      <c r="O408" s="22" t="str">
        <f t="shared" si="49"/>
        <v>IN STOCK</v>
      </c>
      <c r="P408" s="22" t="str">
        <f t="shared" si="50"/>
        <v>FOLLOW UP DELIVERY</v>
      </c>
      <c r="Q408" s="58">
        <f t="shared" si="51"/>
        <v>166.66666666666666</v>
      </c>
      <c r="R408" s="58">
        <f t="shared" si="52"/>
        <v>666.66666666666663</v>
      </c>
      <c r="S408" s="58">
        <f t="shared" si="53"/>
        <v>53.316666666666606</v>
      </c>
      <c r="T408" s="5">
        <v>7</v>
      </c>
      <c r="U408" s="5" t="s">
        <v>30</v>
      </c>
      <c r="V408" s="173">
        <f>VLOOKUP(A408,'[1]Final-Short'!$B:$AE,29,0)</f>
        <v>59.852939999999997</v>
      </c>
      <c r="W408" s="171" t="str">
        <f>VLOOKUP(A408,'[1]Final-Short'!$B:$AE,30,0)</f>
        <v>شركة خالد درع الدرع وشريكة المحدودة</v>
      </c>
      <c r="X408" s="58">
        <f t="shared" si="54"/>
        <v>3191.1592509999964</v>
      </c>
      <c r="Y408" s="58">
        <f t="shared" si="55"/>
        <v>29926.469999999998</v>
      </c>
    </row>
    <row r="409" spans="1:25" x14ac:dyDescent="0.25">
      <c r="A409" s="36" t="s">
        <v>1436</v>
      </c>
      <c r="B409" s="171" t="s">
        <v>1437</v>
      </c>
      <c r="C409" s="171" t="s">
        <v>1437</v>
      </c>
      <c r="D409" s="172" t="s">
        <v>1631</v>
      </c>
      <c r="E409" s="172" t="s">
        <v>1631</v>
      </c>
      <c r="F409" s="172" t="s">
        <v>1631</v>
      </c>
      <c r="G409" s="172" t="s">
        <v>5062</v>
      </c>
      <c r="H409" s="172" t="s">
        <v>1631</v>
      </c>
      <c r="I409" s="172" t="s">
        <v>1631</v>
      </c>
      <c r="J409" s="36">
        <v>1</v>
      </c>
      <c r="K409" s="58">
        <v>1</v>
      </c>
      <c r="L409" s="58"/>
      <c r="M409" s="22">
        <f>IFERROR((VLOOKUP(A409,'Current Stocks July-26'!$B:$K,10,0)),0)</f>
        <v>4.8</v>
      </c>
      <c r="N409" s="22">
        <f t="shared" si="48"/>
        <v>144</v>
      </c>
      <c r="O409" s="22" t="str">
        <f t="shared" si="49"/>
        <v>IN STOCK</v>
      </c>
      <c r="P409" s="22" t="str">
        <f t="shared" si="50"/>
        <v>FOLLOW UP DELIVERY</v>
      </c>
      <c r="Q409" s="58">
        <f t="shared" si="51"/>
        <v>0.33333333333333331</v>
      </c>
      <c r="R409" s="58">
        <f t="shared" si="52"/>
        <v>1.3333333333333333</v>
      </c>
      <c r="S409" s="58">
        <f t="shared" si="53"/>
        <v>0</v>
      </c>
      <c r="T409" s="5">
        <v>7</v>
      </c>
      <c r="U409" s="5" t="s">
        <v>30</v>
      </c>
      <c r="V409" s="173">
        <f>VLOOKUP(A409,'[1]Final-Short'!$B:$AE,29,0)</f>
        <v>44.49653</v>
      </c>
      <c r="W409" s="171" t="s">
        <v>1696</v>
      </c>
      <c r="X409" s="58">
        <f t="shared" si="54"/>
        <v>0</v>
      </c>
      <c r="Y409" s="58">
        <f t="shared" si="55"/>
        <v>44.49653</v>
      </c>
    </row>
    <row r="410" spans="1:25" x14ac:dyDescent="0.25">
      <c r="A410" s="36" t="s">
        <v>1027</v>
      </c>
      <c r="B410" s="171" t="s">
        <v>1028</v>
      </c>
      <c r="C410" s="171" t="s">
        <v>1028</v>
      </c>
      <c r="D410" s="172" t="s">
        <v>1631</v>
      </c>
      <c r="E410" s="172" t="s">
        <v>5062</v>
      </c>
      <c r="F410" s="172" t="s">
        <v>1631</v>
      </c>
      <c r="G410" s="172" t="s">
        <v>1631</v>
      </c>
      <c r="H410" s="172" t="s">
        <v>1631</v>
      </c>
      <c r="I410" s="172" t="s">
        <v>1631</v>
      </c>
      <c r="J410" s="36">
        <v>1</v>
      </c>
      <c r="K410" s="180">
        <v>20000</v>
      </c>
      <c r="L410" s="180"/>
      <c r="M410" s="22">
        <f>IFERROR((VLOOKUP(A410,'Current Stocks July-26'!$B:$K,10,0)),0)</f>
        <v>0</v>
      </c>
      <c r="N410" s="22">
        <f t="shared" si="48"/>
        <v>0</v>
      </c>
      <c r="O410" s="22" t="str">
        <f t="shared" si="49"/>
        <v>ORDER NOW</v>
      </c>
      <c r="P410" s="22" t="str">
        <f t="shared" si="50"/>
        <v>CRITICAL</v>
      </c>
      <c r="Q410" s="58">
        <f t="shared" si="51"/>
        <v>11333.333333333334</v>
      </c>
      <c r="R410" s="58">
        <f t="shared" si="52"/>
        <v>31333.333333333336</v>
      </c>
      <c r="S410" s="58">
        <f t="shared" si="53"/>
        <v>31333.333333333336</v>
      </c>
      <c r="T410" s="5">
        <v>14</v>
      </c>
      <c r="U410" s="5" t="s">
        <v>30</v>
      </c>
      <c r="V410" s="173">
        <f>VLOOKUP(A410,'[1]Final-Short'!$B:$AE,29,0)</f>
        <v>6.8000000000000005E-2</v>
      </c>
      <c r="W410" s="171" t="s">
        <v>1994</v>
      </c>
      <c r="X410" s="58">
        <f t="shared" si="54"/>
        <v>2130.666666666667</v>
      </c>
      <c r="Y410" s="58">
        <f t="shared" si="55"/>
        <v>1360</v>
      </c>
    </row>
    <row r="411" spans="1:25" x14ac:dyDescent="0.25">
      <c r="A411" s="36" t="s">
        <v>105</v>
      </c>
      <c r="B411" s="171" t="s">
        <v>106</v>
      </c>
      <c r="C411" s="171" t="s">
        <v>106</v>
      </c>
      <c r="D411" s="172" t="s">
        <v>1631</v>
      </c>
      <c r="E411" s="172" t="s">
        <v>5062</v>
      </c>
      <c r="F411" s="172" t="s">
        <v>1631</v>
      </c>
      <c r="G411" s="172" t="s">
        <v>1631</v>
      </c>
      <c r="H411" s="172" t="s">
        <v>1631</v>
      </c>
      <c r="I411" s="172" t="s">
        <v>1631</v>
      </c>
      <c r="J411" s="36">
        <v>1</v>
      </c>
      <c r="K411" s="180">
        <v>1000</v>
      </c>
      <c r="L411" s="180"/>
      <c r="M411" s="22">
        <f>IFERROR((VLOOKUP(A411,'Current Stocks July-26'!$B:$K,10,0)),0)</f>
        <v>501.19999999999982</v>
      </c>
      <c r="N411" s="22">
        <f t="shared" si="48"/>
        <v>15.035999999999996</v>
      </c>
      <c r="O411" s="22" t="str">
        <f t="shared" si="49"/>
        <v>IN STOCK</v>
      </c>
      <c r="P411" s="22" t="str">
        <f t="shared" si="50"/>
        <v>FOLLOW UP DELIVERY</v>
      </c>
      <c r="Q411" s="58">
        <f t="shared" si="51"/>
        <v>333.33333333333331</v>
      </c>
      <c r="R411" s="58">
        <f t="shared" si="52"/>
        <v>1333.3333333333333</v>
      </c>
      <c r="S411" s="58">
        <f t="shared" si="53"/>
        <v>832.13333333333344</v>
      </c>
      <c r="T411" s="5">
        <v>7</v>
      </c>
      <c r="U411" s="5" t="s">
        <v>1669</v>
      </c>
      <c r="V411" s="173">
        <f>VLOOKUP(A411,'[1]Final-Short'!$B:$AE,29,0)</f>
        <v>16.582699999999999</v>
      </c>
      <c r="W411" s="171" t="s">
        <v>1999</v>
      </c>
      <c r="X411" s="58">
        <f t="shared" si="54"/>
        <v>13799.017426666667</v>
      </c>
      <c r="Y411" s="58">
        <f t="shared" si="55"/>
        <v>16582.7</v>
      </c>
    </row>
    <row r="412" spans="1:25" x14ac:dyDescent="0.25">
      <c r="A412" s="36" t="s">
        <v>1418</v>
      </c>
      <c r="B412" s="171" t="s">
        <v>1985</v>
      </c>
      <c r="C412" s="171" t="s">
        <v>1419</v>
      </c>
      <c r="D412" s="172" t="s">
        <v>5062</v>
      </c>
      <c r="E412" s="172" t="s">
        <v>1631</v>
      </c>
      <c r="F412" s="172" t="s">
        <v>1631</v>
      </c>
      <c r="G412" s="172" t="s">
        <v>1631</v>
      </c>
      <c r="H412" s="172" t="s">
        <v>1631</v>
      </c>
      <c r="I412" s="172" t="s">
        <v>1631</v>
      </c>
      <c r="J412" s="36">
        <v>1</v>
      </c>
      <c r="K412" s="58">
        <v>15</v>
      </c>
      <c r="L412" s="58"/>
      <c r="M412" s="22">
        <f>IFERROR((VLOOKUP(A412,'Current Stocks July-26'!$B:$K,10,0)),0)</f>
        <v>18.649999999999999</v>
      </c>
      <c r="N412" s="22">
        <f t="shared" si="48"/>
        <v>37.299999999999997</v>
      </c>
      <c r="O412" s="22" t="str">
        <f t="shared" si="49"/>
        <v>IN STOCK</v>
      </c>
      <c r="P412" s="22" t="str">
        <f t="shared" si="50"/>
        <v>FOLLOW UP DELIVERY</v>
      </c>
      <c r="Q412" s="58">
        <f t="shared" si="51"/>
        <v>5</v>
      </c>
      <c r="R412" s="58">
        <f t="shared" si="52"/>
        <v>20</v>
      </c>
      <c r="S412" s="58">
        <f t="shared" si="53"/>
        <v>1.3500000000000014</v>
      </c>
      <c r="T412" s="5">
        <v>7</v>
      </c>
      <c r="U412" s="5" t="s">
        <v>30</v>
      </c>
      <c r="V412" s="173">
        <f>VLOOKUP(A412,'[1]Final-Short'!$B:$AE,29,0)</f>
        <v>0</v>
      </c>
      <c r="W412" s="171" t="s">
        <v>2000</v>
      </c>
      <c r="X412" s="58">
        <f t="shared" si="54"/>
        <v>0</v>
      </c>
      <c r="Y412" s="58">
        <f t="shared" si="55"/>
        <v>0</v>
      </c>
    </row>
    <row r="413" spans="1:25" x14ac:dyDescent="0.25">
      <c r="A413" s="36" t="s">
        <v>824</v>
      </c>
      <c r="B413" s="171" t="s">
        <v>825</v>
      </c>
      <c r="C413" s="171" t="s">
        <v>825</v>
      </c>
      <c r="D413" s="172" t="s">
        <v>1631</v>
      </c>
      <c r="E413" s="172" t="s">
        <v>5062</v>
      </c>
      <c r="F413" s="172" t="s">
        <v>1631</v>
      </c>
      <c r="G413" s="172" t="s">
        <v>1631</v>
      </c>
      <c r="H413" s="172" t="s">
        <v>1631</v>
      </c>
      <c r="I413" s="172" t="s">
        <v>1631</v>
      </c>
      <c r="J413" s="36">
        <v>1</v>
      </c>
      <c r="K413" s="180">
        <v>35</v>
      </c>
      <c r="L413" s="180"/>
      <c r="M413" s="22">
        <f>IFERROR((VLOOKUP(A413,'Current Stocks July-26'!$B:$K,10,0)),0)</f>
        <v>73</v>
      </c>
      <c r="N413" s="22">
        <f t="shared" si="48"/>
        <v>62.571428571428577</v>
      </c>
      <c r="O413" s="22" t="str">
        <f t="shared" si="49"/>
        <v>IN STOCK</v>
      </c>
      <c r="P413" s="22" t="str">
        <f t="shared" si="50"/>
        <v>FOLLOW UP DELIVERY</v>
      </c>
      <c r="Q413" s="58">
        <f t="shared" si="51"/>
        <v>11.666666666666666</v>
      </c>
      <c r="R413" s="58">
        <f t="shared" si="52"/>
        <v>46.666666666666664</v>
      </c>
      <c r="S413" s="58">
        <f t="shared" si="53"/>
        <v>0</v>
      </c>
      <c r="T413" s="5">
        <v>7</v>
      </c>
      <c r="U413" s="5" t="s">
        <v>1669</v>
      </c>
      <c r="V413" s="173">
        <f>VLOOKUP(A413,'[1]Final-Short'!$B:$AE,29,0)</f>
        <v>150</v>
      </c>
      <c r="W413" s="171" t="s">
        <v>2001</v>
      </c>
      <c r="X413" s="58">
        <f t="shared" si="54"/>
        <v>0</v>
      </c>
      <c r="Y413" s="58">
        <f t="shared" si="55"/>
        <v>5250</v>
      </c>
    </row>
    <row r="414" spans="1:25" x14ac:dyDescent="0.25">
      <c r="A414" s="36" t="s">
        <v>1799</v>
      </c>
      <c r="B414" s="171" t="s">
        <v>1800</v>
      </c>
      <c r="C414" s="171" t="s">
        <v>103</v>
      </c>
      <c r="D414" s="172" t="s">
        <v>1631</v>
      </c>
      <c r="E414" s="172" t="s">
        <v>5062</v>
      </c>
      <c r="F414" s="172" t="s">
        <v>1631</v>
      </c>
      <c r="G414" s="172" t="s">
        <v>1631</v>
      </c>
      <c r="H414" s="172" t="s">
        <v>1631</v>
      </c>
      <c r="I414" s="172" t="s">
        <v>1631</v>
      </c>
      <c r="J414" s="36">
        <v>1</v>
      </c>
      <c r="K414" s="58">
        <v>90</v>
      </c>
      <c r="L414" s="58" t="s">
        <v>1681</v>
      </c>
      <c r="M414" s="22">
        <f>IFERROR((VLOOKUP(A414,'Current Stocks July-26'!$B:$K,10,0)),0)</f>
        <v>392.79999999999995</v>
      </c>
      <c r="N414" s="22">
        <f t="shared" si="48"/>
        <v>130.93333333333331</v>
      </c>
      <c r="O414" s="22" t="str">
        <f t="shared" si="49"/>
        <v>IN STOCK</v>
      </c>
      <c r="P414" s="22" t="str">
        <f t="shared" si="50"/>
        <v>FOLLOW UP DELIVERY</v>
      </c>
      <c r="Q414" s="58">
        <f t="shared" si="51"/>
        <v>30</v>
      </c>
      <c r="R414" s="58">
        <f t="shared" si="52"/>
        <v>120</v>
      </c>
      <c r="S414" s="58">
        <f t="shared" si="53"/>
        <v>0</v>
      </c>
      <c r="T414" s="5">
        <v>7</v>
      </c>
      <c r="U414" s="5" t="s">
        <v>1669</v>
      </c>
      <c r="V414" s="173">
        <f>VLOOKUP(A414,'[1]Final-Short'!$B:$AE,29,0)</f>
        <v>54.285710000000002</v>
      </c>
      <c r="W414" s="171" t="str">
        <f>VLOOKUP(A414,'[1]Final-Short'!$B:$AE,30,0)</f>
        <v>شركة شمس القهوة للتجارة المحدودة</v>
      </c>
      <c r="X414" s="58">
        <f t="shared" si="54"/>
        <v>0</v>
      </c>
      <c r="Y414" s="58">
        <f t="shared" si="55"/>
        <v>4885.7138999999997</v>
      </c>
    </row>
    <row r="415" spans="1:25" x14ac:dyDescent="0.25">
      <c r="A415" s="36" t="s">
        <v>2002</v>
      </c>
      <c r="B415" s="171" t="s">
        <v>100</v>
      </c>
      <c r="C415" s="171" t="s">
        <v>100</v>
      </c>
      <c r="D415" s="172" t="s">
        <v>1631</v>
      </c>
      <c r="E415" s="172" t="s">
        <v>1631</v>
      </c>
      <c r="F415" s="172" t="s">
        <v>1631</v>
      </c>
      <c r="G415" s="172" t="s">
        <v>1631</v>
      </c>
      <c r="H415" s="172" t="s">
        <v>1631</v>
      </c>
      <c r="I415" s="172" t="s">
        <v>1631</v>
      </c>
      <c r="J415" s="36">
        <v>0</v>
      </c>
      <c r="K415" s="58">
        <v>140</v>
      </c>
      <c r="L415" s="58"/>
      <c r="M415" s="22">
        <f>IFERROR((VLOOKUP(A415,'Current Stocks July-26'!$B:$K,10,0)),0)</f>
        <v>0</v>
      </c>
      <c r="N415" s="22">
        <f t="shared" si="48"/>
        <v>0</v>
      </c>
      <c r="O415" s="22" t="str">
        <f t="shared" si="49"/>
        <v>ORDER NOW</v>
      </c>
      <c r="P415" s="22" t="str">
        <f t="shared" si="50"/>
        <v>CRITICAL</v>
      </c>
      <c r="Q415" s="58">
        <f t="shared" si="51"/>
        <v>46.666666666666664</v>
      </c>
      <c r="R415" s="58">
        <f t="shared" si="52"/>
        <v>186.66666666666666</v>
      </c>
      <c r="S415" s="58">
        <f t="shared" si="53"/>
        <v>186.66666666666666</v>
      </c>
      <c r="T415" s="5">
        <v>7</v>
      </c>
      <c r="U415" s="5" t="s">
        <v>30</v>
      </c>
      <c r="V415" s="173">
        <f>VLOOKUP(A415,'[1]Final-Short'!$B:$AE,29,0)</f>
        <v>48.333329999999997</v>
      </c>
      <c r="W415" s="171" t="str">
        <f>VLOOKUP(A415,'[1]Final-Short'!$B:$AE,30,0)</f>
        <v>شركة أعمال الضيافة للخدمات التموينية</v>
      </c>
      <c r="X415" s="58">
        <f t="shared" si="54"/>
        <v>9022.2215999999989</v>
      </c>
      <c r="Y415" s="58">
        <f t="shared" si="55"/>
        <v>6766.6661999999997</v>
      </c>
    </row>
    <row r="416" spans="1:25" x14ac:dyDescent="0.25">
      <c r="A416" s="36" t="s">
        <v>1208</v>
      </c>
      <c r="B416" s="171" t="s">
        <v>1209</v>
      </c>
      <c r="C416" s="171" t="s">
        <v>1209</v>
      </c>
      <c r="D416" s="172" t="s">
        <v>1631</v>
      </c>
      <c r="E416" s="172" t="s">
        <v>1631</v>
      </c>
      <c r="F416" s="172" t="s">
        <v>1631</v>
      </c>
      <c r="G416" s="172" t="s">
        <v>1631</v>
      </c>
      <c r="H416" s="172" t="s">
        <v>1631</v>
      </c>
      <c r="I416" s="172" t="s">
        <v>5062</v>
      </c>
      <c r="J416" s="36">
        <v>1</v>
      </c>
      <c r="K416" s="58">
        <v>330</v>
      </c>
      <c r="L416" s="58"/>
      <c r="M416" s="22">
        <f>IFERROR((VLOOKUP(A416,'Current Stocks July-26'!$B:$K,10,0)),0)</f>
        <v>97.44</v>
      </c>
      <c r="N416" s="22">
        <f t="shared" si="48"/>
        <v>8.8581818181818175</v>
      </c>
      <c r="O416" s="22" t="str">
        <f t="shared" si="49"/>
        <v>IN STOCK</v>
      </c>
      <c r="P416" s="22" t="str">
        <f t="shared" si="50"/>
        <v>FOLLOW UP DELIVERY</v>
      </c>
      <c r="Q416" s="58">
        <f t="shared" si="51"/>
        <v>110</v>
      </c>
      <c r="R416" s="58">
        <f t="shared" si="52"/>
        <v>440</v>
      </c>
      <c r="S416" s="58">
        <f t="shared" si="53"/>
        <v>342.56</v>
      </c>
      <c r="T416" s="5">
        <v>7</v>
      </c>
      <c r="U416" s="5" t="s">
        <v>30</v>
      </c>
      <c r="V416" s="173">
        <f>VLOOKUP(A416,'[1]Final-Short'!$B:$AE,29,0)</f>
        <v>9.3055599999999998</v>
      </c>
      <c r="W416" s="171" t="s">
        <v>1700</v>
      </c>
      <c r="X416" s="58">
        <f t="shared" si="54"/>
        <v>3187.7126336000001</v>
      </c>
      <c r="Y416" s="58">
        <f t="shared" si="55"/>
        <v>3070.8348000000001</v>
      </c>
    </row>
    <row r="417" spans="1:25" x14ac:dyDescent="0.25">
      <c r="A417" s="36" t="s">
        <v>480</v>
      </c>
      <c r="B417" s="171" t="s">
        <v>481</v>
      </c>
      <c r="C417" s="171" t="s">
        <v>481</v>
      </c>
      <c r="D417" s="172" t="s">
        <v>1631</v>
      </c>
      <c r="E417" s="172" t="s">
        <v>1631</v>
      </c>
      <c r="F417" s="172" t="s">
        <v>1631</v>
      </c>
      <c r="G417" s="172" t="s">
        <v>5062</v>
      </c>
      <c r="H417" s="172" t="s">
        <v>1631</v>
      </c>
      <c r="I417" s="172" t="s">
        <v>5062</v>
      </c>
      <c r="J417" s="36">
        <v>2</v>
      </c>
      <c r="K417" s="58">
        <v>15</v>
      </c>
      <c r="L417" s="58"/>
      <c r="M417" s="22">
        <f>IFERROR((VLOOKUP(A417,'Current Stocks July-26'!$B:$K,10,0)),0)</f>
        <v>80</v>
      </c>
      <c r="N417" s="22">
        <f t="shared" si="48"/>
        <v>160</v>
      </c>
      <c r="O417" s="22" t="str">
        <f t="shared" si="49"/>
        <v>IN STOCK</v>
      </c>
      <c r="P417" s="22" t="str">
        <f t="shared" si="50"/>
        <v>FOLLOW UP DELIVERY</v>
      </c>
      <c r="Q417" s="58">
        <f t="shared" si="51"/>
        <v>5</v>
      </c>
      <c r="R417" s="58">
        <f t="shared" si="52"/>
        <v>20</v>
      </c>
      <c r="S417" s="58">
        <f t="shared" si="53"/>
        <v>0</v>
      </c>
      <c r="T417" s="5">
        <v>7</v>
      </c>
      <c r="U417" s="5" t="s">
        <v>30</v>
      </c>
      <c r="V417" s="173">
        <f>VLOOKUP(A417,'[1]Final-Short'!$B:$AE,29,0)</f>
        <v>7.2</v>
      </c>
      <c r="W417" s="171" t="s">
        <v>1700</v>
      </c>
      <c r="X417" s="58">
        <f t="shared" si="54"/>
        <v>0</v>
      </c>
      <c r="Y417" s="58">
        <f t="shared" si="55"/>
        <v>108</v>
      </c>
    </row>
    <row r="418" spans="1:25" x14ac:dyDescent="0.25">
      <c r="A418" s="36" t="s">
        <v>1582</v>
      </c>
      <c r="B418" s="171" t="s">
        <v>1583</v>
      </c>
      <c r="C418" s="171" t="s">
        <v>1583</v>
      </c>
      <c r="D418" s="172" t="s">
        <v>1631</v>
      </c>
      <c r="E418" s="172" t="s">
        <v>1631</v>
      </c>
      <c r="F418" s="172" t="s">
        <v>1631</v>
      </c>
      <c r="G418" s="172" t="s">
        <v>1631</v>
      </c>
      <c r="H418" s="172" t="s">
        <v>1631</v>
      </c>
      <c r="I418" s="172" t="s">
        <v>5062</v>
      </c>
      <c r="J418" s="36">
        <v>1</v>
      </c>
      <c r="K418" s="58">
        <v>100</v>
      </c>
      <c r="L418" s="58"/>
      <c r="M418" s="22">
        <f>IFERROR((VLOOKUP(A418,'Current Stocks July-26'!$B:$K,10,0)),0)</f>
        <v>0</v>
      </c>
      <c r="N418" s="22">
        <f t="shared" si="48"/>
        <v>0</v>
      </c>
      <c r="O418" s="22" t="str">
        <f t="shared" si="49"/>
        <v>ORDER NOW</v>
      </c>
      <c r="P418" s="22" t="str">
        <f t="shared" si="50"/>
        <v>CRITICAL</v>
      </c>
      <c r="Q418" s="58">
        <f t="shared" si="51"/>
        <v>33.333333333333329</v>
      </c>
      <c r="R418" s="58">
        <f t="shared" si="52"/>
        <v>133.33333333333331</v>
      </c>
      <c r="S418" s="58">
        <f t="shared" si="53"/>
        <v>133.33333333333331</v>
      </c>
      <c r="T418" s="5">
        <v>7</v>
      </c>
      <c r="U418" s="5" t="s">
        <v>30</v>
      </c>
      <c r="V418" s="195">
        <f>VLOOKUP(A418,'[1]Final-Short'!$B:$AE,29,0)</f>
        <v>79.95</v>
      </c>
      <c r="W418" s="171" t="s">
        <v>1700</v>
      </c>
      <c r="X418" s="58">
        <f t="shared" si="54"/>
        <v>10659.999999999998</v>
      </c>
      <c r="Y418" s="58">
        <f t="shared" si="55"/>
        <v>7995</v>
      </c>
    </row>
    <row r="419" spans="1:25" x14ac:dyDescent="0.25">
      <c r="A419" s="36" t="s">
        <v>1004</v>
      </c>
      <c r="B419" s="171" t="s">
        <v>1005</v>
      </c>
      <c r="C419" s="171" t="s">
        <v>1005</v>
      </c>
      <c r="D419" s="172" t="s">
        <v>1631</v>
      </c>
      <c r="E419" s="172" t="s">
        <v>1631</v>
      </c>
      <c r="F419" s="172" t="s">
        <v>1631</v>
      </c>
      <c r="G419" s="172" t="s">
        <v>1631</v>
      </c>
      <c r="H419" s="172" t="s">
        <v>1631</v>
      </c>
      <c r="I419" s="172" t="s">
        <v>5062</v>
      </c>
      <c r="J419" s="36">
        <v>1</v>
      </c>
      <c r="K419" s="58">
        <v>30</v>
      </c>
      <c r="L419" s="58"/>
      <c r="M419" s="22">
        <f>IFERROR((VLOOKUP(A419,'Current Stocks July-26'!$B:$K,10,0)),0)</f>
        <v>627</v>
      </c>
      <c r="N419" s="22">
        <f t="shared" si="48"/>
        <v>627</v>
      </c>
      <c r="O419" s="22" t="str">
        <f t="shared" si="49"/>
        <v>IN STOCK</v>
      </c>
      <c r="P419" s="22" t="str">
        <f t="shared" si="50"/>
        <v>FOLLOW UP DELIVERY</v>
      </c>
      <c r="Q419" s="58">
        <f t="shared" si="51"/>
        <v>10</v>
      </c>
      <c r="R419" s="58">
        <f t="shared" si="52"/>
        <v>40</v>
      </c>
      <c r="S419" s="58">
        <f t="shared" si="53"/>
        <v>0</v>
      </c>
      <c r="T419" s="5">
        <v>7</v>
      </c>
      <c r="U419" s="5" t="s">
        <v>30</v>
      </c>
      <c r="V419" s="173">
        <f>VLOOKUP(A419,'[1]Final-Short'!$B:$AE,29,0)</f>
        <v>25.2</v>
      </c>
      <c r="W419" s="171" t="s">
        <v>1952</v>
      </c>
      <c r="X419" s="58">
        <f t="shared" si="54"/>
        <v>0</v>
      </c>
      <c r="Y419" s="58">
        <f t="shared" si="55"/>
        <v>756</v>
      </c>
    </row>
    <row r="420" spans="1:25" x14ac:dyDescent="0.25">
      <c r="A420" s="36" t="s">
        <v>731</v>
      </c>
      <c r="B420" s="171" t="s">
        <v>2003</v>
      </c>
      <c r="C420" s="171" t="s">
        <v>2003</v>
      </c>
      <c r="D420" s="172" t="s">
        <v>1631</v>
      </c>
      <c r="E420" s="172" t="s">
        <v>1631</v>
      </c>
      <c r="F420" s="172" t="s">
        <v>1631</v>
      </c>
      <c r="G420" s="172" t="s">
        <v>5062</v>
      </c>
      <c r="H420" s="172" t="s">
        <v>1631</v>
      </c>
      <c r="I420" s="172" t="s">
        <v>1631</v>
      </c>
      <c r="J420" s="36">
        <v>1</v>
      </c>
      <c r="K420" s="58">
        <v>4000</v>
      </c>
      <c r="L420" s="58"/>
      <c r="M420" s="22">
        <f>IFERROR((VLOOKUP(A420,'Current Stocks July-26'!$B:$K,10,0)),0)</f>
        <v>0</v>
      </c>
      <c r="N420" s="22">
        <f t="shared" si="48"/>
        <v>0</v>
      </c>
      <c r="O420" s="22" t="str">
        <f t="shared" si="49"/>
        <v>ORDER NOW</v>
      </c>
      <c r="P420" s="22" t="str">
        <f t="shared" si="50"/>
        <v>CRITICAL</v>
      </c>
      <c r="Q420" s="58">
        <f t="shared" si="51"/>
        <v>3066.666666666667</v>
      </c>
      <c r="R420" s="58">
        <f t="shared" si="52"/>
        <v>7066.666666666667</v>
      </c>
      <c r="S420" s="58">
        <f t="shared" si="53"/>
        <v>7066.666666666667</v>
      </c>
      <c r="T420" s="5">
        <v>20</v>
      </c>
      <c r="U420" s="5" t="s">
        <v>30</v>
      </c>
      <c r="V420" s="173">
        <f>VLOOKUP(A420,'[1]Final-Short'!$B:$AE,29,0)</f>
        <v>2.95</v>
      </c>
      <c r="W420" s="171" t="s">
        <v>1896</v>
      </c>
      <c r="X420" s="58">
        <f t="shared" si="54"/>
        <v>20846.666666666668</v>
      </c>
      <c r="Y420" s="58">
        <f t="shared" si="55"/>
        <v>11800</v>
      </c>
    </row>
    <row r="421" spans="1:25" x14ac:dyDescent="0.25">
      <c r="A421" s="36" t="s">
        <v>1057</v>
      </c>
      <c r="B421" s="171" t="s">
        <v>1058</v>
      </c>
      <c r="C421" s="171" t="s">
        <v>1058</v>
      </c>
      <c r="D421" s="172" t="s">
        <v>1631</v>
      </c>
      <c r="E421" s="172" t="s">
        <v>1631</v>
      </c>
      <c r="F421" s="172" t="s">
        <v>1631</v>
      </c>
      <c r="G421" s="172" t="s">
        <v>1631</v>
      </c>
      <c r="H421" s="172" t="s">
        <v>1631</v>
      </c>
      <c r="I421" s="172" t="s">
        <v>5062</v>
      </c>
      <c r="J421" s="36">
        <v>1</v>
      </c>
      <c r="K421" s="58">
        <v>1500</v>
      </c>
      <c r="L421" s="58"/>
      <c r="M421" s="22">
        <f>IFERROR((VLOOKUP(A421,'Current Stocks July-26'!$B:$K,10,0)),0)</f>
        <v>1250</v>
      </c>
      <c r="N421" s="22">
        <f t="shared" si="48"/>
        <v>25</v>
      </c>
      <c r="O421" s="22" t="str">
        <f t="shared" si="49"/>
        <v>IN STOCK</v>
      </c>
      <c r="P421" s="22" t="str">
        <f t="shared" si="50"/>
        <v>FOLLOW UP DELIVERY</v>
      </c>
      <c r="Q421" s="58">
        <f t="shared" si="51"/>
        <v>500</v>
      </c>
      <c r="R421" s="58">
        <f t="shared" si="52"/>
        <v>2000</v>
      </c>
      <c r="S421" s="58">
        <f t="shared" si="53"/>
        <v>750</v>
      </c>
      <c r="T421" s="5">
        <v>7</v>
      </c>
      <c r="U421" s="5" t="s">
        <v>1669</v>
      </c>
      <c r="V421" s="173">
        <f>VLOOKUP(A421,'[1]Final-Short'!$B:$AE,29,0)</f>
        <v>6.4</v>
      </c>
      <c r="W421" s="171" t="s">
        <v>1704</v>
      </c>
      <c r="X421" s="58">
        <f t="shared" si="54"/>
        <v>4800</v>
      </c>
      <c r="Y421" s="58">
        <f t="shared" si="55"/>
        <v>9600</v>
      </c>
    </row>
    <row r="422" spans="1:25" x14ac:dyDescent="0.25">
      <c r="A422" s="36" t="s">
        <v>835</v>
      </c>
      <c r="B422" s="171" t="s">
        <v>836</v>
      </c>
      <c r="C422" s="171" t="s">
        <v>836</v>
      </c>
      <c r="D422" s="172" t="s">
        <v>1631</v>
      </c>
      <c r="E422" s="172" t="s">
        <v>1631</v>
      </c>
      <c r="F422" s="172" t="s">
        <v>1631</v>
      </c>
      <c r="G422" s="172" t="s">
        <v>1631</v>
      </c>
      <c r="H422" s="172" t="s">
        <v>1631</v>
      </c>
      <c r="I422" s="172" t="s">
        <v>5062</v>
      </c>
      <c r="J422" s="36">
        <v>1</v>
      </c>
      <c r="K422" s="58">
        <v>2000</v>
      </c>
      <c r="L422" s="58"/>
      <c r="M422" s="22">
        <f>IFERROR((VLOOKUP(A422,'Current Stocks July-26'!$B:$K,10,0)),0)</f>
        <v>0</v>
      </c>
      <c r="N422" s="22">
        <f t="shared" si="48"/>
        <v>0</v>
      </c>
      <c r="O422" s="22" t="str">
        <f t="shared" si="49"/>
        <v>ORDER NOW</v>
      </c>
      <c r="P422" s="22" t="str">
        <f t="shared" si="50"/>
        <v>CRITICAL</v>
      </c>
      <c r="Q422" s="58">
        <f t="shared" si="51"/>
        <v>1133.3333333333333</v>
      </c>
      <c r="R422" s="58">
        <f t="shared" si="52"/>
        <v>3133.333333333333</v>
      </c>
      <c r="S422" s="58">
        <f t="shared" si="53"/>
        <v>3133.333333333333</v>
      </c>
      <c r="T422" s="5">
        <v>14</v>
      </c>
      <c r="U422" s="5" t="s">
        <v>1669</v>
      </c>
      <c r="V422" s="173">
        <f>VLOOKUP(A422,'[1]Final-Short'!$B:$AE,29,0)</f>
        <v>11.151960000000001</v>
      </c>
      <c r="W422" s="171" t="s">
        <v>1952</v>
      </c>
      <c r="X422" s="58">
        <f t="shared" si="54"/>
        <v>34942.807999999997</v>
      </c>
      <c r="Y422" s="58">
        <f t="shared" si="55"/>
        <v>22303.920000000002</v>
      </c>
    </row>
    <row r="423" spans="1:25" x14ac:dyDescent="0.25">
      <c r="A423" s="36" t="s">
        <v>540</v>
      </c>
      <c r="B423" s="171" t="s">
        <v>541</v>
      </c>
      <c r="C423" s="171" t="s">
        <v>541</v>
      </c>
      <c r="D423" s="172" t="s">
        <v>1631</v>
      </c>
      <c r="E423" s="172" t="s">
        <v>1631</v>
      </c>
      <c r="F423" s="172" t="s">
        <v>1631</v>
      </c>
      <c r="G423" s="172" t="s">
        <v>5062</v>
      </c>
      <c r="H423" s="172" t="s">
        <v>1631</v>
      </c>
      <c r="I423" s="172" t="s">
        <v>1631</v>
      </c>
      <c r="J423" s="36">
        <v>1</v>
      </c>
      <c r="K423" s="58">
        <v>6</v>
      </c>
      <c r="L423" s="58"/>
      <c r="M423" s="22">
        <f>IFERROR((VLOOKUP(A423,'Current Stocks July-26'!$B:$K,10,0)),0)</f>
        <v>6</v>
      </c>
      <c r="N423" s="22">
        <f t="shared" si="48"/>
        <v>30</v>
      </c>
      <c r="O423" s="22" t="str">
        <f t="shared" si="49"/>
        <v>IN STOCK</v>
      </c>
      <c r="P423" s="22" t="str">
        <f t="shared" si="50"/>
        <v>FOLLOW UP DELIVERY</v>
      </c>
      <c r="Q423" s="58">
        <f t="shared" si="51"/>
        <v>2</v>
      </c>
      <c r="R423" s="58">
        <f t="shared" si="52"/>
        <v>8</v>
      </c>
      <c r="S423" s="58">
        <f t="shared" si="53"/>
        <v>2</v>
      </c>
      <c r="T423" s="5">
        <v>7</v>
      </c>
      <c r="U423" s="5" t="s">
        <v>30</v>
      </c>
      <c r="V423" s="173">
        <f>VLOOKUP(A423,'[1]Final-Short'!$B:$AE,29,0)</f>
        <v>57.593330000000002</v>
      </c>
      <c r="W423" s="171" t="s">
        <v>1696</v>
      </c>
      <c r="X423" s="58">
        <f t="shared" si="54"/>
        <v>115.18666</v>
      </c>
      <c r="Y423" s="58">
        <f t="shared" si="55"/>
        <v>345.55998</v>
      </c>
    </row>
    <row r="424" spans="1:25" x14ac:dyDescent="0.25">
      <c r="A424" s="36" t="s">
        <v>1236</v>
      </c>
      <c r="B424" s="171" t="s">
        <v>1237</v>
      </c>
      <c r="C424" s="171" t="s">
        <v>1237</v>
      </c>
      <c r="D424" s="172" t="s">
        <v>1631</v>
      </c>
      <c r="E424" s="172" t="s">
        <v>1631</v>
      </c>
      <c r="F424" s="172" t="s">
        <v>1631</v>
      </c>
      <c r="G424" s="172" t="s">
        <v>5062</v>
      </c>
      <c r="H424" s="172" t="s">
        <v>1631</v>
      </c>
      <c r="I424" s="172" t="s">
        <v>1631</v>
      </c>
      <c r="J424" s="36">
        <v>1</v>
      </c>
      <c r="K424" s="58">
        <v>6</v>
      </c>
      <c r="L424" s="58"/>
      <c r="M424" s="22">
        <f>IFERROR((VLOOKUP(A424,'Current Stocks July-26'!$B:$K,10,0)),0)</f>
        <v>0</v>
      </c>
      <c r="N424" s="22">
        <f t="shared" si="48"/>
        <v>0</v>
      </c>
      <c r="O424" s="22" t="str">
        <f t="shared" si="49"/>
        <v>ORDER NOW</v>
      </c>
      <c r="P424" s="22" t="str">
        <f t="shared" si="50"/>
        <v>CRITICAL</v>
      </c>
      <c r="Q424" s="58">
        <f t="shared" si="51"/>
        <v>2</v>
      </c>
      <c r="R424" s="58">
        <f t="shared" si="52"/>
        <v>8</v>
      </c>
      <c r="S424" s="58">
        <f t="shared" si="53"/>
        <v>8</v>
      </c>
      <c r="T424" s="5">
        <v>7</v>
      </c>
      <c r="U424" s="5" t="s">
        <v>30</v>
      </c>
      <c r="V424" s="173">
        <f>VLOOKUP(A424,'[1]Final-Short'!$B:$AE,29,0)</f>
        <v>17</v>
      </c>
      <c r="W424" s="171" t="s">
        <v>1952</v>
      </c>
      <c r="X424" s="58">
        <f t="shared" si="54"/>
        <v>136</v>
      </c>
      <c r="Y424" s="58">
        <f t="shared" si="55"/>
        <v>102</v>
      </c>
    </row>
    <row r="425" spans="1:25" x14ac:dyDescent="0.25">
      <c r="A425" s="36" t="s">
        <v>1218</v>
      </c>
      <c r="B425" s="171" t="s">
        <v>1219</v>
      </c>
      <c r="C425" s="171" t="s">
        <v>1219</v>
      </c>
      <c r="D425" s="172" t="s">
        <v>5062</v>
      </c>
      <c r="E425" s="172" t="s">
        <v>5062</v>
      </c>
      <c r="F425" s="172" t="s">
        <v>1631</v>
      </c>
      <c r="G425" s="172" t="s">
        <v>1631</v>
      </c>
      <c r="H425" s="172" t="s">
        <v>1631</v>
      </c>
      <c r="I425" s="172" t="s">
        <v>5062</v>
      </c>
      <c r="J425" s="36">
        <v>3</v>
      </c>
      <c r="K425" s="58">
        <v>1000</v>
      </c>
      <c r="L425" s="58"/>
      <c r="M425" s="22">
        <f>IFERROR((VLOOKUP(A425,'Current Stocks July-26'!$B:$K,10,0)),0)</f>
        <v>292</v>
      </c>
      <c r="N425" s="22">
        <f t="shared" si="48"/>
        <v>8.76</v>
      </c>
      <c r="O425" s="22" t="str">
        <f t="shared" si="49"/>
        <v>IN STOCK</v>
      </c>
      <c r="P425" s="22" t="str">
        <f t="shared" si="50"/>
        <v>FOLLOW UP DELIVERY</v>
      </c>
      <c r="Q425" s="58">
        <f t="shared" si="51"/>
        <v>333.33333333333331</v>
      </c>
      <c r="R425" s="58">
        <f t="shared" si="52"/>
        <v>1333.3333333333333</v>
      </c>
      <c r="S425" s="58">
        <f t="shared" si="53"/>
        <v>1041.3333333333333</v>
      </c>
      <c r="T425" s="5">
        <v>7</v>
      </c>
      <c r="U425" s="5" t="s">
        <v>30</v>
      </c>
      <c r="V425" s="173">
        <f>VLOOKUP(A425,'[1]Final-Short'!$B:$AE,29,0)</f>
        <v>40</v>
      </c>
      <c r="W425" s="171" t="str">
        <f>VLOOKUP(A425,'[1]Final-Short'!$B:$AE,30,0)</f>
        <v>شركة شمس القهوة للتجارة المحدودة</v>
      </c>
      <c r="X425" s="58">
        <f t="shared" si="54"/>
        <v>41653.333333333328</v>
      </c>
      <c r="Y425" s="58">
        <f t="shared" si="55"/>
        <v>40000</v>
      </c>
    </row>
    <row r="426" spans="1:25" x14ac:dyDescent="0.25">
      <c r="A426" s="36" t="s">
        <v>1272</v>
      </c>
      <c r="B426" s="171" t="s">
        <v>1273</v>
      </c>
      <c r="C426" s="171" t="s">
        <v>2004</v>
      </c>
      <c r="D426" s="172" t="s">
        <v>1631</v>
      </c>
      <c r="E426" s="172" t="s">
        <v>1631</v>
      </c>
      <c r="F426" s="172" t="s">
        <v>1631</v>
      </c>
      <c r="G426" s="172" t="s">
        <v>5062</v>
      </c>
      <c r="H426" s="172" t="s">
        <v>1631</v>
      </c>
      <c r="I426" s="172" t="s">
        <v>5062</v>
      </c>
      <c r="J426" s="36">
        <v>2</v>
      </c>
      <c r="K426" s="58">
        <v>500</v>
      </c>
      <c r="L426" s="58"/>
      <c r="M426" s="22">
        <f>IFERROR((VLOOKUP(A426,'Current Stocks July-26'!$B:$K,10,0)),0)</f>
        <v>17.760000000000002</v>
      </c>
      <c r="N426" s="22">
        <f t="shared" si="48"/>
        <v>1.0656000000000001</v>
      </c>
      <c r="O426" s="22" t="str">
        <f t="shared" si="49"/>
        <v>ORDER NOW</v>
      </c>
      <c r="P426" s="22" t="str">
        <f t="shared" si="50"/>
        <v>CRITICAL</v>
      </c>
      <c r="Q426" s="58">
        <f t="shared" si="51"/>
        <v>166.66666666666666</v>
      </c>
      <c r="R426" s="58">
        <f t="shared" si="52"/>
        <v>666.66666666666663</v>
      </c>
      <c r="S426" s="58">
        <f t="shared" si="53"/>
        <v>648.90666666666664</v>
      </c>
      <c r="T426" s="5">
        <v>7</v>
      </c>
      <c r="U426" s="5" t="s">
        <v>30</v>
      </c>
      <c r="V426" s="173">
        <f>VLOOKUP(A426,'[1]Final-Short'!$B:$AE,29,0)</f>
        <v>38.435809999999996</v>
      </c>
      <c r="W426" s="171" t="s">
        <v>1731</v>
      </c>
      <c r="X426" s="58">
        <f t="shared" si="54"/>
        <v>24941.253347733331</v>
      </c>
      <c r="Y426" s="58">
        <f t="shared" si="55"/>
        <v>19217.904999999999</v>
      </c>
    </row>
    <row r="427" spans="1:25" x14ac:dyDescent="0.25">
      <c r="A427" s="36" t="s">
        <v>536</v>
      </c>
      <c r="B427" s="171" t="s">
        <v>537</v>
      </c>
      <c r="C427" s="171" t="s">
        <v>537</v>
      </c>
      <c r="D427" s="172" t="s">
        <v>1631</v>
      </c>
      <c r="E427" s="172" t="s">
        <v>1631</v>
      </c>
      <c r="F427" s="172" t="s">
        <v>1631</v>
      </c>
      <c r="G427" s="172" t="s">
        <v>5062</v>
      </c>
      <c r="H427" s="172" t="s">
        <v>1631</v>
      </c>
      <c r="I427" s="172" t="s">
        <v>1631</v>
      </c>
      <c r="J427" s="36">
        <v>1</v>
      </c>
      <c r="K427" s="58">
        <v>0</v>
      </c>
      <c r="L427" s="58"/>
      <c r="M427" s="22">
        <f>IFERROR((VLOOKUP(A427,'Current Stocks July-26'!$B:$K,10,0)),0)</f>
        <v>1.5</v>
      </c>
      <c r="N427" s="22">
        <f t="shared" si="48"/>
        <v>0</v>
      </c>
      <c r="O427" s="22" t="str">
        <f t="shared" si="49"/>
        <v>ORDER NOW</v>
      </c>
      <c r="P427" s="22" t="str">
        <f t="shared" si="50"/>
        <v>CRITICAL</v>
      </c>
      <c r="Q427" s="58">
        <f t="shared" si="51"/>
        <v>0</v>
      </c>
      <c r="R427" s="58">
        <f t="shared" si="52"/>
        <v>0</v>
      </c>
      <c r="S427" s="58">
        <f t="shared" si="53"/>
        <v>0</v>
      </c>
      <c r="T427" s="5">
        <v>7</v>
      </c>
      <c r="U427" s="5" t="s">
        <v>30</v>
      </c>
      <c r="V427" s="173">
        <f>VLOOKUP(A427,'[1]Final-Short'!$B:$AE,29,0)</f>
        <v>16</v>
      </c>
      <c r="W427" s="171" t="s">
        <v>1696</v>
      </c>
      <c r="X427" s="58">
        <f t="shared" si="54"/>
        <v>0</v>
      </c>
      <c r="Y427" s="58">
        <f t="shared" si="55"/>
        <v>0</v>
      </c>
    </row>
    <row r="428" spans="1:25" x14ac:dyDescent="0.25">
      <c r="A428" s="36" t="s">
        <v>2005</v>
      </c>
      <c r="B428" s="171" t="s">
        <v>2006</v>
      </c>
      <c r="C428" s="171" t="s">
        <v>2006</v>
      </c>
      <c r="D428" s="172" t="s">
        <v>1631</v>
      </c>
      <c r="E428" s="172" t="s">
        <v>1631</v>
      </c>
      <c r="F428" s="172" t="s">
        <v>1631</v>
      </c>
      <c r="G428" s="172" t="s">
        <v>5062</v>
      </c>
      <c r="H428" s="172" t="s">
        <v>1631</v>
      </c>
      <c r="I428" s="172" t="s">
        <v>1631</v>
      </c>
      <c r="J428" s="36">
        <v>1</v>
      </c>
      <c r="K428" s="58">
        <v>12</v>
      </c>
      <c r="L428" s="58" t="s">
        <v>2007</v>
      </c>
      <c r="M428" s="22">
        <f>IFERROR((VLOOKUP(A428,'Current Stocks July-26'!$B:$K,10,0)),0)</f>
        <v>0</v>
      </c>
      <c r="N428" s="22">
        <f t="shared" si="48"/>
        <v>0</v>
      </c>
      <c r="O428" s="22" t="str">
        <f t="shared" si="49"/>
        <v>ORDER NOW</v>
      </c>
      <c r="P428" s="22" t="str">
        <f t="shared" si="50"/>
        <v>CRITICAL</v>
      </c>
      <c r="Q428" s="58">
        <f t="shared" si="51"/>
        <v>4</v>
      </c>
      <c r="R428" s="58">
        <f t="shared" si="52"/>
        <v>16</v>
      </c>
      <c r="S428" s="58">
        <f t="shared" si="53"/>
        <v>16</v>
      </c>
      <c r="T428" s="5">
        <v>7</v>
      </c>
      <c r="U428" s="5" t="s">
        <v>30</v>
      </c>
      <c r="V428" s="173">
        <f>VLOOKUP(A428,'[1]Final-Short'!$B:$AE,29,0)</f>
        <v>21.062270000000002</v>
      </c>
      <c r="W428" s="171" t="s">
        <v>1700</v>
      </c>
      <c r="X428" s="58">
        <f t="shared" si="54"/>
        <v>336.99632000000003</v>
      </c>
      <c r="Y428" s="58">
        <f t="shared" si="55"/>
        <v>252.74724000000003</v>
      </c>
    </row>
    <row r="429" spans="1:25" x14ac:dyDescent="0.25">
      <c r="A429" s="36" t="s">
        <v>542</v>
      </c>
      <c r="B429" s="171" t="s">
        <v>543</v>
      </c>
      <c r="C429" s="171" t="s">
        <v>543</v>
      </c>
      <c r="D429" s="172" t="s">
        <v>1631</v>
      </c>
      <c r="E429" s="172" t="s">
        <v>1631</v>
      </c>
      <c r="F429" s="172" t="s">
        <v>1631</v>
      </c>
      <c r="G429" s="172" t="s">
        <v>5062</v>
      </c>
      <c r="H429" s="172" t="s">
        <v>1631</v>
      </c>
      <c r="I429" s="172" t="s">
        <v>5062</v>
      </c>
      <c r="J429" s="36">
        <v>2</v>
      </c>
      <c r="K429" s="58">
        <v>5</v>
      </c>
      <c r="L429" s="58" t="s">
        <v>1701</v>
      </c>
      <c r="M429" s="22">
        <f>IFERROR((VLOOKUP(A429,'Current Stocks July-26'!$B:$K,10,0)),0)</f>
        <v>12.96</v>
      </c>
      <c r="N429" s="22">
        <f t="shared" si="48"/>
        <v>77.760000000000005</v>
      </c>
      <c r="O429" s="22" t="str">
        <f t="shared" si="49"/>
        <v>IN STOCK</v>
      </c>
      <c r="P429" s="22" t="str">
        <f t="shared" si="50"/>
        <v>FOLLOW UP DELIVERY</v>
      </c>
      <c r="Q429" s="58">
        <f t="shared" si="51"/>
        <v>1.6666666666666665</v>
      </c>
      <c r="R429" s="58">
        <f t="shared" si="52"/>
        <v>6.6666666666666661</v>
      </c>
      <c r="S429" s="58">
        <f t="shared" si="53"/>
        <v>0</v>
      </c>
      <c r="T429" s="5">
        <v>7</v>
      </c>
      <c r="U429" s="5" t="s">
        <v>30</v>
      </c>
      <c r="V429" s="173">
        <f>VLOOKUP(A429,'[1]Final-Short'!$B:$AE,29,0)</f>
        <v>9.2809000000000008</v>
      </c>
      <c r="W429" s="171" t="s">
        <v>1696</v>
      </c>
      <c r="X429" s="58">
        <f t="shared" si="54"/>
        <v>0</v>
      </c>
      <c r="Y429" s="58">
        <f t="shared" si="55"/>
        <v>46.404500000000006</v>
      </c>
    </row>
    <row r="430" spans="1:25" x14ac:dyDescent="0.25">
      <c r="A430" s="36" t="s">
        <v>743</v>
      </c>
      <c r="B430" s="171" t="s">
        <v>744</v>
      </c>
      <c r="C430" s="171" t="s">
        <v>744</v>
      </c>
      <c r="D430" s="172" t="s">
        <v>1631</v>
      </c>
      <c r="E430" s="172" t="s">
        <v>5062</v>
      </c>
      <c r="F430" s="172" t="s">
        <v>1631</v>
      </c>
      <c r="G430" s="172" t="s">
        <v>1631</v>
      </c>
      <c r="H430" s="172" t="s">
        <v>1631</v>
      </c>
      <c r="I430" s="172" t="s">
        <v>5062</v>
      </c>
      <c r="J430" s="36">
        <v>2</v>
      </c>
      <c r="K430" s="180">
        <v>5100</v>
      </c>
      <c r="L430" s="180"/>
      <c r="M430" s="22">
        <f>IFERROR((VLOOKUP(A430,'Current Stocks July-26'!$B:$K,10,0)),0)</f>
        <v>16740</v>
      </c>
      <c r="N430" s="22">
        <f t="shared" si="48"/>
        <v>98.470588235294116</v>
      </c>
      <c r="O430" s="22" t="str">
        <f t="shared" si="49"/>
        <v>IN STOCK</v>
      </c>
      <c r="P430" s="22" t="str">
        <f t="shared" si="50"/>
        <v>FOLLOW UP DELIVERY</v>
      </c>
      <c r="Q430" s="58">
        <f t="shared" si="51"/>
        <v>1700</v>
      </c>
      <c r="R430" s="58">
        <f t="shared" si="52"/>
        <v>6800</v>
      </c>
      <c r="S430" s="58">
        <f t="shared" si="53"/>
        <v>0</v>
      </c>
      <c r="T430" s="5">
        <v>7</v>
      </c>
      <c r="U430" s="5" t="s">
        <v>1669</v>
      </c>
      <c r="V430" s="173">
        <f>VLOOKUP(A430,'[1]Final-Short'!$B:$AE,29,0)</f>
        <v>22.5</v>
      </c>
      <c r="W430" s="171" t="s">
        <v>1704</v>
      </c>
      <c r="X430" s="58">
        <f t="shared" si="54"/>
        <v>0</v>
      </c>
      <c r="Y430" s="58">
        <f t="shared" si="55"/>
        <v>114750</v>
      </c>
    </row>
    <row r="431" spans="1:25" x14ac:dyDescent="0.25">
      <c r="A431" s="36" t="s">
        <v>82</v>
      </c>
      <c r="B431" s="171" t="s">
        <v>83</v>
      </c>
      <c r="C431" s="171" t="s">
        <v>1399</v>
      </c>
      <c r="D431" s="172" t="s">
        <v>1631</v>
      </c>
      <c r="E431" s="172" t="s">
        <v>1631</v>
      </c>
      <c r="F431" s="172" t="s">
        <v>1631</v>
      </c>
      <c r="G431" s="172" t="s">
        <v>5062</v>
      </c>
      <c r="H431" s="172" t="s">
        <v>1631</v>
      </c>
      <c r="I431" s="172" t="s">
        <v>5062</v>
      </c>
      <c r="J431" s="36">
        <v>2</v>
      </c>
      <c r="K431" s="58">
        <v>15</v>
      </c>
      <c r="L431" s="58"/>
      <c r="M431" s="22">
        <f>IFERROR((VLOOKUP(A431,'Current Stocks July-26'!$B:$K,10,0)),0)</f>
        <v>336.6</v>
      </c>
      <c r="N431" s="22">
        <f t="shared" si="48"/>
        <v>673.2</v>
      </c>
      <c r="O431" s="22" t="str">
        <f t="shared" si="49"/>
        <v>IN STOCK</v>
      </c>
      <c r="P431" s="22" t="str">
        <f t="shared" si="50"/>
        <v>FOLLOW UP DELIVERY</v>
      </c>
      <c r="Q431" s="58">
        <f t="shared" si="51"/>
        <v>5</v>
      </c>
      <c r="R431" s="58">
        <f t="shared" si="52"/>
        <v>20</v>
      </c>
      <c r="S431" s="58">
        <f t="shared" si="53"/>
        <v>0</v>
      </c>
      <c r="T431" s="5">
        <v>7</v>
      </c>
      <c r="U431" s="5" t="s">
        <v>30</v>
      </c>
      <c r="V431" s="173">
        <f>VLOOKUP(A431,'[1]Final-Short'!$B:$AE,29,0)</f>
        <v>48.742139999999999</v>
      </c>
      <c r="W431" s="171" t="s">
        <v>1700</v>
      </c>
      <c r="X431" s="58">
        <f t="shared" si="54"/>
        <v>0</v>
      </c>
      <c r="Y431" s="58">
        <f t="shared" si="55"/>
        <v>731.13210000000004</v>
      </c>
    </row>
    <row r="432" spans="1:25" x14ac:dyDescent="0.25">
      <c r="A432" s="36" t="s">
        <v>1547</v>
      </c>
      <c r="B432" s="171" t="s">
        <v>2008</v>
      </c>
      <c r="C432" s="171" t="s">
        <v>2008</v>
      </c>
      <c r="D432" s="172" t="s">
        <v>5062</v>
      </c>
      <c r="E432" s="172" t="s">
        <v>1631</v>
      </c>
      <c r="F432" s="172" t="s">
        <v>1631</v>
      </c>
      <c r="G432" s="172" t="s">
        <v>1631</v>
      </c>
      <c r="H432" s="172" t="s">
        <v>1631</v>
      </c>
      <c r="I432" s="172" t="s">
        <v>1631</v>
      </c>
      <c r="J432" s="36">
        <v>1</v>
      </c>
      <c r="K432" s="58">
        <v>3</v>
      </c>
      <c r="L432" s="58"/>
      <c r="M432" s="22">
        <f>IFERROR((VLOOKUP(A432,'Current Stocks July-26'!$B:$K,10,0)),0)</f>
        <v>10</v>
      </c>
      <c r="N432" s="22">
        <f t="shared" si="48"/>
        <v>100</v>
      </c>
      <c r="O432" s="22" t="str">
        <f t="shared" si="49"/>
        <v>IN STOCK</v>
      </c>
      <c r="P432" s="22" t="str">
        <f t="shared" si="50"/>
        <v>FOLLOW UP DELIVERY</v>
      </c>
      <c r="Q432" s="58">
        <f t="shared" si="51"/>
        <v>1</v>
      </c>
      <c r="R432" s="58">
        <f t="shared" si="52"/>
        <v>4</v>
      </c>
      <c r="S432" s="58">
        <f t="shared" si="53"/>
        <v>0</v>
      </c>
      <c r="T432" s="5">
        <v>7</v>
      </c>
      <c r="U432" s="5" t="s">
        <v>30</v>
      </c>
      <c r="V432" s="173">
        <f>VLOOKUP(A432,'[1]Final-Short'!$B:$AE,29,0)</f>
        <v>35</v>
      </c>
      <c r="W432" s="171" t="str">
        <f>VLOOKUP(A432,'[1]Final-Short'!$B:$AE,30,0)</f>
        <v>شركة ناف الجود- NAF AL JOOD</v>
      </c>
      <c r="X432" s="58">
        <f t="shared" si="54"/>
        <v>0</v>
      </c>
      <c r="Y432" s="58">
        <f t="shared" si="55"/>
        <v>105</v>
      </c>
    </row>
    <row r="433" spans="1:25" x14ac:dyDescent="0.25">
      <c r="A433" s="36" t="s">
        <v>1323</v>
      </c>
      <c r="B433" s="171" t="s">
        <v>1324</v>
      </c>
      <c r="C433" s="171" t="s">
        <v>1324</v>
      </c>
      <c r="D433" s="172" t="s">
        <v>1631</v>
      </c>
      <c r="E433" s="172" t="s">
        <v>1631</v>
      </c>
      <c r="F433" s="172" t="s">
        <v>1631</v>
      </c>
      <c r="G433" s="172" t="s">
        <v>5062</v>
      </c>
      <c r="H433" s="172" t="s">
        <v>1631</v>
      </c>
      <c r="I433" s="172" t="s">
        <v>1631</v>
      </c>
      <c r="J433" s="36">
        <v>1</v>
      </c>
      <c r="K433" s="58">
        <v>1</v>
      </c>
      <c r="L433" s="58"/>
      <c r="M433" s="22">
        <f>IFERROR((VLOOKUP(A433,'Current Stocks July-26'!$B:$K,10,0)),0)</f>
        <v>0</v>
      </c>
      <c r="N433" s="22">
        <f t="shared" si="48"/>
        <v>0</v>
      </c>
      <c r="O433" s="22" t="str">
        <f t="shared" si="49"/>
        <v>ORDER NOW</v>
      </c>
      <c r="P433" s="22" t="str">
        <f t="shared" si="50"/>
        <v>CRITICAL</v>
      </c>
      <c r="Q433" s="58">
        <f t="shared" si="51"/>
        <v>0.33333333333333331</v>
      </c>
      <c r="R433" s="58">
        <f t="shared" si="52"/>
        <v>1.3333333333333333</v>
      </c>
      <c r="S433" s="58">
        <f t="shared" si="53"/>
        <v>1.3333333333333333</v>
      </c>
      <c r="T433" s="5">
        <v>7</v>
      </c>
      <c r="U433" s="5" t="s">
        <v>30</v>
      </c>
      <c r="V433" s="173">
        <f>VLOOKUP(A433,'[1]Final-Short'!$B:$AE,29,0)</f>
        <v>68.75</v>
      </c>
      <c r="W433" s="171" t="s">
        <v>1696</v>
      </c>
      <c r="X433" s="58">
        <f t="shared" si="54"/>
        <v>91.666666666666657</v>
      </c>
      <c r="Y433" s="58">
        <f t="shared" si="55"/>
        <v>68.75</v>
      </c>
    </row>
    <row r="434" spans="1:25" x14ac:dyDescent="0.25">
      <c r="A434" s="36" t="s">
        <v>1533</v>
      </c>
      <c r="B434" s="171" t="s">
        <v>1534</v>
      </c>
      <c r="C434" s="171" t="s">
        <v>1534</v>
      </c>
      <c r="D434" s="172" t="s">
        <v>1631</v>
      </c>
      <c r="E434" s="172" t="s">
        <v>1631</v>
      </c>
      <c r="F434" s="172" t="s">
        <v>1631</v>
      </c>
      <c r="G434" s="172" t="s">
        <v>1631</v>
      </c>
      <c r="H434" s="172" t="s">
        <v>1631</v>
      </c>
      <c r="I434" s="172" t="s">
        <v>5062</v>
      </c>
      <c r="J434" s="36">
        <v>1</v>
      </c>
      <c r="K434" s="58">
        <v>10</v>
      </c>
      <c r="L434" s="58"/>
      <c r="M434" s="22">
        <f>IFERROR((VLOOKUP(A434,'Current Stocks July-26'!$B:$K,10,0)),0)</f>
        <v>54</v>
      </c>
      <c r="N434" s="22">
        <f t="shared" si="48"/>
        <v>162</v>
      </c>
      <c r="O434" s="22" t="str">
        <f t="shared" si="49"/>
        <v>IN STOCK</v>
      </c>
      <c r="P434" s="22" t="str">
        <f t="shared" si="50"/>
        <v>FOLLOW UP DELIVERY</v>
      </c>
      <c r="Q434" s="58">
        <f t="shared" si="51"/>
        <v>3.333333333333333</v>
      </c>
      <c r="R434" s="58">
        <f t="shared" si="52"/>
        <v>13.333333333333332</v>
      </c>
      <c r="S434" s="58">
        <f t="shared" si="53"/>
        <v>0</v>
      </c>
      <c r="T434" s="5">
        <v>7</v>
      </c>
      <c r="U434" s="5" t="s">
        <v>1703</v>
      </c>
      <c r="V434" s="173">
        <f>VLOOKUP(A434,'[1]Final-Short'!$B:$AE,29,0)</f>
        <v>19.379629999999999</v>
      </c>
      <c r="W434" s="171" t="s">
        <v>1700</v>
      </c>
      <c r="X434" s="58">
        <f t="shared" si="54"/>
        <v>0</v>
      </c>
      <c r="Y434" s="58">
        <f t="shared" si="55"/>
        <v>193.79629999999997</v>
      </c>
    </row>
    <row r="435" spans="1:25" x14ac:dyDescent="0.25">
      <c r="A435" s="36" t="s">
        <v>2009</v>
      </c>
      <c r="B435" s="171" t="s">
        <v>2010</v>
      </c>
      <c r="C435" s="171" t="s">
        <v>651</v>
      </c>
      <c r="D435" s="172" t="s">
        <v>1631</v>
      </c>
      <c r="E435" s="172" t="s">
        <v>1631</v>
      </c>
      <c r="F435" s="172" t="s">
        <v>1631</v>
      </c>
      <c r="G435" s="172" t="s">
        <v>1631</v>
      </c>
      <c r="H435" s="172" t="s">
        <v>1631</v>
      </c>
      <c r="I435" s="172" t="s">
        <v>1631</v>
      </c>
      <c r="J435" s="36">
        <v>0</v>
      </c>
      <c r="K435" s="58">
        <v>1</v>
      </c>
      <c r="L435" s="58"/>
      <c r="M435" s="22">
        <f>IFERROR((VLOOKUP(A435,'Current Stocks July-26'!$B:$K,10,0)),0)</f>
        <v>0</v>
      </c>
      <c r="N435" s="22">
        <f t="shared" si="48"/>
        <v>0</v>
      </c>
      <c r="O435" s="22" t="str">
        <f t="shared" si="49"/>
        <v>ORDER NOW</v>
      </c>
      <c r="P435" s="22" t="str">
        <f t="shared" si="50"/>
        <v>CRITICAL</v>
      </c>
      <c r="Q435" s="58">
        <f t="shared" si="51"/>
        <v>0.33333333333333331</v>
      </c>
      <c r="R435" s="58">
        <f t="shared" si="52"/>
        <v>1.3333333333333333</v>
      </c>
      <c r="S435" s="58">
        <f t="shared" si="53"/>
        <v>1.3333333333333333</v>
      </c>
      <c r="T435" s="5">
        <v>7</v>
      </c>
      <c r="U435" s="5" t="s">
        <v>1729</v>
      </c>
      <c r="V435" s="173">
        <f>VLOOKUP(A435,'[1]Final-Short'!$B:$AE,29,0)</f>
        <v>19.392160000000001</v>
      </c>
      <c r="W435" s="171" t="s">
        <v>1952</v>
      </c>
      <c r="X435" s="58">
        <f t="shared" si="54"/>
        <v>25.856213333333333</v>
      </c>
      <c r="Y435" s="58">
        <f t="shared" si="55"/>
        <v>19.392160000000001</v>
      </c>
    </row>
    <row r="436" spans="1:25" x14ac:dyDescent="0.25">
      <c r="A436" s="36" t="s">
        <v>62</v>
      </c>
      <c r="B436" s="171" t="s">
        <v>63</v>
      </c>
      <c r="C436" s="171" t="s">
        <v>414</v>
      </c>
      <c r="D436" s="172" t="s">
        <v>1631</v>
      </c>
      <c r="E436" s="172" t="s">
        <v>1631</v>
      </c>
      <c r="F436" s="172" t="s">
        <v>1631</v>
      </c>
      <c r="G436" s="172" t="s">
        <v>5062</v>
      </c>
      <c r="H436" s="172" t="s">
        <v>1631</v>
      </c>
      <c r="I436" s="172" t="s">
        <v>5062</v>
      </c>
      <c r="J436" s="36">
        <v>2</v>
      </c>
      <c r="K436" s="58">
        <v>9</v>
      </c>
      <c r="L436" s="58"/>
      <c r="M436" s="22">
        <f>IFERROR((VLOOKUP(A436,'Current Stocks July-26'!$B:$K,10,0)),0)</f>
        <v>0</v>
      </c>
      <c r="N436" s="22">
        <f t="shared" si="48"/>
        <v>0</v>
      </c>
      <c r="O436" s="22" t="str">
        <f t="shared" si="49"/>
        <v>ORDER NOW</v>
      </c>
      <c r="P436" s="22" t="str">
        <f t="shared" si="50"/>
        <v>CRITICAL</v>
      </c>
      <c r="Q436" s="58">
        <f t="shared" si="51"/>
        <v>3</v>
      </c>
      <c r="R436" s="58">
        <f t="shared" si="52"/>
        <v>12</v>
      </c>
      <c r="S436" s="58">
        <f t="shared" si="53"/>
        <v>12</v>
      </c>
      <c r="T436" s="5">
        <v>7</v>
      </c>
      <c r="U436" s="5" t="s">
        <v>30</v>
      </c>
      <c r="V436" s="173">
        <f>VLOOKUP(A436,'[1]Final-Short'!$B:$AE,29,0)</f>
        <v>32</v>
      </c>
      <c r="W436" s="171" t="s">
        <v>2011</v>
      </c>
      <c r="X436" s="58">
        <f t="shared" si="54"/>
        <v>384</v>
      </c>
      <c r="Y436" s="58">
        <f t="shared" si="55"/>
        <v>288</v>
      </c>
    </row>
    <row r="437" spans="1:25" x14ac:dyDescent="0.25">
      <c r="A437" s="36" t="s">
        <v>642</v>
      </c>
      <c r="B437" s="171" t="s">
        <v>643</v>
      </c>
      <c r="C437" s="171" t="s">
        <v>643</v>
      </c>
      <c r="D437" s="172" t="s">
        <v>1631</v>
      </c>
      <c r="E437" s="172" t="s">
        <v>1631</v>
      </c>
      <c r="F437" s="172" t="s">
        <v>1631</v>
      </c>
      <c r="G437" s="172" t="s">
        <v>1631</v>
      </c>
      <c r="H437" s="172" t="s">
        <v>1631</v>
      </c>
      <c r="I437" s="172" t="s">
        <v>5062</v>
      </c>
      <c r="J437" s="36">
        <v>1</v>
      </c>
      <c r="K437" s="180">
        <v>20</v>
      </c>
      <c r="L437" s="180"/>
      <c r="M437" s="22">
        <f>IFERROR((VLOOKUP(A437,'Current Stocks July-26'!$B:$K,10,0)),0)</f>
        <v>0</v>
      </c>
      <c r="N437" s="22">
        <f t="shared" si="48"/>
        <v>0</v>
      </c>
      <c r="O437" s="22" t="str">
        <f t="shared" si="49"/>
        <v>ORDER NOW</v>
      </c>
      <c r="P437" s="22" t="str">
        <f t="shared" si="50"/>
        <v>CRITICAL</v>
      </c>
      <c r="Q437" s="58">
        <f t="shared" si="51"/>
        <v>22</v>
      </c>
      <c r="R437" s="58">
        <f t="shared" si="52"/>
        <v>42</v>
      </c>
      <c r="S437" s="58">
        <f t="shared" si="53"/>
        <v>42</v>
      </c>
      <c r="T437" s="5">
        <v>30</v>
      </c>
      <c r="U437" s="5" t="s">
        <v>30</v>
      </c>
      <c r="V437" s="173">
        <f>VLOOKUP(A437,'[1]Final-Short'!$B:$AE,29,0)</f>
        <v>49</v>
      </c>
      <c r="W437" s="171" t="s">
        <v>1700</v>
      </c>
      <c r="X437" s="58">
        <f t="shared" si="54"/>
        <v>2058</v>
      </c>
      <c r="Y437" s="58">
        <f t="shared" si="55"/>
        <v>980</v>
      </c>
    </row>
    <row r="438" spans="1:25" x14ac:dyDescent="0.25">
      <c r="A438" s="36" t="s">
        <v>638</v>
      </c>
      <c r="B438" s="171" t="s">
        <v>639</v>
      </c>
      <c r="C438" s="171" t="s">
        <v>639</v>
      </c>
      <c r="D438" s="172" t="s">
        <v>1631</v>
      </c>
      <c r="E438" s="172" t="s">
        <v>1631</v>
      </c>
      <c r="F438" s="172" t="s">
        <v>1631</v>
      </c>
      <c r="G438" s="172" t="s">
        <v>1631</v>
      </c>
      <c r="H438" s="172" t="s">
        <v>1631</v>
      </c>
      <c r="I438" s="172" t="s">
        <v>5062</v>
      </c>
      <c r="J438" s="36">
        <v>1</v>
      </c>
      <c r="K438" s="58">
        <v>1</v>
      </c>
      <c r="L438" s="58"/>
      <c r="M438" s="22">
        <f>IFERROR((VLOOKUP(A438,'Current Stocks July-26'!$B:$K,10,0)),0)</f>
        <v>1720.32</v>
      </c>
      <c r="N438" s="22">
        <f t="shared" si="48"/>
        <v>51609.599999999999</v>
      </c>
      <c r="O438" s="22" t="str">
        <f t="shared" si="49"/>
        <v>IN STOCK</v>
      </c>
      <c r="P438" s="22" t="str">
        <f t="shared" si="50"/>
        <v>FOLLOW UP DELIVERY</v>
      </c>
      <c r="Q438" s="58">
        <f t="shared" si="51"/>
        <v>0.33333333333333331</v>
      </c>
      <c r="R438" s="58">
        <f t="shared" si="52"/>
        <v>1.3333333333333333</v>
      </c>
      <c r="S438" s="58">
        <f t="shared" si="53"/>
        <v>0</v>
      </c>
      <c r="T438" s="5">
        <v>7</v>
      </c>
      <c r="U438" s="5" t="s">
        <v>30</v>
      </c>
      <c r="V438" s="173">
        <f>VLOOKUP(A438,'[1]Final-Short'!$B:$AE,29,0)</f>
        <v>6.5</v>
      </c>
      <c r="W438" s="171" t="s">
        <v>1774</v>
      </c>
      <c r="X438" s="58">
        <f t="shared" si="54"/>
        <v>0</v>
      </c>
      <c r="Y438" s="58">
        <f t="shared" si="55"/>
        <v>6.5</v>
      </c>
    </row>
    <row r="439" spans="1:25" x14ac:dyDescent="0.25">
      <c r="A439" s="36" t="s">
        <v>640</v>
      </c>
      <c r="B439" s="171" t="s">
        <v>641</v>
      </c>
      <c r="C439" s="171" t="s">
        <v>641</v>
      </c>
      <c r="D439" s="172" t="s">
        <v>1631</v>
      </c>
      <c r="E439" s="172" t="s">
        <v>1631</v>
      </c>
      <c r="F439" s="172" t="s">
        <v>1631</v>
      </c>
      <c r="G439" s="172" t="s">
        <v>1631</v>
      </c>
      <c r="H439" s="172" t="s">
        <v>1631</v>
      </c>
      <c r="I439" s="172" t="s">
        <v>5062</v>
      </c>
      <c r="J439" s="36">
        <v>1</v>
      </c>
      <c r="K439" s="180">
        <v>20</v>
      </c>
      <c r="L439" s="180"/>
      <c r="M439" s="22">
        <f>IFERROR((VLOOKUP(A439,'Current Stocks July-26'!$B:$K,10,0)),0)</f>
        <v>0</v>
      </c>
      <c r="N439" s="22">
        <f t="shared" si="48"/>
        <v>0</v>
      </c>
      <c r="O439" s="22" t="str">
        <f t="shared" si="49"/>
        <v>ORDER NOW</v>
      </c>
      <c r="P439" s="22" t="str">
        <f t="shared" si="50"/>
        <v>CRITICAL</v>
      </c>
      <c r="Q439" s="58">
        <f t="shared" si="51"/>
        <v>22</v>
      </c>
      <c r="R439" s="58">
        <f t="shared" si="52"/>
        <v>42</v>
      </c>
      <c r="S439" s="58">
        <f t="shared" si="53"/>
        <v>42</v>
      </c>
      <c r="T439" s="5">
        <v>30</v>
      </c>
      <c r="U439" s="5" t="s">
        <v>30</v>
      </c>
      <c r="V439" s="173">
        <f>VLOOKUP(A439,'[1]Final-Short'!$B:$AE,29,0)</f>
        <v>49</v>
      </c>
      <c r="W439" s="171" t="s">
        <v>1700</v>
      </c>
      <c r="X439" s="58">
        <f t="shared" si="54"/>
        <v>2058</v>
      </c>
      <c r="Y439" s="58">
        <f t="shared" si="55"/>
        <v>980</v>
      </c>
    </row>
    <row r="440" spans="1:25" x14ac:dyDescent="0.25">
      <c r="A440" s="36" t="s">
        <v>788</v>
      </c>
      <c r="B440" s="171" t="s">
        <v>789</v>
      </c>
      <c r="C440" s="171" t="s">
        <v>789</v>
      </c>
      <c r="D440" s="172" t="s">
        <v>1631</v>
      </c>
      <c r="E440" s="172" t="s">
        <v>1631</v>
      </c>
      <c r="F440" s="172" t="s">
        <v>1631</v>
      </c>
      <c r="G440" s="172" t="s">
        <v>1631</v>
      </c>
      <c r="H440" s="172" t="s">
        <v>1631</v>
      </c>
      <c r="I440" s="172" t="s">
        <v>5062</v>
      </c>
      <c r="J440" s="36">
        <v>1</v>
      </c>
      <c r="K440" s="58">
        <v>5750</v>
      </c>
      <c r="L440" s="58"/>
      <c r="M440" s="22">
        <f>IFERROR((VLOOKUP(A440,'Current Stocks July-26'!$B:$K,10,0)),0)</f>
        <v>0</v>
      </c>
      <c r="N440" s="22">
        <f t="shared" si="48"/>
        <v>0</v>
      </c>
      <c r="O440" s="22" t="str">
        <f t="shared" si="49"/>
        <v>ORDER NOW</v>
      </c>
      <c r="P440" s="22" t="str">
        <f t="shared" si="50"/>
        <v>CRITICAL</v>
      </c>
      <c r="Q440" s="58">
        <f t="shared" si="51"/>
        <v>1916.6666666666665</v>
      </c>
      <c r="R440" s="58">
        <f t="shared" si="52"/>
        <v>7666.6666666666661</v>
      </c>
      <c r="S440" s="58">
        <f t="shared" si="53"/>
        <v>7666.6666666666661</v>
      </c>
      <c r="T440" s="5">
        <v>7</v>
      </c>
      <c r="U440" s="5" t="s">
        <v>1669</v>
      </c>
      <c r="V440" s="173">
        <f>VLOOKUP(A440,'[1]Final-Short'!$B:$AE,29,0)</f>
        <v>23.50966</v>
      </c>
      <c r="W440" s="171" t="s">
        <v>1730</v>
      </c>
      <c r="X440" s="58">
        <f t="shared" si="54"/>
        <v>180240.72666666665</v>
      </c>
      <c r="Y440" s="58">
        <f t="shared" si="55"/>
        <v>135180.54500000001</v>
      </c>
    </row>
    <row r="441" spans="1:25" x14ac:dyDescent="0.25">
      <c r="A441" s="36" t="s">
        <v>1078</v>
      </c>
      <c r="B441" s="171" t="s">
        <v>1079</v>
      </c>
      <c r="C441" s="171" t="s">
        <v>1079</v>
      </c>
      <c r="D441" s="172" t="s">
        <v>1631</v>
      </c>
      <c r="E441" s="172" t="s">
        <v>1631</v>
      </c>
      <c r="F441" s="172" t="s">
        <v>1631</v>
      </c>
      <c r="G441" s="172" t="s">
        <v>5062</v>
      </c>
      <c r="H441" s="172" t="s">
        <v>1631</v>
      </c>
      <c r="I441" s="172" t="s">
        <v>5062</v>
      </c>
      <c r="J441" s="36">
        <v>2</v>
      </c>
      <c r="K441" s="58">
        <v>20</v>
      </c>
      <c r="L441" s="58"/>
      <c r="M441" s="22">
        <f>IFERROR((VLOOKUP(A441,'Current Stocks July-26'!$B:$K,10,0)),0)</f>
        <v>70</v>
      </c>
      <c r="N441" s="22">
        <f t="shared" si="48"/>
        <v>105</v>
      </c>
      <c r="O441" s="22" t="str">
        <f t="shared" si="49"/>
        <v>IN STOCK</v>
      </c>
      <c r="P441" s="22" t="str">
        <f t="shared" si="50"/>
        <v>FOLLOW UP DELIVERY</v>
      </c>
      <c r="Q441" s="58">
        <f t="shared" si="51"/>
        <v>6.6666666666666661</v>
      </c>
      <c r="R441" s="58">
        <f t="shared" si="52"/>
        <v>26.666666666666664</v>
      </c>
      <c r="S441" s="58">
        <f t="shared" si="53"/>
        <v>0</v>
      </c>
      <c r="T441" s="5">
        <v>7</v>
      </c>
      <c r="U441" s="5" t="s">
        <v>30</v>
      </c>
      <c r="V441" s="173">
        <f>VLOOKUP(A441,'[1]Final-Short'!$B:$AE,29,0)</f>
        <v>24.4</v>
      </c>
      <c r="W441" s="171" t="s">
        <v>1700</v>
      </c>
      <c r="X441" s="58">
        <f t="shared" si="54"/>
        <v>0</v>
      </c>
      <c r="Y441" s="58">
        <f t="shared" si="55"/>
        <v>488</v>
      </c>
    </row>
    <row r="442" spans="1:25" x14ac:dyDescent="0.25">
      <c r="A442" s="36" t="s">
        <v>127</v>
      </c>
      <c r="B442" s="171" t="s">
        <v>128</v>
      </c>
      <c r="C442" s="171" t="s">
        <v>128</v>
      </c>
      <c r="D442" s="172" t="s">
        <v>5062</v>
      </c>
      <c r="E442" s="172" t="s">
        <v>1631</v>
      </c>
      <c r="F442" s="172" t="s">
        <v>1631</v>
      </c>
      <c r="G442" s="172" t="s">
        <v>1631</v>
      </c>
      <c r="H442" s="172" t="s">
        <v>1631</v>
      </c>
      <c r="I442" s="172" t="s">
        <v>1631</v>
      </c>
      <c r="J442" s="36">
        <v>1</v>
      </c>
      <c r="K442" s="58">
        <v>45</v>
      </c>
      <c r="L442" s="58"/>
      <c r="M442" s="22">
        <f>IFERROR((VLOOKUP(A442,'Current Stocks July-26'!$B:$K,10,0)),0)</f>
        <v>63</v>
      </c>
      <c r="N442" s="22">
        <f t="shared" si="48"/>
        <v>42</v>
      </c>
      <c r="O442" s="22" t="str">
        <f t="shared" si="49"/>
        <v>IN STOCK</v>
      </c>
      <c r="P442" s="22" t="str">
        <f t="shared" si="50"/>
        <v>FOLLOW UP DELIVERY</v>
      </c>
      <c r="Q442" s="58">
        <f t="shared" si="51"/>
        <v>15</v>
      </c>
      <c r="R442" s="58">
        <f t="shared" si="52"/>
        <v>60</v>
      </c>
      <c r="S442" s="58">
        <f t="shared" si="53"/>
        <v>0</v>
      </c>
      <c r="T442" s="5">
        <v>7</v>
      </c>
      <c r="U442" s="5" t="s">
        <v>30</v>
      </c>
      <c r="V442" s="173">
        <f>VLOOKUP(A442,'[1]Final-Short'!$B:$AE,29,0)</f>
        <v>41.383499999999998</v>
      </c>
      <c r="W442" s="171" t="str">
        <f>VLOOKUP(A442,'[1]Final-Short'!$B:$AE,30,0)</f>
        <v>شركة مصدر الامداد - Masdar Food Supply</v>
      </c>
      <c r="X442" s="58">
        <f t="shared" si="54"/>
        <v>0</v>
      </c>
      <c r="Y442" s="58">
        <f t="shared" si="55"/>
        <v>1862.2574999999999</v>
      </c>
    </row>
    <row r="443" spans="1:25" x14ac:dyDescent="0.25">
      <c r="A443" s="36" t="s">
        <v>2012</v>
      </c>
      <c r="B443" s="171" t="s">
        <v>2013</v>
      </c>
      <c r="C443" s="171" t="s">
        <v>2013</v>
      </c>
      <c r="D443" s="172" t="s">
        <v>1631</v>
      </c>
      <c r="E443" s="172" t="s">
        <v>1631</v>
      </c>
      <c r="F443" s="172" t="s">
        <v>1631</v>
      </c>
      <c r="G443" s="172" t="s">
        <v>5062</v>
      </c>
      <c r="H443" s="172" t="s">
        <v>1631</v>
      </c>
      <c r="I443" s="172" t="s">
        <v>1631</v>
      </c>
      <c r="J443" s="36">
        <v>1</v>
      </c>
      <c r="K443" s="58">
        <v>5000</v>
      </c>
      <c r="L443" s="58"/>
      <c r="M443" s="22">
        <f>IFERROR((VLOOKUP(A443,'Current Stocks July-26'!$B:$K,10,0)),0)</f>
        <v>0</v>
      </c>
      <c r="N443" s="22">
        <f t="shared" si="48"/>
        <v>0</v>
      </c>
      <c r="O443" s="22" t="str">
        <f t="shared" si="49"/>
        <v>ORDER NOW</v>
      </c>
      <c r="P443" s="22" t="str">
        <f t="shared" si="50"/>
        <v>CRITICAL</v>
      </c>
      <c r="Q443" s="58">
        <f t="shared" si="51"/>
        <v>1666.6666666666665</v>
      </c>
      <c r="R443" s="58">
        <f t="shared" si="52"/>
        <v>6666.6666666666661</v>
      </c>
      <c r="S443" s="58">
        <f t="shared" si="53"/>
        <v>6666.6666666666661</v>
      </c>
      <c r="T443" s="5">
        <v>7</v>
      </c>
      <c r="U443" s="5" t="s">
        <v>30</v>
      </c>
      <c r="V443" s="173">
        <f>VLOOKUP(A443,'[1]Final-Short'!$B:$AE,29,0)</f>
        <v>0.05</v>
      </c>
      <c r="W443" s="171" t="s">
        <v>1795</v>
      </c>
      <c r="X443" s="58">
        <f t="shared" si="54"/>
        <v>333.33333333333331</v>
      </c>
      <c r="Y443" s="58">
        <f t="shared" si="55"/>
        <v>250</v>
      </c>
    </row>
    <row r="444" spans="1:25" x14ac:dyDescent="0.25">
      <c r="A444" s="36" t="s">
        <v>1136</v>
      </c>
      <c r="B444" s="171" t="s">
        <v>1137</v>
      </c>
      <c r="C444" s="171" t="s">
        <v>1137</v>
      </c>
      <c r="D444" s="172" t="s">
        <v>1631</v>
      </c>
      <c r="E444" s="172" t="s">
        <v>1631</v>
      </c>
      <c r="F444" s="172" t="s">
        <v>1631</v>
      </c>
      <c r="G444" s="172" t="s">
        <v>5062</v>
      </c>
      <c r="H444" s="172" t="s">
        <v>1631</v>
      </c>
      <c r="I444" s="172" t="s">
        <v>1631</v>
      </c>
      <c r="J444" s="36">
        <v>1</v>
      </c>
      <c r="K444" s="58">
        <v>8</v>
      </c>
      <c r="L444" s="58"/>
      <c r="M444" s="22">
        <f>IFERROR((VLOOKUP(A444,'Current Stocks July-26'!$B:$K,10,0)),0)</f>
        <v>0</v>
      </c>
      <c r="N444" s="22">
        <f t="shared" si="48"/>
        <v>0</v>
      </c>
      <c r="O444" s="22" t="str">
        <f t="shared" si="49"/>
        <v>ORDER NOW</v>
      </c>
      <c r="P444" s="22" t="str">
        <f t="shared" si="50"/>
        <v>CRITICAL</v>
      </c>
      <c r="Q444" s="58">
        <f t="shared" si="51"/>
        <v>2.6666666666666665</v>
      </c>
      <c r="R444" s="58">
        <f t="shared" si="52"/>
        <v>10.666666666666666</v>
      </c>
      <c r="S444" s="58">
        <f t="shared" si="53"/>
        <v>10.666666666666666</v>
      </c>
      <c r="T444" s="5">
        <v>7</v>
      </c>
      <c r="U444" s="5" t="s">
        <v>30</v>
      </c>
      <c r="V444" s="173">
        <f>VLOOKUP(A444,'[1]Final-Short'!$B:$AE,29,0)</f>
        <v>34.166670000000003</v>
      </c>
      <c r="W444" s="171" t="s">
        <v>1700</v>
      </c>
      <c r="X444" s="58">
        <f t="shared" si="54"/>
        <v>364.44448</v>
      </c>
      <c r="Y444" s="58">
        <f t="shared" si="55"/>
        <v>273.33336000000003</v>
      </c>
    </row>
    <row r="445" spans="1:25" x14ac:dyDescent="0.25">
      <c r="A445" s="36" t="s">
        <v>74</v>
      </c>
      <c r="B445" s="171" t="s">
        <v>2014</v>
      </c>
      <c r="C445" s="171" t="s">
        <v>2014</v>
      </c>
      <c r="D445" s="172" t="s">
        <v>5062</v>
      </c>
      <c r="E445" s="172" t="s">
        <v>1631</v>
      </c>
      <c r="F445" s="172" t="s">
        <v>1631</v>
      </c>
      <c r="G445" s="172" t="s">
        <v>1631</v>
      </c>
      <c r="H445" s="172" t="s">
        <v>1631</v>
      </c>
      <c r="I445" s="172" t="s">
        <v>5062</v>
      </c>
      <c r="J445" s="36">
        <v>2</v>
      </c>
      <c r="K445" s="58">
        <v>90</v>
      </c>
      <c r="L445" s="58"/>
      <c r="M445" s="22">
        <f>IFERROR((VLOOKUP(A445,'Current Stocks July-26'!$B:$K,10,0)),0)</f>
        <v>840</v>
      </c>
      <c r="N445" s="22">
        <f t="shared" si="48"/>
        <v>280</v>
      </c>
      <c r="O445" s="22" t="str">
        <f t="shared" si="49"/>
        <v>IN STOCK</v>
      </c>
      <c r="P445" s="22" t="str">
        <f t="shared" si="50"/>
        <v>FOLLOW UP DELIVERY</v>
      </c>
      <c r="Q445" s="58">
        <f t="shared" si="51"/>
        <v>30</v>
      </c>
      <c r="R445" s="58">
        <f t="shared" si="52"/>
        <v>120</v>
      </c>
      <c r="S445" s="58">
        <f t="shared" si="53"/>
        <v>0</v>
      </c>
      <c r="T445" s="5">
        <v>7</v>
      </c>
      <c r="U445" s="5" t="s">
        <v>30</v>
      </c>
      <c r="V445" s="173">
        <f>VLOOKUP(A445,'[1]Final-Short'!$B:$AE,29,0)</f>
        <v>15.12</v>
      </c>
      <c r="W445" s="171" t="str">
        <f>VLOOKUP(A445,'[1]Final-Short'!$B:$AE,30,0)</f>
        <v>Tanzeem Al Afkar Trading Company | شركة تنظيم الافكار للتجارة</v>
      </c>
      <c r="X445" s="58">
        <f t="shared" si="54"/>
        <v>0</v>
      </c>
      <c r="Y445" s="58">
        <f t="shared" si="55"/>
        <v>1360.8</v>
      </c>
    </row>
    <row r="446" spans="1:25" x14ac:dyDescent="0.25">
      <c r="A446" s="36" t="s">
        <v>2015</v>
      </c>
      <c r="B446" s="171" t="s">
        <v>2016</v>
      </c>
      <c r="C446" s="171" t="s">
        <v>56</v>
      </c>
      <c r="D446" s="172" t="s">
        <v>1631</v>
      </c>
      <c r="E446" s="172" t="s">
        <v>1631</v>
      </c>
      <c r="F446" s="172" t="s">
        <v>1631</v>
      </c>
      <c r="G446" s="172" t="s">
        <v>1631</v>
      </c>
      <c r="H446" s="172" t="s">
        <v>1631</v>
      </c>
      <c r="I446" s="172" t="s">
        <v>1631</v>
      </c>
      <c r="J446" s="36">
        <v>0</v>
      </c>
      <c r="K446" s="58">
        <v>60</v>
      </c>
      <c r="L446" s="58"/>
      <c r="M446" s="22">
        <f>IFERROR((VLOOKUP(A446,'Current Stocks July-26'!$B:$K,10,0)),0)</f>
        <v>518</v>
      </c>
      <c r="N446" s="22">
        <f t="shared" si="48"/>
        <v>259</v>
      </c>
      <c r="O446" s="22" t="str">
        <f t="shared" si="49"/>
        <v>IN STOCK</v>
      </c>
      <c r="P446" s="22" t="str">
        <f t="shared" si="50"/>
        <v>FOLLOW UP DELIVERY</v>
      </c>
      <c r="Q446" s="58">
        <f t="shared" si="51"/>
        <v>20</v>
      </c>
      <c r="R446" s="58">
        <f t="shared" si="52"/>
        <v>80</v>
      </c>
      <c r="S446" s="58">
        <f t="shared" si="53"/>
        <v>0</v>
      </c>
      <c r="T446" s="5">
        <v>7</v>
      </c>
      <c r="U446" s="5" t="s">
        <v>30</v>
      </c>
      <c r="V446" s="173">
        <f>VLOOKUP(A446,'[1]Final-Short'!$B:$AE,29,0)</f>
        <v>12.142860000000001</v>
      </c>
      <c r="W446" s="171" t="s">
        <v>1796</v>
      </c>
      <c r="X446" s="58">
        <f t="shared" si="54"/>
        <v>0</v>
      </c>
      <c r="Y446" s="58">
        <f t="shared" si="55"/>
        <v>728.57159999999999</v>
      </c>
    </row>
    <row r="447" spans="1:25" x14ac:dyDescent="0.25">
      <c r="A447" s="36" t="s">
        <v>399</v>
      </c>
      <c r="B447" s="171" t="s">
        <v>400</v>
      </c>
      <c r="C447" s="171" t="s">
        <v>400</v>
      </c>
      <c r="D447" s="172" t="s">
        <v>1631</v>
      </c>
      <c r="E447" s="172" t="s">
        <v>1631</v>
      </c>
      <c r="F447" s="172" t="s">
        <v>1631</v>
      </c>
      <c r="G447" s="172" t="s">
        <v>1631</v>
      </c>
      <c r="H447" s="172" t="s">
        <v>1631</v>
      </c>
      <c r="I447" s="172" t="s">
        <v>5062</v>
      </c>
      <c r="J447" s="36">
        <v>1</v>
      </c>
      <c r="K447" s="58">
        <v>6</v>
      </c>
      <c r="L447" s="58"/>
      <c r="M447" s="22">
        <f>IFERROR((VLOOKUP(A447,'Current Stocks July-26'!$B:$K,10,0)),0)</f>
        <v>10</v>
      </c>
      <c r="N447" s="22">
        <f t="shared" si="48"/>
        <v>50</v>
      </c>
      <c r="O447" s="22" t="str">
        <f t="shared" si="49"/>
        <v>IN STOCK</v>
      </c>
      <c r="P447" s="22" t="str">
        <f t="shared" si="50"/>
        <v>FOLLOW UP DELIVERY</v>
      </c>
      <c r="Q447" s="58">
        <f t="shared" si="51"/>
        <v>2</v>
      </c>
      <c r="R447" s="58">
        <f t="shared" si="52"/>
        <v>8</v>
      </c>
      <c r="S447" s="58">
        <f t="shared" si="53"/>
        <v>0</v>
      </c>
      <c r="T447" s="5">
        <v>7</v>
      </c>
      <c r="U447" s="5" t="s">
        <v>1669</v>
      </c>
      <c r="V447" s="173">
        <f>VLOOKUP(A447,'[1]Final-Short'!$B:$AE,29,0)</f>
        <v>1.65</v>
      </c>
      <c r="W447" s="171" t="s">
        <v>1700</v>
      </c>
      <c r="X447" s="58">
        <f t="shared" si="54"/>
        <v>0</v>
      </c>
      <c r="Y447" s="58">
        <f t="shared" si="55"/>
        <v>9.8999999999999986</v>
      </c>
    </row>
    <row r="448" spans="1:25" x14ac:dyDescent="0.25">
      <c r="A448" s="36" t="s">
        <v>868</v>
      </c>
      <c r="B448" s="171" t="s">
        <v>869</v>
      </c>
      <c r="C448" s="171" t="s">
        <v>869</v>
      </c>
      <c r="D448" s="172" t="s">
        <v>1631</v>
      </c>
      <c r="E448" s="172" t="s">
        <v>5062</v>
      </c>
      <c r="F448" s="172" t="s">
        <v>1631</v>
      </c>
      <c r="G448" s="172" t="s">
        <v>1631</v>
      </c>
      <c r="H448" s="172" t="s">
        <v>1631</v>
      </c>
      <c r="I448" s="172" t="s">
        <v>5062</v>
      </c>
      <c r="J448" s="36">
        <v>2</v>
      </c>
      <c r="K448" s="180">
        <v>15000</v>
      </c>
      <c r="L448" s="180"/>
      <c r="M448" s="22">
        <f>IFERROR((VLOOKUP(A448,'Current Stocks July-26'!$B:$K,10,0)),0)</f>
        <v>7932.0599999999995</v>
      </c>
      <c r="N448" s="22">
        <f t="shared" si="48"/>
        <v>15.864119999999998</v>
      </c>
      <c r="O448" s="22" t="str">
        <f t="shared" si="49"/>
        <v>IN STOCK</v>
      </c>
      <c r="P448" s="22" t="str">
        <f t="shared" si="50"/>
        <v>FOLLOW UP DELIVERY</v>
      </c>
      <c r="Q448" s="58">
        <f t="shared" si="51"/>
        <v>5000</v>
      </c>
      <c r="R448" s="58">
        <f t="shared" si="52"/>
        <v>20000</v>
      </c>
      <c r="S448" s="58">
        <f t="shared" si="53"/>
        <v>12067.94</v>
      </c>
      <c r="T448" s="5">
        <v>7</v>
      </c>
      <c r="U448" s="5" t="s">
        <v>1669</v>
      </c>
      <c r="V448" s="173">
        <f>VLOOKUP(A448,'[1]Final-Short'!$B:$AE,29,0)</f>
        <v>17.45496</v>
      </c>
      <c r="W448" s="171" t="s">
        <v>1730</v>
      </c>
      <c r="X448" s="58">
        <f t="shared" si="54"/>
        <v>210645.40998240001</v>
      </c>
      <c r="Y448" s="58">
        <f t="shared" si="55"/>
        <v>261824.4</v>
      </c>
    </row>
    <row r="449" spans="1:25" x14ac:dyDescent="0.25">
      <c r="A449" s="36" t="s">
        <v>1392</v>
      </c>
      <c r="B449" s="171" t="s">
        <v>1393</v>
      </c>
      <c r="C449" s="171" t="s">
        <v>1393</v>
      </c>
      <c r="D449" s="172" t="s">
        <v>1631</v>
      </c>
      <c r="E449" s="172" t="s">
        <v>5062</v>
      </c>
      <c r="F449" s="172" t="s">
        <v>1631</v>
      </c>
      <c r="G449" s="172" t="s">
        <v>1631</v>
      </c>
      <c r="H449" s="172" t="s">
        <v>1631</v>
      </c>
      <c r="I449" s="172" t="s">
        <v>1631</v>
      </c>
      <c r="J449" s="36">
        <v>1</v>
      </c>
      <c r="K449" s="180">
        <v>75000</v>
      </c>
      <c r="L449" s="180"/>
      <c r="M449" s="22">
        <f>IFERROR((VLOOKUP(A449,'Current Stocks July-26'!$B:$K,10,0)),0)</f>
        <v>86000</v>
      </c>
      <c r="N449" s="22">
        <f t="shared" si="48"/>
        <v>34.4</v>
      </c>
      <c r="O449" s="22" t="str">
        <f t="shared" si="49"/>
        <v>IN STOCK</v>
      </c>
      <c r="P449" s="22" t="str">
        <f t="shared" si="50"/>
        <v>FOLLOW UP DELIVERY</v>
      </c>
      <c r="Q449" s="58">
        <f t="shared" si="51"/>
        <v>42500</v>
      </c>
      <c r="R449" s="58">
        <f t="shared" si="52"/>
        <v>117500</v>
      </c>
      <c r="S449" s="58">
        <f t="shared" si="53"/>
        <v>31500</v>
      </c>
      <c r="T449" s="5">
        <v>14</v>
      </c>
      <c r="U449" s="5" t="s">
        <v>30</v>
      </c>
      <c r="V449" s="173">
        <f>VLOOKUP(A449,'[1]Final-Short'!$B:$AE,29,0)</f>
        <v>0.02</v>
      </c>
      <c r="W449" s="171" t="s">
        <v>1896</v>
      </c>
      <c r="X449" s="58">
        <f t="shared" si="54"/>
        <v>630</v>
      </c>
      <c r="Y449" s="58">
        <f t="shared" si="55"/>
        <v>1500</v>
      </c>
    </row>
    <row r="450" spans="1:25" x14ac:dyDescent="0.25">
      <c r="A450" s="36" t="s">
        <v>1357</v>
      </c>
      <c r="B450" s="171" t="s">
        <v>1358</v>
      </c>
      <c r="C450" s="171" t="s">
        <v>1358</v>
      </c>
      <c r="D450" s="172" t="s">
        <v>1631</v>
      </c>
      <c r="E450" s="172" t="s">
        <v>5062</v>
      </c>
      <c r="F450" s="172" t="s">
        <v>1631</v>
      </c>
      <c r="G450" s="172" t="s">
        <v>1631</v>
      </c>
      <c r="H450" s="172" t="s">
        <v>1631</v>
      </c>
      <c r="I450" s="172" t="s">
        <v>5062</v>
      </c>
      <c r="J450" s="36">
        <v>2</v>
      </c>
      <c r="K450" s="180">
        <v>300</v>
      </c>
      <c r="L450" s="180"/>
      <c r="M450" s="22">
        <f>IFERROR((VLOOKUP(A450,'Current Stocks July-26'!$B:$K,10,0)),0)</f>
        <v>972</v>
      </c>
      <c r="N450" s="22">
        <f t="shared" ref="N450:N505" si="56">IFERROR((M450/K450*30),0)</f>
        <v>97.2</v>
      </c>
      <c r="O450" s="22" t="str">
        <f t="shared" ref="O450:O507" si="57">IF(N450&lt;T450,"ORDER NOW","IN STOCK")</f>
        <v>IN STOCK</v>
      </c>
      <c r="P450" s="22" t="str">
        <f t="shared" ref="P450:P507" si="58">IF(N450&lt;T450,"CRITICAL","FOLLOW UP DELIVERY")</f>
        <v>FOLLOW UP DELIVERY</v>
      </c>
      <c r="Q450" s="58">
        <f t="shared" ref="Q450:Q507" si="59">K450*((T450+3)/30)</f>
        <v>100</v>
      </c>
      <c r="R450" s="58">
        <f t="shared" ref="R450:R507" si="60">Q450+K450</f>
        <v>400</v>
      </c>
      <c r="S450" s="58">
        <f t="shared" ref="S450:S507" si="61">MAX((K450+Q450)-M450,0)</f>
        <v>0</v>
      </c>
      <c r="T450" s="5">
        <v>7</v>
      </c>
      <c r="U450" s="5" t="s">
        <v>30</v>
      </c>
      <c r="V450" s="173">
        <f>VLOOKUP(A450,'[1]Final-Short'!$B:$AE,29,0)</f>
        <v>39.166670000000003</v>
      </c>
      <c r="W450" s="171" t="s">
        <v>1700</v>
      </c>
      <c r="X450" s="58">
        <f t="shared" ref="X450:X507" si="62">S450*V450</f>
        <v>0</v>
      </c>
      <c r="Y450" s="58">
        <f t="shared" ref="Y450:Y507" si="63">K450*V450</f>
        <v>11750.001</v>
      </c>
    </row>
    <row r="451" spans="1:25" x14ac:dyDescent="0.25">
      <c r="A451" s="36" t="s">
        <v>1013</v>
      </c>
      <c r="B451" s="171" t="s">
        <v>1014</v>
      </c>
      <c r="C451" s="171" t="s">
        <v>1014</v>
      </c>
      <c r="D451" s="172" t="s">
        <v>1631</v>
      </c>
      <c r="E451" s="172" t="s">
        <v>1631</v>
      </c>
      <c r="F451" s="172" t="s">
        <v>1631</v>
      </c>
      <c r="G451" s="172" t="s">
        <v>1631</v>
      </c>
      <c r="H451" s="172" t="s">
        <v>1631</v>
      </c>
      <c r="I451" s="172" t="s">
        <v>5062</v>
      </c>
      <c r="J451" s="36">
        <v>1</v>
      </c>
      <c r="K451" s="180">
        <v>10000</v>
      </c>
      <c r="L451" s="180"/>
      <c r="M451" s="22">
        <f>IFERROR((VLOOKUP(A451,'Current Stocks July-26'!$B:$K,10,0)),0)</f>
        <v>0</v>
      </c>
      <c r="N451" s="22">
        <f t="shared" si="56"/>
        <v>0</v>
      </c>
      <c r="O451" s="22" t="str">
        <f t="shared" si="57"/>
        <v>ORDER NOW</v>
      </c>
      <c r="P451" s="22" t="str">
        <f t="shared" si="58"/>
        <v>CRITICAL</v>
      </c>
      <c r="Q451" s="58">
        <f t="shared" si="59"/>
        <v>3333.333333333333</v>
      </c>
      <c r="R451" s="58">
        <f t="shared" si="60"/>
        <v>13333.333333333332</v>
      </c>
      <c r="S451" s="58">
        <f t="shared" si="61"/>
        <v>13333.333333333332</v>
      </c>
      <c r="T451" s="5">
        <v>7</v>
      </c>
      <c r="U451" s="5" t="s">
        <v>30</v>
      </c>
      <c r="V451" s="173">
        <f>VLOOKUP(A451,'[1]Final-Short'!$B:$AE,29,0)</f>
        <v>0.05</v>
      </c>
      <c r="W451" s="171" t="s">
        <v>1802</v>
      </c>
      <c r="X451" s="58">
        <f t="shared" si="62"/>
        <v>666.66666666666663</v>
      </c>
      <c r="Y451" s="58">
        <f t="shared" si="63"/>
        <v>500</v>
      </c>
    </row>
    <row r="452" spans="1:25" x14ac:dyDescent="0.25">
      <c r="A452" s="36" t="s">
        <v>815</v>
      </c>
      <c r="B452" s="171" t="s">
        <v>816</v>
      </c>
      <c r="C452" s="171" t="s">
        <v>2017</v>
      </c>
      <c r="D452" s="172" t="s">
        <v>1631</v>
      </c>
      <c r="E452" s="172" t="s">
        <v>1631</v>
      </c>
      <c r="F452" s="172" t="s">
        <v>1631</v>
      </c>
      <c r="G452" s="172" t="s">
        <v>1631</v>
      </c>
      <c r="H452" s="172" t="s">
        <v>1631</v>
      </c>
      <c r="I452" s="172" t="s">
        <v>5062</v>
      </c>
      <c r="J452" s="36">
        <v>1</v>
      </c>
      <c r="K452" s="180">
        <v>1500</v>
      </c>
      <c r="L452" s="180"/>
      <c r="M452" s="22">
        <f>IFERROR((VLOOKUP(A452,'Current Stocks July-26'!$B:$K,10,0)),0)</f>
        <v>4000</v>
      </c>
      <c r="N452" s="22">
        <f t="shared" si="56"/>
        <v>80</v>
      </c>
      <c r="O452" s="22" t="str">
        <f t="shared" si="57"/>
        <v>IN STOCK</v>
      </c>
      <c r="P452" s="22" t="str">
        <f t="shared" si="58"/>
        <v>FOLLOW UP DELIVERY</v>
      </c>
      <c r="Q452" s="58">
        <f t="shared" si="59"/>
        <v>1150</v>
      </c>
      <c r="R452" s="58">
        <f t="shared" si="60"/>
        <v>2650</v>
      </c>
      <c r="S452" s="58">
        <f t="shared" si="61"/>
        <v>0</v>
      </c>
      <c r="T452" s="5">
        <v>20</v>
      </c>
      <c r="U452" s="5" t="s">
        <v>30</v>
      </c>
      <c r="V452" s="173">
        <f>VLOOKUP(A452,'[1]Final-Short'!$B:$AE,29,0)</f>
        <v>0.3</v>
      </c>
      <c r="W452" s="171" t="s">
        <v>1795</v>
      </c>
      <c r="X452" s="58">
        <f t="shared" si="62"/>
        <v>0</v>
      </c>
      <c r="Y452" s="58">
        <f t="shared" si="63"/>
        <v>450</v>
      </c>
    </row>
    <row r="453" spans="1:25" x14ac:dyDescent="0.25">
      <c r="A453" s="36" t="s">
        <v>685</v>
      </c>
      <c r="B453" s="171" t="s">
        <v>686</v>
      </c>
      <c r="C453" s="171" t="s">
        <v>686</v>
      </c>
      <c r="D453" s="172" t="s">
        <v>1631</v>
      </c>
      <c r="E453" s="172" t="s">
        <v>1631</v>
      </c>
      <c r="F453" s="172" t="s">
        <v>1631</v>
      </c>
      <c r="G453" s="172" t="s">
        <v>1631</v>
      </c>
      <c r="H453" s="172" t="s">
        <v>1631</v>
      </c>
      <c r="I453" s="172" t="s">
        <v>5062</v>
      </c>
      <c r="J453" s="36">
        <v>1</v>
      </c>
      <c r="K453" s="180">
        <v>1500</v>
      </c>
      <c r="L453" s="180"/>
      <c r="M453" s="22">
        <f>IFERROR((VLOOKUP(A453,'Current Stocks July-26'!$B:$K,10,0)),0)</f>
        <v>2500</v>
      </c>
      <c r="N453" s="22">
        <f t="shared" si="56"/>
        <v>50</v>
      </c>
      <c r="O453" s="22" t="str">
        <f t="shared" si="57"/>
        <v>IN STOCK</v>
      </c>
      <c r="P453" s="22" t="str">
        <f t="shared" si="58"/>
        <v>FOLLOW UP DELIVERY</v>
      </c>
      <c r="Q453" s="58">
        <f t="shared" si="59"/>
        <v>1150</v>
      </c>
      <c r="R453" s="58">
        <f t="shared" si="60"/>
        <v>2650</v>
      </c>
      <c r="S453" s="58">
        <f t="shared" si="61"/>
        <v>150</v>
      </c>
      <c r="T453" s="5">
        <v>20</v>
      </c>
      <c r="U453" s="5" t="s">
        <v>30</v>
      </c>
      <c r="V453" s="173">
        <f>VLOOKUP(A453,'[1]Final-Short'!$B:$AE,29,0)</f>
        <v>0.3</v>
      </c>
      <c r="W453" s="171" t="s">
        <v>1795</v>
      </c>
      <c r="X453" s="58">
        <f t="shared" si="62"/>
        <v>45</v>
      </c>
      <c r="Y453" s="58">
        <f t="shared" si="63"/>
        <v>450</v>
      </c>
    </row>
    <row r="454" spans="1:25" x14ac:dyDescent="0.25">
      <c r="A454" s="36" t="s">
        <v>774</v>
      </c>
      <c r="B454" s="171" t="s">
        <v>775</v>
      </c>
      <c r="C454" s="171" t="s">
        <v>2018</v>
      </c>
      <c r="D454" s="172" t="s">
        <v>1631</v>
      </c>
      <c r="E454" s="172" t="s">
        <v>1631</v>
      </c>
      <c r="F454" s="172" t="s">
        <v>1631</v>
      </c>
      <c r="G454" s="172" t="s">
        <v>1631</v>
      </c>
      <c r="H454" s="172" t="s">
        <v>1631</v>
      </c>
      <c r="I454" s="172" t="s">
        <v>5062</v>
      </c>
      <c r="J454" s="36">
        <v>1</v>
      </c>
      <c r="K454" s="58">
        <v>2000</v>
      </c>
      <c r="L454" s="58"/>
      <c r="M454" s="22">
        <f>IFERROR((VLOOKUP(A454,'Current Stocks July-26'!$B:$K,10,0)),0)</f>
        <v>65600</v>
      </c>
      <c r="N454" s="22">
        <f t="shared" si="56"/>
        <v>983.99999999999989</v>
      </c>
      <c r="O454" s="22" t="str">
        <f t="shared" si="57"/>
        <v>IN STOCK</v>
      </c>
      <c r="P454" s="22" t="str">
        <f t="shared" si="58"/>
        <v>FOLLOW UP DELIVERY</v>
      </c>
      <c r="Q454" s="58">
        <f t="shared" si="59"/>
        <v>666.66666666666663</v>
      </c>
      <c r="R454" s="58">
        <f t="shared" si="60"/>
        <v>2666.6666666666665</v>
      </c>
      <c r="S454" s="58">
        <f t="shared" si="61"/>
        <v>0</v>
      </c>
      <c r="T454" s="5">
        <v>7</v>
      </c>
      <c r="U454" s="5" t="s">
        <v>30</v>
      </c>
      <c r="V454" s="173">
        <f>VLOOKUP(A454,'[1]Final-Short'!$B:$AE,29,0)</f>
        <v>7.0000000000000007E-2</v>
      </c>
      <c r="W454" s="171" t="s">
        <v>1790</v>
      </c>
      <c r="X454" s="58">
        <f t="shared" si="62"/>
        <v>0</v>
      </c>
      <c r="Y454" s="58">
        <f t="shared" si="63"/>
        <v>140</v>
      </c>
    </row>
    <row r="455" spans="1:25" x14ac:dyDescent="0.25">
      <c r="A455" s="36" t="s">
        <v>1587</v>
      </c>
      <c r="B455" s="171" t="s">
        <v>1588</v>
      </c>
      <c r="C455" s="171" t="s">
        <v>1588</v>
      </c>
      <c r="D455" s="172" t="s">
        <v>1631</v>
      </c>
      <c r="E455" s="172" t="s">
        <v>1631</v>
      </c>
      <c r="F455" s="172" t="s">
        <v>1631</v>
      </c>
      <c r="G455" s="172" t="s">
        <v>1631</v>
      </c>
      <c r="H455" s="172" t="s">
        <v>1631</v>
      </c>
      <c r="I455" s="172" t="s">
        <v>5062</v>
      </c>
      <c r="J455" s="36">
        <v>1</v>
      </c>
      <c r="K455" s="58">
        <v>2000</v>
      </c>
      <c r="L455" s="58"/>
      <c r="M455" s="22">
        <f>IFERROR((VLOOKUP(A455,'Current Stocks July-26'!$B:$K,10,0)),0)</f>
        <v>8995</v>
      </c>
      <c r="N455" s="22">
        <f t="shared" si="56"/>
        <v>134.92499999999998</v>
      </c>
      <c r="O455" s="22" t="str">
        <f t="shared" si="57"/>
        <v>IN STOCK</v>
      </c>
      <c r="P455" s="22" t="str">
        <f t="shared" si="58"/>
        <v>FOLLOW UP DELIVERY</v>
      </c>
      <c r="Q455" s="58">
        <f t="shared" si="59"/>
        <v>666.66666666666663</v>
      </c>
      <c r="R455" s="58">
        <f t="shared" si="60"/>
        <v>2666.6666666666665</v>
      </c>
      <c r="S455" s="58">
        <f t="shared" si="61"/>
        <v>0</v>
      </c>
      <c r="T455" s="5">
        <v>7</v>
      </c>
      <c r="U455" s="5" t="s">
        <v>30</v>
      </c>
      <c r="V455" s="173">
        <f>VLOOKUP(A455,'[1]Final-Short'!$B:$AE,29,0)</f>
        <v>0.15</v>
      </c>
      <c r="W455" s="171" t="s">
        <v>1802</v>
      </c>
      <c r="X455" s="58">
        <f t="shared" si="62"/>
        <v>0</v>
      </c>
      <c r="Y455" s="58">
        <f t="shared" si="63"/>
        <v>300</v>
      </c>
    </row>
    <row r="456" spans="1:25" x14ac:dyDescent="0.25">
      <c r="A456" s="36" t="s">
        <v>1158</v>
      </c>
      <c r="B456" s="171" t="s">
        <v>1159</v>
      </c>
      <c r="C456" s="171" t="s">
        <v>2019</v>
      </c>
      <c r="D456" s="172" t="s">
        <v>1631</v>
      </c>
      <c r="E456" s="172" t="s">
        <v>1631</v>
      </c>
      <c r="F456" s="172" t="s">
        <v>1631</v>
      </c>
      <c r="G456" s="172" t="s">
        <v>1631</v>
      </c>
      <c r="H456" s="172" t="s">
        <v>1631</v>
      </c>
      <c r="I456" s="172" t="s">
        <v>5062</v>
      </c>
      <c r="J456" s="36">
        <v>1</v>
      </c>
      <c r="K456" s="58">
        <v>6000</v>
      </c>
      <c r="L456" s="58"/>
      <c r="M456" s="22">
        <f>IFERROR((VLOOKUP(A456,'Current Stocks July-26'!$B:$K,10,0)),0)</f>
        <v>11495</v>
      </c>
      <c r="N456" s="22">
        <f t="shared" si="56"/>
        <v>57.475000000000001</v>
      </c>
      <c r="O456" s="22" t="str">
        <f t="shared" si="57"/>
        <v>IN STOCK</v>
      </c>
      <c r="P456" s="22" t="str">
        <f t="shared" si="58"/>
        <v>FOLLOW UP DELIVERY</v>
      </c>
      <c r="Q456" s="58">
        <f t="shared" si="59"/>
        <v>3400</v>
      </c>
      <c r="R456" s="58">
        <f t="shared" si="60"/>
        <v>9400</v>
      </c>
      <c r="S456" s="58">
        <f t="shared" si="61"/>
        <v>0</v>
      </c>
      <c r="T456" s="5">
        <v>14</v>
      </c>
      <c r="U456" s="5" t="s">
        <v>30</v>
      </c>
      <c r="V456" s="173">
        <f>VLOOKUP(A456,'[1]Final-Short'!$B:$AE,29,0)</f>
        <v>0.1</v>
      </c>
      <c r="W456" s="171" t="s">
        <v>1802</v>
      </c>
      <c r="X456" s="58">
        <f t="shared" si="62"/>
        <v>0</v>
      </c>
      <c r="Y456" s="58">
        <f t="shared" si="63"/>
        <v>600</v>
      </c>
    </row>
    <row r="457" spans="1:25" x14ac:dyDescent="0.25">
      <c r="A457" s="36" t="s">
        <v>1178</v>
      </c>
      <c r="B457" s="171" t="s">
        <v>1179</v>
      </c>
      <c r="C457" s="171" t="s">
        <v>2020</v>
      </c>
      <c r="D457" s="172" t="s">
        <v>1631</v>
      </c>
      <c r="E457" s="172" t="s">
        <v>1631</v>
      </c>
      <c r="F457" s="172" t="s">
        <v>1631</v>
      </c>
      <c r="G457" s="172" t="s">
        <v>1631</v>
      </c>
      <c r="H457" s="172" t="s">
        <v>1631</v>
      </c>
      <c r="I457" s="172" t="s">
        <v>5062</v>
      </c>
      <c r="J457" s="36">
        <v>1</v>
      </c>
      <c r="K457" s="58">
        <v>10000</v>
      </c>
      <c r="L457" s="58"/>
      <c r="M457" s="22">
        <f>IFERROR((VLOOKUP(A457,'Current Stocks July-26'!$B:$K,10,0)),0)</f>
        <v>0</v>
      </c>
      <c r="N457" s="22">
        <f t="shared" si="56"/>
        <v>0</v>
      </c>
      <c r="O457" s="22" t="str">
        <f t="shared" si="57"/>
        <v>ORDER NOW</v>
      </c>
      <c r="P457" s="22" t="str">
        <f t="shared" si="58"/>
        <v>CRITICAL</v>
      </c>
      <c r="Q457" s="58">
        <f t="shared" si="59"/>
        <v>5666.666666666667</v>
      </c>
      <c r="R457" s="58">
        <f t="shared" si="60"/>
        <v>15666.666666666668</v>
      </c>
      <c r="S457" s="58">
        <f t="shared" si="61"/>
        <v>15666.666666666668</v>
      </c>
      <c r="T457" s="5">
        <v>14</v>
      </c>
      <c r="U457" s="5" t="s">
        <v>30</v>
      </c>
      <c r="V457" s="173">
        <f>VLOOKUP(A457,'[1]Final-Short'!$B:$AE,29,0)</f>
        <v>0.1</v>
      </c>
      <c r="W457" s="171" t="s">
        <v>1802</v>
      </c>
      <c r="X457" s="58">
        <f t="shared" si="62"/>
        <v>1566.666666666667</v>
      </c>
      <c r="Y457" s="58">
        <f t="shared" si="63"/>
        <v>1000</v>
      </c>
    </row>
    <row r="458" spans="1:25" x14ac:dyDescent="0.25">
      <c r="A458" s="36" t="s">
        <v>725</v>
      </c>
      <c r="B458" s="171" t="s">
        <v>726</v>
      </c>
      <c r="C458" s="183" t="s">
        <v>726</v>
      </c>
      <c r="D458" s="172" t="s">
        <v>1631</v>
      </c>
      <c r="E458" s="172" t="s">
        <v>1631</v>
      </c>
      <c r="F458" s="172" t="s">
        <v>1631</v>
      </c>
      <c r="G458" s="172" t="s">
        <v>1631</v>
      </c>
      <c r="H458" s="172" t="s">
        <v>1631</v>
      </c>
      <c r="I458" s="172" t="s">
        <v>5062</v>
      </c>
      <c r="J458" s="36">
        <v>1</v>
      </c>
      <c r="K458" s="180">
        <v>4000</v>
      </c>
      <c r="L458" s="180"/>
      <c r="M458" s="22">
        <f>IFERROR((VLOOKUP(A458,'Current Stocks July-26'!$B:$K,10,0)),0)</f>
        <v>18000</v>
      </c>
      <c r="N458" s="22">
        <f t="shared" si="56"/>
        <v>135</v>
      </c>
      <c r="O458" s="22" t="str">
        <f t="shared" si="57"/>
        <v>IN STOCK</v>
      </c>
      <c r="P458" s="22" t="str">
        <f t="shared" si="58"/>
        <v>FOLLOW UP DELIVERY</v>
      </c>
      <c r="Q458" s="58">
        <f t="shared" si="59"/>
        <v>12400</v>
      </c>
      <c r="R458" s="58">
        <f t="shared" si="60"/>
        <v>16400</v>
      </c>
      <c r="S458" s="58">
        <f t="shared" si="61"/>
        <v>0</v>
      </c>
      <c r="T458" s="5">
        <v>90</v>
      </c>
      <c r="U458" s="5" t="s">
        <v>1797</v>
      </c>
      <c r="V458" s="173">
        <f>VLOOKUP(A458,'[1]Final-Short'!$B:$AE,29,0)</f>
        <v>0.55000000000000004</v>
      </c>
      <c r="W458" s="171" t="s">
        <v>2021</v>
      </c>
      <c r="X458" s="58">
        <f t="shared" si="62"/>
        <v>0</v>
      </c>
      <c r="Y458" s="58">
        <f t="shared" si="63"/>
        <v>2200</v>
      </c>
    </row>
    <row r="459" spans="1:25" x14ac:dyDescent="0.25">
      <c r="A459" s="36" t="s">
        <v>19</v>
      </c>
      <c r="B459" s="171" t="s">
        <v>20</v>
      </c>
      <c r="C459" s="171" t="s">
        <v>2022</v>
      </c>
      <c r="D459" s="172" t="s">
        <v>1631</v>
      </c>
      <c r="E459" s="172" t="s">
        <v>1631</v>
      </c>
      <c r="F459" s="172" t="s">
        <v>1631</v>
      </c>
      <c r="G459" s="172" t="s">
        <v>1631</v>
      </c>
      <c r="H459" s="172" t="s">
        <v>1631</v>
      </c>
      <c r="I459" s="172" t="s">
        <v>5062</v>
      </c>
      <c r="J459" s="36">
        <v>1</v>
      </c>
      <c r="K459" s="58">
        <v>14000</v>
      </c>
      <c r="L459" s="58"/>
      <c r="M459" s="22">
        <f>IFERROR((VLOOKUP(A459,'Current Stocks July-26'!$B:$K,10,0)),0)</f>
        <v>26500</v>
      </c>
      <c r="N459" s="22">
        <f t="shared" si="56"/>
        <v>56.785714285714285</v>
      </c>
      <c r="O459" s="22" t="str">
        <f t="shared" si="57"/>
        <v>IN STOCK</v>
      </c>
      <c r="P459" s="22" t="str">
        <f t="shared" si="58"/>
        <v>FOLLOW UP DELIVERY</v>
      </c>
      <c r="Q459" s="58">
        <f t="shared" si="59"/>
        <v>10733.333333333334</v>
      </c>
      <c r="R459" s="58">
        <f t="shared" si="60"/>
        <v>24733.333333333336</v>
      </c>
      <c r="S459" s="58">
        <f t="shared" si="61"/>
        <v>0</v>
      </c>
      <c r="T459" s="5">
        <v>20</v>
      </c>
      <c r="U459" s="5" t="s">
        <v>1669</v>
      </c>
      <c r="V459" s="173">
        <f>VLOOKUP(A459,'[1]Final-Short'!$B:$AE,29,0)</f>
        <v>0.22</v>
      </c>
      <c r="W459" s="171" t="s">
        <v>1789</v>
      </c>
      <c r="X459" s="58">
        <f t="shared" si="62"/>
        <v>0</v>
      </c>
      <c r="Y459" s="58">
        <f t="shared" si="63"/>
        <v>3080</v>
      </c>
    </row>
    <row r="460" spans="1:25" x14ac:dyDescent="0.25">
      <c r="A460" s="36" t="s">
        <v>1531</v>
      </c>
      <c r="B460" s="171" t="s">
        <v>1532</v>
      </c>
      <c r="C460" s="171" t="s">
        <v>2023</v>
      </c>
      <c r="D460" s="172" t="s">
        <v>1631</v>
      </c>
      <c r="E460" s="172" t="s">
        <v>1631</v>
      </c>
      <c r="F460" s="172" t="s">
        <v>1631</v>
      </c>
      <c r="G460" s="172" t="s">
        <v>1631</v>
      </c>
      <c r="H460" s="172" t="s">
        <v>1631</v>
      </c>
      <c r="I460" s="172" t="s">
        <v>5062</v>
      </c>
      <c r="J460" s="36">
        <v>1</v>
      </c>
      <c r="K460" s="58">
        <v>7000</v>
      </c>
      <c r="L460" s="58"/>
      <c r="M460" s="22">
        <f>IFERROR((VLOOKUP(A460,'Current Stocks July-26'!$B:$K,10,0)),0)</f>
        <v>0</v>
      </c>
      <c r="N460" s="22">
        <f t="shared" si="56"/>
        <v>0</v>
      </c>
      <c r="O460" s="22" t="str">
        <f t="shared" si="57"/>
        <v>ORDER NOW</v>
      </c>
      <c r="P460" s="22" t="str">
        <f t="shared" si="58"/>
        <v>CRITICAL</v>
      </c>
      <c r="Q460" s="58">
        <f t="shared" si="59"/>
        <v>5366.666666666667</v>
      </c>
      <c r="R460" s="58">
        <f t="shared" si="60"/>
        <v>12366.666666666668</v>
      </c>
      <c r="S460" s="58">
        <f t="shared" si="61"/>
        <v>12366.666666666668</v>
      </c>
      <c r="T460" s="5">
        <v>20</v>
      </c>
      <c r="U460" s="5" t="s">
        <v>1669</v>
      </c>
      <c r="V460" s="173">
        <f>VLOOKUP(A460,'[1]Final-Short'!$B:$AE,29,0)</f>
        <v>0.22</v>
      </c>
      <c r="W460" s="171" t="s">
        <v>1789</v>
      </c>
      <c r="X460" s="58">
        <f t="shared" si="62"/>
        <v>2720.666666666667</v>
      </c>
      <c r="Y460" s="58">
        <f t="shared" si="63"/>
        <v>1540</v>
      </c>
    </row>
    <row r="461" spans="1:25" x14ac:dyDescent="0.25">
      <c r="A461" s="36" t="s">
        <v>2024</v>
      </c>
      <c r="B461" s="171" t="s">
        <v>2025</v>
      </c>
      <c r="C461" s="171" t="s">
        <v>2025</v>
      </c>
      <c r="D461" s="172" t="s">
        <v>1631</v>
      </c>
      <c r="E461" s="172" t="s">
        <v>1631</v>
      </c>
      <c r="F461" s="172" t="s">
        <v>1631</v>
      </c>
      <c r="G461" s="172" t="s">
        <v>1631</v>
      </c>
      <c r="H461" s="172" t="s">
        <v>1631</v>
      </c>
      <c r="I461" s="172" t="s">
        <v>5062</v>
      </c>
      <c r="J461" s="36">
        <v>1</v>
      </c>
      <c r="K461" s="180">
        <v>15000</v>
      </c>
      <c r="L461" s="180"/>
      <c r="M461" s="22">
        <f>IFERROR((VLOOKUP(A461,'Current Stocks July-26'!$B:$K,10,0)),0)</f>
        <v>96000</v>
      </c>
      <c r="N461" s="22">
        <f t="shared" si="56"/>
        <v>192</v>
      </c>
      <c r="O461" s="22" t="str">
        <f t="shared" si="57"/>
        <v>IN STOCK</v>
      </c>
      <c r="P461" s="22" t="str">
        <f t="shared" si="58"/>
        <v>FOLLOW UP DELIVERY</v>
      </c>
      <c r="Q461" s="58">
        <f t="shared" si="59"/>
        <v>5000</v>
      </c>
      <c r="R461" s="58">
        <f t="shared" si="60"/>
        <v>20000</v>
      </c>
      <c r="S461" s="58">
        <f t="shared" si="61"/>
        <v>0</v>
      </c>
      <c r="T461" s="5">
        <v>7</v>
      </c>
      <c r="U461" s="5" t="s">
        <v>1669</v>
      </c>
      <c r="V461" s="173">
        <f>VLOOKUP(A461,'[1]Final-Short'!$B:$AE,29,0)</f>
        <v>0.16</v>
      </c>
      <c r="W461" s="171" t="s">
        <v>2026</v>
      </c>
      <c r="X461" s="58">
        <f t="shared" si="62"/>
        <v>0</v>
      </c>
      <c r="Y461" s="58">
        <f t="shared" si="63"/>
        <v>2400</v>
      </c>
    </row>
    <row r="462" spans="1:25" x14ac:dyDescent="0.25">
      <c r="A462" s="36" t="s">
        <v>2027</v>
      </c>
      <c r="B462" s="171" t="s">
        <v>2028</v>
      </c>
      <c r="C462" s="183" t="s">
        <v>2029</v>
      </c>
      <c r="D462" s="172" t="s">
        <v>1631</v>
      </c>
      <c r="E462" s="172" t="s">
        <v>1631</v>
      </c>
      <c r="F462" s="172" t="s">
        <v>1631</v>
      </c>
      <c r="G462" s="172" t="s">
        <v>1631</v>
      </c>
      <c r="H462" s="172" t="s">
        <v>1631</v>
      </c>
      <c r="I462" s="172" t="s">
        <v>5062</v>
      </c>
      <c r="J462" s="36">
        <v>1</v>
      </c>
      <c r="K462" s="180">
        <v>5000</v>
      </c>
      <c r="L462" s="180"/>
      <c r="M462" s="22">
        <f>IFERROR((VLOOKUP(A462,'Current Stocks July-26'!$B:$K,10,0)),0)</f>
        <v>0</v>
      </c>
      <c r="N462" s="22">
        <f t="shared" si="56"/>
        <v>0</v>
      </c>
      <c r="O462" s="22" t="str">
        <f t="shared" si="57"/>
        <v>IN STOCK</v>
      </c>
      <c r="P462" s="22" t="str">
        <f t="shared" si="58"/>
        <v>FOLLOW UP DELIVERY</v>
      </c>
      <c r="Q462" s="58">
        <f t="shared" si="59"/>
        <v>500</v>
      </c>
      <c r="R462" s="58">
        <f t="shared" si="60"/>
        <v>5500</v>
      </c>
      <c r="S462" s="58">
        <f t="shared" si="61"/>
        <v>5500</v>
      </c>
      <c r="T462" s="5">
        <v>0</v>
      </c>
      <c r="U462" s="5" t="s">
        <v>1729</v>
      </c>
      <c r="V462" s="173">
        <f>VLOOKUP(A462,'[1]Final-Short'!$B:$AE,29,0)</f>
        <v>4.8723200000000002</v>
      </c>
      <c r="W462" s="171" t="s">
        <v>1802</v>
      </c>
      <c r="X462" s="58">
        <f t="shared" si="62"/>
        <v>26797.760000000002</v>
      </c>
      <c r="Y462" s="58">
        <f t="shared" si="63"/>
        <v>24361.600000000002</v>
      </c>
    </row>
    <row r="463" spans="1:25" x14ac:dyDescent="0.25">
      <c r="A463" s="36" t="s">
        <v>1303</v>
      </c>
      <c r="B463" s="171" t="s">
        <v>1304</v>
      </c>
      <c r="C463" s="171" t="s">
        <v>2030</v>
      </c>
      <c r="D463" s="172" t="s">
        <v>1631</v>
      </c>
      <c r="E463" s="172" t="s">
        <v>1631</v>
      </c>
      <c r="F463" s="172" t="s">
        <v>1631</v>
      </c>
      <c r="G463" s="172" t="s">
        <v>1631</v>
      </c>
      <c r="H463" s="172" t="s">
        <v>1631</v>
      </c>
      <c r="I463" s="172" t="s">
        <v>5062</v>
      </c>
      <c r="J463" s="36">
        <v>1</v>
      </c>
      <c r="K463" s="58">
        <v>22000</v>
      </c>
      <c r="L463" s="58"/>
      <c r="M463" s="22">
        <f>IFERROR((VLOOKUP(A463,'Current Stocks July-26'!$B:$K,10,0)),0)</f>
        <v>60840</v>
      </c>
      <c r="N463" s="22">
        <f t="shared" si="56"/>
        <v>82.963636363636368</v>
      </c>
      <c r="O463" s="22" t="str">
        <f t="shared" si="57"/>
        <v>ORDER NOW</v>
      </c>
      <c r="P463" s="22" t="str">
        <f t="shared" si="58"/>
        <v>CRITICAL</v>
      </c>
      <c r="Q463" s="58">
        <f t="shared" si="59"/>
        <v>79200</v>
      </c>
      <c r="R463" s="58">
        <f t="shared" si="60"/>
        <v>101200</v>
      </c>
      <c r="S463" s="58">
        <f t="shared" si="61"/>
        <v>40360</v>
      </c>
      <c r="T463" s="5">
        <v>105</v>
      </c>
      <c r="U463" s="5" t="s">
        <v>1669</v>
      </c>
      <c r="V463" s="173">
        <f>VLOOKUP(A463,'[1]Final-Short'!$B:$AE,29,0)</f>
        <v>6.25</v>
      </c>
      <c r="W463" s="171" t="s">
        <v>2031</v>
      </c>
      <c r="X463" s="58">
        <f t="shared" si="62"/>
        <v>252250</v>
      </c>
      <c r="Y463" s="58">
        <f t="shared" si="63"/>
        <v>137500</v>
      </c>
    </row>
    <row r="464" spans="1:25" x14ac:dyDescent="0.25">
      <c r="A464" s="36" t="s">
        <v>1403</v>
      </c>
      <c r="B464" s="171" t="s">
        <v>1404</v>
      </c>
      <c r="C464" s="171" t="s">
        <v>2032</v>
      </c>
      <c r="D464" s="172" t="s">
        <v>1631</v>
      </c>
      <c r="E464" s="172" t="s">
        <v>1631</v>
      </c>
      <c r="F464" s="172" t="s">
        <v>1631</v>
      </c>
      <c r="G464" s="172" t="s">
        <v>1631</v>
      </c>
      <c r="H464" s="172" t="s">
        <v>1631</v>
      </c>
      <c r="I464" s="172" t="s">
        <v>5062</v>
      </c>
      <c r="J464" s="36">
        <v>1</v>
      </c>
      <c r="K464" s="180">
        <v>8000</v>
      </c>
      <c r="L464" s="180"/>
      <c r="M464" s="22">
        <f>IFERROR((VLOOKUP(A464,'Current Stocks July-26'!$B:$K,10,0)),0)</f>
        <v>45900</v>
      </c>
      <c r="N464" s="22">
        <f t="shared" si="56"/>
        <v>172.125</v>
      </c>
      <c r="O464" s="22" t="str">
        <f t="shared" si="57"/>
        <v>IN STOCK</v>
      </c>
      <c r="P464" s="22" t="str">
        <f t="shared" si="58"/>
        <v>FOLLOW UP DELIVERY</v>
      </c>
      <c r="Q464" s="58">
        <f t="shared" si="59"/>
        <v>2666.6666666666665</v>
      </c>
      <c r="R464" s="58">
        <f t="shared" si="60"/>
        <v>10666.666666666666</v>
      </c>
      <c r="S464" s="58">
        <f t="shared" si="61"/>
        <v>0</v>
      </c>
      <c r="T464" s="5">
        <v>7</v>
      </c>
      <c r="U464" s="5" t="s">
        <v>30</v>
      </c>
      <c r="V464" s="173">
        <f>VLOOKUP(A464,'[1]Final-Short'!$B:$AE,29,0)</f>
        <v>0.11</v>
      </c>
      <c r="W464" s="171" t="s">
        <v>1794</v>
      </c>
      <c r="X464" s="58">
        <f t="shared" si="62"/>
        <v>0</v>
      </c>
      <c r="Y464" s="58">
        <f t="shared" si="63"/>
        <v>880</v>
      </c>
    </row>
    <row r="465" spans="1:25" x14ac:dyDescent="0.25">
      <c r="A465" s="36" t="s">
        <v>735</v>
      </c>
      <c r="B465" s="171" t="s">
        <v>736</v>
      </c>
      <c r="C465" s="171" t="s">
        <v>2033</v>
      </c>
      <c r="D465" s="172" t="s">
        <v>1631</v>
      </c>
      <c r="E465" s="172" t="s">
        <v>1631</v>
      </c>
      <c r="F465" s="172" t="s">
        <v>1631</v>
      </c>
      <c r="G465" s="172" t="s">
        <v>1631</v>
      </c>
      <c r="H465" s="172" t="s">
        <v>1631</v>
      </c>
      <c r="I465" s="172" t="s">
        <v>5062</v>
      </c>
      <c r="J465" s="36">
        <v>1</v>
      </c>
      <c r="K465" s="180">
        <v>2000</v>
      </c>
      <c r="L465" s="180"/>
      <c r="M465" s="22">
        <f>IFERROR((VLOOKUP(A465,'Current Stocks July-26'!$B:$K,10,0)),0)</f>
        <v>37750</v>
      </c>
      <c r="N465" s="22">
        <f t="shared" si="56"/>
        <v>566.25</v>
      </c>
      <c r="O465" s="22" t="str">
        <f t="shared" si="57"/>
        <v>IN STOCK</v>
      </c>
      <c r="P465" s="22" t="str">
        <f t="shared" si="58"/>
        <v>FOLLOW UP DELIVERY</v>
      </c>
      <c r="Q465" s="58">
        <f t="shared" si="59"/>
        <v>666.66666666666663</v>
      </c>
      <c r="R465" s="58">
        <f t="shared" si="60"/>
        <v>2666.6666666666665</v>
      </c>
      <c r="S465" s="58">
        <f t="shared" si="61"/>
        <v>0</v>
      </c>
      <c r="T465" s="5">
        <v>7</v>
      </c>
      <c r="U465" s="5" t="s">
        <v>30</v>
      </c>
      <c r="V465" s="173">
        <f>VLOOKUP(A465,'[1]Final-Short'!$B:$AE,29,0)</f>
        <v>0.11</v>
      </c>
      <c r="W465" s="171" t="s">
        <v>1794</v>
      </c>
      <c r="X465" s="58">
        <f t="shared" si="62"/>
        <v>0</v>
      </c>
      <c r="Y465" s="58">
        <f t="shared" si="63"/>
        <v>220</v>
      </c>
    </row>
    <row r="466" spans="1:25" x14ac:dyDescent="0.25">
      <c r="A466" s="36" t="s">
        <v>795</v>
      </c>
      <c r="B466" s="171" t="s">
        <v>796</v>
      </c>
      <c r="C466" s="171" t="s">
        <v>796</v>
      </c>
      <c r="D466" s="172" t="s">
        <v>1631</v>
      </c>
      <c r="E466" s="172" t="s">
        <v>1631</v>
      </c>
      <c r="F466" s="172" t="s">
        <v>1631</v>
      </c>
      <c r="G466" s="172" t="s">
        <v>1631</v>
      </c>
      <c r="H466" s="172" t="s">
        <v>1631</v>
      </c>
      <c r="I466" s="172" t="s">
        <v>5062</v>
      </c>
      <c r="J466" s="36">
        <v>1</v>
      </c>
      <c r="K466" s="180">
        <v>1200</v>
      </c>
      <c r="L466" s="180"/>
      <c r="M466" s="22">
        <f>IFERROR((VLOOKUP(A466,'Current Stocks July-26'!$B:$K,10,0)),0)</f>
        <v>1195</v>
      </c>
      <c r="N466" s="22">
        <f t="shared" si="56"/>
        <v>29.875</v>
      </c>
      <c r="O466" s="22" t="str">
        <f t="shared" si="57"/>
        <v>IN STOCK</v>
      </c>
      <c r="P466" s="22" t="str">
        <f t="shared" si="58"/>
        <v>FOLLOW UP DELIVERY</v>
      </c>
      <c r="Q466" s="58">
        <f t="shared" si="59"/>
        <v>680</v>
      </c>
      <c r="R466" s="58">
        <f t="shared" si="60"/>
        <v>1880</v>
      </c>
      <c r="S466" s="58">
        <f t="shared" si="61"/>
        <v>685</v>
      </c>
      <c r="T466" s="5">
        <v>14</v>
      </c>
      <c r="U466" s="5" t="s">
        <v>1669</v>
      </c>
      <c r="V466" s="173">
        <f>VLOOKUP(A466,'[1]Final-Short'!$B:$AE,29,0)</f>
        <v>1.25</v>
      </c>
      <c r="W466" s="171" t="s">
        <v>1802</v>
      </c>
      <c r="X466" s="58">
        <f t="shared" si="62"/>
        <v>856.25</v>
      </c>
      <c r="Y466" s="58">
        <f t="shared" si="63"/>
        <v>1500</v>
      </c>
    </row>
    <row r="467" spans="1:25" x14ac:dyDescent="0.25">
      <c r="A467" s="36" t="s">
        <v>862</v>
      </c>
      <c r="B467" s="171" t="s">
        <v>863</v>
      </c>
      <c r="C467" s="171" t="s">
        <v>863</v>
      </c>
      <c r="D467" s="172" t="s">
        <v>1631</v>
      </c>
      <c r="E467" s="172" t="s">
        <v>1631</v>
      </c>
      <c r="F467" s="172" t="s">
        <v>1631</v>
      </c>
      <c r="G467" s="172" t="s">
        <v>1631</v>
      </c>
      <c r="H467" s="172" t="s">
        <v>1631</v>
      </c>
      <c r="I467" s="172" t="s">
        <v>5062</v>
      </c>
      <c r="J467" s="36">
        <v>1</v>
      </c>
      <c r="K467" s="180">
        <v>1000</v>
      </c>
      <c r="L467" s="180"/>
      <c r="M467" s="22">
        <f>IFERROR((VLOOKUP(A467,'Current Stocks July-26'!$B:$K,10,0)),0)</f>
        <v>0</v>
      </c>
      <c r="N467" s="22">
        <f t="shared" si="56"/>
        <v>0</v>
      </c>
      <c r="O467" s="22" t="str">
        <f t="shared" si="57"/>
        <v>ORDER NOW</v>
      </c>
      <c r="P467" s="22" t="str">
        <f t="shared" si="58"/>
        <v>CRITICAL</v>
      </c>
      <c r="Q467" s="58">
        <f t="shared" si="59"/>
        <v>333.33333333333331</v>
      </c>
      <c r="R467" s="58">
        <f t="shared" si="60"/>
        <v>1333.3333333333333</v>
      </c>
      <c r="S467" s="58">
        <f t="shared" si="61"/>
        <v>1333.3333333333333</v>
      </c>
      <c r="T467" s="5">
        <v>7</v>
      </c>
      <c r="U467" s="5" t="s">
        <v>30</v>
      </c>
      <c r="V467" s="173">
        <f>VLOOKUP(A467,'[1]Final-Short'!$B:$AE,29,0)</f>
        <v>0</v>
      </c>
      <c r="W467" s="171" t="s">
        <v>1952</v>
      </c>
      <c r="X467" s="58">
        <f t="shared" si="62"/>
        <v>0</v>
      </c>
      <c r="Y467" s="58">
        <f t="shared" si="63"/>
        <v>0</v>
      </c>
    </row>
    <row r="468" spans="1:25" x14ac:dyDescent="0.25">
      <c r="A468" s="36" t="s">
        <v>1115</v>
      </c>
      <c r="B468" s="171" t="s">
        <v>1116</v>
      </c>
      <c r="C468" s="171" t="s">
        <v>2034</v>
      </c>
      <c r="D468" s="172" t="s">
        <v>1631</v>
      </c>
      <c r="E468" s="172" t="s">
        <v>1631</v>
      </c>
      <c r="F468" s="172" t="s">
        <v>1631</v>
      </c>
      <c r="G468" s="172" t="s">
        <v>1631</v>
      </c>
      <c r="H468" s="172" t="s">
        <v>1631</v>
      </c>
      <c r="I468" s="172" t="s">
        <v>5062</v>
      </c>
      <c r="J468" s="36">
        <v>1</v>
      </c>
      <c r="K468" s="58">
        <v>10000</v>
      </c>
      <c r="L468" s="58"/>
      <c r="M468" s="22">
        <f>IFERROR((VLOOKUP(A468,'Current Stocks July-26'!$B:$K,10,0)),0)</f>
        <v>0</v>
      </c>
      <c r="N468" s="22">
        <f t="shared" si="56"/>
        <v>0</v>
      </c>
      <c r="O468" s="22" t="str">
        <f t="shared" si="57"/>
        <v>ORDER NOW</v>
      </c>
      <c r="P468" s="22" t="str">
        <f t="shared" si="58"/>
        <v>CRITICAL</v>
      </c>
      <c r="Q468" s="58">
        <f t="shared" si="59"/>
        <v>3333.333333333333</v>
      </c>
      <c r="R468" s="58">
        <f t="shared" si="60"/>
        <v>13333.333333333332</v>
      </c>
      <c r="S468" s="58">
        <f t="shared" si="61"/>
        <v>13333.333333333332</v>
      </c>
      <c r="T468" s="5">
        <v>7</v>
      </c>
      <c r="U468" s="5" t="s">
        <v>30</v>
      </c>
      <c r="V468" s="173">
        <f>VLOOKUP(A468,'[1]Final-Short'!$B:$AE,29,0)</f>
        <v>0.05</v>
      </c>
      <c r="W468" s="171" t="s">
        <v>1795</v>
      </c>
      <c r="X468" s="58">
        <f t="shared" si="62"/>
        <v>666.66666666666663</v>
      </c>
      <c r="Y468" s="58">
        <f t="shared" si="63"/>
        <v>500</v>
      </c>
    </row>
    <row r="469" spans="1:25" x14ac:dyDescent="0.25">
      <c r="A469" s="36" t="s">
        <v>1060</v>
      </c>
      <c r="B469" s="171" t="s">
        <v>1061</v>
      </c>
      <c r="C469" s="171" t="s">
        <v>2035</v>
      </c>
      <c r="D469" s="172" t="s">
        <v>1631</v>
      </c>
      <c r="E469" s="172" t="s">
        <v>1631</v>
      </c>
      <c r="F469" s="172" t="s">
        <v>1631</v>
      </c>
      <c r="G469" s="172" t="s">
        <v>1631</v>
      </c>
      <c r="H469" s="172" t="s">
        <v>1631</v>
      </c>
      <c r="I469" s="172" t="s">
        <v>5062</v>
      </c>
      <c r="J469" s="36">
        <v>1</v>
      </c>
      <c r="K469" s="58">
        <v>12000</v>
      </c>
      <c r="L469" s="58"/>
      <c r="M469" s="22">
        <f>IFERROR((VLOOKUP(A469,'Current Stocks July-26'!$B:$K,10,0)),0)</f>
        <v>34000</v>
      </c>
      <c r="N469" s="22">
        <f t="shared" si="56"/>
        <v>85</v>
      </c>
      <c r="O469" s="22" t="str">
        <f t="shared" si="57"/>
        <v>IN STOCK</v>
      </c>
      <c r="P469" s="22" t="str">
        <f t="shared" si="58"/>
        <v>FOLLOW UP DELIVERY</v>
      </c>
      <c r="Q469" s="58">
        <f t="shared" si="59"/>
        <v>4000</v>
      </c>
      <c r="R469" s="58">
        <f t="shared" si="60"/>
        <v>16000</v>
      </c>
      <c r="S469" s="58">
        <f t="shared" si="61"/>
        <v>0</v>
      </c>
      <c r="T469" s="5">
        <v>7</v>
      </c>
      <c r="U469" s="5" t="s">
        <v>30</v>
      </c>
      <c r="V469" s="173">
        <f>VLOOKUP(A469,'[1]Final-Short'!$B:$AE,29,0)</f>
        <v>0.05</v>
      </c>
      <c r="W469" s="171" t="s">
        <v>1795</v>
      </c>
      <c r="X469" s="58">
        <f t="shared" si="62"/>
        <v>0</v>
      </c>
      <c r="Y469" s="58">
        <f t="shared" si="63"/>
        <v>600</v>
      </c>
    </row>
    <row r="470" spans="1:25" x14ac:dyDescent="0.25">
      <c r="A470" s="36" t="s">
        <v>1007</v>
      </c>
      <c r="B470" s="171" t="s">
        <v>1008</v>
      </c>
      <c r="C470" s="171" t="s">
        <v>1008</v>
      </c>
      <c r="D470" s="172" t="s">
        <v>1631</v>
      </c>
      <c r="E470" s="172" t="s">
        <v>1631</v>
      </c>
      <c r="F470" s="172" t="s">
        <v>1631</v>
      </c>
      <c r="G470" s="172" t="s">
        <v>1631</v>
      </c>
      <c r="H470" s="172" t="s">
        <v>1631</v>
      </c>
      <c r="I470" s="172" t="s">
        <v>5062</v>
      </c>
      <c r="J470" s="36">
        <v>1</v>
      </c>
      <c r="K470" s="58">
        <v>500</v>
      </c>
      <c r="L470" s="58"/>
      <c r="M470" s="22">
        <f>IFERROR((VLOOKUP(A470,'Current Stocks July-26'!$B:$K,10,0)),0)</f>
        <v>0</v>
      </c>
      <c r="N470" s="22">
        <f t="shared" si="56"/>
        <v>0</v>
      </c>
      <c r="O470" s="22" t="str">
        <f t="shared" si="57"/>
        <v>ORDER NOW</v>
      </c>
      <c r="P470" s="22" t="str">
        <f t="shared" si="58"/>
        <v>CRITICAL</v>
      </c>
      <c r="Q470" s="58">
        <f t="shared" si="59"/>
        <v>166.66666666666666</v>
      </c>
      <c r="R470" s="58">
        <f t="shared" si="60"/>
        <v>666.66666666666663</v>
      </c>
      <c r="S470" s="58">
        <f t="shared" si="61"/>
        <v>666.66666666666663</v>
      </c>
      <c r="T470" s="5">
        <v>7</v>
      </c>
      <c r="U470" s="5" t="s">
        <v>30</v>
      </c>
      <c r="V470" s="173">
        <f>VLOOKUP(A470,'[1]Final-Short'!$B:$AE,29,0)</f>
        <v>0.11</v>
      </c>
      <c r="W470" s="171" t="s">
        <v>1795</v>
      </c>
      <c r="X470" s="58">
        <f t="shared" si="62"/>
        <v>73.333333333333329</v>
      </c>
      <c r="Y470" s="58">
        <f t="shared" si="63"/>
        <v>55</v>
      </c>
    </row>
    <row r="471" spans="1:25" x14ac:dyDescent="0.25">
      <c r="A471" s="36" t="s">
        <v>2036</v>
      </c>
      <c r="B471" s="171" t="s">
        <v>2037</v>
      </c>
      <c r="C471" s="171" t="s">
        <v>2032</v>
      </c>
      <c r="D471" s="172" t="s">
        <v>1631</v>
      </c>
      <c r="E471" s="172" t="s">
        <v>1631</v>
      </c>
      <c r="F471" s="172" t="s">
        <v>1631</v>
      </c>
      <c r="G471" s="172" t="s">
        <v>1631</v>
      </c>
      <c r="H471" s="172" t="s">
        <v>1631</v>
      </c>
      <c r="I471" s="172" t="s">
        <v>5062</v>
      </c>
      <c r="J471" s="36">
        <v>1</v>
      </c>
      <c r="K471" s="58">
        <v>3000</v>
      </c>
      <c r="L471" s="58"/>
      <c r="M471" s="22">
        <f>IFERROR((VLOOKUP(A471,'Current Stocks July-26'!$B:$K,10,0)),0)</f>
        <v>0</v>
      </c>
      <c r="N471" s="22">
        <f t="shared" si="56"/>
        <v>0</v>
      </c>
      <c r="O471" s="22" t="str">
        <f t="shared" si="57"/>
        <v>ORDER NOW</v>
      </c>
      <c r="P471" s="22" t="str">
        <f t="shared" si="58"/>
        <v>CRITICAL</v>
      </c>
      <c r="Q471" s="58">
        <f t="shared" si="59"/>
        <v>1000</v>
      </c>
      <c r="R471" s="58">
        <f t="shared" si="60"/>
        <v>4000</v>
      </c>
      <c r="S471" s="58">
        <f t="shared" si="61"/>
        <v>4000</v>
      </c>
      <c r="T471" s="5">
        <v>7</v>
      </c>
      <c r="U471" s="5" t="s">
        <v>30</v>
      </c>
      <c r="V471" s="173">
        <f>VLOOKUP(A471,'[1]Final-Short'!$B:$AE,29,0)</f>
        <v>0.05</v>
      </c>
      <c r="W471" s="171" t="s">
        <v>1794</v>
      </c>
      <c r="X471" s="58">
        <f t="shared" si="62"/>
        <v>200</v>
      </c>
      <c r="Y471" s="58">
        <f t="shared" si="63"/>
        <v>150</v>
      </c>
    </row>
    <row r="472" spans="1:25" x14ac:dyDescent="0.25">
      <c r="A472" s="36" t="s">
        <v>815</v>
      </c>
      <c r="B472" s="171" t="s">
        <v>816</v>
      </c>
      <c r="C472" s="171" t="s">
        <v>2038</v>
      </c>
      <c r="D472" s="172" t="s">
        <v>1631</v>
      </c>
      <c r="E472" s="172" t="s">
        <v>1631</v>
      </c>
      <c r="F472" s="172" t="s">
        <v>1631</v>
      </c>
      <c r="G472" s="172" t="s">
        <v>1631</v>
      </c>
      <c r="H472" s="172" t="s">
        <v>1631</v>
      </c>
      <c r="I472" s="172" t="s">
        <v>5062</v>
      </c>
      <c r="J472" s="36">
        <v>1</v>
      </c>
      <c r="K472" s="58">
        <v>3166</v>
      </c>
      <c r="L472" s="58"/>
      <c r="M472" s="22">
        <f>IFERROR((VLOOKUP(A472,'Current Stocks July-26'!$B:$K,10,0)),0)</f>
        <v>4000</v>
      </c>
      <c r="N472" s="22">
        <f t="shared" si="56"/>
        <v>37.90271636133923</v>
      </c>
      <c r="O472" s="22" t="str">
        <f t="shared" si="57"/>
        <v>IN STOCK</v>
      </c>
      <c r="P472" s="22" t="str">
        <f t="shared" si="58"/>
        <v>FOLLOW UP DELIVERY</v>
      </c>
      <c r="Q472" s="58">
        <f t="shared" si="59"/>
        <v>1055.3333333333333</v>
      </c>
      <c r="R472" s="58">
        <f t="shared" si="60"/>
        <v>4221.333333333333</v>
      </c>
      <c r="S472" s="58">
        <f t="shared" si="61"/>
        <v>221.33333333333303</v>
      </c>
      <c r="T472" s="5">
        <v>7</v>
      </c>
      <c r="U472" s="5" t="s">
        <v>30</v>
      </c>
      <c r="V472" s="173">
        <f>VLOOKUP(A472,'[1]Final-Short'!$B:$AE,29,0)</f>
        <v>0.3</v>
      </c>
      <c r="W472" s="171" t="s">
        <v>1795</v>
      </c>
      <c r="X472" s="58">
        <f t="shared" si="62"/>
        <v>66.399999999999906</v>
      </c>
      <c r="Y472" s="58">
        <f t="shared" si="63"/>
        <v>949.8</v>
      </c>
    </row>
    <row r="473" spans="1:25" x14ac:dyDescent="0.25">
      <c r="A473" s="36" t="s">
        <v>685</v>
      </c>
      <c r="B473" s="171" t="s">
        <v>686</v>
      </c>
      <c r="C473" s="171" t="s">
        <v>686</v>
      </c>
      <c r="D473" s="172" t="s">
        <v>1631</v>
      </c>
      <c r="E473" s="172" t="s">
        <v>1631</v>
      </c>
      <c r="F473" s="172" t="s">
        <v>1631</v>
      </c>
      <c r="G473" s="172" t="s">
        <v>1631</v>
      </c>
      <c r="H473" s="172" t="s">
        <v>1631</v>
      </c>
      <c r="I473" s="172" t="s">
        <v>5062</v>
      </c>
      <c r="J473" s="36">
        <v>1</v>
      </c>
      <c r="K473" s="180">
        <v>3000</v>
      </c>
      <c r="L473" s="180"/>
      <c r="M473" s="22">
        <f>IFERROR((VLOOKUP(A473,'Current Stocks July-26'!$B:$K,10,0)),0)</f>
        <v>2500</v>
      </c>
      <c r="N473" s="22">
        <f t="shared" si="56"/>
        <v>25</v>
      </c>
      <c r="O473" s="22" t="str">
        <f t="shared" si="57"/>
        <v>IN STOCK</v>
      </c>
      <c r="P473" s="22" t="str">
        <f t="shared" si="58"/>
        <v>FOLLOW UP DELIVERY</v>
      </c>
      <c r="Q473" s="58">
        <f t="shared" si="59"/>
        <v>1000</v>
      </c>
      <c r="R473" s="58">
        <f t="shared" si="60"/>
        <v>4000</v>
      </c>
      <c r="S473" s="58">
        <f t="shared" si="61"/>
        <v>1500</v>
      </c>
      <c r="T473" s="5">
        <v>7</v>
      </c>
      <c r="U473" s="5" t="s">
        <v>30</v>
      </c>
      <c r="V473" s="173">
        <f>VLOOKUP(A473,'[1]Final-Short'!$B:$AE,29,0)</f>
        <v>0.3</v>
      </c>
      <c r="W473" s="171" t="s">
        <v>1795</v>
      </c>
      <c r="X473" s="58">
        <f t="shared" si="62"/>
        <v>450</v>
      </c>
      <c r="Y473" s="58">
        <f t="shared" si="63"/>
        <v>900</v>
      </c>
    </row>
    <row r="474" spans="1:25" x14ac:dyDescent="0.25">
      <c r="A474" s="36" t="s">
        <v>1002</v>
      </c>
      <c r="B474" s="171" t="s">
        <v>1003</v>
      </c>
      <c r="C474" s="171" t="s">
        <v>2039</v>
      </c>
      <c r="D474" s="172" t="s">
        <v>1631</v>
      </c>
      <c r="E474" s="172" t="s">
        <v>1631</v>
      </c>
      <c r="F474" s="172" t="s">
        <v>1631</v>
      </c>
      <c r="G474" s="172" t="s">
        <v>1631</v>
      </c>
      <c r="H474" s="172" t="s">
        <v>1631</v>
      </c>
      <c r="I474" s="172" t="s">
        <v>1631</v>
      </c>
      <c r="J474" s="36">
        <v>0</v>
      </c>
      <c r="K474" s="58">
        <v>1500</v>
      </c>
      <c r="L474" s="58"/>
      <c r="M474" s="22">
        <f>IFERROR((VLOOKUP(A474,'Current Stocks July-26'!$B:$K,10,0)),0)</f>
        <v>0</v>
      </c>
      <c r="N474" s="22">
        <f t="shared" si="56"/>
        <v>0</v>
      </c>
      <c r="O474" s="22" t="str">
        <f t="shared" si="57"/>
        <v>ORDER NOW</v>
      </c>
      <c r="P474" s="22" t="str">
        <f t="shared" si="58"/>
        <v>CRITICAL</v>
      </c>
      <c r="Q474" s="58">
        <f t="shared" si="59"/>
        <v>500</v>
      </c>
      <c r="R474" s="58">
        <f t="shared" si="60"/>
        <v>2000</v>
      </c>
      <c r="S474" s="58">
        <f t="shared" si="61"/>
        <v>2000</v>
      </c>
      <c r="T474" s="5">
        <v>7</v>
      </c>
      <c r="U474" s="5" t="s">
        <v>30</v>
      </c>
      <c r="V474" s="173">
        <f>VLOOKUP(A474,'[1]Final-Short'!$B:$AE,29,0)</f>
        <v>7.0000000000000007E-2</v>
      </c>
      <c r="W474" s="171" t="s">
        <v>1795</v>
      </c>
      <c r="X474" s="58">
        <f t="shared" si="62"/>
        <v>140</v>
      </c>
      <c r="Y474" s="58">
        <f t="shared" si="63"/>
        <v>105.00000000000001</v>
      </c>
    </row>
    <row r="475" spans="1:25" x14ac:dyDescent="0.25">
      <c r="A475" s="36" t="s">
        <v>884</v>
      </c>
      <c r="B475" s="171" t="s">
        <v>885</v>
      </c>
      <c r="C475" s="171" t="s">
        <v>885</v>
      </c>
      <c r="D475" s="172" t="s">
        <v>1631</v>
      </c>
      <c r="E475" s="172" t="s">
        <v>1631</v>
      </c>
      <c r="F475" s="172" t="s">
        <v>1631</v>
      </c>
      <c r="G475" s="172" t="s">
        <v>1631</v>
      </c>
      <c r="H475" s="172" t="s">
        <v>1631</v>
      </c>
      <c r="I475" s="172" t="s">
        <v>5062</v>
      </c>
      <c r="J475" s="36">
        <v>1</v>
      </c>
      <c r="K475" s="58">
        <v>3500</v>
      </c>
      <c r="L475" s="58"/>
      <c r="M475" s="22">
        <f>IFERROR((VLOOKUP(A475,'Current Stocks July-26'!$B:$K,10,0)),0)</f>
        <v>0</v>
      </c>
      <c r="N475" s="22">
        <f t="shared" si="56"/>
        <v>0</v>
      </c>
      <c r="O475" s="22" t="str">
        <f t="shared" si="57"/>
        <v>ORDER NOW</v>
      </c>
      <c r="P475" s="22" t="str">
        <f t="shared" si="58"/>
        <v>CRITICAL</v>
      </c>
      <c r="Q475" s="58">
        <f t="shared" si="59"/>
        <v>1166.6666666666665</v>
      </c>
      <c r="R475" s="58">
        <f t="shared" si="60"/>
        <v>4666.6666666666661</v>
      </c>
      <c r="S475" s="58">
        <f t="shared" si="61"/>
        <v>4666.6666666666661</v>
      </c>
      <c r="T475" s="5">
        <v>7</v>
      </c>
      <c r="U475" s="5" t="s">
        <v>30</v>
      </c>
      <c r="V475" s="173">
        <f>VLOOKUP(A475,'[1]Final-Short'!$B:$AE,29,0)</f>
        <v>0.09</v>
      </c>
      <c r="W475" s="171" t="s">
        <v>1795</v>
      </c>
      <c r="X475" s="58">
        <f t="shared" si="62"/>
        <v>419.99999999999994</v>
      </c>
      <c r="Y475" s="58">
        <f t="shared" si="63"/>
        <v>315</v>
      </c>
    </row>
    <row r="476" spans="1:25" x14ac:dyDescent="0.25">
      <c r="A476" s="36" t="s">
        <v>214</v>
      </c>
      <c r="B476" s="171" t="s">
        <v>215</v>
      </c>
      <c r="C476" s="171" t="s">
        <v>215</v>
      </c>
      <c r="D476" s="172" t="s">
        <v>1631</v>
      </c>
      <c r="E476" s="172" t="s">
        <v>1631</v>
      </c>
      <c r="F476" s="172" t="s">
        <v>1631</v>
      </c>
      <c r="G476" s="172" t="s">
        <v>1631</v>
      </c>
      <c r="H476" s="172" t="s">
        <v>1631</v>
      </c>
      <c r="I476" s="172" t="s">
        <v>5062</v>
      </c>
      <c r="J476" s="36">
        <v>1</v>
      </c>
      <c r="K476" s="180">
        <v>1000</v>
      </c>
      <c r="L476" s="180"/>
      <c r="M476" s="22">
        <f>IFERROR((VLOOKUP(A476,'Current Stocks July-26'!$B:$K,10,0)),0)</f>
        <v>11400</v>
      </c>
      <c r="N476" s="22">
        <f t="shared" si="56"/>
        <v>342</v>
      </c>
      <c r="O476" s="22" t="str">
        <f t="shared" si="57"/>
        <v>IN STOCK</v>
      </c>
      <c r="P476" s="22" t="str">
        <f t="shared" si="58"/>
        <v>FOLLOW UP DELIVERY</v>
      </c>
      <c r="Q476" s="58">
        <f t="shared" si="59"/>
        <v>766.66666666666674</v>
      </c>
      <c r="R476" s="58">
        <f t="shared" si="60"/>
        <v>1766.6666666666667</v>
      </c>
      <c r="S476" s="58">
        <f t="shared" si="61"/>
        <v>0</v>
      </c>
      <c r="T476" s="5">
        <v>20</v>
      </c>
      <c r="U476" s="5" t="s">
        <v>30</v>
      </c>
      <c r="V476" s="173">
        <f>VLOOKUP(A476,'[1]Final-Short'!$B:$AE,29,0)</f>
        <v>3</v>
      </c>
      <c r="W476" s="171" t="s">
        <v>2040</v>
      </c>
      <c r="X476" s="58">
        <f t="shared" si="62"/>
        <v>0</v>
      </c>
      <c r="Y476" s="58">
        <f t="shared" si="63"/>
        <v>3000</v>
      </c>
    </row>
    <row r="477" spans="1:25" x14ac:dyDescent="0.25">
      <c r="A477" s="36" t="s">
        <v>1606</v>
      </c>
      <c r="B477" s="171" t="s">
        <v>1607</v>
      </c>
      <c r="C477" s="171" t="s">
        <v>2041</v>
      </c>
      <c r="D477" s="172" t="s">
        <v>1631</v>
      </c>
      <c r="E477" s="172" t="s">
        <v>1631</v>
      </c>
      <c r="F477" s="172" t="s">
        <v>1631</v>
      </c>
      <c r="G477" s="172" t="s">
        <v>1631</v>
      </c>
      <c r="H477" s="172" t="s">
        <v>1631</v>
      </c>
      <c r="I477" s="172" t="s">
        <v>5062</v>
      </c>
      <c r="J477" s="36">
        <v>1</v>
      </c>
      <c r="K477" s="58">
        <v>800</v>
      </c>
      <c r="L477" s="58"/>
      <c r="M477" s="22">
        <f>IFERROR((VLOOKUP(A477,'Current Stocks July-26'!$B:$K,10,0)),0)</f>
        <v>0</v>
      </c>
      <c r="N477" s="22">
        <f t="shared" si="56"/>
        <v>0</v>
      </c>
      <c r="O477" s="22" t="str">
        <f t="shared" si="57"/>
        <v>ORDER NOW</v>
      </c>
      <c r="P477" s="22" t="str">
        <f t="shared" si="58"/>
        <v>CRITICAL</v>
      </c>
      <c r="Q477" s="58">
        <f t="shared" si="59"/>
        <v>613.33333333333337</v>
      </c>
      <c r="R477" s="58">
        <f t="shared" si="60"/>
        <v>1413.3333333333335</v>
      </c>
      <c r="S477" s="58">
        <f t="shared" si="61"/>
        <v>1413.3333333333335</v>
      </c>
      <c r="T477" s="5">
        <v>20</v>
      </c>
      <c r="U477" s="5" t="s">
        <v>1669</v>
      </c>
      <c r="V477" s="173">
        <f>VLOOKUP(A477,'[1]Final-Short'!$B:$AE,29,0)</f>
        <v>0.6</v>
      </c>
      <c r="W477" s="171" t="s">
        <v>1802</v>
      </c>
      <c r="X477" s="58">
        <f t="shared" si="62"/>
        <v>848.00000000000011</v>
      </c>
      <c r="Y477" s="58">
        <f t="shared" si="63"/>
        <v>480</v>
      </c>
    </row>
    <row r="478" spans="1:25" x14ac:dyDescent="0.25">
      <c r="A478" s="36" t="s">
        <v>209</v>
      </c>
      <c r="B478" s="171" t="s">
        <v>210</v>
      </c>
      <c r="C478" s="171" t="s">
        <v>210</v>
      </c>
      <c r="D478" s="172" t="s">
        <v>1631</v>
      </c>
      <c r="E478" s="172" t="s">
        <v>1631</v>
      </c>
      <c r="F478" s="172" t="s">
        <v>1631</v>
      </c>
      <c r="G478" s="172" t="s">
        <v>1631</v>
      </c>
      <c r="H478" s="172" t="s">
        <v>1631</v>
      </c>
      <c r="I478" s="172" t="s">
        <v>5062</v>
      </c>
      <c r="J478" s="36">
        <v>1</v>
      </c>
      <c r="K478" s="180">
        <v>1000</v>
      </c>
      <c r="L478" s="180"/>
      <c r="M478" s="22">
        <f>IFERROR((VLOOKUP(A478,'Current Stocks July-26'!$B:$K,10,0)),0)</f>
        <v>0</v>
      </c>
      <c r="N478" s="22">
        <f t="shared" si="56"/>
        <v>0</v>
      </c>
      <c r="O478" s="22" t="str">
        <f t="shared" si="57"/>
        <v>ORDER NOW</v>
      </c>
      <c r="P478" s="22" t="str">
        <f t="shared" si="58"/>
        <v>CRITICAL</v>
      </c>
      <c r="Q478" s="58">
        <f t="shared" si="59"/>
        <v>766.66666666666674</v>
      </c>
      <c r="R478" s="58">
        <f t="shared" si="60"/>
        <v>1766.6666666666667</v>
      </c>
      <c r="S478" s="58">
        <f t="shared" si="61"/>
        <v>1766.6666666666667</v>
      </c>
      <c r="T478" s="5">
        <v>20</v>
      </c>
      <c r="U478" s="5" t="s">
        <v>30</v>
      </c>
      <c r="V478" s="173">
        <f>VLOOKUP(A478,'[1]Final-Short'!$B:$AE,29,0)</f>
        <v>3</v>
      </c>
      <c r="W478" s="171" t="s">
        <v>2040</v>
      </c>
      <c r="X478" s="58">
        <f t="shared" si="62"/>
        <v>5300</v>
      </c>
      <c r="Y478" s="58">
        <f t="shared" si="63"/>
        <v>3000</v>
      </c>
    </row>
    <row r="479" spans="1:25" x14ac:dyDescent="0.25">
      <c r="A479" s="36" t="s">
        <v>217</v>
      </c>
      <c r="B479" s="171" t="s">
        <v>218</v>
      </c>
      <c r="C479" s="171" t="s">
        <v>218</v>
      </c>
      <c r="D479" s="172" t="s">
        <v>1631</v>
      </c>
      <c r="E479" s="172" t="s">
        <v>1631</v>
      </c>
      <c r="F479" s="172" t="s">
        <v>1631</v>
      </c>
      <c r="G479" s="172" t="s">
        <v>1631</v>
      </c>
      <c r="H479" s="172" t="s">
        <v>1631</v>
      </c>
      <c r="I479" s="172" t="s">
        <v>5062</v>
      </c>
      <c r="J479" s="36">
        <v>1</v>
      </c>
      <c r="K479" s="58">
        <v>20</v>
      </c>
      <c r="L479" s="58"/>
      <c r="M479" s="22">
        <f>IFERROR((VLOOKUP(A479,'Current Stocks July-26'!$B:$K,10,0)),0)</f>
        <v>42</v>
      </c>
      <c r="N479" s="22">
        <f t="shared" si="56"/>
        <v>63</v>
      </c>
      <c r="O479" s="22" t="str">
        <f t="shared" si="57"/>
        <v>IN STOCK</v>
      </c>
      <c r="P479" s="22" t="str">
        <f t="shared" si="58"/>
        <v>FOLLOW UP DELIVERY</v>
      </c>
      <c r="Q479" s="58">
        <f t="shared" si="59"/>
        <v>6.6666666666666661</v>
      </c>
      <c r="R479" s="58">
        <f t="shared" si="60"/>
        <v>26.666666666666664</v>
      </c>
      <c r="S479" s="58">
        <f t="shared" si="61"/>
        <v>0</v>
      </c>
      <c r="T479" s="5">
        <v>7</v>
      </c>
      <c r="U479" s="5" t="s">
        <v>1669</v>
      </c>
      <c r="V479" s="173">
        <f>VLOOKUP(A479,'[1]Final-Short'!$B:$AE,29,0)</f>
        <v>200</v>
      </c>
      <c r="W479" s="171" t="s">
        <v>2042</v>
      </c>
      <c r="X479" s="58">
        <f t="shared" si="62"/>
        <v>0</v>
      </c>
      <c r="Y479" s="58">
        <f t="shared" si="63"/>
        <v>4000</v>
      </c>
    </row>
    <row r="480" spans="1:25" x14ac:dyDescent="0.25">
      <c r="A480" s="36" t="s">
        <v>2043</v>
      </c>
      <c r="B480" s="171" t="s">
        <v>2044</v>
      </c>
      <c r="C480" s="171" t="s">
        <v>2044</v>
      </c>
      <c r="D480" s="172" t="s">
        <v>1631</v>
      </c>
      <c r="E480" s="172" t="s">
        <v>1631</v>
      </c>
      <c r="F480" s="172" t="s">
        <v>1631</v>
      </c>
      <c r="G480" s="172" t="s">
        <v>1631</v>
      </c>
      <c r="H480" s="172" t="s">
        <v>1631</v>
      </c>
      <c r="I480" s="172" t="s">
        <v>5062</v>
      </c>
      <c r="J480" s="36">
        <v>1</v>
      </c>
      <c r="K480" s="180">
        <v>1000</v>
      </c>
      <c r="L480" s="180"/>
      <c r="M480" s="22">
        <f>IFERROR((VLOOKUP(A480,'Current Stocks July-26'!$B:$K,10,0)),0)</f>
        <v>18000</v>
      </c>
      <c r="N480" s="22">
        <f t="shared" si="56"/>
        <v>540</v>
      </c>
      <c r="O480" s="22" t="str">
        <f t="shared" si="57"/>
        <v>IN STOCK</v>
      </c>
      <c r="P480" s="22" t="str">
        <f t="shared" si="58"/>
        <v>FOLLOW UP DELIVERY</v>
      </c>
      <c r="Q480" s="58">
        <f t="shared" si="59"/>
        <v>333.33333333333331</v>
      </c>
      <c r="R480" s="58">
        <f t="shared" si="60"/>
        <v>1333.3333333333333</v>
      </c>
      <c r="S480" s="58">
        <f t="shared" si="61"/>
        <v>0</v>
      </c>
      <c r="T480" s="5">
        <v>7</v>
      </c>
      <c r="U480" s="5" t="s">
        <v>30</v>
      </c>
      <c r="V480" s="173">
        <f>VLOOKUP(A480,'[1]Final-Short'!$B:$AE,29,0)</f>
        <v>0.47499999999999998</v>
      </c>
      <c r="W480" s="171" t="s">
        <v>1891</v>
      </c>
      <c r="X480" s="58">
        <f t="shared" si="62"/>
        <v>0</v>
      </c>
      <c r="Y480" s="58">
        <f t="shared" si="63"/>
        <v>475</v>
      </c>
    </row>
    <row r="481" spans="1:25" x14ac:dyDescent="0.25">
      <c r="A481" s="36" t="e">
        <v>#N/A</v>
      </c>
      <c r="B481" s="171" t="e">
        <v>#N/A</v>
      </c>
      <c r="C481" s="171" t="s">
        <v>2045</v>
      </c>
      <c r="D481" s="172" t="e">
        <v>#N/A</v>
      </c>
      <c r="E481" s="172" t="e">
        <v>#N/A</v>
      </c>
      <c r="F481" s="172" t="e">
        <v>#N/A</v>
      </c>
      <c r="G481" s="172" t="e">
        <v>#N/A</v>
      </c>
      <c r="H481" s="172" t="e">
        <v>#N/A</v>
      </c>
      <c r="I481" s="172" t="e">
        <v>#N/A</v>
      </c>
      <c r="J481" s="36">
        <v>0</v>
      </c>
      <c r="K481" s="180">
        <v>1000</v>
      </c>
      <c r="L481" s="180"/>
      <c r="M481" s="22">
        <f>IFERROR((VLOOKUP(A481,'Current Stocks July-26'!$B:$K,10,0)),0)</f>
        <v>0</v>
      </c>
      <c r="N481" s="22">
        <f t="shared" si="56"/>
        <v>0</v>
      </c>
      <c r="O481" s="22" t="str">
        <f t="shared" si="57"/>
        <v>ORDER NOW</v>
      </c>
      <c r="P481" s="22" t="str">
        <f t="shared" si="58"/>
        <v>CRITICAL</v>
      </c>
      <c r="Q481" s="58">
        <f t="shared" si="59"/>
        <v>766.66666666666674</v>
      </c>
      <c r="R481" s="58">
        <f t="shared" si="60"/>
        <v>1766.6666666666667</v>
      </c>
      <c r="S481" s="58">
        <f t="shared" si="61"/>
        <v>1766.6666666666667</v>
      </c>
      <c r="T481" s="5">
        <v>20</v>
      </c>
      <c r="U481" s="5" t="s">
        <v>1703</v>
      </c>
      <c r="V481" s="173" t="e">
        <f>VLOOKUP(A481,'[1]Final-Short'!$B:$AE,29,0)</f>
        <v>#N/A</v>
      </c>
      <c r="W481" s="171" t="s">
        <v>1802</v>
      </c>
      <c r="X481" s="58" t="e">
        <f t="shared" si="62"/>
        <v>#N/A</v>
      </c>
      <c r="Y481" s="58" t="e">
        <f t="shared" si="63"/>
        <v>#N/A</v>
      </c>
    </row>
    <row r="482" spans="1:25" x14ac:dyDescent="0.25">
      <c r="A482" s="36" t="s">
        <v>197</v>
      </c>
      <c r="B482" s="171" t="s">
        <v>198</v>
      </c>
      <c r="C482" s="171" t="s">
        <v>198</v>
      </c>
      <c r="D482" s="172" t="s">
        <v>1631</v>
      </c>
      <c r="E482" s="172" t="s">
        <v>1631</v>
      </c>
      <c r="F482" s="172" t="s">
        <v>1631</v>
      </c>
      <c r="G482" s="172" t="s">
        <v>1631</v>
      </c>
      <c r="H482" s="172" t="s">
        <v>1631</v>
      </c>
      <c r="I482" s="172" t="s">
        <v>5062</v>
      </c>
      <c r="J482" s="36">
        <v>1</v>
      </c>
      <c r="K482" s="58">
        <v>1000</v>
      </c>
      <c r="L482" s="58"/>
      <c r="M482" s="22">
        <f>IFERROR((VLOOKUP(A482,'Current Stocks July-26'!$B:$K,10,0)),0)</f>
        <v>0</v>
      </c>
      <c r="N482" s="22">
        <f t="shared" si="56"/>
        <v>0</v>
      </c>
      <c r="O482" s="22" t="str">
        <f t="shared" si="57"/>
        <v>ORDER NOW</v>
      </c>
      <c r="P482" s="22" t="str">
        <f t="shared" si="58"/>
        <v>CRITICAL</v>
      </c>
      <c r="Q482" s="58">
        <f t="shared" si="59"/>
        <v>766.66666666666674</v>
      </c>
      <c r="R482" s="58">
        <f t="shared" si="60"/>
        <v>1766.6666666666667</v>
      </c>
      <c r="S482" s="58">
        <f t="shared" si="61"/>
        <v>1766.6666666666667</v>
      </c>
      <c r="T482" s="5">
        <v>20</v>
      </c>
      <c r="U482" s="5" t="s">
        <v>1669</v>
      </c>
      <c r="V482" s="173">
        <f>VLOOKUP(A482,'[1]Final-Short'!$B:$AE,29,0)</f>
        <v>1.8</v>
      </c>
      <c r="W482" s="171" t="s">
        <v>1795</v>
      </c>
      <c r="X482" s="58">
        <f t="shared" si="62"/>
        <v>3180</v>
      </c>
      <c r="Y482" s="58">
        <f t="shared" si="63"/>
        <v>1800</v>
      </c>
    </row>
    <row r="483" spans="1:25" x14ac:dyDescent="0.25">
      <c r="A483" s="36" t="s">
        <v>1013</v>
      </c>
      <c r="B483" s="171" t="s">
        <v>1014</v>
      </c>
      <c r="C483" s="171" t="s">
        <v>1014</v>
      </c>
      <c r="D483" s="172" t="s">
        <v>1631</v>
      </c>
      <c r="E483" s="172" t="s">
        <v>1631</v>
      </c>
      <c r="F483" s="172" t="s">
        <v>1631</v>
      </c>
      <c r="G483" s="172" t="s">
        <v>1631</v>
      </c>
      <c r="H483" s="172" t="s">
        <v>1631</v>
      </c>
      <c r="I483" s="172" t="s">
        <v>5062</v>
      </c>
      <c r="J483" s="36">
        <v>1</v>
      </c>
      <c r="K483" s="180">
        <v>4000</v>
      </c>
      <c r="L483" s="180"/>
      <c r="M483" s="22">
        <f>IFERROR((VLOOKUP(A483,'Current Stocks July-26'!$B:$K,10,0)),0)</f>
        <v>0</v>
      </c>
      <c r="N483" s="22">
        <f t="shared" si="56"/>
        <v>0</v>
      </c>
      <c r="O483" s="22" t="str">
        <f t="shared" si="57"/>
        <v>ORDER NOW</v>
      </c>
      <c r="P483" s="22" t="str">
        <f t="shared" si="58"/>
        <v>CRITICAL</v>
      </c>
      <c r="Q483" s="58">
        <f t="shared" si="59"/>
        <v>3066.666666666667</v>
      </c>
      <c r="R483" s="58">
        <f t="shared" si="60"/>
        <v>7066.666666666667</v>
      </c>
      <c r="S483" s="58">
        <f t="shared" si="61"/>
        <v>7066.666666666667</v>
      </c>
      <c r="T483" s="5">
        <v>20</v>
      </c>
      <c r="U483" s="5" t="s">
        <v>1669</v>
      </c>
      <c r="V483" s="173">
        <f>VLOOKUP(A483,'[1]Final-Short'!$B:$AE,29,0)</f>
        <v>0.05</v>
      </c>
      <c r="W483" s="171" t="s">
        <v>1802</v>
      </c>
      <c r="X483" s="58">
        <f t="shared" si="62"/>
        <v>353.33333333333337</v>
      </c>
      <c r="Y483" s="58">
        <f t="shared" si="63"/>
        <v>200</v>
      </c>
    </row>
    <row r="484" spans="1:25" x14ac:dyDescent="0.25">
      <c r="A484" s="36" t="s">
        <v>1567</v>
      </c>
      <c r="B484" s="171" t="s">
        <v>1568</v>
      </c>
      <c r="C484" s="171" t="s">
        <v>2046</v>
      </c>
      <c r="D484" s="172" t="s">
        <v>1631</v>
      </c>
      <c r="E484" s="172" t="s">
        <v>1631</v>
      </c>
      <c r="F484" s="172" t="s">
        <v>1631</v>
      </c>
      <c r="G484" s="172" t="s">
        <v>1631</v>
      </c>
      <c r="H484" s="172" t="s">
        <v>1631</v>
      </c>
      <c r="I484" s="172" t="s">
        <v>1631</v>
      </c>
      <c r="J484" s="36">
        <v>0</v>
      </c>
      <c r="K484" s="180">
        <v>3500</v>
      </c>
      <c r="L484" s="180"/>
      <c r="M484" s="22">
        <f>IFERROR((VLOOKUP(A484,'Current Stocks July-26'!$B:$K,10,0)),0)</f>
        <v>186200</v>
      </c>
      <c r="N484" s="22">
        <f t="shared" si="56"/>
        <v>1596</v>
      </c>
      <c r="O484" s="22" t="str">
        <f t="shared" si="57"/>
        <v>IN STOCK</v>
      </c>
      <c r="P484" s="22" t="str">
        <f t="shared" si="58"/>
        <v>FOLLOW UP DELIVERY</v>
      </c>
      <c r="Q484" s="58">
        <f t="shared" si="59"/>
        <v>2683.3333333333335</v>
      </c>
      <c r="R484" s="58">
        <f t="shared" si="60"/>
        <v>6183.3333333333339</v>
      </c>
      <c r="S484" s="58">
        <f t="shared" si="61"/>
        <v>0</v>
      </c>
      <c r="T484" s="5">
        <v>20</v>
      </c>
      <c r="U484" s="5" t="s">
        <v>30</v>
      </c>
      <c r="V484" s="173">
        <f>VLOOKUP(A484,'[1]Final-Short'!$B:$AE,29,0)</f>
        <v>0</v>
      </c>
      <c r="W484" s="171" t="s">
        <v>1700</v>
      </c>
      <c r="X484" s="58">
        <f t="shared" si="62"/>
        <v>0</v>
      </c>
      <c r="Y484" s="58">
        <f t="shared" si="63"/>
        <v>0</v>
      </c>
    </row>
    <row r="485" spans="1:25" x14ac:dyDescent="0.25">
      <c r="A485" s="36" t="s">
        <v>1423</v>
      </c>
      <c r="B485" s="171" t="s">
        <v>1424</v>
      </c>
      <c r="C485" s="171" t="s">
        <v>1424</v>
      </c>
      <c r="D485" s="172" t="s">
        <v>1631</v>
      </c>
      <c r="E485" s="172" t="s">
        <v>1631</v>
      </c>
      <c r="F485" s="172" t="s">
        <v>1631</v>
      </c>
      <c r="G485" s="172" t="s">
        <v>1631</v>
      </c>
      <c r="H485" s="172" t="s">
        <v>1631</v>
      </c>
      <c r="I485" s="172" t="s">
        <v>5062</v>
      </c>
      <c r="J485" s="36">
        <v>1</v>
      </c>
      <c r="K485" s="58">
        <v>6200</v>
      </c>
      <c r="L485" s="58"/>
      <c r="M485" s="22">
        <f>IFERROR((VLOOKUP(A485,'Current Stocks July-26'!$B:$K,10,0)),0)</f>
        <v>0</v>
      </c>
      <c r="N485" s="22">
        <f t="shared" si="56"/>
        <v>0</v>
      </c>
      <c r="O485" s="22" t="str">
        <f t="shared" si="57"/>
        <v>ORDER NOW</v>
      </c>
      <c r="P485" s="22" t="str">
        <f t="shared" si="58"/>
        <v>CRITICAL</v>
      </c>
      <c r="Q485" s="58">
        <f t="shared" si="59"/>
        <v>2066.6666666666665</v>
      </c>
      <c r="R485" s="58">
        <f t="shared" si="60"/>
        <v>8266.6666666666661</v>
      </c>
      <c r="S485" s="58">
        <f t="shared" si="61"/>
        <v>8266.6666666666661</v>
      </c>
      <c r="T485" s="5">
        <v>7</v>
      </c>
      <c r="U485" s="5" t="s">
        <v>30</v>
      </c>
      <c r="V485" s="173">
        <f>VLOOKUP(A485,'[1]Final-Short'!$B:$AE,29,0)</f>
        <v>0.87324000000000002</v>
      </c>
      <c r="W485" s="171" t="s">
        <v>1769</v>
      </c>
      <c r="X485" s="58">
        <f t="shared" si="62"/>
        <v>7218.7839999999997</v>
      </c>
      <c r="Y485" s="58">
        <f t="shared" si="63"/>
        <v>5414.0879999999997</v>
      </c>
    </row>
    <row r="486" spans="1:25" x14ac:dyDescent="0.25">
      <c r="A486" s="36" t="s">
        <v>2047</v>
      </c>
      <c r="B486" s="171" t="s">
        <v>2048</v>
      </c>
      <c r="C486" s="171" t="s">
        <v>941</v>
      </c>
      <c r="D486" s="172" t="s">
        <v>1631</v>
      </c>
      <c r="E486" s="172" t="s">
        <v>1631</v>
      </c>
      <c r="F486" s="172" t="s">
        <v>1631</v>
      </c>
      <c r="G486" s="172" t="s">
        <v>1631</v>
      </c>
      <c r="H486" s="172" t="s">
        <v>1631</v>
      </c>
      <c r="I486" s="172" t="s">
        <v>1631</v>
      </c>
      <c r="J486" s="36">
        <v>0</v>
      </c>
      <c r="K486" s="180">
        <v>5000</v>
      </c>
      <c r="L486" s="180"/>
      <c r="M486" s="22">
        <f>IFERROR((VLOOKUP(A486,'Current Stocks July-26'!$B:$K,10,0)),0)</f>
        <v>0</v>
      </c>
      <c r="N486" s="22">
        <f t="shared" si="56"/>
        <v>0</v>
      </c>
      <c r="O486" s="22" t="str">
        <f t="shared" si="57"/>
        <v>ORDER NOW</v>
      </c>
      <c r="P486" s="22" t="str">
        <f t="shared" si="58"/>
        <v>CRITICAL</v>
      </c>
      <c r="Q486" s="58">
        <f t="shared" si="59"/>
        <v>1666.6666666666665</v>
      </c>
      <c r="R486" s="58">
        <f t="shared" si="60"/>
        <v>6666.6666666666661</v>
      </c>
      <c r="S486" s="58">
        <f t="shared" si="61"/>
        <v>6666.6666666666661</v>
      </c>
      <c r="T486" s="5">
        <v>7</v>
      </c>
      <c r="U486" s="5" t="s">
        <v>30</v>
      </c>
      <c r="V486" s="173">
        <f>VLOOKUP(A486,'[1]Final-Short'!$B:$AE,29,0)</f>
        <v>0.1</v>
      </c>
      <c r="W486" s="171" t="s">
        <v>2049</v>
      </c>
      <c r="X486" s="58">
        <f t="shared" si="62"/>
        <v>666.66666666666663</v>
      </c>
      <c r="Y486" s="58">
        <f t="shared" si="63"/>
        <v>500</v>
      </c>
    </row>
    <row r="487" spans="1:25" x14ac:dyDescent="0.25">
      <c r="A487" s="36" t="s">
        <v>1084</v>
      </c>
      <c r="B487" s="171" t="s">
        <v>1085</v>
      </c>
      <c r="C487" s="171" t="s">
        <v>1085</v>
      </c>
      <c r="D487" s="172" t="s">
        <v>1631</v>
      </c>
      <c r="E487" s="172" t="s">
        <v>1631</v>
      </c>
      <c r="F487" s="172" t="s">
        <v>1631</v>
      </c>
      <c r="G487" s="172" t="s">
        <v>1631</v>
      </c>
      <c r="H487" s="172" t="s">
        <v>1631</v>
      </c>
      <c r="I487" s="172" t="s">
        <v>5062</v>
      </c>
      <c r="J487" s="36">
        <v>1</v>
      </c>
      <c r="K487" s="180">
        <v>1000</v>
      </c>
      <c r="L487" s="180"/>
      <c r="M487" s="22">
        <f>IFERROR((VLOOKUP(A487,'Current Stocks July-26'!$B:$K,10,0)),0)</f>
        <v>14995</v>
      </c>
      <c r="N487" s="22">
        <f t="shared" si="56"/>
        <v>449.84999999999997</v>
      </c>
      <c r="O487" s="22" t="str">
        <f t="shared" si="57"/>
        <v>IN STOCK</v>
      </c>
      <c r="P487" s="22" t="str">
        <f t="shared" si="58"/>
        <v>FOLLOW UP DELIVERY</v>
      </c>
      <c r="Q487" s="58">
        <f t="shared" si="59"/>
        <v>566.66666666666663</v>
      </c>
      <c r="R487" s="58">
        <f t="shared" si="60"/>
        <v>1566.6666666666665</v>
      </c>
      <c r="S487" s="58">
        <f t="shared" si="61"/>
        <v>0</v>
      </c>
      <c r="T487" s="5">
        <v>14</v>
      </c>
      <c r="U487" s="5" t="s">
        <v>30</v>
      </c>
      <c r="V487" s="173">
        <f>VLOOKUP(A487,'[1]Final-Short'!$B:$AE,29,0)</f>
        <v>0.6</v>
      </c>
      <c r="W487" s="171" t="s">
        <v>1802</v>
      </c>
      <c r="X487" s="58">
        <f t="shared" si="62"/>
        <v>0</v>
      </c>
      <c r="Y487" s="58">
        <f t="shared" si="63"/>
        <v>600</v>
      </c>
    </row>
    <row r="488" spans="1:25" x14ac:dyDescent="0.25">
      <c r="A488" s="36" t="s">
        <v>1474</v>
      </c>
      <c r="B488" s="171" t="s">
        <v>1475</v>
      </c>
      <c r="C488" s="171" t="s">
        <v>1475</v>
      </c>
      <c r="D488" s="172" t="s">
        <v>1631</v>
      </c>
      <c r="E488" s="172" t="s">
        <v>1631</v>
      </c>
      <c r="F488" s="172" t="s">
        <v>1631</v>
      </c>
      <c r="G488" s="172" t="s">
        <v>1631</v>
      </c>
      <c r="H488" s="172" t="s">
        <v>1631</v>
      </c>
      <c r="I488" s="172" t="s">
        <v>5062</v>
      </c>
      <c r="J488" s="36">
        <v>1</v>
      </c>
      <c r="K488" s="180">
        <v>1000</v>
      </c>
      <c r="L488" s="180"/>
      <c r="M488" s="22">
        <f>IFERROR((VLOOKUP(A488,'Current Stocks July-26'!$B:$K,10,0)),0)</f>
        <v>4200</v>
      </c>
      <c r="N488" s="22">
        <f t="shared" si="56"/>
        <v>126</v>
      </c>
      <c r="O488" s="22" t="str">
        <f t="shared" si="57"/>
        <v>IN STOCK</v>
      </c>
      <c r="P488" s="22" t="str">
        <f t="shared" si="58"/>
        <v>FOLLOW UP DELIVERY</v>
      </c>
      <c r="Q488" s="58">
        <f t="shared" si="59"/>
        <v>566.66666666666663</v>
      </c>
      <c r="R488" s="58">
        <f t="shared" si="60"/>
        <v>1566.6666666666665</v>
      </c>
      <c r="S488" s="58">
        <f t="shared" si="61"/>
        <v>0</v>
      </c>
      <c r="T488" s="5">
        <v>14</v>
      </c>
      <c r="U488" s="5" t="s">
        <v>30</v>
      </c>
      <c r="V488" s="173">
        <f>VLOOKUP(A488,'[1]Final-Short'!$B:$AE,29,0)</f>
        <v>0.6</v>
      </c>
      <c r="W488" s="171" t="s">
        <v>1802</v>
      </c>
      <c r="X488" s="58">
        <f t="shared" si="62"/>
        <v>0</v>
      </c>
      <c r="Y488" s="58">
        <f t="shared" si="63"/>
        <v>600</v>
      </c>
    </row>
    <row r="489" spans="1:25" x14ac:dyDescent="0.25">
      <c r="A489" s="36" t="s">
        <v>2050</v>
      </c>
      <c r="B489" s="171" t="s">
        <v>2051</v>
      </c>
      <c r="C489" s="171" t="s">
        <v>2051</v>
      </c>
      <c r="D489" s="172" t="s">
        <v>1631</v>
      </c>
      <c r="E489" s="172" t="s">
        <v>1631</v>
      </c>
      <c r="F489" s="172" t="s">
        <v>1631</v>
      </c>
      <c r="G489" s="172" t="s">
        <v>1631</v>
      </c>
      <c r="H489" s="172" t="s">
        <v>1631</v>
      </c>
      <c r="I489" s="172" t="s">
        <v>5062</v>
      </c>
      <c r="J489" s="36">
        <v>1</v>
      </c>
      <c r="K489" s="180">
        <v>500</v>
      </c>
      <c r="L489" s="180"/>
      <c r="M489" s="22">
        <f>IFERROR((VLOOKUP(A489,'Current Stocks July-26'!$B:$K,10,0)),0)</f>
        <v>0</v>
      </c>
      <c r="N489" s="22">
        <f t="shared" si="56"/>
        <v>0</v>
      </c>
      <c r="O489" s="22" t="str">
        <f t="shared" si="57"/>
        <v>ORDER NOW</v>
      </c>
      <c r="P489" s="22" t="str">
        <f t="shared" si="58"/>
        <v>CRITICAL</v>
      </c>
      <c r="Q489" s="58">
        <f t="shared" si="59"/>
        <v>383.33333333333337</v>
      </c>
      <c r="R489" s="58">
        <f t="shared" si="60"/>
        <v>883.33333333333337</v>
      </c>
      <c r="S489" s="58">
        <f t="shared" si="61"/>
        <v>883.33333333333337</v>
      </c>
      <c r="T489" s="5">
        <v>20</v>
      </c>
      <c r="U489" s="5" t="s">
        <v>30</v>
      </c>
      <c r="V489" s="173">
        <f>VLOOKUP(A489,'[1]Final-Short'!$B:$AE,29,0)</f>
        <v>0.75</v>
      </c>
      <c r="W489" s="171" t="s">
        <v>2042</v>
      </c>
      <c r="X489" s="58">
        <f t="shared" si="62"/>
        <v>662.5</v>
      </c>
      <c r="Y489" s="58">
        <f t="shared" si="63"/>
        <v>375</v>
      </c>
    </row>
    <row r="490" spans="1:25" x14ac:dyDescent="0.25">
      <c r="A490" s="36" t="s">
        <v>774</v>
      </c>
      <c r="B490" s="171" t="s">
        <v>775</v>
      </c>
      <c r="C490" s="171" t="s">
        <v>775</v>
      </c>
      <c r="D490" s="172" t="s">
        <v>1631</v>
      </c>
      <c r="E490" s="172" t="s">
        <v>1631</v>
      </c>
      <c r="F490" s="172" t="s">
        <v>1631</v>
      </c>
      <c r="G490" s="172" t="s">
        <v>1631</v>
      </c>
      <c r="H490" s="172" t="s">
        <v>1631</v>
      </c>
      <c r="I490" s="172" t="s">
        <v>5062</v>
      </c>
      <c r="J490" s="36">
        <v>1</v>
      </c>
      <c r="K490" s="180">
        <v>15000</v>
      </c>
      <c r="L490" s="180"/>
      <c r="M490" s="22">
        <f>IFERROR((VLOOKUP(A490,'Current Stocks July-26'!$B:$K,10,0)),0)</f>
        <v>65600</v>
      </c>
      <c r="N490" s="22">
        <f t="shared" si="56"/>
        <v>131.19999999999999</v>
      </c>
      <c r="O490" s="22" t="str">
        <f t="shared" si="57"/>
        <v>IN STOCK</v>
      </c>
      <c r="P490" s="22" t="str">
        <f t="shared" si="58"/>
        <v>FOLLOW UP DELIVERY</v>
      </c>
      <c r="Q490" s="58">
        <f t="shared" si="59"/>
        <v>11500</v>
      </c>
      <c r="R490" s="58">
        <f t="shared" si="60"/>
        <v>26500</v>
      </c>
      <c r="S490" s="58">
        <f t="shared" si="61"/>
        <v>0</v>
      </c>
      <c r="T490" s="5">
        <v>20</v>
      </c>
      <c r="U490" s="5" t="s">
        <v>30</v>
      </c>
      <c r="V490" s="173">
        <f>VLOOKUP(A490,'[1]Final-Short'!$B:$AE,29,0)</f>
        <v>7.0000000000000007E-2</v>
      </c>
      <c r="W490" s="171" t="s">
        <v>1790</v>
      </c>
      <c r="X490" s="58">
        <f t="shared" si="62"/>
        <v>0</v>
      </c>
      <c r="Y490" s="58">
        <f t="shared" si="63"/>
        <v>1050</v>
      </c>
    </row>
    <row r="491" spans="1:25" x14ac:dyDescent="0.25">
      <c r="A491" s="36" t="s">
        <v>1117</v>
      </c>
      <c r="B491" s="171" t="s">
        <v>1118</v>
      </c>
      <c r="C491" s="171" t="s">
        <v>1118</v>
      </c>
      <c r="D491" s="172" t="s">
        <v>1631</v>
      </c>
      <c r="E491" s="172" t="s">
        <v>1631</v>
      </c>
      <c r="F491" s="172" t="s">
        <v>1631</v>
      </c>
      <c r="G491" s="172" t="s">
        <v>1631</v>
      </c>
      <c r="H491" s="172" t="s">
        <v>1631</v>
      </c>
      <c r="I491" s="172" t="s">
        <v>5062</v>
      </c>
      <c r="J491" s="36">
        <v>1</v>
      </c>
      <c r="K491" s="180">
        <v>40000</v>
      </c>
      <c r="L491" s="180"/>
      <c r="M491" s="22">
        <f>IFERROR((VLOOKUP(A491,'Current Stocks July-26'!$B:$K,10,0)),0)</f>
        <v>342000</v>
      </c>
      <c r="N491" s="22">
        <f t="shared" si="56"/>
        <v>256.5</v>
      </c>
      <c r="O491" s="22" t="str">
        <f t="shared" si="57"/>
        <v>IN STOCK</v>
      </c>
      <c r="P491" s="22" t="str">
        <f t="shared" si="58"/>
        <v>FOLLOW UP DELIVERY</v>
      </c>
      <c r="Q491" s="58">
        <f t="shared" si="59"/>
        <v>124000</v>
      </c>
      <c r="R491" s="58">
        <f t="shared" si="60"/>
        <v>164000</v>
      </c>
      <c r="S491" s="58">
        <f t="shared" si="61"/>
        <v>0</v>
      </c>
      <c r="T491" s="5">
        <v>90</v>
      </c>
      <c r="U491" s="5" t="s">
        <v>1669</v>
      </c>
      <c r="V491" s="173">
        <f>VLOOKUP(A491,'[1]Final-Short'!$B:$AE,29,0)</f>
        <v>1.0699999999999999E-2</v>
      </c>
      <c r="W491" s="171" t="s">
        <v>1803</v>
      </c>
      <c r="X491" s="58">
        <f t="shared" si="62"/>
        <v>0</v>
      </c>
      <c r="Y491" s="58">
        <f t="shared" si="63"/>
        <v>428</v>
      </c>
    </row>
    <row r="492" spans="1:25" x14ac:dyDescent="0.25">
      <c r="A492" s="36" t="s">
        <v>1371</v>
      </c>
      <c r="B492" s="171" t="s">
        <v>1372</v>
      </c>
      <c r="C492" s="171" t="s">
        <v>1372</v>
      </c>
      <c r="D492" s="172" t="s">
        <v>1631</v>
      </c>
      <c r="E492" s="172" t="s">
        <v>1631</v>
      </c>
      <c r="F492" s="172" t="s">
        <v>1631</v>
      </c>
      <c r="G492" s="172" t="s">
        <v>1631</v>
      </c>
      <c r="H492" s="172" t="s">
        <v>1631</v>
      </c>
      <c r="I492" s="172" t="s">
        <v>5062</v>
      </c>
      <c r="J492" s="36">
        <v>1</v>
      </c>
      <c r="K492" s="180">
        <v>3500</v>
      </c>
      <c r="L492" s="180"/>
      <c r="M492" s="22">
        <f>IFERROR((VLOOKUP(A492,'Current Stocks July-26'!$B:$K,10,0)),0)</f>
        <v>10495</v>
      </c>
      <c r="N492" s="22">
        <f t="shared" si="56"/>
        <v>89.957142857142856</v>
      </c>
      <c r="O492" s="22" t="str">
        <f t="shared" si="57"/>
        <v>IN STOCK</v>
      </c>
      <c r="P492" s="22" t="str">
        <f t="shared" si="58"/>
        <v>FOLLOW UP DELIVERY</v>
      </c>
      <c r="Q492" s="58">
        <f t="shared" si="59"/>
        <v>2683.3333333333335</v>
      </c>
      <c r="R492" s="58">
        <f t="shared" si="60"/>
        <v>6183.3333333333339</v>
      </c>
      <c r="S492" s="58">
        <f t="shared" si="61"/>
        <v>0</v>
      </c>
      <c r="T492" s="5">
        <v>20</v>
      </c>
      <c r="U492" s="5" t="s">
        <v>1669</v>
      </c>
      <c r="V492" s="173">
        <f>VLOOKUP(A492,'[1]Final-Short'!$B:$AE,29,0)</f>
        <v>0.1</v>
      </c>
      <c r="W492" s="171" t="s">
        <v>1802</v>
      </c>
      <c r="X492" s="58">
        <f t="shared" si="62"/>
        <v>0</v>
      </c>
      <c r="Y492" s="58">
        <f t="shared" si="63"/>
        <v>350</v>
      </c>
    </row>
    <row r="493" spans="1:25" x14ac:dyDescent="0.25">
      <c r="A493" s="36" t="s">
        <v>1339</v>
      </c>
      <c r="B493" s="171" t="s">
        <v>1340</v>
      </c>
      <c r="C493" s="171" t="s">
        <v>1340</v>
      </c>
      <c r="D493" s="172" t="s">
        <v>1631</v>
      </c>
      <c r="E493" s="172" t="s">
        <v>1631</v>
      </c>
      <c r="F493" s="172" t="s">
        <v>1631</v>
      </c>
      <c r="G493" s="172" t="s">
        <v>1631</v>
      </c>
      <c r="H493" s="172" t="s">
        <v>1631</v>
      </c>
      <c r="I493" s="172" t="s">
        <v>5062</v>
      </c>
      <c r="J493" s="36">
        <v>1</v>
      </c>
      <c r="K493" s="180">
        <v>2500</v>
      </c>
      <c r="L493" s="180"/>
      <c r="M493" s="22">
        <f>IFERROR((VLOOKUP(A493,'Current Stocks July-26'!$B:$K,10,0)),0)</f>
        <v>8495</v>
      </c>
      <c r="N493" s="22">
        <f t="shared" si="56"/>
        <v>101.94</v>
      </c>
      <c r="O493" s="22" t="str">
        <f t="shared" si="57"/>
        <v>IN STOCK</v>
      </c>
      <c r="P493" s="22" t="str">
        <f t="shared" si="58"/>
        <v>FOLLOW UP DELIVERY</v>
      </c>
      <c r="Q493" s="58">
        <f t="shared" si="59"/>
        <v>1916.6666666666667</v>
      </c>
      <c r="R493" s="58">
        <f t="shared" si="60"/>
        <v>4416.666666666667</v>
      </c>
      <c r="S493" s="58">
        <f t="shared" si="61"/>
        <v>0</v>
      </c>
      <c r="T493" s="5">
        <v>20</v>
      </c>
      <c r="U493" s="5" t="s">
        <v>1669</v>
      </c>
      <c r="V493" s="173">
        <f>VLOOKUP(A493,'[1]Final-Short'!$B:$AE,29,0)</f>
        <v>0.1</v>
      </c>
      <c r="W493" s="171" t="s">
        <v>1802</v>
      </c>
      <c r="X493" s="58">
        <f t="shared" si="62"/>
        <v>0</v>
      </c>
      <c r="Y493" s="58">
        <f t="shared" si="63"/>
        <v>250</v>
      </c>
    </row>
    <row r="494" spans="1:25" x14ac:dyDescent="0.25">
      <c r="A494" s="36" t="s">
        <v>1363</v>
      </c>
      <c r="B494" s="171" t="s">
        <v>1364</v>
      </c>
      <c r="C494" s="171" t="s">
        <v>1364</v>
      </c>
      <c r="D494" s="172" t="s">
        <v>1631</v>
      </c>
      <c r="E494" s="172" t="s">
        <v>1631</v>
      </c>
      <c r="F494" s="172" t="s">
        <v>1631</v>
      </c>
      <c r="G494" s="172" t="s">
        <v>1631</v>
      </c>
      <c r="H494" s="172" t="s">
        <v>1631</v>
      </c>
      <c r="I494" s="172" t="s">
        <v>5062</v>
      </c>
      <c r="J494" s="36">
        <v>1</v>
      </c>
      <c r="K494" s="180">
        <v>4000</v>
      </c>
      <c r="L494" s="180"/>
      <c r="M494" s="22">
        <f>IFERROR((VLOOKUP(A494,'Current Stocks July-26'!$B:$K,10,0)),0)</f>
        <v>4995</v>
      </c>
      <c r="N494" s="22">
        <f t="shared" si="56"/>
        <v>37.462499999999999</v>
      </c>
      <c r="O494" s="22" t="str">
        <f t="shared" si="57"/>
        <v>IN STOCK</v>
      </c>
      <c r="P494" s="22" t="str">
        <f t="shared" si="58"/>
        <v>FOLLOW UP DELIVERY</v>
      </c>
      <c r="Q494" s="58">
        <f t="shared" si="59"/>
        <v>3066.666666666667</v>
      </c>
      <c r="R494" s="58">
        <f t="shared" si="60"/>
        <v>7066.666666666667</v>
      </c>
      <c r="S494" s="58">
        <f t="shared" si="61"/>
        <v>2071.666666666667</v>
      </c>
      <c r="T494" s="5">
        <v>20</v>
      </c>
      <c r="U494" s="5" t="s">
        <v>30</v>
      </c>
      <c r="V494" s="173">
        <f>VLOOKUP(A494,'[1]Final-Short'!$B:$AE,29,0)</f>
        <v>0.1</v>
      </c>
      <c r="W494" s="171" t="s">
        <v>1802</v>
      </c>
      <c r="X494" s="58">
        <f t="shared" si="62"/>
        <v>207.16666666666671</v>
      </c>
      <c r="Y494" s="58">
        <f t="shared" si="63"/>
        <v>400</v>
      </c>
    </row>
    <row r="495" spans="1:25" x14ac:dyDescent="0.25">
      <c r="A495" s="36" t="s">
        <v>2052</v>
      </c>
      <c r="B495" s="171" t="s">
        <v>2053</v>
      </c>
      <c r="C495" s="171" t="s">
        <v>2053</v>
      </c>
      <c r="D495" s="172" t="s">
        <v>1631</v>
      </c>
      <c r="E495" s="172" t="s">
        <v>1631</v>
      </c>
      <c r="F495" s="172" t="s">
        <v>1631</v>
      </c>
      <c r="G495" s="172" t="s">
        <v>1631</v>
      </c>
      <c r="H495" s="172" t="s">
        <v>1631</v>
      </c>
      <c r="I495" s="172" t="s">
        <v>5062</v>
      </c>
      <c r="J495" s="36">
        <v>1</v>
      </c>
      <c r="K495" s="58">
        <v>3500</v>
      </c>
      <c r="L495" s="58"/>
      <c r="M495" s="22">
        <f>IFERROR((VLOOKUP(A495,'Current Stocks July-26'!$B:$K,10,0)),0)</f>
        <v>5000</v>
      </c>
      <c r="N495" s="22">
        <f t="shared" si="56"/>
        <v>42.857142857142861</v>
      </c>
      <c r="O495" s="22" t="str">
        <f t="shared" si="57"/>
        <v>IN STOCK</v>
      </c>
      <c r="P495" s="22" t="str">
        <f t="shared" si="58"/>
        <v>FOLLOW UP DELIVERY</v>
      </c>
      <c r="Q495" s="58">
        <f t="shared" si="59"/>
        <v>2683.3333333333335</v>
      </c>
      <c r="R495" s="58">
        <f t="shared" si="60"/>
        <v>6183.3333333333339</v>
      </c>
      <c r="S495" s="58">
        <f t="shared" si="61"/>
        <v>1183.3333333333339</v>
      </c>
      <c r="T495" s="5">
        <v>20</v>
      </c>
      <c r="U495" s="5" t="s">
        <v>30</v>
      </c>
      <c r="V495" s="173">
        <f>VLOOKUP(A495,'[1]Final-Short'!$B:$AE,29,0)</f>
        <v>0.28999999999999998</v>
      </c>
      <c r="W495" s="171" t="s">
        <v>2042</v>
      </c>
      <c r="X495" s="58">
        <f t="shared" si="62"/>
        <v>343.1666666666668</v>
      </c>
      <c r="Y495" s="58">
        <f t="shared" si="63"/>
        <v>1014.9999999999999</v>
      </c>
    </row>
    <row r="496" spans="1:25" x14ac:dyDescent="0.25">
      <c r="A496" s="36" t="s">
        <v>2054</v>
      </c>
      <c r="B496" s="171" t="s">
        <v>2055</v>
      </c>
      <c r="C496" s="171" t="s">
        <v>2055</v>
      </c>
      <c r="D496" s="172" t="s">
        <v>1631</v>
      </c>
      <c r="E496" s="172" t="s">
        <v>1631</v>
      </c>
      <c r="F496" s="172" t="s">
        <v>1631</v>
      </c>
      <c r="G496" s="172" t="s">
        <v>1631</v>
      </c>
      <c r="H496" s="172" t="s">
        <v>1631</v>
      </c>
      <c r="I496" s="172" t="s">
        <v>5062</v>
      </c>
      <c r="J496" s="36">
        <v>1</v>
      </c>
      <c r="K496" s="58">
        <v>3500</v>
      </c>
      <c r="L496" s="58"/>
      <c r="M496" s="22">
        <f>IFERROR((VLOOKUP(A496,'Current Stocks July-26'!$B:$K,10,0)),0)</f>
        <v>0</v>
      </c>
      <c r="N496" s="22">
        <f t="shared" si="56"/>
        <v>0</v>
      </c>
      <c r="O496" s="22" t="str">
        <f t="shared" si="57"/>
        <v>ORDER NOW</v>
      </c>
      <c r="P496" s="22" t="str">
        <f t="shared" si="58"/>
        <v>CRITICAL</v>
      </c>
      <c r="Q496" s="58">
        <f t="shared" si="59"/>
        <v>2683.3333333333335</v>
      </c>
      <c r="R496" s="58">
        <f t="shared" si="60"/>
        <v>6183.3333333333339</v>
      </c>
      <c r="S496" s="58">
        <f t="shared" si="61"/>
        <v>6183.3333333333339</v>
      </c>
      <c r="T496" s="5">
        <v>20</v>
      </c>
      <c r="U496" s="5" t="s">
        <v>30</v>
      </c>
      <c r="V496" s="173">
        <f>VLOOKUP(A496,'[1]Final-Short'!$B:$AE,29,0)</f>
        <v>0.28999999999999998</v>
      </c>
      <c r="W496" s="171" t="s">
        <v>2042</v>
      </c>
      <c r="X496" s="58">
        <f t="shared" si="62"/>
        <v>1793.1666666666667</v>
      </c>
      <c r="Y496" s="58">
        <f t="shared" si="63"/>
        <v>1014.9999999999999</v>
      </c>
    </row>
    <row r="497" spans="1:25" x14ac:dyDescent="0.25">
      <c r="A497" s="36" t="s">
        <v>956</v>
      </c>
      <c r="B497" s="171" t="s">
        <v>957</v>
      </c>
      <c r="C497" s="171" t="s">
        <v>2056</v>
      </c>
      <c r="D497" s="172" t="s">
        <v>1631</v>
      </c>
      <c r="E497" s="172" t="s">
        <v>1631</v>
      </c>
      <c r="F497" s="172" t="s">
        <v>1631</v>
      </c>
      <c r="G497" s="172" t="s">
        <v>1631</v>
      </c>
      <c r="H497" s="172" t="s">
        <v>1631</v>
      </c>
      <c r="I497" s="172" t="s">
        <v>5062</v>
      </c>
      <c r="J497" s="36">
        <v>1</v>
      </c>
      <c r="K497" s="58">
        <v>15000</v>
      </c>
      <c r="L497" s="58"/>
      <c r="M497" s="22">
        <f>IFERROR((VLOOKUP(A497,'Current Stocks July-26'!$B:$K,10,0)),0)</f>
        <v>75500</v>
      </c>
      <c r="N497" s="22">
        <f t="shared" si="56"/>
        <v>151</v>
      </c>
      <c r="O497" s="22" t="str">
        <f t="shared" si="57"/>
        <v>IN STOCK</v>
      </c>
      <c r="P497" s="22" t="str">
        <f t="shared" si="58"/>
        <v>FOLLOW UP DELIVERY</v>
      </c>
      <c r="Q497" s="58">
        <f t="shared" si="59"/>
        <v>11500</v>
      </c>
      <c r="R497" s="58">
        <f t="shared" si="60"/>
        <v>26500</v>
      </c>
      <c r="S497" s="58">
        <f t="shared" si="61"/>
        <v>0</v>
      </c>
      <c r="T497" s="5">
        <v>20</v>
      </c>
      <c r="U497" s="5" t="s">
        <v>30</v>
      </c>
      <c r="V497" s="173">
        <f>VLOOKUP(A497,'[1]Final-Short'!$B:$AE,29,0)</f>
        <v>0.26</v>
      </c>
      <c r="W497" s="171" t="s">
        <v>1790</v>
      </c>
      <c r="X497" s="58">
        <f t="shared" si="62"/>
        <v>0</v>
      </c>
      <c r="Y497" s="58">
        <f t="shared" si="63"/>
        <v>3900</v>
      </c>
    </row>
    <row r="498" spans="1:25" x14ac:dyDescent="0.25">
      <c r="A498" s="36" t="s">
        <v>974</v>
      </c>
      <c r="B498" s="171" t="s">
        <v>975</v>
      </c>
      <c r="C498" s="171" t="s">
        <v>2057</v>
      </c>
      <c r="D498" s="172" t="s">
        <v>1631</v>
      </c>
      <c r="E498" s="172" t="s">
        <v>1631</v>
      </c>
      <c r="F498" s="172" t="s">
        <v>1631</v>
      </c>
      <c r="G498" s="172" t="s">
        <v>1631</v>
      </c>
      <c r="H498" s="172" t="s">
        <v>1631</v>
      </c>
      <c r="I498" s="172" t="s">
        <v>5062</v>
      </c>
      <c r="J498" s="36">
        <v>1</v>
      </c>
      <c r="K498" s="58">
        <v>8000</v>
      </c>
      <c r="L498" s="58"/>
      <c r="M498" s="22">
        <f>IFERROR((VLOOKUP(A498,'Current Stocks July-26'!$B:$K,10,0)),0)</f>
        <v>39000</v>
      </c>
      <c r="N498" s="22">
        <f t="shared" si="56"/>
        <v>146.25</v>
      </c>
      <c r="O498" s="22" t="str">
        <f t="shared" si="57"/>
        <v>IN STOCK</v>
      </c>
      <c r="P498" s="22" t="str">
        <f t="shared" si="58"/>
        <v>FOLLOW UP DELIVERY</v>
      </c>
      <c r="Q498" s="58">
        <f t="shared" si="59"/>
        <v>6133.3333333333339</v>
      </c>
      <c r="R498" s="58">
        <f t="shared" si="60"/>
        <v>14133.333333333334</v>
      </c>
      <c r="S498" s="58">
        <f t="shared" si="61"/>
        <v>0</v>
      </c>
      <c r="T498" s="5">
        <v>20</v>
      </c>
      <c r="U498" s="5" t="s">
        <v>30</v>
      </c>
      <c r="V498" s="173">
        <f>VLOOKUP(A498,'[1]Final-Short'!$B:$AE,29,0)</f>
        <v>0.26</v>
      </c>
      <c r="W498" s="171" t="s">
        <v>1790</v>
      </c>
      <c r="X498" s="58">
        <f t="shared" si="62"/>
        <v>0</v>
      </c>
      <c r="Y498" s="58">
        <f t="shared" si="63"/>
        <v>2080</v>
      </c>
    </row>
    <row r="499" spans="1:25" x14ac:dyDescent="0.25">
      <c r="A499" s="36" t="s">
        <v>2058</v>
      </c>
      <c r="B499" s="171" t="s">
        <v>2059</v>
      </c>
      <c r="C499" s="171" t="s">
        <v>2060</v>
      </c>
      <c r="D499" s="172" t="s">
        <v>1631</v>
      </c>
      <c r="E499" s="172" t="s">
        <v>1631</v>
      </c>
      <c r="F499" s="172" t="s">
        <v>1631</v>
      </c>
      <c r="G499" s="172" t="s">
        <v>1631</v>
      </c>
      <c r="H499" s="172" t="s">
        <v>1631</v>
      </c>
      <c r="I499" s="172" t="s">
        <v>1631</v>
      </c>
      <c r="J499" s="36">
        <v>0</v>
      </c>
      <c r="K499" s="180">
        <v>10000</v>
      </c>
      <c r="L499" s="180"/>
      <c r="M499" s="22">
        <f>IFERROR((VLOOKUP(A499,'Current Stocks July-26'!$B:$K,10,0)),0)</f>
        <v>2000</v>
      </c>
      <c r="N499" s="22">
        <f t="shared" si="56"/>
        <v>6</v>
      </c>
      <c r="O499" s="22" t="str">
        <f t="shared" si="57"/>
        <v>ORDER NOW</v>
      </c>
      <c r="P499" s="22" t="str">
        <f t="shared" si="58"/>
        <v>CRITICAL</v>
      </c>
      <c r="Q499" s="58">
        <f t="shared" si="59"/>
        <v>3333.333333333333</v>
      </c>
      <c r="R499" s="58">
        <f t="shared" si="60"/>
        <v>13333.333333333332</v>
      </c>
      <c r="S499" s="58">
        <f t="shared" si="61"/>
        <v>11333.333333333332</v>
      </c>
      <c r="T499" s="5">
        <v>7</v>
      </c>
      <c r="U499" s="5" t="s">
        <v>1729</v>
      </c>
      <c r="V499" s="173">
        <f>VLOOKUP(A499,'[1]Final-Short'!$B:$AE,29,0)</f>
        <v>7.4999999999999997E-2</v>
      </c>
      <c r="W499" s="171" t="s">
        <v>2061</v>
      </c>
      <c r="X499" s="58">
        <f t="shared" si="62"/>
        <v>849.99999999999989</v>
      </c>
      <c r="Y499" s="58">
        <f t="shared" si="63"/>
        <v>750</v>
      </c>
    </row>
    <row r="500" spans="1:25" x14ac:dyDescent="0.25">
      <c r="A500" s="36" t="s">
        <v>357</v>
      </c>
      <c r="B500" s="171" t="s">
        <v>358</v>
      </c>
      <c r="C500" s="171" t="s">
        <v>358</v>
      </c>
      <c r="D500" s="172" t="s">
        <v>1631</v>
      </c>
      <c r="E500" s="172" t="s">
        <v>1631</v>
      </c>
      <c r="F500" s="172" t="s">
        <v>1631</v>
      </c>
      <c r="G500" s="172" t="s">
        <v>1631</v>
      </c>
      <c r="H500" s="172" t="s">
        <v>1631</v>
      </c>
      <c r="I500" s="172" t="s">
        <v>5062</v>
      </c>
      <c r="J500" s="36">
        <v>1</v>
      </c>
      <c r="K500" s="180">
        <v>10000</v>
      </c>
      <c r="L500" s="180"/>
      <c r="M500" s="22">
        <f>IFERROR((VLOOKUP(A500,'Current Stocks July-26'!$B:$K,10,0)),0)</f>
        <v>0</v>
      </c>
      <c r="N500" s="22">
        <f t="shared" si="56"/>
        <v>0</v>
      </c>
      <c r="O500" s="22" t="str">
        <f t="shared" si="57"/>
        <v>ORDER NOW</v>
      </c>
      <c r="P500" s="22" t="str">
        <f t="shared" si="58"/>
        <v>CRITICAL</v>
      </c>
      <c r="Q500" s="58">
        <f t="shared" si="59"/>
        <v>3333.333333333333</v>
      </c>
      <c r="R500" s="58">
        <f t="shared" si="60"/>
        <v>13333.333333333332</v>
      </c>
      <c r="S500" s="58">
        <f t="shared" si="61"/>
        <v>13333.333333333332</v>
      </c>
      <c r="T500" s="5">
        <v>7</v>
      </c>
      <c r="U500" s="5" t="s">
        <v>30</v>
      </c>
      <c r="V500" s="173">
        <f>VLOOKUP(A500,'[1]Final-Short'!$B:$AE,29,0)</f>
        <v>7.4999999999999997E-2</v>
      </c>
      <c r="W500" s="171" t="s">
        <v>1757</v>
      </c>
      <c r="X500" s="58">
        <f t="shared" si="62"/>
        <v>999.99999999999989</v>
      </c>
      <c r="Y500" s="58">
        <f t="shared" si="63"/>
        <v>750</v>
      </c>
    </row>
    <row r="501" spans="1:25" x14ac:dyDescent="0.25">
      <c r="A501" s="36" t="s">
        <v>646</v>
      </c>
      <c r="B501" s="171" t="s">
        <v>647</v>
      </c>
      <c r="C501" s="171" t="s">
        <v>647</v>
      </c>
      <c r="D501" s="172" t="s">
        <v>1631</v>
      </c>
      <c r="E501" s="172" t="s">
        <v>1631</v>
      </c>
      <c r="F501" s="172" t="s">
        <v>1631</v>
      </c>
      <c r="G501" s="172" t="s">
        <v>1631</v>
      </c>
      <c r="H501" s="172" t="s">
        <v>1631</v>
      </c>
      <c r="I501" s="172" t="s">
        <v>5062</v>
      </c>
      <c r="J501" s="36">
        <v>1</v>
      </c>
      <c r="K501" s="58">
        <v>10</v>
      </c>
      <c r="L501" s="22"/>
      <c r="M501" s="22">
        <f>IFERROR((VLOOKUP(A501,'Current Stocks July-26'!$B:$K,10,0)),0)</f>
        <v>0</v>
      </c>
      <c r="N501" s="22">
        <f t="shared" si="56"/>
        <v>0</v>
      </c>
      <c r="O501" s="22" t="str">
        <f t="shared" si="57"/>
        <v>ORDER NOW</v>
      </c>
      <c r="P501" s="22" t="str">
        <f t="shared" si="58"/>
        <v>CRITICAL</v>
      </c>
      <c r="Q501" s="58">
        <f t="shared" si="59"/>
        <v>5.6666666666666661</v>
      </c>
      <c r="R501" s="58">
        <f t="shared" si="60"/>
        <v>15.666666666666666</v>
      </c>
      <c r="S501" s="58">
        <f t="shared" si="61"/>
        <v>15.666666666666666</v>
      </c>
      <c r="T501" s="5">
        <v>14</v>
      </c>
      <c r="U501" s="5" t="s">
        <v>30</v>
      </c>
      <c r="V501" s="173">
        <f>VLOOKUP(A501,'[1]Final-Short'!$B:$AE,29,0)</f>
        <v>45</v>
      </c>
      <c r="W501" s="171" t="s">
        <v>2062</v>
      </c>
      <c r="X501" s="58">
        <f t="shared" si="62"/>
        <v>705</v>
      </c>
      <c r="Y501" s="58">
        <f t="shared" si="63"/>
        <v>450</v>
      </c>
    </row>
    <row r="502" spans="1:25" x14ac:dyDescent="0.25">
      <c r="A502" s="36" t="s">
        <v>1151</v>
      </c>
      <c r="B502" s="171" t="s">
        <v>1152</v>
      </c>
      <c r="C502" s="171" t="s">
        <v>1152</v>
      </c>
      <c r="D502" s="172" t="s">
        <v>1631</v>
      </c>
      <c r="E502" s="172" t="s">
        <v>1631</v>
      </c>
      <c r="F502" s="172" t="s">
        <v>1631</v>
      </c>
      <c r="G502" s="172" t="s">
        <v>5062</v>
      </c>
      <c r="H502" s="172" t="s">
        <v>1631</v>
      </c>
      <c r="I502" s="172" t="s">
        <v>5062</v>
      </c>
      <c r="J502" s="36">
        <v>2</v>
      </c>
      <c r="K502" s="58">
        <v>13500</v>
      </c>
      <c r="L502" s="58"/>
      <c r="M502" s="22">
        <f>IFERROR((VLOOKUP(A502,'Current Stocks July-26'!$B:$K,10,0)),0)</f>
        <v>7400</v>
      </c>
      <c r="N502" s="22">
        <f t="shared" si="56"/>
        <v>16.444444444444446</v>
      </c>
      <c r="O502" s="22" t="str">
        <f t="shared" si="57"/>
        <v>IN STOCK</v>
      </c>
      <c r="P502" s="22" t="str">
        <f t="shared" si="58"/>
        <v>FOLLOW UP DELIVERY</v>
      </c>
      <c r="Q502" s="58">
        <f t="shared" si="59"/>
        <v>4500</v>
      </c>
      <c r="R502" s="58">
        <f t="shared" si="60"/>
        <v>18000</v>
      </c>
      <c r="S502" s="58">
        <f t="shared" si="61"/>
        <v>10600</v>
      </c>
      <c r="T502" s="5">
        <v>7</v>
      </c>
      <c r="U502" s="5" t="s">
        <v>1669</v>
      </c>
      <c r="V502" s="173">
        <f>VLOOKUP(A502,'[1]Final-Short'!$B:$AE,29,0)</f>
        <v>0.86667000000000005</v>
      </c>
      <c r="W502" s="171" t="s">
        <v>1976</v>
      </c>
      <c r="X502" s="58">
        <f t="shared" si="62"/>
        <v>9186.7020000000011</v>
      </c>
      <c r="Y502" s="58">
        <f t="shared" si="63"/>
        <v>11700.045</v>
      </c>
    </row>
    <row r="503" spans="1:25" x14ac:dyDescent="0.25">
      <c r="A503" s="36" t="s">
        <v>2063</v>
      </c>
      <c r="B503" s="171" t="s">
        <v>2064</v>
      </c>
      <c r="C503" s="171" t="s">
        <v>2064</v>
      </c>
      <c r="D503" s="172" t="s">
        <v>1631</v>
      </c>
      <c r="E503" s="172" t="s">
        <v>1631</v>
      </c>
      <c r="F503" s="172" t="s">
        <v>1631</v>
      </c>
      <c r="G503" s="172" t="s">
        <v>1631</v>
      </c>
      <c r="H503" s="172" t="s">
        <v>1631</v>
      </c>
      <c r="I503" s="172" t="s">
        <v>5062</v>
      </c>
      <c r="J503" s="36">
        <v>1</v>
      </c>
      <c r="K503" s="58">
        <v>90</v>
      </c>
      <c r="L503" s="58"/>
      <c r="M503" s="22">
        <f>IFERROR((VLOOKUP(A503,'Current Stocks July-26'!$B:$K,10,0)),0)</f>
        <v>0</v>
      </c>
      <c r="N503" s="22">
        <f t="shared" si="56"/>
        <v>0</v>
      </c>
      <c r="O503" s="22" t="str">
        <f t="shared" si="57"/>
        <v>ORDER NOW</v>
      </c>
      <c r="P503" s="22" t="str">
        <f t="shared" si="58"/>
        <v>CRITICAL</v>
      </c>
      <c r="Q503" s="58">
        <f t="shared" si="59"/>
        <v>30</v>
      </c>
      <c r="R503" s="58">
        <f t="shared" si="60"/>
        <v>120</v>
      </c>
      <c r="S503" s="58">
        <f t="shared" si="61"/>
        <v>120</v>
      </c>
      <c r="T503" s="5">
        <v>7</v>
      </c>
      <c r="U503" s="5" t="s">
        <v>30</v>
      </c>
      <c r="V503" s="173">
        <f>VLOOKUP(A503,'[1]Final-Short'!$B:$AE,29,0)</f>
        <v>3.5</v>
      </c>
      <c r="W503" s="171" t="s">
        <v>1715</v>
      </c>
      <c r="X503" s="58">
        <f t="shared" si="62"/>
        <v>420</v>
      </c>
      <c r="Y503" s="58">
        <f t="shared" si="63"/>
        <v>315</v>
      </c>
    </row>
    <row r="504" spans="1:25" x14ac:dyDescent="0.25">
      <c r="A504" s="6" t="s">
        <v>2065</v>
      </c>
      <c r="B504" s="171" t="s">
        <v>2066</v>
      </c>
      <c r="C504" s="171"/>
      <c r="D504" s="172"/>
      <c r="E504" s="172"/>
      <c r="F504" s="172"/>
      <c r="G504" s="172"/>
      <c r="H504" s="172"/>
      <c r="I504" s="172"/>
      <c r="J504" s="36"/>
      <c r="K504" s="58">
        <v>40000</v>
      </c>
      <c r="L504" s="58"/>
      <c r="M504" s="22">
        <f>IFERROR((VLOOKUP(A504,'Current Stocks July-26'!$B:$K,10,0)),0)</f>
        <v>60000</v>
      </c>
      <c r="N504" s="22">
        <f t="shared" si="56"/>
        <v>45</v>
      </c>
      <c r="O504" s="22" t="str">
        <f t="shared" si="57"/>
        <v>IN STOCK</v>
      </c>
      <c r="P504" s="22" t="str">
        <f t="shared" si="58"/>
        <v>FOLLOW UP DELIVERY</v>
      </c>
      <c r="Q504" s="58">
        <f t="shared" si="59"/>
        <v>14666.666666666666</v>
      </c>
      <c r="R504" s="58">
        <f t="shared" si="60"/>
        <v>54666.666666666664</v>
      </c>
      <c r="S504" s="58">
        <f t="shared" si="61"/>
        <v>0</v>
      </c>
      <c r="T504" s="5">
        <v>8</v>
      </c>
      <c r="U504" s="5" t="s">
        <v>30</v>
      </c>
      <c r="V504" s="173">
        <f>VLOOKUP(A504,'[1]Final-Short'!$B:$AE,29,0)</f>
        <v>0.68</v>
      </c>
      <c r="W504" s="171" t="s">
        <v>2021</v>
      </c>
      <c r="X504" s="58">
        <f t="shared" si="62"/>
        <v>0</v>
      </c>
      <c r="Y504" s="58">
        <f t="shared" si="63"/>
        <v>27200.000000000004</v>
      </c>
    </row>
    <row r="505" spans="1:25" x14ac:dyDescent="0.25">
      <c r="A505" s="6" t="s">
        <v>2067</v>
      </c>
      <c r="B505" s="171" t="s">
        <v>2068</v>
      </c>
      <c r="C505" s="171"/>
      <c r="D505" s="172"/>
      <c r="E505" s="172"/>
      <c r="F505" s="172"/>
      <c r="G505" s="172"/>
      <c r="H505" s="172"/>
      <c r="I505" s="172"/>
      <c r="J505" s="36"/>
      <c r="K505" s="180">
        <v>5000</v>
      </c>
      <c r="L505" s="180"/>
      <c r="M505" s="22">
        <f>IFERROR((VLOOKUP(A505,'Current Stocks July-26'!$B:$K,10,0)),0)</f>
        <v>0</v>
      </c>
      <c r="N505" s="22">
        <f t="shared" si="56"/>
        <v>0</v>
      </c>
      <c r="O505" s="22" t="str">
        <f t="shared" si="57"/>
        <v>ORDER NOW</v>
      </c>
      <c r="P505" s="22" t="str">
        <f t="shared" si="58"/>
        <v>CRITICAL</v>
      </c>
      <c r="Q505" s="58">
        <f t="shared" si="59"/>
        <v>2833.3333333333335</v>
      </c>
      <c r="R505" s="58">
        <f t="shared" si="60"/>
        <v>7833.3333333333339</v>
      </c>
      <c r="S505" s="58">
        <f t="shared" si="61"/>
        <v>7833.3333333333339</v>
      </c>
      <c r="T505" s="5">
        <v>14</v>
      </c>
      <c r="U505" s="5" t="s">
        <v>30</v>
      </c>
      <c r="V505" s="173">
        <v>0.5</v>
      </c>
      <c r="W505" s="171" t="s">
        <v>1788</v>
      </c>
      <c r="X505" s="58">
        <f t="shared" si="62"/>
        <v>3916.666666666667</v>
      </c>
      <c r="Y505" s="58">
        <f t="shared" si="63"/>
        <v>2500</v>
      </c>
    </row>
    <row r="506" spans="1:25" x14ac:dyDescent="0.25">
      <c r="A506" s="36" t="s">
        <v>2069</v>
      </c>
      <c r="B506" s="171" t="s">
        <v>2070</v>
      </c>
      <c r="C506" s="171" t="s">
        <v>2070</v>
      </c>
      <c r="D506" s="172"/>
      <c r="E506" s="172"/>
      <c r="F506" s="172"/>
      <c r="G506" s="172"/>
      <c r="H506" s="172"/>
      <c r="I506" s="172"/>
      <c r="J506" s="36"/>
      <c r="K506" s="180">
        <v>3000</v>
      </c>
      <c r="L506" s="180"/>
      <c r="M506" s="22">
        <f>IFERROR((VLOOKUP(A506,'Current Stocks July-26'!$B:$K,10,0)),0)</f>
        <v>0</v>
      </c>
      <c r="N506" s="22"/>
      <c r="O506" s="22" t="str">
        <f t="shared" si="57"/>
        <v>ORDER NOW</v>
      </c>
      <c r="P506" s="22" t="str">
        <f t="shared" si="58"/>
        <v>CRITICAL</v>
      </c>
      <c r="Q506" s="58">
        <f t="shared" si="59"/>
        <v>1000</v>
      </c>
      <c r="R506" s="58">
        <f t="shared" si="60"/>
        <v>4000</v>
      </c>
      <c r="S506" s="58">
        <f t="shared" si="61"/>
        <v>4000</v>
      </c>
      <c r="T506" s="5">
        <v>7</v>
      </c>
      <c r="U506" s="5" t="s">
        <v>30</v>
      </c>
      <c r="V506" s="173">
        <f>VLOOKUP(A506,'[1]Final-Short'!$B:$AE,29,0)</f>
        <v>0.09</v>
      </c>
      <c r="W506" s="171" t="s">
        <v>1795</v>
      </c>
      <c r="X506" s="58">
        <f t="shared" si="62"/>
        <v>360</v>
      </c>
      <c r="Y506" s="58">
        <f t="shared" si="63"/>
        <v>270</v>
      </c>
    </row>
    <row r="507" spans="1:25" x14ac:dyDescent="0.25">
      <c r="A507" s="36" t="s">
        <v>981</v>
      </c>
      <c r="B507" s="182" t="s">
        <v>1804</v>
      </c>
      <c r="C507" s="182" t="s">
        <v>1804</v>
      </c>
      <c r="D507" s="172"/>
      <c r="E507" s="172"/>
      <c r="F507" s="172"/>
      <c r="G507" s="172"/>
      <c r="H507" s="172"/>
      <c r="I507" s="172"/>
      <c r="J507" s="36"/>
      <c r="K507" s="180">
        <v>5000</v>
      </c>
      <c r="L507" s="180"/>
      <c r="M507" s="22">
        <f>IFERROR((VLOOKUP(A507,'Current Stocks July-26'!$B:$K,10,0)),0)</f>
        <v>0</v>
      </c>
      <c r="N507" s="22"/>
      <c r="O507" s="22" t="str">
        <f t="shared" si="57"/>
        <v>ORDER NOW</v>
      </c>
      <c r="P507" s="22" t="str">
        <f t="shared" si="58"/>
        <v>CRITICAL</v>
      </c>
      <c r="Q507" s="58">
        <f t="shared" si="59"/>
        <v>2833.3333333333335</v>
      </c>
      <c r="R507" s="58">
        <f t="shared" si="60"/>
        <v>7833.3333333333339</v>
      </c>
      <c r="S507" s="58">
        <f t="shared" si="61"/>
        <v>7833.3333333333339</v>
      </c>
      <c r="T507" s="5">
        <v>14</v>
      </c>
      <c r="U507" s="5" t="s">
        <v>30</v>
      </c>
      <c r="V507" s="173">
        <f>VLOOKUP(A507,'[1]Final-Short'!$B:$AE,29,0)</f>
        <v>0.09</v>
      </c>
      <c r="W507" s="171" t="s">
        <v>1795</v>
      </c>
      <c r="X507" s="58">
        <f t="shared" si="62"/>
        <v>705</v>
      </c>
      <c r="Y507" s="58">
        <f t="shared" si="63"/>
        <v>450</v>
      </c>
    </row>
  </sheetData>
  <autoFilter ref="A1:Z507" xr:uid="{25C9E2F1-78F2-46B7-8A78-71FD7FB918AA}"/>
  <conditionalFormatting sqref="A461">
    <cfRule type="duplicateValues" dxfId="298" priority="3"/>
  </conditionalFormatting>
  <conditionalFormatting sqref="N2:N507">
    <cfRule type="cellIs" dxfId="297" priority="4" operator="lessThan">
      <formula>T2</formula>
    </cfRule>
  </conditionalFormatting>
  <conditionalFormatting sqref="O2:O507">
    <cfRule type="containsText" dxfId="296" priority="2" operator="containsText" text="order now">
      <formula>NOT(ISERROR(SEARCH("order now",O2)))</formula>
    </cfRule>
  </conditionalFormatting>
  <conditionalFormatting sqref="P2:P507">
    <cfRule type="containsText" dxfId="295" priority="1" operator="containsText" text="Critical">
      <formula>NOT(ISERROR(SEARCH("Critical",P2)))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E0B3-E834-4C0E-A737-6B93CA33FD2F}">
  <sheetPr codeName="Sheet8" filterMode="1">
    <tabColor rgb="FF92D050"/>
    <pageSetUpPr fitToPage="1"/>
  </sheetPr>
  <dimension ref="A1:O1280"/>
  <sheetViews>
    <sheetView zoomScale="60" zoomScaleNormal="60" workbookViewId="0">
      <pane xSplit="2" topLeftCell="C1" activePane="topRight" state="frozen"/>
      <selection pane="topRight" activeCell="K569" sqref="K569"/>
    </sheetView>
  </sheetViews>
  <sheetFormatPr defaultRowHeight="15" customHeight="1" x14ac:dyDescent="0.25"/>
  <cols>
    <col min="1" max="1" width="6.42578125" bestFit="1" customWidth="1"/>
    <col min="2" max="2" width="14.42578125" bestFit="1" customWidth="1"/>
    <col min="3" max="4" width="113.42578125" customWidth="1"/>
    <col min="5" max="5" width="16.42578125" customWidth="1"/>
    <col min="6" max="6" width="43" customWidth="1"/>
    <col min="7" max="7" width="19.42578125" customWidth="1"/>
    <col min="8" max="8" width="12.140625" customWidth="1"/>
    <col min="9" max="10" width="9.140625" customWidth="1"/>
    <col min="11" max="11" width="27.28515625" customWidth="1"/>
    <col min="12" max="12" width="26.5703125" hidden="1" customWidth="1"/>
  </cols>
  <sheetData>
    <row r="1" spans="1:12" x14ac:dyDescent="0.25">
      <c r="A1" s="1" t="s">
        <v>1651</v>
      </c>
      <c r="B1" s="1" t="s">
        <v>3</v>
      </c>
      <c r="C1" s="1" t="s">
        <v>2071</v>
      </c>
      <c r="D1" s="1" t="s">
        <v>2072</v>
      </c>
      <c r="E1" s="1" t="s">
        <v>2073</v>
      </c>
      <c r="F1" s="1" t="s">
        <v>2074</v>
      </c>
      <c r="G1" s="1" t="s">
        <v>2075</v>
      </c>
      <c r="H1" s="1" t="s">
        <v>2076</v>
      </c>
      <c r="I1" s="1" t="s">
        <v>2077</v>
      </c>
      <c r="J1" s="1" t="s">
        <v>2078</v>
      </c>
      <c r="K1" s="131" t="s">
        <v>2079</v>
      </c>
      <c r="L1" s="131" t="s">
        <v>2080</v>
      </c>
    </row>
    <row r="2" spans="1:12" hidden="1" x14ac:dyDescent="0.25">
      <c r="A2" s="7">
        <v>1</v>
      </c>
      <c r="B2" s="152" t="s">
        <v>323</v>
      </c>
      <c r="C2" s="153" t="s">
        <v>2081</v>
      </c>
      <c r="D2" s="153" t="s">
        <v>2082</v>
      </c>
      <c r="E2" s="153" t="s">
        <v>2083</v>
      </c>
      <c r="F2" s="6"/>
      <c r="G2" s="6"/>
      <c r="H2" s="85">
        <v>0</v>
      </c>
      <c r="I2" s="103">
        <f>IFERROR(VLOOKUP(B2,'July 2026-Recived'!$B$2:$H$1300,7,0),0)</f>
        <v>0</v>
      </c>
      <c r="J2" s="103">
        <f>IFERROR(VLOOKUP(B2,'July 2026- Dispatch'!$B$2:$H$1300,7,0),0)</f>
        <v>0</v>
      </c>
      <c r="K2" s="61">
        <f t="shared" ref="K2:K65" si="0">H2+I2-J2</f>
        <v>0</v>
      </c>
      <c r="L2" s="123">
        <v>0</v>
      </c>
    </row>
    <row r="3" spans="1:12" hidden="1" x14ac:dyDescent="0.25">
      <c r="A3" s="7">
        <v>2</v>
      </c>
      <c r="B3" s="152" t="s">
        <v>822</v>
      </c>
      <c r="C3" s="153" t="s">
        <v>2084</v>
      </c>
      <c r="D3" s="153" t="s">
        <v>2085</v>
      </c>
      <c r="E3" s="153" t="s">
        <v>2086</v>
      </c>
      <c r="F3" s="6"/>
      <c r="G3" s="6"/>
      <c r="H3" s="85">
        <v>17</v>
      </c>
      <c r="I3" s="103">
        <f>IFERROR(VLOOKUP(B3,'July 2026-Recived'!$B$2:$H$1300,7,0),0)</f>
        <v>0</v>
      </c>
      <c r="J3" s="103">
        <f>IFERROR(VLOOKUP(B3,'July 2026- Dispatch'!$B$2:$H$1300,7,0),0)</f>
        <v>0</v>
      </c>
      <c r="K3" s="61">
        <f t="shared" si="0"/>
        <v>17</v>
      </c>
      <c r="L3" s="123">
        <v>0</v>
      </c>
    </row>
    <row r="4" spans="1:12" hidden="1" x14ac:dyDescent="0.25">
      <c r="A4" s="7">
        <v>3</v>
      </c>
      <c r="B4" s="152" t="s">
        <v>317</v>
      </c>
      <c r="C4" s="153" t="s">
        <v>2087</v>
      </c>
      <c r="D4" s="153" t="s">
        <v>2088</v>
      </c>
      <c r="E4" s="153" t="s">
        <v>2083</v>
      </c>
      <c r="F4" s="6"/>
      <c r="G4" s="6"/>
      <c r="H4" s="85">
        <v>0</v>
      </c>
      <c r="I4" s="103">
        <f>IFERROR(VLOOKUP(B4,'July 2026-Recived'!$B$2:$H$1300,7,0),0)</f>
        <v>0</v>
      </c>
      <c r="J4" s="103">
        <f>IFERROR(VLOOKUP(B4,'July 2026- Dispatch'!$B$2:$H$1300,7,0),0)</f>
        <v>0</v>
      </c>
      <c r="K4" s="61">
        <f t="shared" si="0"/>
        <v>0</v>
      </c>
      <c r="L4" s="123">
        <v>0</v>
      </c>
    </row>
    <row r="5" spans="1:12" hidden="1" x14ac:dyDescent="0.25">
      <c r="A5" s="7">
        <v>4</v>
      </c>
      <c r="B5" s="152" t="s">
        <v>311</v>
      </c>
      <c r="C5" s="153" t="s">
        <v>2089</v>
      </c>
      <c r="D5" s="153" t="s">
        <v>2090</v>
      </c>
      <c r="E5" s="153" t="s">
        <v>2083</v>
      </c>
      <c r="F5" s="6"/>
      <c r="G5" s="6"/>
      <c r="H5" s="85">
        <v>0</v>
      </c>
      <c r="I5" s="103">
        <f>IFERROR(VLOOKUP(B5,'July 2026-Recived'!$B$2:$H$1300,7,0),0)</f>
        <v>0</v>
      </c>
      <c r="J5" s="103">
        <f>IFERROR(VLOOKUP(B5,'July 2026- Dispatch'!$B$2:$H$1300,7,0),0)</f>
        <v>0</v>
      </c>
      <c r="K5" s="61">
        <f t="shared" si="0"/>
        <v>0</v>
      </c>
      <c r="L5" s="123">
        <v>0</v>
      </c>
    </row>
    <row r="6" spans="1:12" hidden="1" x14ac:dyDescent="0.25">
      <c r="A6" s="7">
        <v>5</v>
      </c>
      <c r="B6" s="152" t="s">
        <v>325</v>
      </c>
      <c r="C6" s="153" t="s">
        <v>2091</v>
      </c>
      <c r="D6" s="153" t="s">
        <v>2092</v>
      </c>
      <c r="E6" s="153" t="s">
        <v>2083</v>
      </c>
      <c r="F6" s="6"/>
      <c r="G6" s="6"/>
      <c r="H6" s="85">
        <v>0</v>
      </c>
      <c r="I6" s="103">
        <f>IFERROR(VLOOKUP(B6,'July 2026-Recived'!$B$2:$H$1300,7,0),0)</f>
        <v>0</v>
      </c>
      <c r="J6" s="103">
        <f>IFERROR(VLOOKUP(B6,'July 2026- Dispatch'!$B$2:$H$1300,7,0),0)</f>
        <v>0</v>
      </c>
      <c r="K6" s="61">
        <f t="shared" si="0"/>
        <v>0</v>
      </c>
      <c r="L6" s="123">
        <v>0</v>
      </c>
    </row>
    <row r="7" spans="1:12" hidden="1" x14ac:dyDescent="0.25">
      <c r="A7" s="7">
        <v>6</v>
      </c>
      <c r="B7" s="152" t="s">
        <v>309</v>
      </c>
      <c r="C7" s="153" t="s">
        <v>2093</v>
      </c>
      <c r="D7" s="153" t="s">
        <v>2094</v>
      </c>
      <c r="E7" s="153" t="s">
        <v>2083</v>
      </c>
      <c r="F7" s="6"/>
      <c r="G7" s="6"/>
      <c r="H7" s="85">
        <v>0</v>
      </c>
      <c r="I7" s="103">
        <f>IFERROR(VLOOKUP(B7,'July 2026-Recived'!$B$2:$H$1300,7,0),0)</f>
        <v>0</v>
      </c>
      <c r="J7" s="103">
        <f>IFERROR(VLOOKUP(B7,'July 2026- Dispatch'!$B$2:$H$1300,7,0),0)</f>
        <v>0</v>
      </c>
      <c r="K7" s="61">
        <f t="shared" si="0"/>
        <v>0</v>
      </c>
      <c r="L7" s="123">
        <v>0</v>
      </c>
    </row>
    <row r="8" spans="1:12" hidden="1" x14ac:dyDescent="0.25">
      <c r="A8" s="7">
        <v>7</v>
      </c>
      <c r="B8" s="152" t="s">
        <v>315</v>
      </c>
      <c r="C8" s="153" t="s">
        <v>2095</v>
      </c>
      <c r="D8" s="153" t="s">
        <v>2096</v>
      </c>
      <c r="E8" s="153" t="s">
        <v>2086</v>
      </c>
      <c r="F8" s="6"/>
      <c r="G8" s="6"/>
      <c r="H8" s="85">
        <v>18</v>
      </c>
      <c r="I8" s="103">
        <f>IFERROR(VLOOKUP(B8,'July 2026-Recived'!$B$2:$H$1300,7,0),0)</f>
        <v>0</v>
      </c>
      <c r="J8" s="103">
        <f>IFERROR(VLOOKUP(B8,'July 2026- Dispatch'!$B$2:$H$1300,7,0),0)</f>
        <v>0</v>
      </c>
      <c r="K8" s="61">
        <f t="shared" si="0"/>
        <v>18</v>
      </c>
      <c r="L8" s="123">
        <v>0</v>
      </c>
    </row>
    <row r="9" spans="1:12" hidden="1" x14ac:dyDescent="0.25">
      <c r="A9" s="7">
        <v>8</v>
      </c>
      <c r="B9" s="152" t="s">
        <v>327</v>
      </c>
      <c r="C9" s="153" t="s">
        <v>2097</v>
      </c>
      <c r="D9" s="153" t="s">
        <v>2098</v>
      </c>
      <c r="E9" s="153" t="s">
        <v>2083</v>
      </c>
      <c r="F9" s="6"/>
      <c r="G9" s="6"/>
      <c r="H9" s="85">
        <v>0</v>
      </c>
      <c r="I9" s="103">
        <f>IFERROR(VLOOKUP(B9,'July 2026-Recived'!$B$2:$H$1300,7,0),0)</f>
        <v>0</v>
      </c>
      <c r="J9" s="103">
        <f>IFERROR(VLOOKUP(B9,'July 2026- Dispatch'!$B$2:$H$1300,7,0),0)</f>
        <v>0</v>
      </c>
      <c r="K9" s="61">
        <f t="shared" si="0"/>
        <v>0</v>
      </c>
      <c r="L9" s="123">
        <v>0</v>
      </c>
    </row>
    <row r="10" spans="1:12" hidden="1" x14ac:dyDescent="0.25">
      <c r="A10" s="7">
        <v>9</v>
      </c>
      <c r="B10" s="152" t="s">
        <v>2099</v>
      </c>
      <c r="C10" s="153" t="s">
        <v>2100</v>
      </c>
      <c r="D10" s="153" t="s">
        <v>2101</v>
      </c>
      <c r="E10" s="153" t="s">
        <v>2083</v>
      </c>
      <c r="F10" s="6"/>
      <c r="G10" s="6"/>
      <c r="H10" s="85">
        <v>0</v>
      </c>
      <c r="I10" s="103">
        <f>IFERROR(VLOOKUP(B10,'July 2026-Recived'!$B$2:$H$1300,7,0),0)</f>
        <v>0</v>
      </c>
      <c r="J10" s="103">
        <f>IFERROR(VLOOKUP(B10,'July 2026- Dispatch'!$B$2:$H$1300,7,0),0)</f>
        <v>0</v>
      </c>
      <c r="K10" s="61">
        <f t="shared" si="0"/>
        <v>0</v>
      </c>
      <c r="L10" s="123">
        <v>0</v>
      </c>
    </row>
    <row r="11" spans="1:12" hidden="1" x14ac:dyDescent="0.25">
      <c r="A11" s="7">
        <v>10</v>
      </c>
      <c r="B11" s="152" t="s">
        <v>337</v>
      </c>
      <c r="C11" s="153" t="s">
        <v>2102</v>
      </c>
      <c r="D11" s="153" t="s">
        <v>2103</v>
      </c>
      <c r="E11" s="153" t="s">
        <v>2083</v>
      </c>
      <c r="F11" s="6"/>
      <c r="G11" s="6"/>
      <c r="H11" s="85">
        <v>0</v>
      </c>
      <c r="I11" s="103">
        <f>IFERROR(VLOOKUP(B11,'July 2026-Recived'!$B$2:$H$1300,7,0),0)</f>
        <v>0</v>
      </c>
      <c r="J11" s="103">
        <f>IFERROR(VLOOKUP(B11,'July 2026- Dispatch'!$B$2:$H$1300,7,0),0)</f>
        <v>0</v>
      </c>
      <c r="K11" s="61">
        <f t="shared" si="0"/>
        <v>0</v>
      </c>
      <c r="L11" s="123">
        <v>0</v>
      </c>
    </row>
    <row r="12" spans="1:12" hidden="1" x14ac:dyDescent="0.25">
      <c r="A12" s="7">
        <v>11</v>
      </c>
      <c r="B12" s="152" t="s">
        <v>2104</v>
      </c>
      <c r="C12" s="153" t="s">
        <v>2105</v>
      </c>
      <c r="D12" s="153" t="s">
        <v>2106</v>
      </c>
      <c r="E12" s="153" t="s">
        <v>2083</v>
      </c>
      <c r="F12" s="6"/>
      <c r="G12" s="6"/>
      <c r="H12" s="85">
        <v>0</v>
      </c>
      <c r="I12" s="103">
        <f>IFERROR(VLOOKUP(B12,'July 2026-Recived'!$B$2:$H$1300,7,0),0)</f>
        <v>0</v>
      </c>
      <c r="J12" s="103">
        <f>IFERROR(VLOOKUP(B12,'July 2026- Dispatch'!$B$2:$H$1300,7,0),0)</f>
        <v>0</v>
      </c>
      <c r="K12" s="61">
        <f t="shared" si="0"/>
        <v>0</v>
      </c>
      <c r="L12" s="123">
        <v>0</v>
      </c>
    </row>
    <row r="13" spans="1:12" hidden="1" x14ac:dyDescent="0.25">
      <c r="A13" s="7">
        <v>12</v>
      </c>
      <c r="B13" s="152" t="s">
        <v>857</v>
      </c>
      <c r="C13" s="153" t="s">
        <v>2107</v>
      </c>
      <c r="D13" s="153" t="s">
        <v>2108</v>
      </c>
      <c r="E13" s="153" t="s">
        <v>2086</v>
      </c>
      <c r="F13" s="6"/>
      <c r="G13" s="6"/>
      <c r="H13" s="85">
        <v>7332</v>
      </c>
      <c r="I13" s="103">
        <f>IFERROR(VLOOKUP(B13,'July 2026-Recived'!$B$2:$H$1300,7,0),0)</f>
        <v>1800</v>
      </c>
      <c r="J13" s="103">
        <f>IFERROR(VLOOKUP(B13,'July 2026- Dispatch'!$B$2:$H$1300,7,0),0)</f>
        <v>3618</v>
      </c>
      <c r="K13" s="61">
        <f t="shared" si="0"/>
        <v>5514</v>
      </c>
      <c r="L13" s="123">
        <v>0</v>
      </c>
    </row>
    <row r="14" spans="1:12" hidden="1" x14ac:dyDescent="0.25">
      <c r="A14" s="7">
        <v>13</v>
      </c>
      <c r="B14" s="152" t="s">
        <v>1070</v>
      </c>
      <c r="C14" s="153" t="s">
        <v>2109</v>
      </c>
      <c r="D14" s="153" t="s">
        <v>2110</v>
      </c>
      <c r="E14" s="153" t="s">
        <v>2111</v>
      </c>
      <c r="F14" s="6"/>
      <c r="G14" s="6"/>
      <c r="H14" s="85">
        <v>290</v>
      </c>
      <c r="I14" s="103">
        <f>IFERROR(VLOOKUP(B14,'July 2026-Recived'!$B$2:$H$1300,7,0),0)</f>
        <v>0</v>
      </c>
      <c r="J14" s="103">
        <f>IFERROR(VLOOKUP(B14,'July 2026- Dispatch'!$B$2:$H$1300,7,0),0)</f>
        <v>15</v>
      </c>
      <c r="K14" s="61">
        <f t="shared" si="0"/>
        <v>275</v>
      </c>
      <c r="L14" s="123">
        <v>0</v>
      </c>
    </row>
    <row r="15" spans="1:12" hidden="1" x14ac:dyDescent="0.25">
      <c r="A15" s="7">
        <v>14</v>
      </c>
      <c r="B15" s="152" t="s">
        <v>752</v>
      </c>
      <c r="C15" s="153" t="s">
        <v>2112</v>
      </c>
      <c r="D15" s="153" t="s">
        <v>2113</v>
      </c>
      <c r="E15" s="153" t="s">
        <v>2111</v>
      </c>
      <c r="F15" s="6"/>
      <c r="G15" s="6"/>
      <c r="H15" s="85">
        <v>207</v>
      </c>
      <c r="I15" s="103">
        <f>IFERROR(VLOOKUP(B15,'July 2026-Recived'!$B$2:$H$1300,7,0),0)</f>
        <v>0</v>
      </c>
      <c r="J15" s="103">
        <f>IFERROR(VLOOKUP(B15,'July 2026- Dispatch'!$B$2:$H$1300,7,0),0)</f>
        <v>207</v>
      </c>
      <c r="K15" s="61">
        <f t="shared" si="0"/>
        <v>0</v>
      </c>
      <c r="L15" s="123">
        <v>0</v>
      </c>
    </row>
    <row r="16" spans="1:12" hidden="1" x14ac:dyDescent="0.25">
      <c r="A16" s="7">
        <v>15</v>
      </c>
      <c r="B16" s="152" t="s">
        <v>1089</v>
      </c>
      <c r="C16" s="153" t="s">
        <v>2114</v>
      </c>
      <c r="D16" s="153" t="s">
        <v>2115</v>
      </c>
      <c r="E16" s="153" t="s">
        <v>2111</v>
      </c>
      <c r="F16" s="6"/>
      <c r="G16" s="6"/>
      <c r="H16" s="85">
        <v>64</v>
      </c>
      <c r="I16" s="103">
        <f>IFERROR(VLOOKUP(B16,'July 2026-Recived'!$B$2:$H$1300,7,0),0)</f>
        <v>0</v>
      </c>
      <c r="J16" s="103">
        <f>IFERROR(VLOOKUP(B16,'July 2026- Dispatch'!$B$2:$H$1300,7,0),0)</f>
        <v>64</v>
      </c>
      <c r="K16" s="61">
        <f t="shared" si="0"/>
        <v>0</v>
      </c>
      <c r="L16" s="123">
        <v>0</v>
      </c>
    </row>
    <row r="17" spans="1:15" hidden="1" x14ac:dyDescent="0.25">
      <c r="A17" s="7">
        <v>16</v>
      </c>
      <c r="B17" s="152" t="s">
        <v>757</v>
      </c>
      <c r="C17" s="153" t="s">
        <v>2116</v>
      </c>
      <c r="D17" s="153" t="s">
        <v>2117</v>
      </c>
      <c r="E17" s="153" t="s">
        <v>2111</v>
      </c>
      <c r="F17" s="6"/>
      <c r="G17" s="6"/>
      <c r="H17" s="85">
        <v>276</v>
      </c>
      <c r="I17" s="103">
        <f>IFERROR(VLOOKUP(B17,'July 2026-Recived'!$B$2:$H$1300,7,0),0)</f>
        <v>0</v>
      </c>
      <c r="J17" s="103">
        <f>IFERROR(VLOOKUP(B17,'July 2026- Dispatch'!$B$2:$H$1300,7,0),0)</f>
        <v>48</v>
      </c>
      <c r="K17" s="61">
        <f t="shared" si="0"/>
        <v>228</v>
      </c>
      <c r="L17" s="123">
        <v>0</v>
      </c>
    </row>
    <row r="18" spans="1:15" hidden="1" x14ac:dyDescent="0.25">
      <c r="A18" s="7">
        <v>17</v>
      </c>
      <c r="B18" s="152" t="s">
        <v>765</v>
      </c>
      <c r="C18" s="153" t="s">
        <v>2118</v>
      </c>
      <c r="D18" s="153" t="s">
        <v>2119</v>
      </c>
      <c r="E18" s="153" t="s">
        <v>2111</v>
      </c>
      <c r="F18" s="6"/>
      <c r="G18" s="6"/>
      <c r="H18" s="85">
        <v>2295</v>
      </c>
      <c r="I18" s="103">
        <f>IFERROR(VLOOKUP(B18,'July 2026-Recived'!$B$2:$H$1300,7,0),0)</f>
        <v>0</v>
      </c>
      <c r="J18" s="103">
        <f>IFERROR(VLOOKUP(B18,'July 2026- Dispatch'!$B$2:$H$1300,7,0),0)</f>
        <v>122</v>
      </c>
      <c r="K18" s="61">
        <f t="shared" si="0"/>
        <v>2173</v>
      </c>
      <c r="L18" s="123">
        <v>0</v>
      </c>
    </row>
    <row r="19" spans="1:15" hidden="1" x14ac:dyDescent="0.25">
      <c r="A19" s="7">
        <v>18</v>
      </c>
      <c r="B19" s="152" t="s">
        <v>711</v>
      </c>
      <c r="C19" s="153" t="s">
        <v>2120</v>
      </c>
      <c r="D19" s="153" t="s">
        <v>2121</v>
      </c>
      <c r="E19" s="153" t="s">
        <v>2111</v>
      </c>
      <c r="F19" s="6"/>
      <c r="G19" s="6"/>
      <c r="H19" s="85">
        <v>135</v>
      </c>
      <c r="I19" s="103">
        <f>IFERROR(VLOOKUP(B19,'July 2026-Recived'!$B$2:$H$1300,7,0),0)</f>
        <v>0</v>
      </c>
      <c r="J19" s="103">
        <f>IFERROR(VLOOKUP(B19,'July 2026- Dispatch'!$B$2:$H$1300,7,0),0)</f>
        <v>12</v>
      </c>
      <c r="K19" s="61">
        <f t="shared" si="0"/>
        <v>123</v>
      </c>
      <c r="L19" s="123">
        <v>0</v>
      </c>
    </row>
    <row r="20" spans="1:15" hidden="1" x14ac:dyDescent="0.25">
      <c r="A20" s="7">
        <v>19</v>
      </c>
      <c r="B20" s="152" t="s">
        <v>1509</v>
      </c>
      <c r="C20" s="153" t="s">
        <v>2122</v>
      </c>
      <c r="D20" s="153" t="s">
        <v>2123</v>
      </c>
      <c r="E20" s="153" t="s">
        <v>2111</v>
      </c>
      <c r="F20" s="6"/>
      <c r="G20" s="6"/>
      <c r="H20" s="85">
        <v>575</v>
      </c>
      <c r="I20" s="103">
        <f>IFERROR(VLOOKUP(B20,'July 2026-Recived'!$B$2:$H$1300,7,0),0)</f>
        <v>0</v>
      </c>
      <c r="J20" s="103">
        <f>IFERROR(VLOOKUP(B20,'July 2026- Dispatch'!$B$2:$H$1300,7,0),0)</f>
        <v>10</v>
      </c>
      <c r="K20" s="61">
        <f t="shared" si="0"/>
        <v>565</v>
      </c>
      <c r="L20" s="123">
        <v>0</v>
      </c>
    </row>
    <row r="21" spans="1:15" hidden="1" x14ac:dyDescent="0.25">
      <c r="A21" s="7">
        <v>20</v>
      </c>
      <c r="B21" s="152" t="s">
        <v>733</v>
      </c>
      <c r="C21" s="153" t="s">
        <v>2124</v>
      </c>
      <c r="D21" s="153" t="s">
        <v>2125</v>
      </c>
      <c r="E21" s="153" t="s">
        <v>2126</v>
      </c>
      <c r="F21" s="6"/>
      <c r="G21" s="6"/>
      <c r="H21" s="85">
        <v>0</v>
      </c>
      <c r="I21" s="103">
        <f>IFERROR(VLOOKUP(B21,'July 2026-Recived'!$B$2:$H$1300,7,0),0)</f>
        <v>0</v>
      </c>
      <c r="J21" s="103">
        <f>IFERROR(VLOOKUP(B21,'July 2026- Dispatch'!$B$2:$H$1300,7,0),0)</f>
        <v>0</v>
      </c>
      <c r="K21" s="61">
        <f t="shared" si="0"/>
        <v>0</v>
      </c>
      <c r="L21" s="123">
        <v>0</v>
      </c>
    </row>
    <row r="22" spans="1:15" hidden="1" x14ac:dyDescent="0.25">
      <c r="A22" s="7">
        <v>21</v>
      </c>
      <c r="B22" s="152" t="s">
        <v>969</v>
      </c>
      <c r="C22" s="153" t="s">
        <v>2127</v>
      </c>
      <c r="D22" s="153" t="s">
        <v>2128</v>
      </c>
      <c r="E22" s="153" t="s">
        <v>2086</v>
      </c>
      <c r="F22" s="6"/>
      <c r="G22" s="6"/>
      <c r="H22" s="85">
        <v>1260</v>
      </c>
      <c r="I22" s="103">
        <f>IFERROR(VLOOKUP(B22,'July 2026-Recived'!$B$2:$H$1300,7,0),0)</f>
        <v>0</v>
      </c>
      <c r="J22" s="103">
        <f>IFERROR(VLOOKUP(B22,'July 2026- Dispatch'!$B$2:$H$1300,7,0),0)</f>
        <v>1120</v>
      </c>
      <c r="K22" s="61">
        <f t="shared" si="0"/>
        <v>140</v>
      </c>
      <c r="L22" s="123">
        <v>0</v>
      </c>
    </row>
    <row r="23" spans="1:15" hidden="1" x14ac:dyDescent="0.25">
      <c r="A23" s="7">
        <v>22</v>
      </c>
      <c r="B23" s="152" t="s">
        <v>124</v>
      </c>
      <c r="C23" s="153" t="s">
        <v>2129</v>
      </c>
      <c r="D23" s="153" t="s">
        <v>2130</v>
      </c>
      <c r="E23" s="153" t="s">
        <v>2111</v>
      </c>
      <c r="F23" s="6"/>
      <c r="G23" s="6"/>
      <c r="H23" s="85">
        <v>43</v>
      </c>
      <c r="I23" s="103">
        <f>IFERROR(VLOOKUP(B23,'July 2026-Recived'!$B$2:$H$1300,7,0),0)</f>
        <v>0</v>
      </c>
      <c r="J23" s="103">
        <f>IFERROR(VLOOKUP(B23,'July 2026- Dispatch'!$B$2:$H$1300,7,0),0)</f>
        <v>38</v>
      </c>
      <c r="K23" s="61">
        <f t="shared" si="0"/>
        <v>5</v>
      </c>
      <c r="L23" s="123">
        <v>0</v>
      </c>
    </row>
    <row r="24" spans="1:15" hidden="1" x14ac:dyDescent="0.25">
      <c r="A24" s="7">
        <v>23</v>
      </c>
      <c r="B24" s="152" t="s">
        <v>1030</v>
      </c>
      <c r="C24" s="153" t="s">
        <v>2131</v>
      </c>
      <c r="D24" s="153" t="s">
        <v>2132</v>
      </c>
      <c r="E24" s="153" t="s">
        <v>2111</v>
      </c>
      <c r="F24" s="6"/>
      <c r="G24" s="6"/>
      <c r="H24" s="85">
        <v>298</v>
      </c>
      <c r="I24" s="103">
        <f>IFERROR(VLOOKUP(B24,'July 2026-Recived'!$B$2:$H$1300,7,0),0)</f>
        <v>0</v>
      </c>
      <c r="J24" s="103">
        <f>IFERROR(VLOOKUP(B24,'July 2026- Dispatch'!$B$2:$H$1300,7,0),0)</f>
        <v>45</v>
      </c>
      <c r="K24" s="61">
        <f t="shared" si="0"/>
        <v>253</v>
      </c>
      <c r="L24" s="123">
        <v>0</v>
      </c>
    </row>
    <row r="25" spans="1:15" hidden="1" x14ac:dyDescent="0.25">
      <c r="A25" s="7">
        <v>24</v>
      </c>
      <c r="B25" s="152" t="s">
        <v>709</v>
      </c>
      <c r="C25" s="153" t="s">
        <v>2133</v>
      </c>
      <c r="D25" s="153" t="s">
        <v>2134</v>
      </c>
      <c r="E25" s="153" t="s">
        <v>2135</v>
      </c>
      <c r="F25" s="6"/>
      <c r="G25" s="6"/>
      <c r="H25" s="85">
        <v>1110</v>
      </c>
      <c r="I25" s="103">
        <f>IFERROR(VLOOKUP(B25,'July 2026-Recived'!$B$2:$H$1300,7,0),0)</f>
        <v>200</v>
      </c>
      <c r="J25" s="103">
        <f>IFERROR(VLOOKUP(B25,'July 2026- Dispatch'!$B$2:$H$1300,7,0),0)</f>
        <v>1050</v>
      </c>
      <c r="K25" s="61">
        <f t="shared" si="0"/>
        <v>260</v>
      </c>
      <c r="L25" s="123">
        <v>0</v>
      </c>
    </row>
    <row r="26" spans="1:15" hidden="1" x14ac:dyDescent="0.25">
      <c r="A26" s="7">
        <v>25</v>
      </c>
      <c r="B26" s="152" t="s">
        <v>1318</v>
      </c>
      <c r="C26" s="153" t="s">
        <v>2136</v>
      </c>
      <c r="D26" s="153" t="s">
        <v>2137</v>
      </c>
      <c r="E26" s="153" t="s">
        <v>2086</v>
      </c>
      <c r="F26" s="6"/>
      <c r="G26" s="6"/>
      <c r="H26" s="85">
        <v>1980</v>
      </c>
      <c r="I26" s="103">
        <f>IFERROR(VLOOKUP(B26,'July 2026-Recived'!$B$2:$H$1300,7,0),0)</f>
        <v>0</v>
      </c>
      <c r="J26" s="103">
        <f>IFERROR(VLOOKUP(B26,'July 2026- Dispatch'!$B$2:$H$1300,7,0),0)</f>
        <v>0</v>
      </c>
      <c r="K26" s="61">
        <f t="shared" si="0"/>
        <v>1980</v>
      </c>
      <c r="L26" s="123">
        <v>0</v>
      </c>
    </row>
    <row r="27" spans="1:15" hidden="1" x14ac:dyDescent="0.25">
      <c r="A27" s="7">
        <v>26</v>
      </c>
      <c r="B27" s="152" t="s">
        <v>1193</v>
      </c>
      <c r="C27" s="153" t="s">
        <v>2138</v>
      </c>
      <c r="D27" s="153" t="s">
        <v>2139</v>
      </c>
      <c r="E27" s="153" t="s">
        <v>22</v>
      </c>
      <c r="F27" s="6"/>
      <c r="G27" s="6"/>
      <c r="H27" s="85">
        <v>5000</v>
      </c>
      <c r="I27" s="103">
        <f>IFERROR(VLOOKUP(B27,'July 2026-Recived'!$B$2:$H$1300,7,0),0)</f>
        <v>0</v>
      </c>
      <c r="J27" s="103">
        <f>IFERROR(VLOOKUP(B27,'July 2026- Dispatch'!$B$2:$H$1300,7,0),0)</f>
        <v>590</v>
      </c>
      <c r="K27" s="61">
        <f t="shared" si="0"/>
        <v>4410</v>
      </c>
      <c r="L27" s="123">
        <v>0</v>
      </c>
    </row>
    <row r="28" spans="1:15" hidden="1" x14ac:dyDescent="0.25">
      <c r="A28" s="7">
        <v>27</v>
      </c>
      <c r="B28" s="152" t="s">
        <v>782</v>
      </c>
      <c r="C28" s="153" t="s">
        <v>2140</v>
      </c>
      <c r="D28" s="153" t="s">
        <v>2141</v>
      </c>
      <c r="E28" s="153" t="s">
        <v>2111</v>
      </c>
      <c r="F28" s="6"/>
      <c r="G28" s="6"/>
      <c r="H28" s="85">
        <v>201</v>
      </c>
      <c r="I28" s="103">
        <f>IFERROR(VLOOKUP(B28,'July 2026-Recived'!$B$2:$H$1300,7,0),0)</f>
        <v>0</v>
      </c>
      <c r="J28" s="103">
        <f>IFERROR(VLOOKUP(B28,'July 2026- Dispatch'!$B$2:$H$1300,7,0),0)</f>
        <v>20</v>
      </c>
      <c r="K28" s="61">
        <f t="shared" si="0"/>
        <v>181</v>
      </c>
      <c r="L28" s="123">
        <v>0</v>
      </c>
      <c r="O28" s="104"/>
    </row>
    <row r="29" spans="1:15" hidden="1" x14ac:dyDescent="0.25">
      <c r="A29" s="7">
        <v>28</v>
      </c>
      <c r="B29" s="152" t="s">
        <v>860</v>
      </c>
      <c r="C29" s="153" t="s">
        <v>2142</v>
      </c>
      <c r="D29" s="153" t="s">
        <v>2143</v>
      </c>
      <c r="E29" s="153" t="s">
        <v>2083</v>
      </c>
      <c r="F29" s="6"/>
      <c r="G29" s="6"/>
      <c r="H29" s="85">
        <v>0</v>
      </c>
      <c r="I29" s="103">
        <f>IFERROR(VLOOKUP(B29,'July 2026-Recived'!$B$2:$H$1300,7,0),0)</f>
        <v>0</v>
      </c>
      <c r="J29" s="103">
        <f>IFERROR(VLOOKUP(B29,'July 2026- Dispatch'!$B$2:$H$1300,7,0),0)</f>
        <v>0</v>
      </c>
      <c r="K29" s="61">
        <f t="shared" si="0"/>
        <v>0</v>
      </c>
      <c r="L29" s="123">
        <v>0</v>
      </c>
    </row>
    <row r="30" spans="1:15" hidden="1" x14ac:dyDescent="0.25">
      <c r="A30" s="7">
        <v>29</v>
      </c>
      <c r="B30" s="152" t="s">
        <v>1301</v>
      </c>
      <c r="C30" s="153" t="s">
        <v>2144</v>
      </c>
      <c r="D30" s="153" t="s">
        <v>2145</v>
      </c>
      <c r="E30" s="153" t="s">
        <v>2083</v>
      </c>
      <c r="F30" s="6"/>
      <c r="G30" s="6"/>
      <c r="H30" s="85">
        <v>0</v>
      </c>
      <c r="I30" s="103">
        <f>IFERROR(VLOOKUP(B30,'July 2026-Recived'!$B$2:$H$1300,7,0),0)</f>
        <v>0</v>
      </c>
      <c r="J30" s="103">
        <f>IFERROR(VLOOKUP(B30,'July 2026- Dispatch'!$B$2:$H$1300,7,0),0)</f>
        <v>0</v>
      </c>
      <c r="K30" s="61">
        <f t="shared" si="0"/>
        <v>0</v>
      </c>
      <c r="L30" s="123">
        <v>0</v>
      </c>
    </row>
    <row r="31" spans="1:15" hidden="1" x14ac:dyDescent="0.25">
      <c r="A31" s="7">
        <v>30</v>
      </c>
      <c r="B31" s="152" t="s">
        <v>261</v>
      </c>
      <c r="C31" s="153" t="s">
        <v>2146</v>
      </c>
      <c r="D31" s="153" t="s">
        <v>2147</v>
      </c>
      <c r="E31" s="153" t="s">
        <v>2126</v>
      </c>
      <c r="F31" s="6"/>
      <c r="G31" s="6"/>
      <c r="H31" s="85">
        <v>0</v>
      </c>
      <c r="I31" s="103">
        <f>IFERROR(VLOOKUP(B31,'July 2026-Recived'!$B$2:$H$1300,7,0),0)</f>
        <v>0</v>
      </c>
      <c r="J31" s="103">
        <f>IFERROR(VLOOKUP(B31,'July 2026- Dispatch'!$B$2:$H$1300,7,0),0)</f>
        <v>0</v>
      </c>
      <c r="K31" s="61">
        <f t="shared" si="0"/>
        <v>0</v>
      </c>
      <c r="L31" s="123">
        <v>0</v>
      </c>
    </row>
    <row r="32" spans="1:15" hidden="1" x14ac:dyDescent="0.25">
      <c r="A32" s="7">
        <v>31</v>
      </c>
      <c r="B32" s="152" t="s">
        <v>2148</v>
      </c>
      <c r="C32" s="153" t="s">
        <v>2149</v>
      </c>
      <c r="D32" s="153" t="s">
        <v>2150</v>
      </c>
      <c r="E32" s="153" t="s">
        <v>2086</v>
      </c>
      <c r="F32" s="6"/>
      <c r="G32" s="6"/>
      <c r="H32" s="85">
        <v>8</v>
      </c>
      <c r="I32" s="103">
        <f>IFERROR(VLOOKUP(B32,'July 2026-Recived'!$B$2:$H$1300,7,0),0)</f>
        <v>0</v>
      </c>
      <c r="J32" s="103">
        <f>IFERROR(VLOOKUP(B32,'July 2026- Dispatch'!$B$2:$H$1300,7,0),0)</f>
        <v>0</v>
      </c>
      <c r="K32" s="61">
        <f t="shared" si="0"/>
        <v>8</v>
      </c>
      <c r="L32" s="123">
        <v>0</v>
      </c>
    </row>
    <row r="33" spans="1:12" hidden="1" x14ac:dyDescent="0.25">
      <c r="A33" s="7">
        <v>32</v>
      </c>
      <c r="B33" s="152" t="s">
        <v>932</v>
      </c>
      <c r="C33" s="153" t="s">
        <v>2151</v>
      </c>
      <c r="D33" s="153" t="s">
        <v>2152</v>
      </c>
      <c r="E33" s="153" t="s">
        <v>2086</v>
      </c>
      <c r="F33" s="6"/>
      <c r="G33" s="6"/>
      <c r="H33" s="85">
        <v>40</v>
      </c>
      <c r="I33" s="103">
        <f>IFERROR(VLOOKUP(B33,'July 2026-Recived'!$B$2:$H$1300,7,0),0)</f>
        <v>0</v>
      </c>
      <c r="J33" s="103">
        <f>IFERROR(VLOOKUP(B33,'July 2026- Dispatch'!$B$2:$H$1300,7,0),0)</f>
        <v>0</v>
      </c>
      <c r="K33" s="61">
        <f t="shared" si="0"/>
        <v>40</v>
      </c>
      <c r="L33" s="123">
        <v>0</v>
      </c>
    </row>
    <row r="34" spans="1:12" hidden="1" x14ac:dyDescent="0.25">
      <c r="A34" s="7">
        <v>33</v>
      </c>
      <c r="B34" s="152" t="s">
        <v>879</v>
      </c>
      <c r="C34" s="153" t="s">
        <v>2153</v>
      </c>
      <c r="D34" s="153" t="s">
        <v>2154</v>
      </c>
      <c r="E34" s="153" t="s">
        <v>2111</v>
      </c>
      <c r="F34" s="6"/>
      <c r="G34" s="6"/>
      <c r="H34" s="85">
        <v>254</v>
      </c>
      <c r="I34" s="103">
        <f>IFERROR(VLOOKUP(B34,'July 2026-Recived'!$B$2:$H$1300,7,0),0)</f>
        <v>0</v>
      </c>
      <c r="J34" s="103">
        <f>IFERROR(VLOOKUP(B34,'July 2026- Dispatch'!$B$2:$H$1300,7,0),0)</f>
        <v>18</v>
      </c>
      <c r="K34" s="61">
        <f t="shared" si="0"/>
        <v>236</v>
      </c>
      <c r="L34" s="123">
        <v>0</v>
      </c>
    </row>
    <row r="35" spans="1:12" hidden="1" x14ac:dyDescent="0.25">
      <c r="A35" s="7">
        <v>34</v>
      </c>
      <c r="B35" s="152" t="s">
        <v>791</v>
      </c>
      <c r="C35" s="153" t="s">
        <v>2155</v>
      </c>
      <c r="D35" s="153" t="s">
        <v>2156</v>
      </c>
      <c r="E35" s="153" t="s">
        <v>2111</v>
      </c>
      <c r="F35" s="6"/>
      <c r="G35" s="6"/>
      <c r="H35" s="85">
        <v>2950</v>
      </c>
      <c r="I35" s="103">
        <f>IFERROR(VLOOKUP(B35,'July 2026-Recived'!$B$2:$H$1300,7,0),0)</f>
        <v>0</v>
      </c>
      <c r="J35" s="103">
        <f>IFERROR(VLOOKUP(B35,'July 2026- Dispatch'!$B$2:$H$1300,7,0),0)</f>
        <v>386</v>
      </c>
      <c r="K35" s="61">
        <f t="shared" si="0"/>
        <v>2564</v>
      </c>
      <c r="L35" s="123">
        <v>0</v>
      </c>
    </row>
    <row r="36" spans="1:12" hidden="1" x14ac:dyDescent="0.25">
      <c r="A36" s="7">
        <v>35</v>
      </c>
      <c r="B36" s="152" t="s">
        <v>2157</v>
      </c>
      <c r="C36" s="153" t="s">
        <v>2158</v>
      </c>
      <c r="D36" s="153" t="s">
        <v>2159</v>
      </c>
      <c r="E36" s="153" t="s">
        <v>2160</v>
      </c>
      <c r="F36" s="6"/>
      <c r="G36" s="6"/>
      <c r="H36" s="85">
        <v>0</v>
      </c>
      <c r="I36" s="103">
        <f>IFERROR(VLOOKUP(B36,'July 2026-Recived'!$B$2:$H$1300,7,0),0)</f>
        <v>0</v>
      </c>
      <c r="J36" s="103">
        <f>IFERROR(VLOOKUP(B36,'July 2026- Dispatch'!$B$2:$H$1300,7,0),0)</f>
        <v>0</v>
      </c>
      <c r="K36" s="61">
        <f t="shared" si="0"/>
        <v>0</v>
      </c>
      <c r="L36" s="123">
        <v>0</v>
      </c>
    </row>
    <row r="37" spans="1:12" hidden="1" x14ac:dyDescent="0.25">
      <c r="A37" s="7">
        <v>36</v>
      </c>
      <c r="B37" s="152" t="s">
        <v>1055</v>
      </c>
      <c r="C37" s="153" t="s">
        <v>2161</v>
      </c>
      <c r="D37" s="153" t="s">
        <v>2162</v>
      </c>
      <c r="E37" s="153" t="s">
        <v>2111</v>
      </c>
      <c r="F37" s="6"/>
      <c r="G37" s="6"/>
      <c r="H37" s="85">
        <v>690</v>
      </c>
      <c r="I37" s="103">
        <f>IFERROR(VLOOKUP(B37,'July 2026-Recived'!$B$2:$H$1300,7,0),0)</f>
        <v>0</v>
      </c>
      <c r="J37" s="103">
        <f>IFERROR(VLOOKUP(B37,'July 2026- Dispatch'!$B$2:$H$1300,7,0),0)</f>
        <v>19</v>
      </c>
      <c r="K37" s="61">
        <f t="shared" si="0"/>
        <v>671</v>
      </c>
      <c r="L37" s="123">
        <v>0</v>
      </c>
    </row>
    <row r="38" spans="1:12" hidden="1" x14ac:dyDescent="0.25">
      <c r="A38" s="7">
        <v>37</v>
      </c>
      <c r="B38" s="152" t="s">
        <v>780</v>
      </c>
      <c r="C38" s="153" t="s">
        <v>2163</v>
      </c>
      <c r="D38" s="153" t="s">
        <v>2164</v>
      </c>
      <c r="E38" s="153" t="s">
        <v>2111</v>
      </c>
      <c r="F38" s="6"/>
      <c r="G38" s="6"/>
      <c r="H38" s="85">
        <v>645</v>
      </c>
      <c r="I38" s="103">
        <f>IFERROR(VLOOKUP(B38,'July 2026-Recived'!$B$2:$H$1300,7,0),0)</f>
        <v>0</v>
      </c>
      <c r="J38" s="103">
        <f>IFERROR(VLOOKUP(B38,'July 2026- Dispatch'!$B$2:$H$1300,7,0),0)</f>
        <v>45</v>
      </c>
      <c r="K38" s="61">
        <f t="shared" si="0"/>
        <v>600</v>
      </c>
      <c r="L38" s="123">
        <v>0</v>
      </c>
    </row>
    <row r="39" spans="1:12" hidden="1" x14ac:dyDescent="0.25">
      <c r="A39" s="7">
        <v>38</v>
      </c>
      <c r="B39" s="152" t="s">
        <v>357</v>
      </c>
      <c r="C39" s="153" t="s">
        <v>2165</v>
      </c>
      <c r="D39" s="153" t="s">
        <v>2166</v>
      </c>
      <c r="E39" s="153" t="s">
        <v>2083</v>
      </c>
      <c r="F39" s="6"/>
      <c r="G39" s="6"/>
      <c r="H39" s="85">
        <v>0</v>
      </c>
      <c r="I39" s="103">
        <f>IFERROR(VLOOKUP(B39,'July 2026-Recived'!$B$2:$H$1300,7,0),0)</f>
        <v>0</v>
      </c>
      <c r="J39" s="103">
        <f>IFERROR(VLOOKUP(B39,'July 2026- Dispatch'!$B$2:$H$1300,7,0),0)</f>
        <v>0</v>
      </c>
      <c r="K39" s="61">
        <f t="shared" si="0"/>
        <v>0</v>
      </c>
      <c r="L39" s="123">
        <v>0</v>
      </c>
    </row>
    <row r="40" spans="1:12" hidden="1" x14ac:dyDescent="0.25">
      <c r="A40" s="7">
        <v>39</v>
      </c>
      <c r="B40" s="152" t="s">
        <v>247</v>
      </c>
      <c r="C40" s="153" t="s">
        <v>2167</v>
      </c>
      <c r="D40" s="153" t="s">
        <v>2168</v>
      </c>
      <c r="E40" s="153" t="s">
        <v>2126</v>
      </c>
      <c r="F40" s="6"/>
      <c r="G40" s="6"/>
      <c r="H40" s="85">
        <v>0</v>
      </c>
      <c r="I40" s="103">
        <f>IFERROR(VLOOKUP(B40,'July 2026-Recived'!$B$2:$H$1300,7,0),0)</f>
        <v>0</v>
      </c>
      <c r="J40" s="103">
        <f>IFERROR(VLOOKUP(B40,'July 2026- Dispatch'!$B$2:$H$1300,7,0),0)</f>
        <v>0</v>
      </c>
      <c r="K40" s="61">
        <f t="shared" si="0"/>
        <v>0</v>
      </c>
      <c r="L40" s="123">
        <v>0</v>
      </c>
    </row>
    <row r="41" spans="1:12" hidden="1" x14ac:dyDescent="0.25">
      <c r="A41" s="7">
        <v>40</v>
      </c>
      <c r="B41" s="152" t="s">
        <v>2058</v>
      </c>
      <c r="C41" s="153" t="s">
        <v>2169</v>
      </c>
      <c r="D41" s="153" t="s">
        <v>2170</v>
      </c>
      <c r="E41" s="153" t="s">
        <v>2135</v>
      </c>
      <c r="F41" s="6"/>
      <c r="G41" s="6"/>
      <c r="H41" s="85">
        <v>2000</v>
      </c>
      <c r="I41" s="103">
        <f>IFERROR(VLOOKUP(B41,'July 2026-Recived'!$B$2:$H$1300,7,0),0)</f>
        <v>0</v>
      </c>
      <c r="J41" s="103">
        <f>IFERROR(VLOOKUP(B41,'July 2026- Dispatch'!$B$2:$H$1300,7,0),0)</f>
        <v>0</v>
      </c>
      <c r="K41" s="61">
        <f t="shared" si="0"/>
        <v>2000</v>
      </c>
      <c r="L41" s="123">
        <v>0</v>
      </c>
    </row>
    <row r="42" spans="1:12" hidden="1" x14ac:dyDescent="0.25">
      <c r="A42" s="7">
        <v>41</v>
      </c>
      <c r="B42" s="152" t="s">
        <v>929</v>
      </c>
      <c r="C42" s="153" t="s">
        <v>2171</v>
      </c>
      <c r="D42" s="153" t="s">
        <v>2172</v>
      </c>
      <c r="E42" s="153" t="s">
        <v>2160</v>
      </c>
      <c r="F42" s="6"/>
      <c r="G42" s="6"/>
      <c r="H42" s="85">
        <v>0</v>
      </c>
      <c r="I42" s="103">
        <f>IFERROR(VLOOKUP(B42,'July 2026-Recived'!$B$2:$H$1300,7,0),0)</f>
        <v>0</v>
      </c>
      <c r="J42" s="103">
        <f>IFERROR(VLOOKUP(B42,'July 2026- Dispatch'!$B$2:$H$1300,7,0),0)</f>
        <v>0</v>
      </c>
      <c r="K42" s="61">
        <f t="shared" si="0"/>
        <v>0</v>
      </c>
      <c r="L42" s="123">
        <v>0</v>
      </c>
    </row>
    <row r="43" spans="1:12" hidden="1" x14ac:dyDescent="0.25">
      <c r="A43" s="7">
        <v>42</v>
      </c>
      <c r="B43" s="152" t="s">
        <v>1044</v>
      </c>
      <c r="C43" s="153" t="s">
        <v>2173</v>
      </c>
      <c r="D43" s="153" t="s">
        <v>2174</v>
      </c>
      <c r="E43" s="153" t="s">
        <v>2135</v>
      </c>
      <c r="F43" s="6"/>
      <c r="G43" s="6"/>
      <c r="H43" s="85">
        <v>490</v>
      </c>
      <c r="I43" s="103">
        <f>IFERROR(VLOOKUP(B43,'July 2026-Recived'!$B$2:$H$1300,7,0),0)</f>
        <v>0</v>
      </c>
      <c r="J43" s="103">
        <f>IFERROR(VLOOKUP(B43,'July 2026- Dispatch'!$B$2:$H$1300,7,0),0)</f>
        <v>100</v>
      </c>
      <c r="K43" s="61">
        <f t="shared" si="0"/>
        <v>390</v>
      </c>
      <c r="L43" s="123">
        <v>0</v>
      </c>
    </row>
    <row r="44" spans="1:12" hidden="1" x14ac:dyDescent="0.25">
      <c r="A44" s="7">
        <v>43</v>
      </c>
      <c r="B44" s="152" t="s">
        <v>1039</v>
      </c>
      <c r="C44" s="153" t="s">
        <v>2175</v>
      </c>
      <c r="D44" s="153" t="s">
        <v>2176</v>
      </c>
      <c r="E44" s="153" t="s">
        <v>2135</v>
      </c>
      <c r="F44" s="6"/>
      <c r="G44" s="6"/>
      <c r="H44" s="85">
        <v>580</v>
      </c>
      <c r="I44" s="103">
        <f>IFERROR(VLOOKUP(B44,'July 2026-Recived'!$B$2:$H$1300,7,0),0)</f>
        <v>50000</v>
      </c>
      <c r="J44" s="103">
        <f>IFERROR(VLOOKUP(B44,'July 2026- Dispatch'!$B$2:$H$1300,7,0),0)</f>
        <v>180</v>
      </c>
      <c r="K44" s="61">
        <f t="shared" si="0"/>
        <v>50400</v>
      </c>
      <c r="L44" s="123">
        <v>0</v>
      </c>
    </row>
    <row r="45" spans="1:12" hidden="1" x14ac:dyDescent="0.25">
      <c r="A45" s="7">
        <v>44</v>
      </c>
      <c r="B45" s="152" t="s">
        <v>846</v>
      </c>
      <c r="C45" s="153" t="s">
        <v>2177</v>
      </c>
      <c r="D45" s="153" t="s">
        <v>2178</v>
      </c>
      <c r="E45" s="153" t="s">
        <v>2086</v>
      </c>
      <c r="F45" s="6"/>
      <c r="G45" s="6"/>
      <c r="H45" s="85">
        <v>656</v>
      </c>
      <c r="I45" s="103">
        <f>IFERROR(VLOOKUP(B45,'July 2026-Recived'!$B$2:$H$1300,7,0),0)</f>
        <v>0</v>
      </c>
      <c r="J45" s="103">
        <f>IFERROR(VLOOKUP(B45,'July 2026- Dispatch'!$B$2:$H$1300,7,0),0)</f>
        <v>42</v>
      </c>
      <c r="K45" s="61">
        <f t="shared" si="0"/>
        <v>614</v>
      </c>
      <c r="L45" s="123">
        <v>0</v>
      </c>
    </row>
    <row r="46" spans="1:12" hidden="1" x14ac:dyDescent="0.25">
      <c r="A46" s="7">
        <v>45</v>
      </c>
      <c r="B46" s="152" t="s">
        <v>669</v>
      </c>
      <c r="C46" s="153" t="s">
        <v>2179</v>
      </c>
      <c r="D46" s="153" t="s">
        <v>2180</v>
      </c>
      <c r="E46" s="153" t="s">
        <v>2160</v>
      </c>
      <c r="F46" s="6"/>
      <c r="G46" s="6"/>
      <c r="H46" s="85">
        <v>0</v>
      </c>
      <c r="I46" s="103">
        <f>IFERROR(VLOOKUP(B46,'July 2026-Recived'!$B$2:$H$1300,7,0),0)</f>
        <v>0</v>
      </c>
      <c r="J46" s="103">
        <f>IFERROR(VLOOKUP(B46,'July 2026- Dispatch'!$B$2:$H$1300,7,0),0)</f>
        <v>0</v>
      </c>
      <c r="K46" s="61">
        <f t="shared" si="0"/>
        <v>0</v>
      </c>
      <c r="L46" s="123">
        <v>0</v>
      </c>
    </row>
    <row r="47" spans="1:12" hidden="1" x14ac:dyDescent="0.25">
      <c r="A47" s="7">
        <v>46</v>
      </c>
      <c r="B47" s="152" t="s">
        <v>1574</v>
      </c>
      <c r="C47" s="153" t="s">
        <v>2181</v>
      </c>
      <c r="D47" s="153" t="s">
        <v>2182</v>
      </c>
      <c r="E47" s="153" t="s">
        <v>2086</v>
      </c>
      <c r="F47" s="6"/>
      <c r="G47" s="6"/>
      <c r="H47" s="85">
        <v>21600</v>
      </c>
      <c r="I47" s="103">
        <f>IFERROR(VLOOKUP(B47,'July 2026-Recived'!$B$2:$H$1300,7,0),0)</f>
        <v>0</v>
      </c>
      <c r="J47" s="103">
        <f>IFERROR(VLOOKUP(B47,'July 2026- Dispatch'!$B$2:$H$1300,7,0),0)</f>
        <v>0</v>
      </c>
      <c r="K47" s="61">
        <f t="shared" si="0"/>
        <v>21600</v>
      </c>
      <c r="L47" s="123">
        <v>0</v>
      </c>
    </row>
    <row r="48" spans="1:12" hidden="1" x14ac:dyDescent="0.25">
      <c r="A48" s="7">
        <v>47</v>
      </c>
      <c r="B48" s="152" t="s">
        <v>1578</v>
      </c>
      <c r="C48" s="153" t="s">
        <v>2183</v>
      </c>
      <c r="D48" s="153" t="s">
        <v>2184</v>
      </c>
      <c r="E48" s="153" t="s">
        <v>2086</v>
      </c>
      <c r="F48" s="6"/>
      <c r="G48" s="6"/>
      <c r="H48" s="85">
        <v>19200</v>
      </c>
      <c r="I48" s="103">
        <f>IFERROR(VLOOKUP(B48,'July 2026-Recived'!$B$2:$H$1300,7,0),0)</f>
        <v>0</v>
      </c>
      <c r="J48" s="103">
        <f>IFERROR(VLOOKUP(B48,'July 2026- Dispatch'!$B$2:$H$1300,7,0),0)</f>
        <v>0</v>
      </c>
      <c r="K48" s="61">
        <f t="shared" si="0"/>
        <v>19200</v>
      </c>
      <c r="L48" s="123">
        <v>0</v>
      </c>
    </row>
    <row r="49" spans="1:12" hidden="1" x14ac:dyDescent="0.25">
      <c r="A49" s="7">
        <v>48</v>
      </c>
      <c r="B49" s="152" t="s">
        <v>767</v>
      </c>
      <c r="C49" s="153" t="s">
        <v>2185</v>
      </c>
      <c r="D49" s="153" t="s">
        <v>2186</v>
      </c>
      <c r="E49" s="153" t="s">
        <v>2135</v>
      </c>
      <c r="F49" s="6"/>
      <c r="G49" s="6"/>
      <c r="H49" s="85">
        <v>5360</v>
      </c>
      <c r="I49" s="103">
        <f>IFERROR(VLOOKUP(B49,'July 2026-Recived'!$B$2:$H$1300,7,0),0)</f>
        <v>0</v>
      </c>
      <c r="J49" s="103">
        <f>IFERROR(VLOOKUP(B49,'July 2026- Dispatch'!$B$2:$H$1300,7,0),0)</f>
        <v>2931</v>
      </c>
      <c r="K49" s="61">
        <f t="shared" si="0"/>
        <v>2429</v>
      </c>
      <c r="L49" s="123">
        <v>0</v>
      </c>
    </row>
    <row r="50" spans="1:12" hidden="1" x14ac:dyDescent="0.25">
      <c r="A50" s="7">
        <v>49</v>
      </c>
      <c r="B50" s="152" t="s">
        <v>1280</v>
      </c>
      <c r="C50" s="153" t="s">
        <v>2187</v>
      </c>
      <c r="D50" s="153" t="s">
        <v>2188</v>
      </c>
      <c r="E50" s="153" t="s">
        <v>2111</v>
      </c>
      <c r="F50" s="6"/>
      <c r="G50" s="6"/>
      <c r="H50" s="85">
        <v>1240</v>
      </c>
      <c r="I50" s="103">
        <f>IFERROR(VLOOKUP(B50,'July 2026-Recived'!$B$2:$H$1300,7,0),0)</f>
        <v>0</v>
      </c>
      <c r="J50" s="103">
        <f>IFERROR(VLOOKUP(B50,'July 2026- Dispatch'!$B$2:$H$1300,7,0),0)</f>
        <v>73</v>
      </c>
      <c r="K50" s="61">
        <f t="shared" si="0"/>
        <v>1167</v>
      </c>
      <c r="L50" s="123">
        <v>0</v>
      </c>
    </row>
    <row r="51" spans="1:12" hidden="1" x14ac:dyDescent="0.25">
      <c r="A51" s="7">
        <v>50</v>
      </c>
      <c r="B51" s="152" t="s">
        <v>347</v>
      </c>
      <c r="C51" s="153" t="s">
        <v>2189</v>
      </c>
      <c r="D51" s="153" t="s">
        <v>2190</v>
      </c>
      <c r="E51" s="153" t="s">
        <v>2086</v>
      </c>
      <c r="F51" s="6"/>
      <c r="G51" s="6"/>
      <c r="H51" s="85">
        <v>7727</v>
      </c>
      <c r="I51" s="103">
        <f>IFERROR(VLOOKUP(B51,'July 2026-Recived'!$B$2:$H$1300,7,0),0)</f>
        <v>0</v>
      </c>
      <c r="J51" s="103">
        <f>IFERROR(VLOOKUP(B51,'July 2026- Dispatch'!$B$2:$H$1300,7,0),0)</f>
        <v>0</v>
      </c>
      <c r="K51" s="61">
        <f t="shared" si="0"/>
        <v>7727</v>
      </c>
      <c r="L51" s="123">
        <v>0</v>
      </c>
    </row>
    <row r="52" spans="1:12" hidden="1" x14ac:dyDescent="0.25">
      <c r="A52" s="7">
        <v>51</v>
      </c>
      <c r="B52" s="152" t="s">
        <v>1065</v>
      </c>
      <c r="C52" s="153" t="s">
        <v>2191</v>
      </c>
      <c r="D52" s="153" t="s">
        <v>2192</v>
      </c>
      <c r="E52" s="153" t="s">
        <v>2086</v>
      </c>
      <c r="F52" s="6"/>
      <c r="G52" s="6"/>
      <c r="H52" s="85">
        <v>420</v>
      </c>
      <c r="I52" s="103">
        <f>IFERROR(VLOOKUP(B52,'July 2026-Recived'!$B$2:$H$1300,7,0),0)</f>
        <v>0</v>
      </c>
      <c r="J52" s="103">
        <f>IFERROR(VLOOKUP(B52,'July 2026- Dispatch'!$B$2:$H$1300,7,0),0)</f>
        <v>24</v>
      </c>
      <c r="K52" s="61">
        <f t="shared" si="0"/>
        <v>396</v>
      </c>
      <c r="L52" s="123">
        <v>0</v>
      </c>
    </row>
    <row r="53" spans="1:12" hidden="1" x14ac:dyDescent="0.25">
      <c r="A53" s="7">
        <v>52</v>
      </c>
      <c r="B53" s="152" t="s">
        <v>250</v>
      </c>
      <c r="C53" s="153" t="s">
        <v>2193</v>
      </c>
      <c r="D53" s="153" t="s">
        <v>2194</v>
      </c>
      <c r="E53" s="153" t="s">
        <v>2083</v>
      </c>
      <c r="F53" s="6"/>
      <c r="G53" s="6"/>
      <c r="H53" s="85">
        <v>0</v>
      </c>
      <c r="I53" s="103">
        <f>IFERROR(VLOOKUP(B53,'July 2026-Recived'!$B$2:$H$1300,7,0),0)</f>
        <v>0</v>
      </c>
      <c r="J53" s="103">
        <f>IFERROR(VLOOKUP(B53,'July 2026- Dispatch'!$B$2:$H$1300,7,0),0)</f>
        <v>0</v>
      </c>
      <c r="K53" s="61">
        <f t="shared" si="0"/>
        <v>0</v>
      </c>
      <c r="L53" s="123">
        <v>0</v>
      </c>
    </row>
    <row r="54" spans="1:12" hidden="1" x14ac:dyDescent="0.25">
      <c r="A54" s="7">
        <v>53</v>
      </c>
      <c r="B54" s="152" t="s">
        <v>2195</v>
      </c>
      <c r="C54" s="153" t="s">
        <v>2196</v>
      </c>
      <c r="D54" s="153" t="s">
        <v>2197</v>
      </c>
      <c r="E54" s="153" t="s">
        <v>2083</v>
      </c>
      <c r="F54" s="6"/>
      <c r="G54" s="6"/>
      <c r="H54" s="85">
        <v>0</v>
      </c>
      <c r="I54" s="103">
        <f>IFERROR(VLOOKUP(B54,'July 2026-Recived'!$B$2:$H$1300,7,0),0)</f>
        <v>0</v>
      </c>
      <c r="J54" s="103">
        <f>IFERROR(VLOOKUP(B54,'July 2026- Dispatch'!$B$2:$H$1300,7,0),0)</f>
        <v>0</v>
      </c>
      <c r="K54" s="61">
        <f t="shared" si="0"/>
        <v>0</v>
      </c>
      <c r="L54" s="123">
        <v>0</v>
      </c>
    </row>
    <row r="55" spans="1:12" hidden="1" x14ac:dyDescent="0.25">
      <c r="A55" s="7">
        <v>54</v>
      </c>
      <c r="B55" s="152" t="s">
        <v>1746</v>
      </c>
      <c r="C55" s="153" t="s">
        <v>2198</v>
      </c>
      <c r="D55" s="153" t="s">
        <v>2199</v>
      </c>
      <c r="E55" s="153" t="s">
        <v>2126</v>
      </c>
      <c r="F55" s="6"/>
      <c r="G55" s="6"/>
      <c r="H55" s="85">
        <v>0</v>
      </c>
      <c r="I55" s="103">
        <f>IFERROR(VLOOKUP(B55,'July 2026-Recived'!$B$2:$H$1300,7,0),0)</f>
        <v>0</v>
      </c>
      <c r="J55" s="103">
        <f>IFERROR(VLOOKUP(B55,'July 2026- Dispatch'!$B$2:$H$1300,7,0),0)</f>
        <v>0</v>
      </c>
      <c r="K55" s="61">
        <f t="shared" si="0"/>
        <v>0</v>
      </c>
      <c r="L55" s="123">
        <v>0</v>
      </c>
    </row>
    <row r="56" spans="1:12" hidden="1" x14ac:dyDescent="0.25">
      <c r="A56" s="7">
        <v>55</v>
      </c>
      <c r="B56" s="152" t="s">
        <v>721</v>
      </c>
      <c r="C56" s="153" t="s">
        <v>2200</v>
      </c>
      <c r="D56" s="153" t="s">
        <v>2201</v>
      </c>
      <c r="E56" s="153" t="s">
        <v>64</v>
      </c>
      <c r="F56" s="6"/>
      <c r="G56" s="6"/>
      <c r="H56" s="85">
        <v>405</v>
      </c>
      <c r="I56" s="103">
        <f>IFERROR(VLOOKUP(B56,'July 2026-Recived'!$B$2:$H$1300,7,0),0)</f>
        <v>0</v>
      </c>
      <c r="J56" s="103">
        <f>IFERROR(VLOOKUP(B56,'July 2026- Dispatch'!$B$2:$H$1300,7,0),0)</f>
        <v>104</v>
      </c>
      <c r="K56" s="61">
        <f t="shared" si="0"/>
        <v>301</v>
      </c>
      <c r="L56" s="123">
        <v>0</v>
      </c>
    </row>
    <row r="57" spans="1:12" hidden="1" x14ac:dyDescent="0.25">
      <c r="A57" s="7">
        <v>56</v>
      </c>
      <c r="B57" s="152" t="s">
        <v>704</v>
      </c>
      <c r="C57" s="153" t="s">
        <v>2202</v>
      </c>
      <c r="D57" s="153" t="s">
        <v>2203</v>
      </c>
      <c r="E57" s="153" t="s">
        <v>2111</v>
      </c>
      <c r="F57" s="6"/>
      <c r="G57" s="6"/>
      <c r="H57" s="85">
        <v>355</v>
      </c>
      <c r="I57" s="103">
        <f>IFERROR(VLOOKUP(B57,'July 2026-Recived'!$B$2:$H$1300,7,0),0)</f>
        <v>0</v>
      </c>
      <c r="J57" s="103">
        <f>IFERROR(VLOOKUP(B57,'July 2026- Dispatch'!$B$2:$H$1300,7,0),0)</f>
        <v>24.96</v>
      </c>
      <c r="K57" s="61">
        <f t="shared" si="0"/>
        <v>330.04</v>
      </c>
      <c r="L57" s="123">
        <v>0</v>
      </c>
    </row>
    <row r="58" spans="1:12" hidden="1" x14ac:dyDescent="0.25">
      <c r="A58" s="7">
        <v>57</v>
      </c>
      <c r="B58" s="152" t="s">
        <v>841</v>
      </c>
      <c r="C58" s="153" t="s">
        <v>2204</v>
      </c>
      <c r="D58" s="153" t="s">
        <v>2205</v>
      </c>
      <c r="E58" s="153" t="s">
        <v>2160</v>
      </c>
      <c r="F58" s="6"/>
      <c r="G58" s="6"/>
      <c r="H58" s="85">
        <v>0</v>
      </c>
      <c r="I58" s="103">
        <f>IFERROR(VLOOKUP(B58,'July 2026-Recived'!$B$2:$H$1300,7,0),0)</f>
        <v>0</v>
      </c>
      <c r="J58" s="103">
        <f>IFERROR(VLOOKUP(B58,'July 2026- Dispatch'!$B$2:$H$1300,7,0),0)</f>
        <v>0</v>
      </c>
      <c r="K58" s="61">
        <f t="shared" si="0"/>
        <v>0</v>
      </c>
      <c r="L58" s="123">
        <v>0</v>
      </c>
    </row>
    <row r="59" spans="1:12" hidden="1" x14ac:dyDescent="0.25">
      <c r="A59" s="7">
        <v>58</v>
      </c>
      <c r="B59" s="152" t="s">
        <v>2206</v>
      </c>
      <c r="C59" s="153" t="s">
        <v>2207</v>
      </c>
      <c r="D59" s="153" t="s">
        <v>2208</v>
      </c>
      <c r="E59" s="153" t="s">
        <v>2086</v>
      </c>
      <c r="F59" s="6"/>
      <c r="G59" s="6"/>
      <c r="H59" s="85">
        <v>19</v>
      </c>
      <c r="I59" s="103">
        <f>IFERROR(VLOOKUP(B59,'July 2026-Recived'!$B$2:$H$1300,7,0),0)</f>
        <v>0</v>
      </c>
      <c r="J59" s="103">
        <f>IFERROR(VLOOKUP(B59,'July 2026- Dispatch'!$B$2:$H$1300,7,0),0)</f>
        <v>0</v>
      </c>
      <c r="K59" s="61">
        <f t="shared" si="0"/>
        <v>19</v>
      </c>
      <c r="L59" s="123">
        <v>0</v>
      </c>
    </row>
    <row r="60" spans="1:12" hidden="1" x14ac:dyDescent="0.25">
      <c r="A60" s="7">
        <v>59</v>
      </c>
      <c r="B60" s="152" t="s">
        <v>1900</v>
      </c>
      <c r="C60" s="153" t="s">
        <v>2209</v>
      </c>
      <c r="D60" s="153" t="s">
        <v>2210</v>
      </c>
      <c r="E60" s="153" t="s">
        <v>2083</v>
      </c>
      <c r="F60" s="6"/>
      <c r="G60" s="6"/>
      <c r="H60" s="85">
        <v>0</v>
      </c>
      <c r="I60" s="103">
        <f>IFERROR(VLOOKUP(B60,'July 2026-Recived'!$B$2:$H$1300,7,0),0)</f>
        <v>0</v>
      </c>
      <c r="J60" s="103">
        <f>IFERROR(VLOOKUP(B60,'July 2026- Dispatch'!$B$2:$H$1300,7,0),0)</f>
        <v>0</v>
      </c>
      <c r="K60" s="61">
        <f t="shared" si="0"/>
        <v>0</v>
      </c>
      <c r="L60" s="123">
        <v>0</v>
      </c>
    </row>
    <row r="61" spans="1:12" hidden="1" x14ac:dyDescent="0.25">
      <c r="A61" s="7">
        <v>60</v>
      </c>
      <c r="B61" s="152" t="s">
        <v>307</v>
      </c>
      <c r="C61" s="153" t="s">
        <v>2211</v>
      </c>
      <c r="D61" s="153" t="s">
        <v>2212</v>
      </c>
      <c r="E61" s="153" t="s">
        <v>2083</v>
      </c>
      <c r="F61" s="6"/>
      <c r="G61" s="6"/>
      <c r="H61" s="85">
        <v>0</v>
      </c>
      <c r="I61" s="103">
        <f>IFERROR(VLOOKUP(B61,'July 2026-Recived'!$B$2:$H$1300,7,0),0)</f>
        <v>0</v>
      </c>
      <c r="J61" s="103">
        <f>IFERROR(VLOOKUP(B61,'July 2026- Dispatch'!$B$2:$H$1300,7,0),0)</f>
        <v>0</v>
      </c>
      <c r="K61" s="61">
        <f t="shared" si="0"/>
        <v>0</v>
      </c>
      <c r="L61" s="123">
        <v>0</v>
      </c>
    </row>
    <row r="62" spans="1:12" hidden="1" x14ac:dyDescent="0.25">
      <c r="A62" s="7">
        <v>61</v>
      </c>
      <c r="B62" s="152" t="s">
        <v>881</v>
      </c>
      <c r="C62" s="153" t="s">
        <v>2213</v>
      </c>
      <c r="D62" s="153" t="s">
        <v>2214</v>
      </c>
      <c r="E62" s="153" t="s">
        <v>2086</v>
      </c>
      <c r="F62" s="6"/>
      <c r="G62" s="6"/>
      <c r="H62" s="85">
        <v>9000</v>
      </c>
      <c r="I62" s="103">
        <f>IFERROR(VLOOKUP(B62,'July 2026-Recived'!$B$2:$H$1300,7,0),0)</f>
        <v>0</v>
      </c>
      <c r="J62" s="103">
        <f>IFERROR(VLOOKUP(B62,'July 2026- Dispatch'!$B$2:$H$1300,7,0),0)</f>
        <v>900</v>
      </c>
      <c r="K62" s="61">
        <f t="shared" si="0"/>
        <v>8100</v>
      </c>
      <c r="L62" s="123">
        <v>0</v>
      </c>
    </row>
    <row r="63" spans="1:12" hidden="1" x14ac:dyDescent="0.25">
      <c r="A63" s="7">
        <v>62</v>
      </c>
      <c r="B63" s="152" t="s">
        <v>2215</v>
      </c>
      <c r="C63" s="153" t="s">
        <v>2216</v>
      </c>
      <c r="D63" s="153" t="s">
        <v>2217</v>
      </c>
      <c r="E63" s="153" t="s">
        <v>2083</v>
      </c>
      <c r="F63" s="6"/>
      <c r="G63" s="6"/>
      <c r="H63" s="85">
        <v>0</v>
      </c>
      <c r="I63" s="103">
        <f>IFERROR(VLOOKUP(B63,'July 2026-Recived'!$B$2:$H$1300,7,0),0)</f>
        <v>0</v>
      </c>
      <c r="J63" s="103">
        <f>IFERROR(VLOOKUP(B63,'July 2026- Dispatch'!$B$2:$H$1300,7,0),0)</f>
        <v>0</v>
      </c>
      <c r="K63" s="61">
        <f t="shared" si="0"/>
        <v>0</v>
      </c>
      <c r="L63" s="123">
        <v>0</v>
      </c>
    </row>
    <row r="64" spans="1:12" hidden="1" x14ac:dyDescent="0.25">
      <c r="A64" s="7">
        <v>63</v>
      </c>
      <c r="B64" s="152" t="s">
        <v>2218</v>
      </c>
      <c r="C64" s="153" t="s">
        <v>2219</v>
      </c>
      <c r="D64" s="153" t="s">
        <v>2220</v>
      </c>
      <c r="E64" s="153" t="s">
        <v>2083</v>
      </c>
      <c r="F64" s="6"/>
      <c r="G64" s="6"/>
      <c r="H64" s="85">
        <v>0</v>
      </c>
      <c r="I64" s="103">
        <f>IFERROR(VLOOKUP(B64,'July 2026-Recived'!$B$2:$H$1300,7,0),0)</f>
        <v>0</v>
      </c>
      <c r="J64" s="103">
        <f>IFERROR(VLOOKUP(B64,'July 2026- Dispatch'!$B$2:$H$1300,7,0),0)</f>
        <v>0</v>
      </c>
      <c r="K64" s="61">
        <f t="shared" si="0"/>
        <v>0</v>
      </c>
      <c r="L64" s="123">
        <v>0</v>
      </c>
    </row>
    <row r="65" spans="1:13" hidden="1" x14ac:dyDescent="0.25">
      <c r="A65" s="7">
        <v>64</v>
      </c>
      <c r="B65" s="152" t="s">
        <v>1073</v>
      </c>
      <c r="C65" s="153" t="s">
        <v>2221</v>
      </c>
      <c r="D65" s="153" t="s">
        <v>2222</v>
      </c>
      <c r="E65" s="153" t="s">
        <v>2083</v>
      </c>
      <c r="F65" s="6"/>
      <c r="G65" s="6"/>
      <c r="H65" s="85">
        <v>0</v>
      </c>
      <c r="I65" s="103">
        <f>IFERROR(VLOOKUP(B65,'July 2026-Recived'!$B$2:$H$1300,7,0),0)</f>
        <v>0</v>
      </c>
      <c r="J65" s="103">
        <f>IFERROR(VLOOKUP(B65,'July 2026- Dispatch'!$B$2:$H$1300,7,0),0)</f>
        <v>0</v>
      </c>
      <c r="K65" s="61">
        <f t="shared" si="0"/>
        <v>0</v>
      </c>
      <c r="L65" s="123">
        <v>0</v>
      </c>
    </row>
    <row r="66" spans="1:13" hidden="1" x14ac:dyDescent="0.25">
      <c r="A66" s="7">
        <v>65</v>
      </c>
      <c r="B66" s="152" t="s">
        <v>950</v>
      </c>
      <c r="C66" s="153" t="s">
        <v>2223</v>
      </c>
      <c r="D66" s="153" t="s">
        <v>2224</v>
      </c>
      <c r="E66" s="153" t="s">
        <v>2086</v>
      </c>
      <c r="F66" s="6"/>
      <c r="G66" s="6"/>
      <c r="H66" s="85">
        <v>12</v>
      </c>
      <c r="I66" s="103">
        <f>IFERROR(VLOOKUP(B66,'July 2026-Recived'!$B$2:$H$1300,7,0),0)</f>
        <v>0</v>
      </c>
      <c r="J66" s="103">
        <f>IFERROR(VLOOKUP(B66,'July 2026- Dispatch'!$B$2:$H$1300,7,0),0)</f>
        <v>12</v>
      </c>
      <c r="K66" s="61">
        <f t="shared" ref="K66:K129" si="1">H66+I66-J66</f>
        <v>0</v>
      </c>
      <c r="L66" s="123">
        <v>0</v>
      </c>
    </row>
    <row r="67" spans="1:13" hidden="1" x14ac:dyDescent="0.25">
      <c r="A67" s="7">
        <v>66</v>
      </c>
      <c r="B67" s="152" t="s">
        <v>2225</v>
      </c>
      <c r="C67" s="153" t="s">
        <v>2226</v>
      </c>
      <c r="D67" s="153" t="s">
        <v>2227</v>
      </c>
      <c r="E67" s="153" t="s">
        <v>2083</v>
      </c>
      <c r="F67" s="6"/>
      <c r="G67" s="6"/>
      <c r="H67" s="85">
        <v>0</v>
      </c>
      <c r="I67" s="103">
        <f>IFERROR(VLOOKUP(B67,'July 2026-Recived'!$B$2:$H$1300,7,0),0)</f>
        <v>0</v>
      </c>
      <c r="J67" s="103">
        <f>IFERROR(VLOOKUP(B67,'July 2026- Dispatch'!$B$2:$H$1300,7,0),0)</f>
        <v>0</v>
      </c>
      <c r="K67" s="61">
        <f t="shared" si="1"/>
        <v>0</v>
      </c>
      <c r="L67" s="123">
        <v>0</v>
      </c>
    </row>
    <row r="68" spans="1:13" hidden="1" x14ac:dyDescent="0.25">
      <c r="A68" s="7">
        <v>67</v>
      </c>
      <c r="B68" s="152" t="s">
        <v>667</v>
      </c>
      <c r="C68" s="153" t="s">
        <v>2228</v>
      </c>
      <c r="D68" s="153" t="s">
        <v>2229</v>
      </c>
      <c r="E68" s="153" t="s">
        <v>2083</v>
      </c>
      <c r="F68" s="6"/>
      <c r="G68" s="6"/>
      <c r="H68" s="85">
        <v>0</v>
      </c>
      <c r="I68" s="103">
        <f>IFERROR(VLOOKUP(B68,'July 2026-Recived'!$B$2:$H$1300,7,0),0)</f>
        <v>0</v>
      </c>
      <c r="J68" s="103">
        <f>IFERROR(VLOOKUP(B68,'July 2026- Dispatch'!$B$2:$H$1300,7,0),0)</f>
        <v>0</v>
      </c>
      <c r="K68" s="61">
        <f t="shared" si="1"/>
        <v>0</v>
      </c>
      <c r="L68" s="123">
        <v>0</v>
      </c>
    </row>
    <row r="69" spans="1:13" hidden="1" x14ac:dyDescent="0.25">
      <c r="A69" s="7">
        <v>68</v>
      </c>
      <c r="B69" s="152" t="s">
        <v>680</v>
      </c>
      <c r="C69" s="153" t="s">
        <v>2230</v>
      </c>
      <c r="D69" s="153" t="s">
        <v>2231</v>
      </c>
      <c r="E69" s="153" t="s">
        <v>2083</v>
      </c>
      <c r="F69" s="6"/>
      <c r="G69" s="6"/>
      <c r="H69" s="85">
        <v>0</v>
      </c>
      <c r="I69" s="103">
        <f>IFERROR(VLOOKUP(B69,'July 2026-Recived'!$B$2:$H$1300,7,0),0)</f>
        <v>0</v>
      </c>
      <c r="J69" s="103">
        <f>IFERROR(VLOOKUP(B69,'July 2026- Dispatch'!$B$2:$H$1300,7,0),0)</f>
        <v>0</v>
      </c>
      <c r="K69" s="61">
        <f t="shared" si="1"/>
        <v>0</v>
      </c>
      <c r="L69" s="123">
        <v>0</v>
      </c>
      <c r="M69" s="60"/>
    </row>
    <row r="70" spans="1:13" hidden="1" x14ac:dyDescent="0.25">
      <c r="A70" s="7">
        <v>69</v>
      </c>
      <c r="B70" s="152" t="s">
        <v>2232</v>
      </c>
      <c r="C70" s="153" t="s">
        <v>2233</v>
      </c>
      <c r="D70" s="153" t="s">
        <v>2234</v>
      </c>
      <c r="E70" s="153" t="s">
        <v>2083</v>
      </c>
      <c r="F70" s="6"/>
      <c r="G70" s="6"/>
      <c r="H70" s="85">
        <v>0</v>
      </c>
      <c r="I70" s="103">
        <f>IFERROR(VLOOKUP(B70,'July 2026-Recived'!$B$2:$H$1300,7,0),0)</f>
        <v>0</v>
      </c>
      <c r="J70" s="103">
        <f>IFERROR(VLOOKUP(B70,'July 2026- Dispatch'!$B$2:$H$1300,7,0),0)</f>
        <v>0</v>
      </c>
      <c r="K70" s="61">
        <f t="shared" si="1"/>
        <v>0</v>
      </c>
      <c r="L70" s="123">
        <v>0</v>
      </c>
    </row>
    <row r="71" spans="1:13" hidden="1" x14ac:dyDescent="0.25">
      <c r="A71" s="7">
        <v>70</v>
      </c>
      <c r="B71" s="152" t="s">
        <v>2235</v>
      </c>
      <c r="C71" s="153" t="s">
        <v>2236</v>
      </c>
      <c r="D71" s="153" t="s">
        <v>2237</v>
      </c>
      <c r="E71" s="153" t="s">
        <v>2083</v>
      </c>
      <c r="F71" s="6"/>
      <c r="G71" s="6"/>
      <c r="H71" s="85">
        <v>0</v>
      </c>
      <c r="I71" s="103">
        <f>IFERROR(VLOOKUP(B71,'July 2026-Recived'!$B$2:$H$1300,7,0),0)</f>
        <v>0</v>
      </c>
      <c r="J71" s="103">
        <f>IFERROR(VLOOKUP(B71,'July 2026- Dispatch'!$B$2:$H$1300,7,0),0)</f>
        <v>0</v>
      </c>
      <c r="K71" s="61">
        <f t="shared" si="1"/>
        <v>0</v>
      </c>
      <c r="L71" s="123">
        <v>0</v>
      </c>
    </row>
    <row r="72" spans="1:13" hidden="1" x14ac:dyDescent="0.25">
      <c r="A72" s="7">
        <v>71</v>
      </c>
      <c r="B72" s="152" t="s">
        <v>2238</v>
      </c>
      <c r="C72" s="153" t="s">
        <v>2239</v>
      </c>
      <c r="D72" s="153" t="s">
        <v>2240</v>
      </c>
      <c r="E72" s="153" t="s">
        <v>2086</v>
      </c>
      <c r="F72" s="6"/>
      <c r="G72" s="6"/>
      <c r="H72" s="85">
        <v>196</v>
      </c>
      <c r="I72" s="103">
        <f>IFERROR(VLOOKUP(B72,'July 2026-Recived'!$B$2:$H$1300,7,0),0)</f>
        <v>0</v>
      </c>
      <c r="J72" s="103">
        <f>IFERROR(VLOOKUP(B72,'July 2026- Dispatch'!$B$2:$H$1300,7,0),0)</f>
        <v>0</v>
      </c>
      <c r="K72" s="61">
        <f t="shared" si="1"/>
        <v>196</v>
      </c>
      <c r="L72" s="123">
        <v>0</v>
      </c>
    </row>
    <row r="73" spans="1:13" hidden="1" x14ac:dyDescent="0.25">
      <c r="A73" s="7">
        <v>72</v>
      </c>
      <c r="B73" s="152" t="s">
        <v>2241</v>
      </c>
      <c r="C73" s="153" t="s">
        <v>2242</v>
      </c>
      <c r="D73" s="153" t="s">
        <v>2243</v>
      </c>
      <c r="E73" s="153" t="s">
        <v>2083</v>
      </c>
      <c r="F73" s="6"/>
      <c r="G73" s="6"/>
      <c r="H73" s="85">
        <v>0</v>
      </c>
      <c r="I73" s="103">
        <f>IFERROR(VLOOKUP(B73,'July 2026-Recived'!$B$2:$H$1300,7,0),0)</f>
        <v>0</v>
      </c>
      <c r="J73" s="103">
        <f>IFERROR(VLOOKUP(B73,'July 2026- Dispatch'!$B$2:$H$1300,7,0),0)</f>
        <v>0</v>
      </c>
      <c r="K73" s="61">
        <f t="shared" si="1"/>
        <v>0</v>
      </c>
      <c r="L73" s="123">
        <v>0</v>
      </c>
      <c r="M73" s="104"/>
    </row>
    <row r="74" spans="1:13" hidden="1" x14ac:dyDescent="0.25">
      <c r="A74" s="7">
        <v>73</v>
      </c>
      <c r="B74" s="152" t="s">
        <v>290</v>
      </c>
      <c r="C74" s="153" t="s">
        <v>2244</v>
      </c>
      <c r="D74" s="153" t="s">
        <v>2245</v>
      </c>
      <c r="E74" s="153" t="s">
        <v>2083</v>
      </c>
      <c r="F74" s="6"/>
      <c r="G74" s="6"/>
      <c r="H74" s="85">
        <v>0</v>
      </c>
      <c r="I74" s="103">
        <f>IFERROR(VLOOKUP(B74,'July 2026-Recived'!$B$2:$H$1300,7,0),0)</f>
        <v>0</v>
      </c>
      <c r="J74" s="103">
        <f>IFERROR(VLOOKUP(B74,'July 2026- Dispatch'!$B$2:$H$1300,7,0),0)</f>
        <v>0</v>
      </c>
      <c r="K74" s="61">
        <f t="shared" si="1"/>
        <v>0</v>
      </c>
      <c r="L74" s="123">
        <v>0</v>
      </c>
    </row>
    <row r="75" spans="1:13" hidden="1" x14ac:dyDescent="0.25">
      <c r="A75" s="7">
        <v>74</v>
      </c>
      <c r="B75" s="152" t="s">
        <v>2246</v>
      </c>
      <c r="C75" s="153" t="s">
        <v>2247</v>
      </c>
      <c r="D75" s="153" t="s">
        <v>2248</v>
      </c>
      <c r="E75" s="153" t="s">
        <v>2083</v>
      </c>
      <c r="F75" s="6"/>
      <c r="G75" s="6"/>
      <c r="H75" s="85">
        <v>0</v>
      </c>
      <c r="I75" s="103">
        <f>IFERROR(VLOOKUP(B75,'July 2026-Recived'!$B$2:$H$1300,7,0),0)</f>
        <v>0</v>
      </c>
      <c r="J75" s="103">
        <f>IFERROR(VLOOKUP(B75,'July 2026- Dispatch'!$B$2:$H$1300,7,0),0)</f>
        <v>0</v>
      </c>
      <c r="K75" s="61">
        <f t="shared" si="1"/>
        <v>0</v>
      </c>
      <c r="L75" s="123">
        <v>0</v>
      </c>
    </row>
    <row r="76" spans="1:13" hidden="1" x14ac:dyDescent="0.25">
      <c r="A76" s="7">
        <v>75</v>
      </c>
      <c r="B76" s="152" t="s">
        <v>1011</v>
      </c>
      <c r="C76" s="153" t="s">
        <v>2249</v>
      </c>
      <c r="D76" s="153" t="s">
        <v>2250</v>
      </c>
      <c r="E76" s="153" t="s">
        <v>2086</v>
      </c>
      <c r="F76" s="6"/>
      <c r="G76" s="6"/>
      <c r="H76" s="85">
        <v>35</v>
      </c>
      <c r="I76" s="103">
        <f>IFERROR(VLOOKUP(B76,'July 2026-Recived'!$B$2:$H$1300,7,0),0)</f>
        <v>0</v>
      </c>
      <c r="J76" s="103">
        <f>IFERROR(VLOOKUP(B76,'July 2026- Dispatch'!$B$2:$H$1300,7,0),0)</f>
        <v>6</v>
      </c>
      <c r="K76" s="61">
        <f t="shared" si="1"/>
        <v>29</v>
      </c>
      <c r="L76" s="123">
        <v>0</v>
      </c>
    </row>
    <row r="77" spans="1:13" hidden="1" x14ac:dyDescent="0.25">
      <c r="A77" s="7">
        <v>76</v>
      </c>
      <c r="B77" s="152" t="s">
        <v>285</v>
      </c>
      <c r="C77" s="153" t="s">
        <v>2251</v>
      </c>
      <c r="D77" s="153" t="s">
        <v>2252</v>
      </c>
      <c r="E77" s="153" t="s">
        <v>2083</v>
      </c>
      <c r="F77" s="6"/>
      <c r="G77" s="6"/>
      <c r="H77" s="85">
        <v>0</v>
      </c>
      <c r="I77" s="103">
        <f>IFERROR(VLOOKUP(B77,'July 2026-Recived'!$B$2:$H$1300,7,0),0)</f>
        <v>0</v>
      </c>
      <c r="J77" s="103">
        <f>IFERROR(VLOOKUP(B77,'July 2026- Dispatch'!$B$2:$H$1300,7,0),0)</f>
        <v>0</v>
      </c>
      <c r="K77" s="61">
        <f t="shared" si="1"/>
        <v>0</v>
      </c>
      <c r="L77" s="123">
        <v>0</v>
      </c>
    </row>
    <row r="78" spans="1:13" hidden="1" x14ac:dyDescent="0.25">
      <c r="A78" s="7">
        <v>77</v>
      </c>
      <c r="B78" s="152" t="s">
        <v>2253</v>
      </c>
      <c r="C78" s="153" t="s">
        <v>2254</v>
      </c>
      <c r="D78" s="153" t="s">
        <v>2255</v>
      </c>
      <c r="E78" s="153" t="s">
        <v>2083</v>
      </c>
      <c r="F78" s="6"/>
      <c r="G78" s="6"/>
      <c r="H78" s="85">
        <v>0</v>
      </c>
      <c r="I78" s="103">
        <f>IFERROR(VLOOKUP(B78,'July 2026-Recived'!$B$2:$H$1300,7,0),0)</f>
        <v>0</v>
      </c>
      <c r="J78" s="103">
        <f>IFERROR(VLOOKUP(B78,'July 2026- Dispatch'!$B$2:$H$1300,7,0),0)</f>
        <v>0</v>
      </c>
      <c r="K78" s="61">
        <f t="shared" si="1"/>
        <v>0</v>
      </c>
      <c r="L78" s="123">
        <v>0</v>
      </c>
      <c r="M78" s="104"/>
    </row>
    <row r="79" spans="1:13" hidden="1" x14ac:dyDescent="0.25">
      <c r="A79" s="7">
        <v>78</v>
      </c>
      <c r="B79" s="152" t="s">
        <v>2256</v>
      </c>
      <c r="C79" s="153" t="s">
        <v>2257</v>
      </c>
      <c r="D79" s="153" t="s">
        <v>2258</v>
      </c>
      <c r="E79" s="153" t="s">
        <v>2083</v>
      </c>
      <c r="F79" s="6"/>
      <c r="G79" s="6"/>
      <c r="H79" s="85">
        <v>0</v>
      </c>
      <c r="I79" s="103">
        <f>IFERROR(VLOOKUP(B79,'July 2026-Recived'!$B$2:$H$1300,7,0),0)</f>
        <v>0</v>
      </c>
      <c r="J79" s="103">
        <f>IFERROR(VLOOKUP(B79,'July 2026- Dispatch'!$B$2:$H$1300,7,0),0)</f>
        <v>0</v>
      </c>
      <c r="K79" s="61">
        <f t="shared" si="1"/>
        <v>0</v>
      </c>
      <c r="L79" s="123">
        <v>0</v>
      </c>
      <c r="M79" s="104"/>
    </row>
    <row r="80" spans="1:13" hidden="1" x14ac:dyDescent="0.25">
      <c r="A80" s="7">
        <v>79</v>
      </c>
      <c r="B80" s="152" t="s">
        <v>2259</v>
      </c>
      <c r="C80" s="153" t="s">
        <v>2260</v>
      </c>
      <c r="D80" s="153" t="s">
        <v>2261</v>
      </c>
      <c r="E80" s="153" t="s">
        <v>2083</v>
      </c>
      <c r="F80" s="6"/>
      <c r="G80" s="6"/>
      <c r="H80" s="85">
        <v>0</v>
      </c>
      <c r="I80" s="103">
        <f>IFERROR(VLOOKUP(B80,'July 2026-Recived'!$B$2:$H$1300,7,0),0)</f>
        <v>0</v>
      </c>
      <c r="J80" s="103">
        <f>IFERROR(VLOOKUP(B80,'July 2026- Dispatch'!$B$2:$H$1300,7,0),0)</f>
        <v>0</v>
      </c>
      <c r="K80" s="61">
        <f t="shared" si="1"/>
        <v>0</v>
      </c>
      <c r="L80" s="123">
        <v>0</v>
      </c>
    </row>
    <row r="81" spans="1:13" hidden="1" x14ac:dyDescent="0.25">
      <c r="A81" s="7">
        <v>80</v>
      </c>
      <c r="B81" s="152" t="s">
        <v>2262</v>
      </c>
      <c r="C81" s="153" t="s">
        <v>2263</v>
      </c>
      <c r="D81" s="153" t="s">
        <v>2264</v>
      </c>
      <c r="E81" s="153" t="s">
        <v>2086</v>
      </c>
      <c r="F81" s="6"/>
      <c r="G81" s="6"/>
      <c r="H81" s="85">
        <v>10</v>
      </c>
      <c r="I81" s="103">
        <f>IFERROR(VLOOKUP(B81,'July 2026-Recived'!$B$2:$H$1300,7,0),0)</f>
        <v>0</v>
      </c>
      <c r="J81" s="103">
        <f>IFERROR(VLOOKUP(B81,'July 2026- Dispatch'!$B$2:$H$1300,7,0),0)</f>
        <v>0</v>
      </c>
      <c r="K81" s="61">
        <f t="shared" si="1"/>
        <v>10</v>
      </c>
      <c r="L81" s="123">
        <v>0</v>
      </c>
    </row>
    <row r="82" spans="1:13" hidden="1" x14ac:dyDescent="0.25">
      <c r="A82" s="7">
        <v>81</v>
      </c>
      <c r="B82" s="152" t="s">
        <v>2265</v>
      </c>
      <c r="C82" s="153" t="s">
        <v>2266</v>
      </c>
      <c r="D82" s="153" t="s">
        <v>2267</v>
      </c>
      <c r="E82" s="153" t="s">
        <v>2083</v>
      </c>
      <c r="F82" s="6"/>
      <c r="G82" s="6"/>
      <c r="H82" s="85">
        <v>0</v>
      </c>
      <c r="I82" s="103">
        <f>IFERROR(VLOOKUP(B82,'July 2026-Recived'!$B$2:$H$1300,7,0),0)</f>
        <v>0</v>
      </c>
      <c r="J82" s="103">
        <f>IFERROR(VLOOKUP(B82,'July 2026- Dispatch'!$B$2:$H$1300,7,0),0)</f>
        <v>0</v>
      </c>
      <c r="K82" s="61">
        <f t="shared" si="1"/>
        <v>0</v>
      </c>
      <c r="L82" s="123">
        <v>0</v>
      </c>
    </row>
    <row r="83" spans="1:13" hidden="1" x14ac:dyDescent="0.25">
      <c r="A83" s="7">
        <v>82</v>
      </c>
      <c r="B83" s="152" t="s">
        <v>2268</v>
      </c>
      <c r="C83" s="153" t="s">
        <v>2269</v>
      </c>
      <c r="D83" s="153" t="s">
        <v>2270</v>
      </c>
      <c r="E83" s="153" t="s">
        <v>2083</v>
      </c>
      <c r="F83" s="6"/>
      <c r="G83" s="6"/>
      <c r="H83" s="85">
        <v>0</v>
      </c>
      <c r="I83" s="103">
        <f>IFERROR(VLOOKUP(B83,'July 2026-Recived'!$B$2:$H$1300,7,0),0)</f>
        <v>0</v>
      </c>
      <c r="J83" s="103">
        <f>IFERROR(VLOOKUP(B83,'July 2026- Dispatch'!$B$2:$H$1300,7,0),0)</f>
        <v>0</v>
      </c>
      <c r="K83" s="61">
        <f t="shared" si="1"/>
        <v>0</v>
      </c>
      <c r="L83" s="123">
        <v>0</v>
      </c>
    </row>
    <row r="84" spans="1:13" hidden="1" x14ac:dyDescent="0.25">
      <c r="A84" s="7">
        <v>83</v>
      </c>
      <c r="B84" s="152" t="s">
        <v>2271</v>
      </c>
      <c r="C84" s="153" t="s">
        <v>2272</v>
      </c>
      <c r="D84" s="153" t="s">
        <v>2273</v>
      </c>
      <c r="E84" s="153" t="s">
        <v>2083</v>
      </c>
      <c r="F84" s="6"/>
      <c r="G84" s="6"/>
      <c r="H84" s="85">
        <v>0</v>
      </c>
      <c r="I84" s="103">
        <f>IFERROR(VLOOKUP(B84,'July 2026-Recived'!$B$2:$H$1300,7,0),0)</f>
        <v>0</v>
      </c>
      <c r="J84" s="103">
        <f>IFERROR(VLOOKUP(B84,'July 2026- Dispatch'!$B$2:$H$1300,7,0),0)</f>
        <v>0</v>
      </c>
      <c r="K84" s="61">
        <f t="shared" si="1"/>
        <v>0</v>
      </c>
      <c r="L84" s="123">
        <v>0</v>
      </c>
      <c r="M84" s="104"/>
    </row>
    <row r="85" spans="1:13" hidden="1" x14ac:dyDescent="0.25">
      <c r="A85" s="7">
        <v>84</v>
      </c>
      <c r="B85" s="152" t="s">
        <v>2274</v>
      </c>
      <c r="C85" s="153" t="s">
        <v>2275</v>
      </c>
      <c r="D85" s="153" t="s">
        <v>2276</v>
      </c>
      <c r="E85" s="153" t="s">
        <v>2083</v>
      </c>
      <c r="F85" s="6"/>
      <c r="G85" s="6"/>
      <c r="H85" s="85">
        <v>0</v>
      </c>
      <c r="I85" s="103">
        <f>IFERROR(VLOOKUP(B85,'July 2026-Recived'!$B$2:$H$1300,7,0),0)</f>
        <v>0</v>
      </c>
      <c r="J85" s="103">
        <f>IFERROR(VLOOKUP(B85,'July 2026- Dispatch'!$B$2:$H$1300,7,0),0)</f>
        <v>0</v>
      </c>
      <c r="K85" s="61">
        <f t="shared" si="1"/>
        <v>0</v>
      </c>
      <c r="L85" s="123">
        <v>0</v>
      </c>
    </row>
    <row r="86" spans="1:13" hidden="1" x14ac:dyDescent="0.25">
      <c r="A86" s="7">
        <v>85</v>
      </c>
      <c r="B86" s="152" t="s">
        <v>2277</v>
      </c>
      <c r="C86" s="153" t="s">
        <v>2278</v>
      </c>
      <c r="D86" s="153" t="s">
        <v>2279</v>
      </c>
      <c r="E86" s="153" t="s">
        <v>2083</v>
      </c>
      <c r="F86" s="6"/>
      <c r="G86" s="6"/>
      <c r="H86" s="85">
        <v>0</v>
      </c>
      <c r="I86" s="103">
        <f>IFERROR(VLOOKUP(B86,'July 2026-Recived'!$B$2:$H$1300,7,0),0)</f>
        <v>0</v>
      </c>
      <c r="J86" s="103">
        <f>IFERROR(VLOOKUP(B86,'July 2026- Dispatch'!$B$2:$H$1300,7,0),0)</f>
        <v>0</v>
      </c>
      <c r="K86" s="61">
        <f t="shared" si="1"/>
        <v>0</v>
      </c>
      <c r="L86" s="123">
        <v>0</v>
      </c>
    </row>
    <row r="87" spans="1:13" hidden="1" x14ac:dyDescent="0.25">
      <c r="A87" s="7">
        <v>86</v>
      </c>
      <c r="B87" s="152" t="s">
        <v>831</v>
      </c>
      <c r="C87" s="153" t="s">
        <v>2280</v>
      </c>
      <c r="D87" s="153" t="s">
        <v>2281</v>
      </c>
      <c r="E87" s="153" t="s">
        <v>2086</v>
      </c>
      <c r="F87" s="6"/>
      <c r="G87" s="6"/>
      <c r="H87" s="85">
        <v>22</v>
      </c>
      <c r="I87" s="103">
        <f>IFERROR(VLOOKUP(B87,'July 2026-Recived'!$B$2:$H$1300,7,0),0)</f>
        <v>0</v>
      </c>
      <c r="J87" s="103">
        <f>IFERROR(VLOOKUP(B87,'July 2026- Dispatch'!$B$2:$H$1300,7,0),0)</f>
        <v>6</v>
      </c>
      <c r="K87" s="61">
        <f t="shared" si="1"/>
        <v>16</v>
      </c>
      <c r="L87" s="123">
        <v>0</v>
      </c>
    </row>
    <row r="88" spans="1:13" hidden="1" x14ac:dyDescent="0.25">
      <c r="A88" s="7">
        <v>87</v>
      </c>
      <c r="B88" s="152" t="s">
        <v>2282</v>
      </c>
      <c r="C88" s="153" t="s">
        <v>2283</v>
      </c>
      <c r="D88" s="153" t="s">
        <v>2284</v>
      </c>
      <c r="E88" s="153" t="s">
        <v>2086</v>
      </c>
      <c r="F88" s="6"/>
      <c r="G88" s="6"/>
      <c r="H88" s="85">
        <v>89</v>
      </c>
      <c r="I88" s="103">
        <f>IFERROR(VLOOKUP(B88,'July 2026-Recived'!$B$2:$H$1300,7,0),0)</f>
        <v>0</v>
      </c>
      <c r="J88" s="103">
        <f>IFERROR(VLOOKUP(B88,'July 2026- Dispatch'!$B$2:$H$1300,7,0),0)</f>
        <v>0</v>
      </c>
      <c r="K88" s="61">
        <f t="shared" si="1"/>
        <v>89</v>
      </c>
      <c r="L88" s="123">
        <v>0</v>
      </c>
    </row>
    <row r="89" spans="1:13" hidden="1" x14ac:dyDescent="0.25">
      <c r="A89" s="7">
        <v>88</v>
      </c>
      <c r="B89" s="152" t="s">
        <v>1154</v>
      </c>
      <c r="C89" s="153" t="s">
        <v>2285</v>
      </c>
      <c r="D89" s="153" t="s">
        <v>2286</v>
      </c>
      <c r="E89" s="153" t="s">
        <v>2086</v>
      </c>
      <c r="F89" s="6"/>
      <c r="G89" s="6"/>
      <c r="H89" s="85">
        <v>128</v>
      </c>
      <c r="I89" s="103">
        <f>IFERROR(VLOOKUP(B89,'July 2026-Recived'!$B$2:$H$1300,7,0),0)</f>
        <v>0</v>
      </c>
      <c r="J89" s="103">
        <f>IFERROR(VLOOKUP(B89,'July 2026- Dispatch'!$B$2:$H$1300,7,0),0)</f>
        <v>23</v>
      </c>
      <c r="K89" s="61">
        <f t="shared" si="1"/>
        <v>105</v>
      </c>
      <c r="L89" s="123">
        <v>0</v>
      </c>
    </row>
    <row r="90" spans="1:13" hidden="1" x14ac:dyDescent="0.25">
      <c r="A90" s="7">
        <v>89</v>
      </c>
      <c r="B90" s="152" t="s">
        <v>1434</v>
      </c>
      <c r="C90" s="153" t="s">
        <v>2287</v>
      </c>
      <c r="D90" s="153" t="s">
        <v>2288</v>
      </c>
      <c r="E90" s="153" t="s">
        <v>2086</v>
      </c>
      <c r="F90" s="6"/>
      <c r="G90" s="6"/>
      <c r="H90" s="85">
        <v>30</v>
      </c>
      <c r="I90" s="103">
        <f>IFERROR(VLOOKUP(B90,'July 2026-Recived'!$B$2:$H$1300,7,0),0)</f>
        <v>0</v>
      </c>
      <c r="J90" s="103">
        <f>IFERROR(VLOOKUP(B90,'July 2026- Dispatch'!$B$2:$H$1300,7,0),0)</f>
        <v>0</v>
      </c>
      <c r="K90" s="61">
        <f t="shared" si="1"/>
        <v>30</v>
      </c>
      <c r="L90" s="123">
        <v>0</v>
      </c>
    </row>
    <row r="91" spans="1:13" hidden="1" x14ac:dyDescent="0.25">
      <c r="A91" s="7">
        <v>90</v>
      </c>
      <c r="B91" s="152" t="s">
        <v>2289</v>
      </c>
      <c r="C91" s="153" t="s">
        <v>2290</v>
      </c>
      <c r="D91" s="153" t="s">
        <v>2291</v>
      </c>
      <c r="E91" s="153" t="s">
        <v>2083</v>
      </c>
      <c r="F91" s="6"/>
      <c r="G91" s="6"/>
      <c r="H91" s="85">
        <v>0</v>
      </c>
      <c r="I91" s="103">
        <f>IFERROR(VLOOKUP(B91,'July 2026-Recived'!$B$2:$H$1300,7,0),0)</f>
        <v>300000</v>
      </c>
      <c r="J91" s="103">
        <f>IFERROR(VLOOKUP(B91,'July 2026- Dispatch'!$B$2:$H$1300,7,0),0)</f>
        <v>9000</v>
      </c>
      <c r="K91" s="61">
        <f t="shared" si="1"/>
        <v>291000</v>
      </c>
      <c r="L91" s="123">
        <v>0</v>
      </c>
    </row>
    <row r="92" spans="1:13" hidden="1" x14ac:dyDescent="0.25">
      <c r="A92" s="7">
        <v>91</v>
      </c>
      <c r="B92" s="152" t="s">
        <v>676</v>
      </c>
      <c r="C92" s="153" t="s">
        <v>2292</v>
      </c>
      <c r="D92" s="153" t="s">
        <v>2293</v>
      </c>
      <c r="E92" s="153" t="s">
        <v>2083</v>
      </c>
      <c r="F92" s="6"/>
      <c r="G92" s="6"/>
      <c r="H92" s="85">
        <v>0</v>
      </c>
      <c r="I92" s="103">
        <f>IFERROR(VLOOKUP(B92,'July 2026-Recived'!$B$2:$H$1300,7,0),0)</f>
        <v>0</v>
      </c>
      <c r="J92" s="103">
        <f>IFERROR(VLOOKUP(B92,'July 2026- Dispatch'!$B$2:$H$1300,7,0),0)</f>
        <v>0</v>
      </c>
      <c r="K92" s="61">
        <f t="shared" si="1"/>
        <v>0</v>
      </c>
      <c r="L92" s="123">
        <v>0</v>
      </c>
    </row>
    <row r="93" spans="1:13" hidden="1" x14ac:dyDescent="0.25">
      <c r="A93" s="7">
        <v>92</v>
      </c>
      <c r="B93" s="152" t="s">
        <v>1163</v>
      </c>
      <c r="C93" s="153" t="s">
        <v>2294</v>
      </c>
      <c r="D93" s="153" t="s">
        <v>2295</v>
      </c>
      <c r="E93" s="153" t="s">
        <v>2086</v>
      </c>
      <c r="F93" s="6"/>
      <c r="G93" s="6"/>
      <c r="H93" s="85">
        <v>233</v>
      </c>
      <c r="I93" s="103">
        <f>IFERROR(VLOOKUP(B93,'July 2026-Recived'!$B$2:$H$1300,7,0),0)</f>
        <v>0</v>
      </c>
      <c r="J93" s="103">
        <f>IFERROR(VLOOKUP(B93,'July 2026- Dispatch'!$B$2:$H$1300,7,0),0)</f>
        <v>14</v>
      </c>
      <c r="K93" s="61">
        <f t="shared" si="1"/>
        <v>219</v>
      </c>
      <c r="L93" s="123">
        <v>0</v>
      </c>
    </row>
    <row r="94" spans="1:13" hidden="1" x14ac:dyDescent="0.25">
      <c r="A94" s="7">
        <v>93</v>
      </c>
      <c r="B94" s="152" t="s">
        <v>886</v>
      </c>
      <c r="C94" s="153" t="s">
        <v>2296</v>
      </c>
      <c r="D94" s="153" t="s">
        <v>2297</v>
      </c>
      <c r="E94" s="153" t="s">
        <v>2083</v>
      </c>
      <c r="F94" s="6"/>
      <c r="G94" s="6"/>
      <c r="H94" s="85">
        <v>0</v>
      </c>
      <c r="I94" s="103">
        <f>IFERROR(VLOOKUP(B94,'July 2026-Recived'!$B$2:$H$1300,7,0),0)</f>
        <v>0</v>
      </c>
      <c r="J94" s="103">
        <f>IFERROR(VLOOKUP(B94,'July 2026- Dispatch'!$B$2:$H$1300,7,0),0)</f>
        <v>0</v>
      </c>
      <c r="K94" s="61">
        <f t="shared" si="1"/>
        <v>0</v>
      </c>
      <c r="L94" s="123">
        <v>0</v>
      </c>
    </row>
    <row r="95" spans="1:13" hidden="1" x14ac:dyDescent="0.25">
      <c r="A95" s="7">
        <v>94</v>
      </c>
      <c r="B95" s="152" t="s">
        <v>333</v>
      </c>
      <c r="C95" s="153" t="s">
        <v>2298</v>
      </c>
      <c r="D95" s="153" t="s">
        <v>2299</v>
      </c>
      <c r="E95" s="153" t="s">
        <v>2086</v>
      </c>
      <c r="F95" s="6"/>
      <c r="G95" s="6"/>
      <c r="H95" s="85">
        <v>44</v>
      </c>
      <c r="I95" s="103">
        <f>IFERROR(VLOOKUP(B95,'July 2026-Recived'!$B$2:$H$1300,7,0),0)</f>
        <v>0</v>
      </c>
      <c r="J95" s="103">
        <f>IFERROR(VLOOKUP(B95,'July 2026- Dispatch'!$B$2:$H$1300,7,0),0)</f>
        <v>1</v>
      </c>
      <c r="K95" s="61">
        <f t="shared" si="1"/>
        <v>43</v>
      </c>
      <c r="L95" s="123">
        <v>0</v>
      </c>
    </row>
    <row r="96" spans="1:13" hidden="1" x14ac:dyDescent="0.25">
      <c r="A96" s="7">
        <v>95</v>
      </c>
      <c r="B96" s="152" t="s">
        <v>2300</v>
      </c>
      <c r="C96" s="153" t="s">
        <v>2301</v>
      </c>
      <c r="D96" s="153" t="s">
        <v>2302</v>
      </c>
      <c r="E96" s="153" t="s">
        <v>2086</v>
      </c>
      <c r="F96" s="6"/>
      <c r="G96" s="6"/>
      <c r="H96" s="85">
        <v>355</v>
      </c>
      <c r="I96" s="103">
        <f>IFERROR(VLOOKUP(B96,'July 2026-Recived'!$B$2:$H$1300,7,0),0)</f>
        <v>0</v>
      </c>
      <c r="J96" s="103">
        <f>IFERROR(VLOOKUP(B96,'July 2026- Dispatch'!$B$2:$H$1300,7,0),0)</f>
        <v>0</v>
      </c>
      <c r="K96" s="61">
        <f t="shared" si="1"/>
        <v>355</v>
      </c>
      <c r="L96" s="123">
        <v>0</v>
      </c>
    </row>
    <row r="97" spans="1:13" hidden="1" x14ac:dyDescent="0.25">
      <c r="A97" s="7">
        <v>96</v>
      </c>
      <c r="B97" s="152" t="s">
        <v>1572</v>
      </c>
      <c r="C97" s="153" t="s">
        <v>2303</v>
      </c>
      <c r="D97" s="153" t="s">
        <v>2304</v>
      </c>
      <c r="E97" s="153" t="s">
        <v>2086</v>
      </c>
      <c r="F97" s="6"/>
      <c r="G97" s="6"/>
      <c r="H97" s="85">
        <v>405</v>
      </c>
      <c r="I97" s="103">
        <f>IFERROR(VLOOKUP(B97,'July 2026-Recived'!$B$2:$H$1300,7,0),0)</f>
        <v>0</v>
      </c>
      <c r="J97" s="103">
        <f>IFERROR(VLOOKUP(B97,'July 2026- Dispatch'!$B$2:$H$1300,7,0),0)</f>
        <v>0</v>
      </c>
      <c r="K97" s="61">
        <f t="shared" si="1"/>
        <v>405</v>
      </c>
      <c r="L97" s="123">
        <v>0</v>
      </c>
    </row>
    <row r="98" spans="1:13" hidden="1" x14ac:dyDescent="0.25">
      <c r="A98" s="7">
        <v>97</v>
      </c>
      <c r="B98" s="152" t="s">
        <v>707</v>
      </c>
      <c r="C98" s="153" t="s">
        <v>2305</v>
      </c>
      <c r="D98" s="153" t="s">
        <v>2306</v>
      </c>
      <c r="E98" s="153" t="s">
        <v>2083</v>
      </c>
      <c r="F98" s="6"/>
      <c r="G98" s="6"/>
      <c r="H98" s="85">
        <v>0</v>
      </c>
      <c r="I98" s="103">
        <f>IFERROR(VLOOKUP(B98,'July 2026-Recived'!$B$2:$H$1300,7,0),0)</f>
        <v>0</v>
      </c>
      <c r="J98" s="103">
        <f>IFERROR(VLOOKUP(B98,'July 2026- Dispatch'!$B$2:$H$1300,7,0),0)</f>
        <v>0</v>
      </c>
      <c r="K98" s="61">
        <f t="shared" si="1"/>
        <v>0</v>
      </c>
      <c r="L98" s="123">
        <v>0</v>
      </c>
      <c r="M98" s="104"/>
    </row>
    <row r="99" spans="1:13" hidden="1" x14ac:dyDescent="0.25">
      <c r="A99" s="7">
        <v>98</v>
      </c>
      <c r="B99" s="152" t="s">
        <v>279</v>
      </c>
      <c r="C99" s="153" t="s">
        <v>2307</v>
      </c>
      <c r="D99" s="153" t="s">
        <v>2308</v>
      </c>
      <c r="E99" s="153" t="s">
        <v>2083</v>
      </c>
      <c r="F99" s="6"/>
      <c r="G99" s="6"/>
      <c r="H99" s="85">
        <v>0</v>
      </c>
      <c r="I99" s="103">
        <f>IFERROR(VLOOKUP(B99,'July 2026-Recived'!$B$2:$H$1300,7,0),0)</f>
        <v>0</v>
      </c>
      <c r="J99" s="103">
        <f>IFERROR(VLOOKUP(B99,'July 2026- Dispatch'!$B$2:$H$1300,7,0),0)</f>
        <v>0</v>
      </c>
      <c r="K99" s="61">
        <f t="shared" si="1"/>
        <v>0</v>
      </c>
      <c r="L99" s="123">
        <v>0</v>
      </c>
    </row>
    <row r="100" spans="1:13" hidden="1" x14ac:dyDescent="0.25">
      <c r="A100" s="7">
        <v>99</v>
      </c>
      <c r="B100" s="152" t="s">
        <v>1418</v>
      </c>
      <c r="C100" s="153" t="s">
        <v>2309</v>
      </c>
      <c r="D100" s="153" t="s">
        <v>2310</v>
      </c>
      <c r="E100" s="153" t="s">
        <v>64</v>
      </c>
      <c r="F100" s="6"/>
      <c r="G100" s="6"/>
      <c r="H100" s="85">
        <v>26.65</v>
      </c>
      <c r="I100" s="103">
        <f>IFERROR(VLOOKUP(B100,'July 2026-Recived'!$B$2:$H$1300,7,0),0)</f>
        <v>0</v>
      </c>
      <c r="J100" s="103">
        <f>IFERROR(VLOOKUP(B100,'July 2026- Dispatch'!$B$2:$H$1300,7,0),0)</f>
        <v>8</v>
      </c>
      <c r="K100" s="61">
        <f t="shared" si="1"/>
        <v>18.649999999999999</v>
      </c>
      <c r="L100" s="123">
        <v>0</v>
      </c>
    </row>
    <row r="101" spans="1:13" hidden="1" x14ac:dyDescent="0.25">
      <c r="A101" s="7">
        <v>100</v>
      </c>
      <c r="B101" s="152" t="s">
        <v>2311</v>
      </c>
      <c r="C101" s="153" t="s">
        <v>2312</v>
      </c>
      <c r="D101" s="153" t="s">
        <v>2313</v>
      </c>
      <c r="E101" s="153" t="s">
        <v>2083</v>
      </c>
      <c r="F101" s="6"/>
      <c r="G101" s="6"/>
      <c r="H101" s="85">
        <v>0</v>
      </c>
      <c r="I101" s="103">
        <f>IFERROR(VLOOKUP(B101,'July 2026-Recived'!$B$2:$H$1300,7,0),0)</f>
        <v>0</v>
      </c>
      <c r="J101" s="103">
        <f>IFERROR(VLOOKUP(B101,'July 2026- Dispatch'!$B$2:$H$1300,7,0),0)</f>
        <v>0</v>
      </c>
      <c r="K101" s="61">
        <f t="shared" si="1"/>
        <v>0</v>
      </c>
      <c r="L101" s="123">
        <v>0</v>
      </c>
    </row>
    <row r="102" spans="1:13" hidden="1" x14ac:dyDescent="0.25">
      <c r="A102" s="7">
        <v>101</v>
      </c>
      <c r="B102" s="152" t="s">
        <v>1376</v>
      </c>
      <c r="C102" s="153" t="s">
        <v>2314</v>
      </c>
      <c r="D102" s="153" t="s">
        <v>2315</v>
      </c>
      <c r="E102" s="153" t="s">
        <v>2086</v>
      </c>
      <c r="F102" s="6"/>
      <c r="G102" s="6"/>
      <c r="H102" s="85">
        <v>140</v>
      </c>
      <c r="I102" s="103">
        <f>IFERROR(VLOOKUP(B102,'July 2026-Recived'!$B$2:$H$1300,7,0),0)</f>
        <v>0</v>
      </c>
      <c r="J102" s="103">
        <f>IFERROR(VLOOKUP(B102,'July 2026- Dispatch'!$B$2:$H$1300,7,0),0)</f>
        <v>0</v>
      </c>
      <c r="K102" s="61">
        <f t="shared" si="1"/>
        <v>140</v>
      </c>
      <c r="L102" s="123">
        <v>0</v>
      </c>
    </row>
    <row r="103" spans="1:13" hidden="1" x14ac:dyDescent="0.25">
      <c r="A103" s="7">
        <v>102</v>
      </c>
      <c r="B103" s="152" t="s">
        <v>269</v>
      </c>
      <c r="C103" s="153" t="s">
        <v>2316</v>
      </c>
      <c r="D103" s="153" t="s">
        <v>2317</v>
      </c>
      <c r="E103" s="153" t="s">
        <v>2083</v>
      </c>
      <c r="F103" s="6"/>
      <c r="G103" s="6"/>
      <c r="H103" s="85">
        <v>0</v>
      </c>
      <c r="I103" s="103">
        <f>IFERROR(VLOOKUP(B103,'July 2026-Recived'!$B$2:$H$1300,7,0),0)</f>
        <v>0</v>
      </c>
      <c r="J103" s="103">
        <f>IFERROR(VLOOKUP(B103,'July 2026- Dispatch'!$B$2:$H$1300,7,0),0)</f>
        <v>0</v>
      </c>
      <c r="K103" s="61">
        <f t="shared" si="1"/>
        <v>0</v>
      </c>
      <c r="L103" s="123">
        <v>0</v>
      </c>
    </row>
    <row r="104" spans="1:13" hidden="1" x14ac:dyDescent="0.25">
      <c r="A104" s="7">
        <v>103</v>
      </c>
      <c r="B104" s="152" t="s">
        <v>275</v>
      </c>
      <c r="C104" s="153" t="s">
        <v>2318</v>
      </c>
      <c r="D104" s="153" t="s">
        <v>2319</v>
      </c>
      <c r="E104" s="153" t="s">
        <v>2086</v>
      </c>
      <c r="F104" s="6"/>
      <c r="G104" s="6"/>
      <c r="H104" s="85">
        <v>24</v>
      </c>
      <c r="I104" s="103">
        <f>IFERROR(VLOOKUP(B104,'July 2026-Recived'!$B$2:$H$1300,7,0),0)</f>
        <v>0</v>
      </c>
      <c r="J104" s="103">
        <f>IFERROR(VLOOKUP(B104,'July 2026- Dispatch'!$B$2:$H$1300,7,0),0)</f>
        <v>1</v>
      </c>
      <c r="K104" s="61">
        <f t="shared" si="1"/>
        <v>23</v>
      </c>
      <c r="L104" s="123">
        <v>0</v>
      </c>
    </row>
    <row r="105" spans="1:13" hidden="1" x14ac:dyDescent="0.25">
      <c r="A105" s="7">
        <v>104</v>
      </c>
      <c r="B105" s="152" t="s">
        <v>946</v>
      </c>
      <c r="C105" s="153" t="s">
        <v>2320</v>
      </c>
      <c r="D105" s="153" t="s">
        <v>2321</v>
      </c>
      <c r="E105" s="153" t="s">
        <v>2083</v>
      </c>
      <c r="F105" s="6"/>
      <c r="G105" s="6"/>
      <c r="H105" s="85">
        <v>0</v>
      </c>
      <c r="I105" s="103">
        <f>IFERROR(VLOOKUP(B105,'July 2026-Recived'!$B$2:$H$1300,7,0),0)</f>
        <v>0</v>
      </c>
      <c r="J105" s="103">
        <f>IFERROR(VLOOKUP(B105,'July 2026- Dispatch'!$B$2:$H$1300,7,0),0)</f>
        <v>0</v>
      </c>
      <c r="K105" s="61">
        <f t="shared" si="1"/>
        <v>0</v>
      </c>
      <c r="L105" s="123">
        <v>0</v>
      </c>
    </row>
    <row r="106" spans="1:13" hidden="1" x14ac:dyDescent="0.25">
      <c r="A106" s="7">
        <v>105</v>
      </c>
      <c r="B106" s="152" t="s">
        <v>1476</v>
      </c>
      <c r="C106" s="153" t="s">
        <v>2322</v>
      </c>
      <c r="D106" s="153" t="s">
        <v>2323</v>
      </c>
      <c r="E106" s="153" t="s">
        <v>2086</v>
      </c>
      <c r="F106" s="6"/>
      <c r="G106" s="6"/>
      <c r="H106" s="85">
        <v>14</v>
      </c>
      <c r="I106" s="103">
        <f>IFERROR(VLOOKUP(B106,'July 2026-Recived'!$B$2:$H$1300,7,0),0)</f>
        <v>0</v>
      </c>
      <c r="J106" s="103">
        <f>IFERROR(VLOOKUP(B106,'July 2026- Dispatch'!$B$2:$H$1300,7,0),0)</f>
        <v>6</v>
      </c>
      <c r="K106" s="61">
        <f t="shared" si="1"/>
        <v>8</v>
      </c>
      <c r="L106" s="123">
        <v>0</v>
      </c>
    </row>
    <row r="107" spans="1:13" hidden="1" x14ac:dyDescent="0.25">
      <c r="A107" s="7">
        <v>106</v>
      </c>
      <c r="B107" s="152" t="s">
        <v>1983</v>
      </c>
      <c r="C107" s="153" t="s">
        <v>2324</v>
      </c>
      <c r="D107" s="153" t="s">
        <v>2325</v>
      </c>
      <c r="E107" s="153" t="s">
        <v>2086</v>
      </c>
      <c r="F107" s="6"/>
      <c r="G107" s="6"/>
      <c r="H107" s="85">
        <v>12</v>
      </c>
      <c r="I107" s="103">
        <f>IFERROR(VLOOKUP(B107,'July 2026-Recived'!$B$2:$H$1300,7,0),0)</f>
        <v>0</v>
      </c>
      <c r="J107" s="103">
        <f>IFERROR(VLOOKUP(B107,'July 2026- Dispatch'!$B$2:$H$1300,7,0),0)</f>
        <v>0</v>
      </c>
      <c r="K107" s="61">
        <f t="shared" si="1"/>
        <v>12</v>
      </c>
      <c r="L107" s="123">
        <v>0</v>
      </c>
    </row>
    <row r="108" spans="1:13" hidden="1" x14ac:dyDescent="0.25">
      <c r="A108" s="7">
        <v>107</v>
      </c>
      <c r="B108" s="152" t="s">
        <v>2326</v>
      </c>
      <c r="C108" s="153" t="s">
        <v>2327</v>
      </c>
      <c r="D108" s="153" t="s">
        <v>2328</v>
      </c>
      <c r="E108" s="153" t="s">
        <v>2083</v>
      </c>
      <c r="F108" s="6"/>
      <c r="G108" s="6"/>
      <c r="H108" s="85">
        <v>0</v>
      </c>
      <c r="I108" s="103">
        <f>IFERROR(VLOOKUP(B108,'July 2026-Recived'!$B$2:$H$1300,7,0),0)</f>
        <v>0</v>
      </c>
      <c r="J108" s="103">
        <f>IFERROR(VLOOKUP(B108,'July 2026- Dispatch'!$B$2:$H$1300,7,0),0)</f>
        <v>0</v>
      </c>
      <c r="K108" s="61">
        <f t="shared" si="1"/>
        <v>0</v>
      </c>
      <c r="L108" s="123">
        <v>0</v>
      </c>
    </row>
    <row r="109" spans="1:13" hidden="1" x14ac:dyDescent="0.25">
      <c r="A109" s="7">
        <v>108</v>
      </c>
      <c r="B109" s="152" t="s">
        <v>281</v>
      </c>
      <c r="C109" s="153" t="s">
        <v>2329</v>
      </c>
      <c r="D109" s="153" t="s">
        <v>2330</v>
      </c>
      <c r="E109" s="153" t="s">
        <v>2083</v>
      </c>
      <c r="F109" s="6"/>
      <c r="G109" s="6"/>
      <c r="H109" s="85">
        <v>0</v>
      </c>
      <c r="I109" s="103">
        <f>IFERROR(VLOOKUP(B109,'July 2026-Recived'!$B$2:$H$1300,7,0),0)</f>
        <v>0</v>
      </c>
      <c r="J109" s="103">
        <f>IFERROR(VLOOKUP(B109,'July 2026- Dispatch'!$B$2:$H$1300,7,0),0)</f>
        <v>0</v>
      </c>
      <c r="K109" s="61">
        <f t="shared" si="1"/>
        <v>0</v>
      </c>
      <c r="L109" s="123">
        <v>0</v>
      </c>
    </row>
    <row r="110" spans="1:13" hidden="1" x14ac:dyDescent="0.25">
      <c r="A110" s="7">
        <v>109</v>
      </c>
      <c r="B110" s="152" t="s">
        <v>2331</v>
      </c>
      <c r="C110" s="153" t="s">
        <v>2332</v>
      </c>
      <c r="D110" s="153" t="s">
        <v>2333</v>
      </c>
      <c r="E110" s="153" t="s">
        <v>2086</v>
      </c>
      <c r="F110" s="6"/>
      <c r="G110" s="6"/>
      <c r="H110" s="85">
        <v>36</v>
      </c>
      <c r="I110" s="103">
        <f>IFERROR(VLOOKUP(B110,'July 2026-Recived'!$B$2:$H$1300,7,0),0)</f>
        <v>0</v>
      </c>
      <c r="J110" s="103">
        <f>IFERROR(VLOOKUP(B110,'July 2026- Dispatch'!$B$2:$H$1300,7,0),0)</f>
        <v>0</v>
      </c>
      <c r="K110" s="61">
        <f t="shared" si="1"/>
        <v>36</v>
      </c>
      <c r="L110" s="123">
        <v>0</v>
      </c>
    </row>
    <row r="111" spans="1:13" hidden="1" x14ac:dyDescent="0.25">
      <c r="A111" s="7">
        <v>110</v>
      </c>
      <c r="B111" s="152" t="s">
        <v>266</v>
      </c>
      <c r="C111" s="153" t="s">
        <v>2334</v>
      </c>
      <c r="D111" s="153" t="s">
        <v>2335</v>
      </c>
      <c r="E111" s="153" t="s">
        <v>2083</v>
      </c>
      <c r="F111" s="6"/>
      <c r="G111" s="6"/>
      <c r="H111" s="85">
        <v>0</v>
      </c>
      <c r="I111" s="103">
        <f>IFERROR(VLOOKUP(B111,'July 2026-Recived'!$B$2:$H$1300,7,0),0)</f>
        <v>0</v>
      </c>
      <c r="J111" s="103">
        <f>IFERROR(VLOOKUP(B111,'July 2026- Dispatch'!$B$2:$H$1300,7,0),0)</f>
        <v>0</v>
      </c>
      <c r="K111" s="61">
        <f t="shared" si="1"/>
        <v>0</v>
      </c>
      <c r="L111" s="123">
        <v>0</v>
      </c>
    </row>
    <row r="112" spans="1:13" hidden="1" x14ac:dyDescent="0.25">
      <c r="A112" s="7">
        <v>111</v>
      </c>
      <c r="B112" s="152" t="s">
        <v>1922</v>
      </c>
      <c r="C112" s="153" t="s">
        <v>2336</v>
      </c>
      <c r="D112" s="153" t="s">
        <v>2337</v>
      </c>
      <c r="E112" s="153" t="s">
        <v>2083</v>
      </c>
      <c r="F112" s="6"/>
      <c r="G112" s="6"/>
      <c r="H112" s="85">
        <v>0</v>
      </c>
      <c r="I112" s="103">
        <f>IFERROR(VLOOKUP(B112,'July 2026-Recived'!$B$2:$H$1300,7,0),0)</f>
        <v>0</v>
      </c>
      <c r="J112" s="103">
        <f>IFERROR(VLOOKUP(B112,'July 2026- Dispatch'!$B$2:$H$1300,7,0),0)</f>
        <v>0</v>
      </c>
      <c r="K112" s="61">
        <f t="shared" si="1"/>
        <v>0</v>
      </c>
      <c r="L112" s="123">
        <v>0</v>
      </c>
    </row>
    <row r="113" spans="1:12" hidden="1" x14ac:dyDescent="0.25">
      <c r="A113" s="7">
        <v>112</v>
      </c>
      <c r="B113" s="152" t="s">
        <v>2338</v>
      </c>
      <c r="C113" s="153" t="s">
        <v>2339</v>
      </c>
      <c r="D113" s="153" t="s">
        <v>2340</v>
      </c>
      <c r="E113" s="153" t="s">
        <v>2086</v>
      </c>
      <c r="F113" s="6"/>
      <c r="G113" s="6"/>
      <c r="H113" s="85">
        <v>80</v>
      </c>
      <c r="I113" s="103">
        <f>IFERROR(VLOOKUP(B113,'July 2026-Recived'!$B$2:$H$1300,7,0),0)</f>
        <v>0</v>
      </c>
      <c r="J113" s="103">
        <f>IFERROR(VLOOKUP(B113,'July 2026- Dispatch'!$B$2:$H$1300,7,0),0)</f>
        <v>0</v>
      </c>
      <c r="K113" s="61">
        <f t="shared" si="1"/>
        <v>80</v>
      </c>
      <c r="L113" s="123">
        <v>0</v>
      </c>
    </row>
    <row r="114" spans="1:12" hidden="1" x14ac:dyDescent="0.25">
      <c r="A114" s="7">
        <v>113</v>
      </c>
      <c r="B114" s="152" t="s">
        <v>2341</v>
      </c>
      <c r="C114" s="153" t="s">
        <v>2342</v>
      </c>
      <c r="D114" s="153" t="s">
        <v>2343</v>
      </c>
      <c r="E114" s="153" t="s">
        <v>2083</v>
      </c>
      <c r="F114" s="6"/>
      <c r="G114" s="6"/>
      <c r="H114" s="85">
        <v>0</v>
      </c>
      <c r="I114" s="103">
        <f>IFERROR(VLOOKUP(B114,'July 2026-Recived'!$B$2:$H$1300,7,0),0)</f>
        <v>0</v>
      </c>
      <c r="J114" s="103">
        <f>IFERROR(VLOOKUP(B114,'July 2026- Dispatch'!$B$2:$H$1300,7,0),0)</f>
        <v>0</v>
      </c>
      <c r="K114" s="61">
        <f t="shared" si="1"/>
        <v>0</v>
      </c>
      <c r="L114" s="123">
        <v>0</v>
      </c>
    </row>
    <row r="115" spans="1:12" hidden="1" x14ac:dyDescent="0.25">
      <c r="A115" s="7">
        <v>114</v>
      </c>
      <c r="B115" s="152" t="s">
        <v>2344</v>
      </c>
      <c r="C115" s="153" t="s">
        <v>2345</v>
      </c>
      <c r="D115" s="153" t="s">
        <v>2346</v>
      </c>
      <c r="E115" s="153" t="s">
        <v>2083</v>
      </c>
      <c r="F115" s="6"/>
      <c r="G115" s="6"/>
      <c r="H115" s="85">
        <v>0</v>
      </c>
      <c r="I115" s="103">
        <f>IFERROR(VLOOKUP(B115,'July 2026-Recived'!$B$2:$H$1300,7,0),0)</f>
        <v>0</v>
      </c>
      <c r="J115" s="103">
        <f>IFERROR(VLOOKUP(B115,'July 2026- Dispatch'!$B$2:$H$1300,7,0),0)</f>
        <v>0</v>
      </c>
      <c r="K115" s="61">
        <f t="shared" si="1"/>
        <v>0</v>
      </c>
      <c r="L115" s="123">
        <v>0</v>
      </c>
    </row>
    <row r="116" spans="1:12" hidden="1" x14ac:dyDescent="0.25">
      <c r="A116" s="7">
        <v>115</v>
      </c>
      <c r="B116" s="152" t="s">
        <v>1124</v>
      </c>
      <c r="C116" s="153" t="s">
        <v>2347</v>
      </c>
      <c r="D116" s="153" t="s">
        <v>2348</v>
      </c>
      <c r="E116" s="153" t="s">
        <v>2086</v>
      </c>
      <c r="F116" s="6"/>
      <c r="G116" s="6"/>
      <c r="H116" s="85">
        <v>4</v>
      </c>
      <c r="I116" s="103">
        <f>IFERROR(VLOOKUP(B116,'July 2026-Recived'!$B$2:$H$1300,7,0),0)</f>
        <v>0</v>
      </c>
      <c r="J116" s="103">
        <f>IFERROR(VLOOKUP(B116,'July 2026- Dispatch'!$B$2:$H$1300,7,0),0)</f>
        <v>4</v>
      </c>
      <c r="K116" s="61">
        <f t="shared" si="1"/>
        <v>0</v>
      </c>
      <c r="L116" s="123">
        <v>0</v>
      </c>
    </row>
    <row r="117" spans="1:12" hidden="1" x14ac:dyDescent="0.25">
      <c r="A117" s="7">
        <v>116</v>
      </c>
      <c r="B117" s="152" t="s">
        <v>362</v>
      </c>
      <c r="C117" s="153" t="s">
        <v>2349</v>
      </c>
      <c r="D117" s="153" t="s">
        <v>2350</v>
      </c>
      <c r="E117" s="153" t="s">
        <v>2083</v>
      </c>
      <c r="F117" s="6"/>
      <c r="G117" s="6"/>
      <c r="H117" s="85">
        <v>0</v>
      </c>
      <c r="I117" s="103">
        <f>IFERROR(VLOOKUP(B117,'July 2026-Recived'!$B$2:$H$1300,7,0),0)</f>
        <v>0</v>
      </c>
      <c r="J117" s="103">
        <f>IFERROR(VLOOKUP(B117,'July 2026- Dispatch'!$B$2:$H$1300,7,0),0)</f>
        <v>0</v>
      </c>
      <c r="K117" s="61">
        <f t="shared" si="1"/>
        <v>0</v>
      </c>
      <c r="L117" s="123">
        <v>0</v>
      </c>
    </row>
    <row r="118" spans="1:12" hidden="1" x14ac:dyDescent="0.25">
      <c r="A118" s="7">
        <v>117</v>
      </c>
      <c r="B118" s="152" t="s">
        <v>1928</v>
      </c>
      <c r="C118" s="153" t="s">
        <v>2351</v>
      </c>
      <c r="D118" s="153" t="s">
        <v>2352</v>
      </c>
      <c r="E118" s="153" t="s">
        <v>2083</v>
      </c>
      <c r="F118" s="6"/>
      <c r="G118" s="6"/>
      <c r="H118" s="85">
        <v>0</v>
      </c>
      <c r="I118" s="103">
        <f>IFERROR(VLOOKUP(B118,'July 2026-Recived'!$B$2:$H$1300,7,0),0)</f>
        <v>0</v>
      </c>
      <c r="J118" s="103">
        <f>IFERROR(VLOOKUP(B118,'July 2026- Dispatch'!$B$2:$H$1300,7,0),0)</f>
        <v>0</v>
      </c>
      <c r="K118" s="61">
        <f t="shared" si="1"/>
        <v>0</v>
      </c>
      <c r="L118" s="123">
        <v>0</v>
      </c>
    </row>
    <row r="119" spans="1:12" hidden="1" x14ac:dyDescent="0.25">
      <c r="A119" s="7">
        <v>118</v>
      </c>
      <c r="B119" s="152" t="s">
        <v>2353</v>
      </c>
      <c r="C119" s="153" t="s">
        <v>2354</v>
      </c>
      <c r="D119" s="153" t="s">
        <v>2355</v>
      </c>
      <c r="E119" s="153" t="s">
        <v>2086</v>
      </c>
      <c r="F119" s="6"/>
      <c r="G119" s="6"/>
      <c r="H119" s="85">
        <v>4</v>
      </c>
      <c r="I119" s="103">
        <f>IFERROR(VLOOKUP(B119,'July 2026-Recived'!$B$2:$H$1300,7,0),0)</f>
        <v>0</v>
      </c>
      <c r="J119" s="103">
        <f>IFERROR(VLOOKUP(B119,'July 2026- Dispatch'!$B$2:$H$1300,7,0),0)</f>
        <v>0</v>
      </c>
      <c r="K119" s="61">
        <f t="shared" si="1"/>
        <v>4</v>
      </c>
      <c r="L119" s="123">
        <v>0</v>
      </c>
    </row>
    <row r="120" spans="1:12" hidden="1" x14ac:dyDescent="0.25">
      <c r="A120" s="7">
        <v>119</v>
      </c>
      <c r="B120" s="152" t="s">
        <v>2356</v>
      </c>
      <c r="C120" s="153" t="s">
        <v>2357</v>
      </c>
      <c r="D120" s="153" t="s">
        <v>2358</v>
      </c>
      <c r="E120" s="153" t="s">
        <v>2086</v>
      </c>
      <c r="F120" s="6"/>
      <c r="G120" s="6"/>
      <c r="H120" s="85">
        <v>23</v>
      </c>
      <c r="I120" s="103">
        <f>IFERROR(VLOOKUP(B120,'July 2026-Recived'!$B$2:$H$1300,7,0),0)</f>
        <v>0</v>
      </c>
      <c r="J120" s="103">
        <f>IFERROR(VLOOKUP(B120,'July 2026- Dispatch'!$B$2:$H$1300,7,0),0)</f>
        <v>0</v>
      </c>
      <c r="K120" s="61">
        <f t="shared" si="1"/>
        <v>23</v>
      </c>
      <c r="L120" s="123">
        <v>0</v>
      </c>
    </row>
    <row r="121" spans="1:12" hidden="1" x14ac:dyDescent="0.25">
      <c r="A121" s="7">
        <v>120</v>
      </c>
      <c r="B121" s="152" t="s">
        <v>995</v>
      </c>
      <c r="C121" s="153" t="s">
        <v>2359</v>
      </c>
      <c r="D121" s="153" t="s">
        <v>996</v>
      </c>
      <c r="E121" s="153" t="s">
        <v>2086</v>
      </c>
      <c r="F121" s="6"/>
      <c r="G121" s="6"/>
      <c r="H121" s="85">
        <v>16</v>
      </c>
      <c r="I121" s="103">
        <f>IFERROR(VLOOKUP(B121,'July 2026-Recived'!$B$2:$H$1300,7,0),0)</f>
        <v>0</v>
      </c>
      <c r="J121" s="103">
        <f>IFERROR(VLOOKUP(B121,'July 2026- Dispatch'!$B$2:$H$1300,7,0),0)</f>
        <v>3</v>
      </c>
      <c r="K121" s="61">
        <f t="shared" si="1"/>
        <v>13</v>
      </c>
      <c r="L121" s="123">
        <v>0</v>
      </c>
    </row>
    <row r="122" spans="1:12" hidden="1" x14ac:dyDescent="0.25">
      <c r="A122" s="7">
        <v>121</v>
      </c>
      <c r="B122" s="152" t="s">
        <v>2360</v>
      </c>
      <c r="C122" s="153" t="s">
        <v>2361</v>
      </c>
      <c r="D122" s="153" t="s">
        <v>2362</v>
      </c>
      <c r="E122" s="153" t="s">
        <v>2083</v>
      </c>
      <c r="F122" s="6"/>
      <c r="G122" s="6"/>
      <c r="H122" s="85">
        <v>0</v>
      </c>
      <c r="I122" s="103">
        <f>IFERROR(VLOOKUP(B122,'July 2026-Recived'!$B$2:$H$1300,7,0),0)</f>
        <v>0</v>
      </c>
      <c r="J122" s="103">
        <f>IFERROR(VLOOKUP(B122,'July 2026- Dispatch'!$B$2:$H$1300,7,0),0)</f>
        <v>0</v>
      </c>
      <c r="K122" s="61">
        <f t="shared" si="1"/>
        <v>0</v>
      </c>
      <c r="L122" s="123">
        <v>0</v>
      </c>
    </row>
    <row r="123" spans="1:12" hidden="1" x14ac:dyDescent="0.25">
      <c r="A123" s="7">
        <v>122</v>
      </c>
      <c r="B123" s="152" t="s">
        <v>335</v>
      </c>
      <c r="C123" s="153" t="s">
        <v>2363</v>
      </c>
      <c r="D123" s="153" t="s">
        <v>2364</v>
      </c>
      <c r="E123" s="153" t="s">
        <v>2083</v>
      </c>
      <c r="F123" s="6"/>
      <c r="G123" s="6"/>
      <c r="H123" s="85">
        <v>0</v>
      </c>
      <c r="I123" s="103">
        <f>IFERROR(VLOOKUP(B123,'July 2026-Recived'!$B$2:$H$1300,7,0),0)</f>
        <v>0</v>
      </c>
      <c r="J123" s="103">
        <f>IFERROR(VLOOKUP(B123,'July 2026- Dispatch'!$B$2:$H$1300,7,0),0)</f>
        <v>0</v>
      </c>
      <c r="K123" s="61">
        <f t="shared" si="1"/>
        <v>0</v>
      </c>
      <c r="L123" s="123">
        <v>0</v>
      </c>
    </row>
    <row r="124" spans="1:12" hidden="1" x14ac:dyDescent="0.25">
      <c r="A124" s="7">
        <v>123</v>
      </c>
      <c r="B124" s="152" t="s">
        <v>2365</v>
      </c>
      <c r="C124" s="153" t="s">
        <v>2366</v>
      </c>
      <c r="D124" s="153" t="s">
        <v>2367</v>
      </c>
      <c r="E124" s="153" t="s">
        <v>2126</v>
      </c>
      <c r="F124" s="6"/>
      <c r="G124" s="6"/>
      <c r="H124" s="85">
        <v>0</v>
      </c>
      <c r="I124" s="103">
        <f>IFERROR(VLOOKUP(B124,'July 2026-Recived'!$B$2:$H$1300,7,0),0)</f>
        <v>0</v>
      </c>
      <c r="J124" s="103">
        <f>IFERROR(VLOOKUP(B124,'July 2026- Dispatch'!$B$2:$H$1300,7,0),0)</f>
        <v>0</v>
      </c>
      <c r="K124" s="61">
        <f t="shared" si="1"/>
        <v>0</v>
      </c>
      <c r="L124" s="123">
        <v>0</v>
      </c>
    </row>
    <row r="125" spans="1:12" hidden="1" x14ac:dyDescent="0.25">
      <c r="A125" s="7">
        <v>124</v>
      </c>
      <c r="B125" s="152" t="s">
        <v>2368</v>
      </c>
      <c r="C125" s="153" t="s">
        <v>2369</v>
      </c>
      <c r="D125" s="153" t="s">
        <v>2370</v>
      </c>
      <c r="E125" s="153" t="s">
        <v>2111</v>
      </c>
      <c r="F125" s="6"/>
      <c r="G125" s="6"/>
      <c r="H125" s="85">
        <v>475</v>
      </c>
      <c r="I125" s="103">
        <f>IFERROR(VLOOKUP(B125,'July 2026-Recived'!$B$2:$H$1300,7,0),0)</f>
        <v>0</v>
      </c>
      <c r="J125" s="103">
        <f>IFERROR(VLOOKUP(B125,'July 2026- Dispatch'!$B$2:$H$1300,7,0),0)</f>
        <v>0</v>
      </c>
      <c r="K125" s="61">
        <f t="shared" si="1"/>
        <v>475</v>
      </c>
      <c r="L125" s="123">
        <v>0</v>
      </c>
    </row>
    <row r="126" spans="1:12" hidden="1" x14ac:dyDescent="0.25">
      <c r="A126" s="7">
        <v>125</v>
      </c>
      <c r="B126" s="152" t="s">
        <v>2371</v>
      </c>
      <c r="C126" s="153" t="s">
        <v>2372</v>
      </c>
      <c r="D126" s="153" t="s">
        <v>2373</v>
      </c>
      <c r="E126" s="153" t="s">
        <v>2111</v>
      </c>
      <c r="F126" s="6"/>
      <c r="G126" s="6"/>
      <c r="H126" s="85">
        <v>235</v>
      </c>
      <c r="I126" s="103">
        <f>IFERROR(VLOOKUP(B126,'July 2026-Recived'!$B$2:$H$1300,7,0),0)</f>
        <v>0</v>
      </c>
      <c r="J126" s="103">
        <f>IFERROR(VLOOKUP(B126,'July 2026- Dispatch'!$B$2:$H$1300,7,0),0)</f>
        <v>0</v>
      </c>
      <c r="K126" s="61">
        <f t="shared" si="1"/>
        <v>235</v>
      </c>
      <c r="L126" s="123">
        <v>0</v>
      </c>
    </row>
    <row r="127" spans="1:12" hidden="1" x14ac:dyDescent="0.25">
      <c r="A127" s="7">
        <v>126</v>
      </c>
      <c r="B127" s="152" t="s">
        <v>2374</v>
      </c>
      <c r="C127" s="153" t="s">
        <v>2375</v>
      </c>
      <c r="D127" s="153" t="s">
        <v>2376</v>
      </c>
      <c r="E127" s="153" t="s">
        <v>2086</v>
      </c>
      <c r="F127" s="6"/>
      <c r="G127" s="6"/>
      <c r="H127" s="85">
        <v>4</v>
      </c>
      <c r="I127" s="103">
        <f>IFERROR(VLOOKUP(B127,'July 2026-Recived'!$B$2:$H$1300,7,0),0)</f>
        <v>0</v>
      </c>
      <c r="J127" s="103">
        <f>IFERROR(VLOOKUP(B127,'July 2026- Dispatch'!$B$2:$H$1300,7,0),0)</f>
        <v>0</v>
      </c>
      <c r="K127" s="61">
        <f t="shared" si="1"/>
        <v>4</v>
      </c>
      <c r="L127" s="123">
        <v>0</v>
      </c>
    </row>
    <row r="128" spans="1:12" hidden="1" x14ac:dyDescent="0.25">
      <c r="A128" s="7">
        <v>127</v>
      </c>
      <c r="B128" s="152" t="s">
        <v>1199</v>
      </c>
      <c r="C128" s="153" t="s">
        <v>2377</v>
      </c>
      <c r="D128" s="153" t="s">
        <v>2378</v>
      </c>
      <c r="E128" s="153" t="s">
        <v>64</v>
      </c>
      <c r="F128" s="6"/>
      <c r="G128" s="6"/>
      <c r="H128" s="85">
        <v>352</v>
      </c>
      <c r="I128" s="103">
        <f>IFERROR(VLOOKUP(B128,'July 2026-Recived'!$B$2:$H$1300,7,0),0)</f>
        <v>0</v>
      </c>
      <c r="J128" s="103">
        <f>IFERROR(VLOOKUP(B128,'July 2026- Dispatch'!$B$2:$H$1300,7,0),0)</f>
        <v>128</v>
      </c>
      <c r="K128" s="61">
        <f t="shared" si="1"/>
        <v>224</v>
      </c>
      <c r="L128" s="123">
        <v>0</v>
      </c>
    </row>
    <row r="129" spans="1:12" hidden="1" x14ac:dyDescent="0.25">
      <c r="A129" s="7">
        <v>128</v>
      </c>
      <c r="B129" s="152" t="s">
        <v>964</v>
      </c>
      <c r="C129" s="153" t="s">
        <v>2379</v>
      </c>
      <c r="D129" s="153" t="s">
        <v>2380</v>
      </c>
      <c r="E129" s="153" t="s">
        <v>64</v>
      </c>
      <c r="F129" s="6"/>
      <c r="G129" s="6"/>
      <c r="H129" s="85">
        <v>7765</v>
      </c>
      <c r="I129" s="103">
        <f>IFERROR(VLOOKUP(B129,'July 2026-Recived'!$B$2:$H$1300,7,0),0)</f>
        <v>2500</v>
      </c>
      <c r="J129" s="103">
        <f>IFERROR(VLOOKUP(B129,'July 2026- Dispatch'!$B$2:$H$1300,7,0),0)</f>
        <v>1428</v>
      </c>
      <c r="K129" s="61">
        <f t="shared" si="1"/>
        <v>8837</v>
      </c>
      <c r="L129" s="123">
        <v>0</v>
      </c>
    </row>
    <row r="130" spans="1:12" hidden="1" x14ac:dyDescent="0.25">
      <c r="A130" s="7">
        <v>129</v>
      </c>
      <c r="B130" s="152" t="s">
        <v>2381</v>
      </c>
      <c r="C130" s="153" t="s">
        <v>2382</v>
      </c>
      <c r="D130" s="153" t="s">
        <v>2383</v>
      </c>
      <c r="E130" s="153" t="s">
        <v>2086</v>
      </c>
      <c r="F130" s="6"/>
      <c r="G130" s="6"/>
      <c r="H130" s="85">
        <v>10</v>
      </c>
      <c r="I130" s="103">
        <f>IFERROR(VLOOKUP(B130,'July 2026-Recived'!$B$2:$H$1300,7,0),0)</f>
        <v>0</v>
      </c>
      <c r="J130" s="103">
        <f>IFERROR(VLOOKUP(B130,'July 2026- Dispatch'!$B$2:$H$1300,7,0),0)</f>
        <v>0</v>
      </c>
      <c r="K130" s="61">
        <f t="shared" ref="K130:K193" si="2">H130+I130-J130</f>
        <v>10</v>
      </c>
      <c r="L130" s="123">
        <v>0</v>
      </c>
    </row>
    <row r="131" spans="1:12" hidden="1" x14ac:dyDescent="0.25">
      <c r="A131" s="7">
        <v>130</v>
      </c>
      <c r="B131" s="152" t="s">
        <v>2384</v>
      </c>
      <c r="C131" s="153" t="s">
        <v>2385</v>
      </c>
      <c r="D131" s="153" t="s">
        <v>2386</v>
      </c>
      <c r="E131" s="153" t="s">
        <v>2086</v>
      </c>
      <c r="F131" s="6"/>
      <c r="G131" s="6"/>
      <c r="H131" s="85">
        <v>16</v>
      </c>
      <c r="I131" s="103">
        <f>IFERROR(VLOOKUP(B131,'July 2026-Recived'!$B$2:$H$1300,7,0),0)</f>
        <v>0</v>
      </c>
      <c r="J131" s="103">
        <f>IFERROR(VLOOKUP(B131,'July 2026- Dispatch'!$B$2:$H$1300,7,0),0)</f>
        <v>0</v>
      </c>
      <c r="K131" s="61">
        <f t="shared" si="2"/>
        <v>16</v>
      </c>
      <c r="L131" s="123">
        <v>0</v>
      </c>
    </row>
    <row r="132" spans="1:12" hidden="1" x14ac:dyDescent="0.25">
      <c r="A132" s="7">
        <v>131</v>
      </c>
      <c r="B132" s="152" t="s">
        <v>2387</v>
      </c>
      <c r="C132" s="153" t="s">
        <v>2388</v>
      </c>
      <c r="D132" s="153" t="s">
        <v>2389</v>
      </c>
      <c r="E132" s="153" t="s">
        <v>2083</v>
      </c>
      <c r="F132" s="6"/>
      <c r="G132" s="6"/>
      <c r="H132" s="85">
        <v>0</v>
      </c>
      <c r="I132" s="103">
        <f>IFERROR(VLOOKUP(B132,'July 2026-Recived'!$B$2:$H$1300,7,0),0)</f>
        <v>0</v>
      </c>
      <c r="J132" s="103">
        <f>IFERROR(VLOOKUP(B132,'July 2026- Dispatch'!$B$2:$H$1300,7,0),0)</f>
        <v>0</v>
      </c>
      <c r="K132" s="61">
        <f t="shared" si="2"/>
        <v>0</v>
      </c>
      <c r="L132" s="123">
        <v>0</v>
      </c>
    </row>
    <row r="133" spans="1:12" hidden="1" x14ac:dyDescent="0.25">
      <c r="A133" s="7">
        <v>132</v>
      </c>
      <c r="B133" s="152" t="s">
        <v>365</v>
      </c>
      <c r="C133" s="153" t="s">
        <v>2390</v>
      </c>
      <c r="D133" s="153" t="s">
        <v>2391</v>
      </c>
      <c r="E133" s="153" t="s">
        <v>2086</v>
      </c>
      <c r="F133" s="6"/>
      <c r="G133" s="6"/>
      <c r="H133" s="85">
        <v>20</v>
      </c>
      <c r="I133" s="103">
        <f>IFERROR(VLOOKUP(B133,'July 2026-Recived'!$B$2:$H$1300,7,0),0)</f>
        <v>0</v>
      </c>
      <c r="J133" s="103">
        <f>IFERROR(VLOOKUP(B133,'July 2026- Dispatch'!$B$2:$H$1300,7,0),0)</f>
        <v>0</v>
      </c>
      <c r="K133" s="61">
        <f t="shared" si="2"/>
        <v>20</v>
      </c>
      <c r="L133" s="123">
        <v>0</v>
      </c>
    </row>
    <row r="134" spans="1:12" hidden="1" x14ac:dyDescent="0.25">
      <c r="A134" s="7">
        <v>133</v>
      </c>
      <c r="B134" s="152" t="s">
        <v>2392</v>
      </c>
      <c r="C134" s="153" t="s">
        <v>2393</v>
      </c>
      <c r="D134" s="153" t="s">
        <v>2394</v>
      </c>
      <c r="E134" s="153" t="s">
        <v>2083</v>
      </c>
      <c r="F134" s="6"/>
      <c r="G134" s="6"/>
      <c r="H134" s="85">
        <v>0</v>
      </c>
      <c r="I134" s="103">
        <f>IFERROR(VLOOKUP(B134,'July 2026-Recived'!$B$2:$H$1300,7,0),0)</f>
        <v>0</v>
      </c>
      <c r="J134" s="103">
        <f>IFERROR(VLOOKUP(B134,'July 2026- Dispatch'!$B$2:$H$1300,7,0),0)</f>
        <v>0</v>
      </c>
      <c r="K134" s="61">
        <f t="shared" si="2"/>
        <v>0</v>
      </c>
      <c r="L134" s="123">
        <v>0</v>
      </c>
    </row>
    <row r="135" spans="1:12" hidden="1" x14ac:dyDescent="0.25">
      <c r="A135" s="7">
        <v>134</v>
      </c>
      <c r="B135" s="152" t="s">
        <v>925</v>
      </c>
      <c r="C135" s="153" t="s">
        <v>2395</v>
      </c>
      <c r="D135" s="153" t="s">
        <v>2396</v>
      </c>
      <c r="E135" s="153" t="s">
        <v>2083</v>
      </c>
      <c r="F135" s="6"/>
      <c r="G135" s="6"/>
      <c r="H135" s="85">
        <v>0</v>
      </c>
      <c r="I135" s="103">
        <f>IFERROR(VLOOKUP(B135,'July 2026-Recived'!$B$2:$H$1300,7,0),0)</f>
        <v>0</v>
      </c>
      <c r="J135" s="103">
        <f>IFERROR(VLOOKUP(B135,'July 2026- Dispatch'!$B$2:$H$1300,7,0),0)</f>
        <v>0</v>
      </c>
      <c r="K135" s="61">
        <f t="shared" si="2"/>
        <v>0</v>
      </c>
      <c r="L135" s="123">
        <v>0</v>
      </c>
    </row>
    <row r="136" spans="1:12" hidden="1" x14ac:dyDescent="0.25">
      <c r="A136" s="7">
        <v>135</v>
      </c>
      <c r="B136" s="152" t="s">
        <v>71</v>
      </c>
      <c r="C136" s="153" t="s">
        <v>2397</v>
      </c>
      <c r="D136" s="153" t="s">
        <v>2398</v>
      </c>
      <c r="E136" s="153" t="s">
        <v>2086</v>
      </c>
      <c r="F136" s="6"/>
      <c r="G136" s="6"/>
      <c r="H136" s="85">
        <v>1728</v>
      </c>
      <c r="I136" s="103">
        <f>IFERROR(VLOOKUP(B136,'July 2026-Recived'!$B$2:$H$1300,7,0),0)</f>
        <v>0</v>
      </c>
      <c r="J136" s="103">
        <f>IFERROR(VLOOKUP(B136,'July 2026- Dispatch'!$B$2:$H$1300,7,0),0)</f>
        <v>36</v>
      </c>
      <c r="K136" s="61">
        <f t="shared" si="2"/>
        <v>1692</v>
      </c>
      <c r="L136" s="123">
        <v>0</v>
      </c>
    </row>
    <row r="137" spans="1:12" hidden="1" x14ac:dyDescent="0.25">
      <c r="A137" s="7">
        <v>136</v>
      </c>
      <c r="B137" s="152" t="s">
        <v>292</v>
      </c>
      <c r="C137" s="153" t="s">
        <v>2399</v>
      </c>
      <c r="D137" s="153" t="s">
        <v>2400</v>
      </c>
      <c r="E137" s="153" t="s">
        <v>2083</v>
      </c>
      <c r="F137" s="6"/>
      <c r="G137" s="6"/>
      <c r="H137" s="85">
        <v>0</v>
      </c>
      <c r="I137" s="103">
        <f>IFERROR(VLOOKUP(B137,'July 2026-Recived'!$B$2:$H$1300,7,0),0)</f>
        <v>0</v>
      </c>
      <c r="J137" s="103">
        <f>IFERROR(VLOOKUP(B137,'July 2026- Dispatch'!$B$2:$H$1300,7,0),0)</f>
        <v>0</v>
      </c>
      <c r="K137" s="61">
        <f t="shared" si="2"/>
        <v>0</v>
      </c>
      <c r="L137" s="123">
        <v>0</v>
      </c>
    </row>
    <row r="138" spans="1:12" hidden="1" x14ac:dyDescent="0.25">
      <c r="A138" s="7">
        <v>137</v>
      </c>
      <c r="B138" s="152" t="s">
        <v>2401</v>
      </c>
      <c r="C138" s="153" t="s">
        <v>2402</v>
      </c>
      <c r="D138" s="153" t="s">
        <v>2403</v>
      </c>
      <c r="E138" s="153" t="s">
        <v>2083</v>
      </c>
      <c r="F138" s="6"/>
      <c r="G138" s="6"/>
      <c r="H138" s="85">
        <v>0</v>
      </c>
      <c r="I138" s="103">
        <f>IFERROR(VLOOKUP(B138,'July 2026-Recived'!$B$2:$H$1300,7,0),0)</f>
        <v>0</v>
      </c>
      <c r="J138" s="103">
        <f>IFERROR(VLOOKUP(B138,'July 2026- Dispatch'!$B$2:$H$1300,7,0),0)</f>
        <v>0</v>
      </c>
      <c r="K138" s="61">
        <f t="shared" si="2"/>
        <v>0</v>
      </c>
      <c r="L138" s="123">
        <v>0</v>
      </c>
    </row>
    <row r="139" spans="1:12" hidden="1" x14ac:dyDescent="0.25">
      <c r="A139" s="7">
        <v>138</v>
      </c>
      <c r="B139" s="152" t="s">
        <v>1238</v>
      </c>
      <c r="C139" s="153" t="s">
        <v>2404</v>
      </c>
      <c r="D139" s="153" t="s">
        <v>2405</v>
      </c>
      <c r="E139" s="153" t="s">
        <v>2083</v>
      </c>
      <c r="F139" s="6"/>
      <c r="G139" s="6"/>
      <c r="H139" s="85">
        <v>0</v>
      </c>
      <c r="I139" s="103">
        <f>IFERROR(VLOOKUP(B139,'July 2026-Recived'!$B$2:$H$1300,7,0),0)</f>
        <v>0</v>
      </c>
      <c r="J139" s="103">
        <f>IFERROR(VLOOKUP(B139,'July 2026- Dispatch'!$B$2:$H$1300,7,0),0)</f>
        <v>0</v>
      </c>
      <c r="K139" s="61">
        <f t="shared" si="2"/>
        <v>0</v>
      </c>
      <c r="L139" s="123">
        <v>0</v>
      </c>
    </row>
    <row r="140" spans="1:12" hidden="1" x14ac:dyDescent="0.25">
      <c r="A140" s="7">
        <v>139</v>
      </c>
      <c r="B140" s="152" t="s">
        <v>877</v>
      </c>
      <c r="C140" s="153" t="s">
        <v>2406</v>
      </c>
      <c r="D140" s="153" t="s">
        <v>2407</v>
      </c>
      <c r="E140" s="153" t="s">
        <v>2086</v>
      </c>
      <c r="F140" s="6"/>
      <c r="G140" s="6"/>
      <c r="H140" s="85">
        <v>32</v>
      </c>
      <c r="I140" s="103">
        <f>IFERROR(VLOOKUP(B140,'July 2026-Recived'!$B$2:$H$1300,7,0),0)</f>
        <v>0</v>
      </c>
      <c r="J140" s="103">
        <f>IFERROR(VLOOKUP(B140,'July 2026- Dispatch'!$B$2:$H$1300,7,0),0)</f>
        <v>12</v>
      </c>
      <c r="K140" s="61">
        <f t="shared" si="2"/>
        <v>20</v>
      </c>
      <c r="L140" s="123">
        <v>0</v>
      </c>
    </row>
    <row r="141" spans="1:12" hidden="1" x14ac:dyDescent="0.25">
      <c r="A141" s="7">
        <v>140</v>
      </c>
      <c r="B141" s="152" t="s">
        <v>2408</v>
      </c>
      <c r="C141" s="153" t="s">
        <v>2409</v>
      </c>
      <c r="D141" s="153" t="s">
        <v>2410</v>
      </c>
      <c r="E141" s="153" t="s">
        <v>2083</v>
      </c>
      <c r="F141" s="6"/>
      <c r="G141" s="6"/>
      <c r="H141" s="85">
        <v>0</v>
      </c>
      <c r="I141" s="103">
        <f>IFERROR(VLOOKUP(B141,'July 2026-Recived'!$B$2:$H$1300,7,0),0)</f>
        <v>0</v>
      </c>
      <c r="J141" s="103">
        <f>IFERROR(VLOOKUP(B141,'July 2026- Dispatch'!$B$2:$H$1300,7,0),0)</f>
        <v>0</v>
      </c>
      <c r="K141" s="61">
        <f t="shared" si="2"/>
        <v>0</v>
      </c>
      <c r="L141" s="123">
        <v>0</v>
      </c>
    </row>
    <row r="142" spans="1:12" hidden="1" x14ac:dyDescent="0.25">
      <c r="A142" s="7">
        <v>141</v>
      </c>
      <c r="B142" s="152" t="s">
        <v>344</v>
      </c>
      <c r="C142" s="153" t="s">
        <v>2411</v>
      </c>
      <c r="D142" s="153" t="s">
        <v>2412</v>
      </c>
      <c r="E142" s="153" t="s">
        <v>2086</v>
      </c>
      <c r="F142" s="6"/>
      <c r="G142" s="6"/>
      <c r="H142" s="85">
        <v>210</v>
      </c>
      <c r="I142" s="103">
        <f>IFERROR(VLOOKUP(B142,'July 2026-Recived'!$B$2:$H$1300,7,0),0)</f>
        <v>0</v>
      </c>
      <c r="J142" s="103">
        <f>IFERROR(VLOOKUP(B142,'July 2026- Dispatch'!$B$2:$H$1300,7,0),0)</f>
        <v>0</v>
      </c>
      <c r="K142" s="61">
        <f t="shared" si="2"/>
        <v>210</v>
      </c>
      <c r="L142" s="123">
        <v>0</v>
      </c>
    </row>
    <row r="143" spans="1:12" hidden="1" x14ac:dyDescent="0.25">
      <c r="A143" s="7">
        <v>142</v>
      </c>
      <c r="B143" s="152" t="s">
        <v>2413</v>
      </c>
      <c r="C143" s="153" t="s">
        <v>2414</v>
      </c>
      <c r="D143" s="153" t="s">
        <v>2415</v>
      </c>
      <c r="E143" s="153" t="s">
        <v>2083</v>
      </c>
      <c r="F143" s="6"/>
      <c r="G143" s="6"/>
      <c r="H143" s="85">
        <v>0</v>
      </c>
      <c r="I143" s="103">
        <f>IFERROR(VLOOKUP(B143,'July 2026-Recived'!$B$2:$H$1300,7,0),0)</f>
        <v>0</v>
      </c>
      <c r="J143" s="103">
        <f>IFERROR(VLOOKUP(B143,'July 2026- Dispatch'!$B$2:$H$1300,7,0),0)</f>
        <v>0</v>
      </c>
      <c r="K143" s="61">
        <f t="shared" si="2"/>
        <v>0</v>
      </c>
      <c r="L143" s="123">
        <v>0</v>
      </c>
    </row>
    <row r="144" spans="1:12" hidden="1" x14ac:dyDescent="0.25">
      <c r="A144" s="7">
        <v>143</v>
      </c>
      <c r="B144" s="152" t="s">
        <v>255</v>
      </c>
      <c r="C144" s="153" t="s">
        <v>2416</v>
      </c>
      <c r="D144" s="153" t="s">
        <v>2417</v>
      </c>
      <c r="E144" s="153" t="s">
        <v>2083</v>
      </c>
      <c r="F144" s="6"/>
      <c r="G144" s="6"/>
      <c r="H144" s="85">
        <v>0</v>
      </c>
      <c r="I144" s="103">
        <f>IFERROR(VLOOKUP(B144,'July 2026-Recived'!$B$2:$H$1300,7,0),0)</f>
        <v>0</v>
      </c>
      <c r="J144" s="103">
        <f>IFERROR(VLOOKUP(B144,'July 2026- Dispatch'!$B$2:$H$1300,7,0),0)</f>
        <v>0</v>
      </c>
      <c r="K144" s="61">
        <f t="shared" si="2"/>
        <v>0</v>
      </c>
      <c r="L144" s="123">
        <v>0</v>
      </c>
    </row>
    <row r="145" spans="1:12" hidden="1" x14ac:dyDescent="0.25">
      <c r="A145" s="7">
        <v>144</v>
      </c>
      <c r="B145" s="152" t="s">
        <v>739</v>
      </c>
      <c r="C145" s="153" t="s">
        <v>2418</v>
      </c>
      <c r="D145" s="153" t="s">
        <v>2419</v>
      </c>
      <c r="E145" s="153" t="s">
        <v>2086</v>
      </c>
      <c r="F145" s="6"/>
      <c r="G145" s="6"/>
      <c r="H145" s="85">
        <v>101</v>
      </c>
      <c r="I145" s="103">
        <f>IFERROR(VLOOKUP(B145,'July 2026-Recived'!$B$2:$H$1300,7,0),0)</f>
        <v>0</v>
      </c>
      <c r="J145" s="103">
        <f>IFERROR(VLOOKUP(B145,'July 2026- Dispatch'!$B$2:$H$1300,7,0),0)</f>
        <v>18</v>
      </c>
      <c r="K145" s="61">
        <f t="shared" si="2"/>
        <v>83</v>
      </c>
      <c r="L145" s="123">
        <v>0</v>
      </c>
    </row>
    <row r="146" spans="1:12" hidden="1" x14ac:dyDescent="0.25">
      <c r="A146" s="7">
        <v>145</v>
      </c>
      <c r="B146" s="152" t="s">
        <v>784</v>
      </c>
      <c r="C146" s="153" t="s">
        <v>2420</v>
      </c>
      <c r="D146" s="153" t="s">
        <v>2421</v>
      </c>
      <c r="E146" s="153" t="s">
        <v>2083</v>
      </c>
      <c r="F146" s="6"/>
      <c r="G146" s="6"/>
      <c r="H146" s="85">
        <v>0</v>
      </c>
      <c r="I146" s="103">
        <f>IFERROR(VLOOKUP(B146,'July 2026-Recived'!$B$2:$H$1300,7,0),0)</f>
        <v>0</v>
      </c>
      <c r="J146" s="103">
        <f>IFERROR(VLOOKUP(B146,'July 2026- Dispatch'!$B$2:$H$1300,7,0),0)</f>
        <v>0</v>
      </c>
      <c r="K146" s="61">
        <f t="shared" si="2"/>
        <v>0</v>
      </c>
      <c r="L146" s="123">
        <v>0</v>
      </c>
    </row>
    <row r="147" spans="1:12" hidden="1" x14ac:dyDescent="0.25">
      <c r="A147" s="7">
        <v>146</v>
      </c>
      <c r="B147" s="152" t="s">
        <v>678</v>
      </c>
      <c r="C147" s="153" t="s">
        <v>2422</v>
      </c>
      <c r="D147" s="153" t="s">
        <v>2423</v>
      </c>
      <c r="E147" s="153" t="s">
        <v>2086</v>
      </c>
      <c r="F147" s="6"/>
      <c r="G147" s="6"/>
      <c r="H147" s="85">
        <v>14</v>
      </c>
      <c r="I147" s="103">
        <f>IFERROR(VLOOKUP(B147,'July 2026-Recived'!$B$2:$H$1300,7,0),0)</f>
        <v>0</v>
      </c>
      <c r="J147" s="103">
        <f>IFERROR(VLOOKUP(B147,'July 2026- Dispatch'!$B$2:$H$1300,7,0),0)</f>
        <v>4</v>
      </c>
      <c r="K147" s="61">
        <f t="shared" si="2"/>
        <v>10</v>
      </c>
      <c r="L147" s="123">
        <v>0</v>
      </c>
    </row>
    <row r="148" spans="1:12" hidden="1" x14ac:dyDescent="0.25">
      <c r="A148" s="7">
        <v>147</v>
      </c>
      <c r="B148" s="152" t="s">
        <v>2424</v>
      </c>
      <c r="C148" s="153" t="s">
        <v>2425</v>
      </c>
      <c r="D148" s="153" t="s">
        <v>2426</v>
      </c>
      <c r="E148" s="153" t="s">
        <v>2086</v>
      </c>
      <c r="F148" s="6"/>
      <c r="G148" s="6"/>
      <c r="H148" s="85">
        <v>20</v>
      </c>
      <c r="I148" s="103">
        <f>IFERROR(VLOOKUP(B148,'July 2026-Recived'!$B$2:$H$1300,7,0),0)</f>
        <v>0</v>
      </c>
      <c r="J148" s="103">
        <f>IFERROR(VLOOKUP(B148,'July 2026- Dispatch'!$B$2:$H$1300,7,0),0)</f>
        <v>0</v>
      </c>
      <c r="K148" s="61">
        <f t="shared" si="2"/>
        <v>20</v>
      </c>
      <c r="L148" s="123">
        <v>0</v>
      </c>
    </row>
    <row r="149" spans="1:12" hidden="1" x14ac:dyDescent="0.25">
      <c r="A149" s="7">
        <v>148</v>
      </c>
      <c r="B149" s="152" t="s">
        <v>760</v>
      </c>
      <c r="C149" s="153" t="s">
        <v>2427</v>
      </c>
      <c r="D149" s="153" t="s">
        <v>2428</v>
      </c>
      <c r="E149" s="153" t="s">
        <v>2083</v>
      </c>
      <c r="F149" s="6"/>
      <c r="G149" s="6"/>
      <c r="H149" s="85">
        <v>0</v>
      </c>
      <c r="I149" s="103">
        <f>IFERROR(VLOOKUP(B149,'July 2026-Recived'!$B$2:$H$1300,7,0),0)</f>
        <v>0</v>
      </c>
      <c r="J149" s="103">
        <f>IFERROR(VLOOKUP(B149,'July 2026- Dispatch'!$B$2:$H$1300,7,0),0)</f>
        <v>0</v>
      </c>
      <c r="K149" s="61">
        <f t="shared" si="2"/>
        <v>0</v>
      </c>
      <c r="L149" s="123">
        <v>0</v>
      </c>
    </row>
    <row r="150" spans="1:12" hidden="1" x14ac:dyDescent="0.25">
      <c r="A150" s="7">
        <v>149</v>
      </c>
      <c r="B150" s="152" t="s">
        <v>1337</v>
      </c>
      <c r="C150" s="153" t="s">
        <v>2429</v>
      </c>
      <c r="D150" s="153" t="s">
        <v>2430</v>
      </c>
      <c r="E150" s="153" t="s">
        <v>2086</v>
      </c>
      <c r="F150" s="6"/>
      <c r="G150" s="6"/>
      <c r="H150" s="85">
        <v>26</v>
      </c>
      <c r="I150" s="103">
        <f>IFERROR(VLOOKUP(B150,'July 2026-Recived'!$B$2:$H$1300,7,0),0)</f>
        <v>0</v>
      </c>
      <c r="J150" s="103">
        <f>IFERROR(VLOOKUP(B150,'July 2026- Dispatch'!$B$2:$H$1300,7,0),0)</f>
        <v>0</v>
      </c>
      <c r="K150" s="61">
        <f t="shared" si="2"/>
        <v>26</v>
      </c>
      <c r="L150" s="123">
        <v>0</v>
      </c>
    </row>
    <row r="151" spans="1:12" hidden="1" x14ac:dyDescent="0.25">
      <c r="A151" s="7">
        <v>150</v>
      </c>
      <c r="B151" s="152" t="s">
        <v>2431</v>
      </c>
      <c r="C151" s="153" t="s">
        <v>2432</v>
      </c>
      <c r="D151" s="153" t="s">
        <v>2433</v>
      </c>
      <c r="E151" s="153" t="s">
        <v>2086</v>
      </c>
      <c r="F151" s="6"/>
      <c r="G151" s="6"/>
      <c r="H151" s="85">
        <v>128</v>
      </c>
      <c r="I151" s="103">
        <f>IFERROR(VLOOKUP(B151,'July 2026-Recived'!$B$2:$H$1300,7,0),0)</f>
        <v>0</v>
      </c>
      <c r="J151" s="103">
        <f>IFERROR(VLOOKUP(B151,'July 2026- Dispatch'!$B$2:$H$1300,7,0),0)</f>
        <v>0</v>
      </c>
      <c r="K151" s="61">
        <f t="shared" si="2"/>
        <v>128</v>
      </c>
      <c r="L151" s="123">
        <v>0</v>
      </c>
    </row>
    <row r="152" spans="1:12" hidden="1" x14ac:dyDescent="0.25">
      <c r="A152" s="7">
        <v>151</v>
      </c>
      <c r="B152" s="152" t="s">
        <v>671</v>
      </c>
      <c r="C152" s="153" t="s">
        <v>2434</v>
      </c>
      <c r="D152" s="153" t="s">
        <v>672</v>
      </c>
      <c r="E152" s="153" t="s">
        <v>2083</v>
      </c>
      <c r="F152" s="6"/>
      <c r="G152" s="6"/>
      <c r="H152" s="85">
        <v>0</v>
      </c>
      <c r="I152" s="103">
        <f>IFERROR(VLOOKUP(B152,'July 2026-Recived'!$B$2:$H$1300,7,0),0)</f>
        <v>0</v>
      </c>
      <c r="J152" s="103">
        <f>IFERROR(VLOOKUP(B152,'July 2026- Dispatch'!$B$2:$H$1300,7,0),0)</f>
        <v>0</v>
      </c>
      <c r="K152" s="61">
        <f t="shared" si="2"/>
        <v>0</v>
      </c>
      <c r="L152" s="123">
        <v>0</v>
      </c>
    </row>
    <row r="153" spans="1:12" hidden="1" x14ac:dyDescent="0.25">
      <c r="A153" s="7">
        <v>152</v>
      </c>
      <c r="B153" s="152" t="s">
        <v>755</v>
      </c>
      <c r="C153" s="153" t="s">
        <v>2435</v>
      </c>
      <c r="D153" s="153" t="s">
        <v>2436</v>
      </c>
      <c r="E153" s="153" t="s">
        <v>2083</v>
      </c>
      <c r="F153" s="6"/>
      <c r="G153" s="6"/>
      <c r="H153" s="85">
        <v>0</v>
      </c>
      <c r="I153" s="103">
        <f>IFERROR(VLOOKUP(B153,'July 2026-Recived'!$B$2:$H$1300,7,0),0)</f>
        <v>0</v>
      </c>
      <c r="J153" s="103">
        <f>IFERROR(VLOOKUP(B153,'July 2026- Dispatch'!$B$2:$H$1300,7,0),0)</f>
        <v>0</v>
      </c>
      <c r="K153" s="61">
        <f t="shared" si="2"/>
        <v>0</v>
      </c>
      <c r="L153" s="123">
        <v>0</v>
      </c>
    </row>
    <row r="154" spans="1:12" hidden="1" x14ac:dyDescent="0.25">
      <c r="A154" s="7">
        <v>153</v>
      </c>
      <c r="B154" s="152" t="s">
        <v>1230</v>
      </c>
      <c r="C154" s="153" t="s">
        <v>2437</v>
      </c>
      <c r="D154" s="153" t="s">
        <v>2438</v>
      </c>
      <c r="E154" s="153" t="s">
        <v>2086</v>
      </c>
      <c r="F154" s="6"/>
      <c r="G154" s="6"/>
      <c r="H154" s="85">
        <v>46</v>
      </c>
      <c r="I154" s="103">
        <f>IFERROR(VLOOKUP(B154,'July 2026-Recived'!$B$2:$H$1300,7,0),0)</f>
        <v>0</v>
      </c>
      <c r="J154" s="103">
        <f>IFERROR(VLOOKUP(B154,'July 2026- Dispatch'!$B$2:$H$1300,7,0),0)</f>
        <v>0</v>
      </c>
      <c r="K154" s="61">
        <f t="shared" si="2"/>
        <v>46</v>
      </c>
      <c r="L154" s="123">
        <v>0</v>
      </c>
    </row>
    <row r="155" spans="1:12" hidden="1" x14ac:dyDescent="0.25">
      <c r="A155" s="7">
        <v>154</v>
      </c>
      <c r="B155" s="152" t="s">
        <v>1384</v>
      </c>
      <c r="C155" s="153" t="s">
        <v>2439</v>
      </c>
      <c r="D155" s="153" t="s">
        <v>2440</v>
      </c>
      <c r="E155" s="153" t="s">
        <v>2086</v>
      </c>
      <c r="F155" s="6"/>
      <c r="G155" s="6"/>
      <c r="H155" s="85">
        <v>48</v>
      </c>
      <c r="I155" s="103">
        <f>IFERROR(VLOOKUP(B155,'July 2026-Recived'!$B$2:$H$1300,7,0),0)</f>
        <v>0</v>
      </c>
      <c r="J155" s="103">
        <f>IFERROR(VLOOKUP(B155,'July 2026- Dispatch'!$B$2:$H$1300,7,0),0)</f>
        <v>23</v>
      </c>
      <c r="K155" s="61">
        <f t="shared" si="2"/>
        <v>25</v>
      </c>
      <c r="L155" s="123">
        <v>0</v>
      </c>
    </row>
    <row r="156" spans="1:12" hidden="1" x14ac:dyDescent="0.25">
      <c r="A156" s="7">
        <v>155</v>
      </c>
      <c r="B156" s="152" t="s">
        <v>2441</v>
      </c>
      <c r="C156" s="153" t="s">
        <v>2442</v>
      </c>
      <c r="D156" s="153" t="s">
        <v>2443</v>
      </c>
      <c r="E156" s="153" t="s">
        <v>2083</v>
      </c>
      <c r="F156" s="6"/>
      <c r="G156" s="6"/>
      <c r="H156" s="85">
        <v>0</v>
      </c>
      <c r="I156" s="103">
        <f>IFERROR(VLOOKUP(B156,'July 2026-Recived'!$B$2:$H$1300,7,0),0)</f>
        <v>0</v>
      </c>
      <c r="J156" s="103">
        <f>IFERROR(VLOOKUP(B156,'July 2026- Dispatch'!$B$2:$H$1300,7,0),0)</f>
        <v>0</v>
      </c>
      <c r="K156" s="61">
        <f t="shared" si="2"/>
        <v>0</v>
      </c>
      <c r="L156" s="123">
        <v>0</v>
      </c>
    </row>
    <row r="157" spans="1:12" hidden="1" x14ac:dyDescent="0.25">
      <c r="A157" s="7">
        <v>156</v>
      </c>
      <c r="B157" s="152" t="s">
        <v>1426</v>
      </c>
      <c r="C157" s="153" t="s">
        <v>2444</v>
      </c>
      <c r="D157" s="153" t="s">
        <v>2445</v>
      </c>
      <c r="E157" s="153" t="s">
        <v>2086</v>
      </c>
      <c r="F157" s="6"/>
      <c r="G157" s="6"/>
      <c r="H157" s="85">
        <v>11</v>
      </c>
      <c r="I157" s="103">
        <f>IFERROR(VLOOKUP(B157,'July 2026-Recived'!$B$2:$H$1300,7,0),0)</f>
        <v>0</v>
      </c>
      <c r="J157" s="103">
        <f>IFERROR(VLOOKUP(B157,'July 2026- Dispatch'!$B$2:$H$1300,7,0),0)</f>
        <v>0</v>
      </c>
      <c r="K157" s="61">
        <f t="shared" si="2"/>
        <v>11</v>
      </c>
      <c r="L157" s="123">
        <v>0</v>
      </c>
    </row>
    <row r="158" spans="1:12" hidden="1" x14ac:dyDescent="0.25">
      <c r="A158" s="7">
        <v>157</v>
      </c>
      <c r="B158" s="152" t="s">
        <v>2446</v>
      </c>
      <c r="C158" s="153" t="s">
        <v>2447</v>
      </c>
      <c r="D158" s="153" t="s">
        <v>2448</v>
      </c>
      <c r="E158" s="153" t="s">
        <v>2086</v>
      </c>
      <c r="F158" s="6"/>
      <c r="G158" s="6"/>
      <c r="H158" s="85">
        <v>36</v>
      </c>
      <c r="I158" s="103">
        <f>IFERROR(VLOOKUP(B158,'July 2026-Recived'!$B$2:$H$1300,7,0),0)</f>
        <v>0</v>
      </c>
      <c r="J158" s="103">
        <f>IFERROR(VLOOKUP(B158,'July 2026- Dispatch'!$B$2:$H$1300,7,0),0)</f>
        <v>0</v>
      </c>
      <c r="K158" s="61">
        <f t="shared" si="2"/>
        <v>36</v>
      </c>
      <c r="L158" s="123">
        <v>0</v>
      </c>
    </row>
    <row r="159" spans="1:12" hidden="1" x14ac:dyDescent="0.25">
      <c r="A159" s="7">
        <v>158</v>
      </c>
      <c r="B159" s="152" t="s">
        <v>283</v>
      </c>
      <c r="C159" s="153" t="s">
        <v>2449</v>
      </c>
      <c r="D159" s="153" t="s">
        <v>2450</v>
      </c>
      <c r="E159" s="153" t="s">
        <v>2083</v>
      </c>
      <c r="F159" s="6"/>
      <c r="G159" s="6"/>
      <c r="H159" s="85">
        <v>0</v>
      </c>
      <c r="I159" s="103">
        <f>IFERROR(VLOOKUP(B159,'July 2026-Recived'!$B$2:$H$1300,7,0),0)</f>
        <v>0</v>
      </c>
      <c r="J159" s="103">
        <f>IFERROR(VLOOKUP(B159,'July 2026- Dispatch'!$B$2:$H$1300,7,0),0)</f>
        <v>0</v>
      </c>
      <c r="K159" s="61">
        <f t="shared" si="2"/>
        <v>0</v>
      </c>
      <c r="L159" s="123">
        <v>0</v>
      </c>
    </row>
    <row r="160" spans="1:12" hidden="1" x14ac:dyDescent="0.25">
      <c r="A160" s="7">
        <v>159</v>
      </c>
      <c r="B160" s="152" t="s">
        <v>2451</v>
      </c>
      <c r="C160" s="153" t="s">
        <v>2452</v>
      </c>
      <c r="D160" s="153" t="s">
        <v>2453</v>
      </c>
      <c r="E160" s="153" t="s">
        <v>2083</v>
      </c>
      <c r="F160" s="6"/>
      <c r="G160" s="6"/>
      <c r="H160" s="85">
        <v>0</v>
      </c>
      <c r="I160" s="103">
        <f>IFERROR(VLOOKUP(B160,'July 2026-Recived'!$B$2:$H$1300,7,0),0)</f>
        <v>0</v>
      </c>
      <c r="J160" s="103">
        <f>IFERROR(VLOOKUP(B160,'July 2026- Dispatch'!$B$2:$H$1300,7,0),0)</f>
        <v>0</v>
      </c>
      <c r="K160" s="61">
        <f t="shared" si="2"/>
        <v>0</v>
      </c>
      <c r="L160" s="123">
        <v>0</v>
      </c>
    </row>
    <row r="161" spans="1:12" hidden="1" x14ac:dyDescent="0.25">
      <c r="A161" s="7">
        <v>160</v>
      </c>
      <c r="B161" s="152" t="s">
        <v>2454</v>
      </c>
      <c r="C161" s="153" t="s">
        <v>2455</v>
      </c>
      <c r="D161" s="153" t="s">
        <v>2456</v>
      </c>
      <c r="E161" s="153" t="s">
        <v>2083</v>
      </c>
      <c r="F161" s="6"/>
      <c r="G161" s="6"/>
      <c r="H161" s="85">
        <v>0</v>
      </c>
      <c r="I161" s="103">
        <f>IFERROR(VLOOKUP(B161,'July 2026-Recived'!$B$2:$H$1300,7,0),0)</f>
        <v>0</v>
      </c>
      <c r="J161" s="103">
        <f>IFERROR(VLOOKUP(B161,'July 2026- Dispatch'!$B$2:$H$1300,7,0),0)</f>
        <v>0</v>
      </c>
      <c r="K161" s="61">
        <f t="shared" si="2"/>
        <v>0</v>
      </c>
      <c r="L161" s="123">
        <v>0</v>
      </c>
    </row>
    <row r="162" spans="1:12" hidden="1" x14ac:dyDescent="0.25">
      <c r="A162" s="7">
        <v>161</v>
      </c>
      <c r="B162" s="152" t="s">
        <v>1000</v>
      </c>
      <c r="C162" s="153" t="s">
        <v>2457</v>
      </c>
      <c r="D162" s="153" t="s">
        <v>2458</v>
      </c>
      <c r="E162" s="153" t="s">
        <v>2086</v>
      </c>
      <c r="F162" s="6"/>
      <c r="G162" s="6"/>
      <c r="H162" s="85">
        <v>24</v>
      </c>
      <c r="I162" s="103">
        <f>IFERROR(VLOOKUP(B162,'July 2026-Recived'!$B$2:$H$1300,7,0),0)</f>
        <v>0</v>
      </c>
      <c r="J162" s="103">
        <f>IFERROR(VLOOKUP(B162,'July 2026- Dispatch'!$B$2:$H$1300,7,0),0)</f>
        <v>5</v>
      </c>
      <c r="K162" s="61">
        <f t="shared" si="2"/>
        <v>19</v>
      </c>
      <c r="L162" s="123">
        <v>0</v>
      </c>
    </row>
    <row r="163" spans="1:12" hidden="1" x14ac:dyDescent="0.25">
      <c r="A163" s="7">
        <v>162</v>
      </c>
      <c r="B163" s="152" t="s">
        <v>303</v>
      </c>
      <c r="C163" s="153" t="s">
        <v>2459</v>
      </c>
      <c r="D163" s="153" t="s">
        <v>2460</v>
      </c>
      <c r="E163" s="153" t="s">
        <v>2083</v>
      </c>
      <c r="F163" s="6"/>
      <c r="G163" s="6"/>
      <c r="H163" s="85">
        <v>0</v>
      </c>
      <c r="I163" s="103">
        <f>IFERROR(VLOOKUP(B163,'July 2026-Recived'!$B$2:$H$1300,7,0),0)</f>
        <v>0</v>
      </c>
      <c r="J163" s="103">
        <f>IFERROR(VLOOKUP(B163,'July 2026- Dispatch'!$B$2:$H$1300,7,0),0)</f>
        <v>0</v>
      </c>
      <c r="K163" s="61">
        <f t="shared" si="2"/>
        <v>0</v>
      </c>
      <c r="L163" s="123">
        <v>0</v>
      </c>
    </row>
    <row r="164" spans="1:12" hidden="1" x14ac:dyDescent="0.25">
      <c r="A164" s="7">
        <v>163</v>
      </c>
      <c r="B164" s="152" t="s">
        <v>2461</v>
      </c>
      <c r="C164" s="153" t="s">
        <v>2462</v>
      </c>
      <c r="D164" s="153" t="s">
        <v>2463</v>
      </c>
      <c r="E164" s="153" t="s">
        <v>2086</v>
      </c>
      <c r="F164" s="6"/>
      <c r="G164" s="6"/>
      <c r="H164" s="85">
        <v>50</v>
      </c>
      <c r="I164" s="103">
        <f>IFERROR(VLOOKUP(B164,'July 2026-Recived'!$B$2:$H$1300,7,0),0)</f>
        <v>0</v>
      </c>
      <c r="J164" s="103">
        <f>IFERROR(VLOOKUP(B164,'July 2026- Dispatch'!$B$2:$H$1300,7,0),0)</f>
        <v>0</v>
      </c>
      <c r="K164" s="61">
        <f t="shared" si="2"/>
        <v>50</v>
      </c>
      <c r="L164" s="123">
        <v>0</v>
      </c>
    </row>
    <row r="165" spans="1:12" hidden="1" x14ac:dyDescent="0.25">
      <c r="A165" s="7">
        <v>164</v>
      </c>
      <c r="B165" s="152" t="s">
        <v>271</v>
      </c>
      <c r="C165" s="153" t="s">
        <v>2464</v>
      </c>
      <c r="D165" s="153" t="s">
        <v>2465</v>
      </c>
      <c r="E165" s="153" t="s">
        <v>2086</v>
      </c>
      <c r="F165" s="6"/>
      <c r="G165" s="6"/>
      <c r="H165" s="85">
        <v>125</v>
      </c>
      <c r="I165" s="103">
        <f>IFERROR(VLOOKUP(B165,'July 2026-Recived'!$B$2:$H$1300,7,0),0)</f>
        <v>0</v>
      </c>
      <c r="J165" s="103">
        <f>IFERROR(VLOOKUP(B165,'July 2026- Dispatch'!$B$2:$H$1300,7,0),0)</f>
        <v>0</v>
      </c>
      <c r="K165" s="61">
        <f t="shared" si="2"/>
        <v>125</v>
      </c>
      <c r="L165" s="123">
        <v>0</v>
      </c>
    </row>
    <row r="166" spans="1:12" hidden="1" x14ac:dyDescent="0.25">
      <c r="A166" s="7">
        <v>165</v>
      </c>
      <c r="B166" s="152" t="s">
        <v>1171</v>
      </c>
      <c r="C166" s="153" t="s">
        <v>2466</v>
      </c>
      <c r="D166" s="153" t="s">
        <v>2467</v>
      </c>
      <c r="E166" s="153" t="s">
        <v>2086</v>
      </c>
      <c r="F166" s="6"/>
      <c r="G166" s="6"/>
      <c r="H166" s="85">
        <v>46</v>
      </c>
      <c r="I166" s="103">
        <f>IFERROR(VLOOKUP(B166,'July 2026-Recived'!$B$2:$H$1300,7,0),0)</f>
        <v>0</v>
      </c>
      <c r="J166" s="103">
        <f>IFERROR(VLOOKUP(B166,'July 2026- Dispatch'!$B$2:$H$1300,7,0),0)</f>
        <v>0</v>
      </c>
      <c r="K166" s="61">
        <f t="shared" si="2"/>
        <v>46</v>
      </c>
      <c r="L166" s="123">
        <v>0</v>
      </c>
    </row>
    <row r="167" spans="1:12" hidden="1" x14ac:dyDescent="0.25">
      <c r="A167" s="7">
        <v>166</v>
      </c>
      <c r="B167" s="152" t="s">
        <v>273</v>
      </c>
      <c r="C167" s="153" t="s">
        <v>2468</v>
      </c>
      <c r="D167" s="153" t="s">
        <v>2469</v>
      </c>
      <c r="E167" s="153" t="s">
        <v>2086</v>
      </c>
      <c r="F167" s="6"/>
      <c r="G167" s="6"/>
      <c r="H167" s="85">
        <v>24</v>
      </c>
      <c r="I167" s="103">
        <f>IFERROR(VLOOKUP(B167,'July 2026-Recived'!$B$2:$H$1300,7,0),0)</f>
        <v>0</v>
      </c>
      <c r="J167" s="103">
        <f>IFERROR(VLOOKUP(B167,'July 2026- Dispatch'!$B$2:$H$1300,7,0),0)</f>
        <v>1</v>
      </c>
      <c r="K167" s="61">
        <f t="shared" si="2"/>
        <v>23</v>
      </c>
      <c r="L167" s="123">
        <v>0</v>
      </c>
    </row>
    <row r="168" spans="1:12" hidden="1" x14ac:dyDescent="0.25">
      <c r="A168" s="7">
        <v>167</v>
      </c>
      <c r="B168" s="152" t="s">
        <v>1333</v>
      </c>
      <c r="C168" s="153" t="s">
        <v>2470</v>
      </c>
      <c r="D168" s="153" t="s">
        <v>2471</v>
      </c>
      <c r="E168" s="153" t="s">
        <v>2086</v>
      </c>
      <c r="F168" s="6"/>
      <c r="G168" s="6"/>
      <c r="H168" s="85">
        <v>6</v>
      </c>
      <c r="I168" s="103">
        <f>IFERROR(VLOOKUP(B168,'July 2026-Recived'!$B$2:$H$1300,7,0),0)</f>
        <v>0</v>
      </c>
      <c r="J168" s="103">
        <f>IFERROR(VLOOKUP(B168,'July 2026- Dispatch'!$B$2:$H$1300,7,0),0)</f>
        <v>0</v>
      </c>
      <c r="K168" s="61">
        <f t="shared" si="2"/>
        <v>6</v>
      </c>
      <c r="L168" s="123">
        <v>0</v>
      </c>
    </row>
    <row r="169" spans="1:12" hidden="1" x14ac:dyDescent="0.25">
      <c r="A169" s="7">
        <v>168</v>
      </c>
      <c r="B169" s="152" t="s">
        <v>277</v>
      </c>
      <c r="C169" s="153" t="s">
        <v>2472</v>
      </c>
      <c r="D169" s="153" t="s">
        <v>2473</v>
      </c>
      <c r="E169" s="153" t="s">
        <v>2083</v>
      </c>
      <c r="F169" s="6"/>
      <c r="G169" s="6"/>
      <c r="H169" s="85">
        <v>0</v>
      </c>
      <c r="I169" s="103">
        <f>IFERROR(VLOOKUP(B169,'July 2026-Recived'!$B$2:$H$1300,7,0),0)</f>
        <v>0</v>
      </c>
      <c r="J169" s="103">
        <f>IFERROR(VLOOKUP(B169,'July 2026- Dispatch'!$B$2:$H$1300,7,0),0)</f>
        <v>0</v>
      </c>
      <c r="K169" s="61">
        <f t="shared" si="2"/>
        <v>0</v>
      </c>
      <c r="L169" s="123">
        <v>0</v>
      </c>
    </row>
    <row r="170" spans="1:12" hidden="1" x14ac:dyDescent="0.25">
      <c r="A170" s="7">
        <v>169</v>
      </c>
      <c r="B170" s="152" t="s">
        <v>1108</v>
      </c>
      <c r="C170" s="153" t="s">
        <v>2474</v>
      </c>
      <c r="D170" s="153" t="s">
        <v>2475</v>
      </c>
      <c r="E170" s="153" t="s">
        <v>2083</v>
      </c>
      <c r="F170" s="6"/>
      <c r="G170" s="6"/>
      <c r="H170" s="85">
        <v>0</v>
      </c>
      <c r="I170" s="103">
        <f>IFERROR(VLOOKUP(B170,'July 2026-Recived'!$B$2:$H$1300,7,0),0)</f>
        <v>0</v>
      </c>
      <c r="J170" s="103">
        <f>IFERROR(VLOOKUP(B170,'July 2026- Dispatch'!$B$2:$H$1300,7,0),0)</f>
        <v>0</v>
      </c>
      <c r="K170" s="61">
        <f t="shared" si="2"/>
        <v>0</v>
      </c>
      <c r="L170" s="123">
        <v>0</v>
      </c>
    </row>
    <row r="171" spans="1:12" hidden="1" x14ac:dyDescent="0.25">
      <c r="A171" s="7">
        <v>170</v>
      </c>
      <c r="B171" s="152" t="s">
        <v>2476</v>
      </c>
      <c r="C171" s="153" t="s">
        <v>2477</v>
      </c>
      <c r="D171" s="153" t="s">
        <v>2478</v>
      </c>
      <c r="E171" s="153" t="s">
        <v>2083</v>
      </c>
      <c r="F171" s="6"/>
      <c r="G171" s="6"/>
      <c r="H171" s="85">
        <v>0</v>
      </c>
      <c r="I171" s="103">
        <f>IFERROR(VLOOKUP(B171,'July 2026-Recived'!$B$2:$H$1300,7,0),0)</f>
        <v>0</v>
      </c>
      <c r="J171" s="103">
        <f>IFERROR(VLOOKUP(B171,'July 2026- Dispatch'!$B$2:$H$1300,7,0),0)</f>
        <v>0</v>
      </c>
      <c r="K171" s="61">
        <f t="shared" si="2"/>
        <v>0</v>
      </c>
      <c r="L171" s="123">
        <v>0</v>
      </c>
    </row>
    <row r="172" spans="1:12" hidden="1" x14ac:dyDescent="0.25">
      <c r="A172" s="7">
        <v>171</v>
      </c>
      <c r="B172" s="152" t="s">
        <v>2479</v>
      </c>
      <c r="C172" s="153" t="s">
        <v>2480</v>
      </c>
      <c r="D172" s="153" t="s">
        <v>2481</v>
      </c>
      <c r="E172" s="153" t="s">
        <v>2083</v>
      </c>
      <c r="F172" s="6"/>
      <c r="G172" s="6"/>
      <c r="H172" s="85">
        <v>0</v>
      </c>
      <c r="I172" s="103">
        <f>IFERROR(VLOOKUP(B172,'July 2026-Recived'!$B$2:$H$1300,7,0),0)</f>
        <v>0</v>
      </c>
      <c r="J172" s="103">
        <f>IFERROR(VLOOKUP(B172,'July 2026- Dispatch'!$B$2:$H$1300,7,0),0)</f>
        <v>0</v>
      </c>
      <c r="K172" s="61">
        <f t="shared" si="2"/>
        <v>0</v>
      </c>
      <c r="L172" s="123">
        <v>0</v>
      </c>
    </row>
    <row r="173" spans="1:12" hidden="1" x14ac:dyDescent="0.25">
      <c r="A173" s="7">
        <v>172</v>
      </c>
      <c r="B173" s="152" t="s">
        <v>2482</v>
      </c>
      <c r="C173" s="153" t="s">
        <v>2483</v>
      </c>
      <c r="D173" s="153" t="s">
        <v>2484</v>
      </c>
      <c r="E173" s="153" t="s">
        <v>2086</v>
      </c>
      <c r="F173" s="6"/>
      <c r="G173" s="6"/>
      <c r="H173" s="85">
        <v>43</v>
      </c>
      <c r="I173" s="103">
        <f>IFERROR(VLOOKUP(B173,'July 2026-Recived'!$B$2:$H$1300,7,0),0)</f>
        <v>0</v>
      </c>
      <c r="J173" s="103">
        <f>IFERROR(VLOOKUP(B173,'July 2026- Dispatch'!$B$2:$H$1300,7,0),0)</f>
        <v>0</v>
      </c>
      <c r="K173" s="61">
        <f t="shared" si="2"/>
        <v>43</v>
      </c>
      <c r="L173" s="123">
        <v>0</v>
      </c>
    </row>
    <row r="174" spans="1:12" hidden="1" x14ac:dyDescent="0.25">
      <c r="A174" s="7">
        <v>173</v>
      </c>
      <c r="B174" s="152" t="s">
        <v>2485</v>
      </c>
      <c r="C174" s="153" t="s">
        <v>2486</v>
      </c>
      <c r="D174" s="153" t="s">
        <v>2487</v>
      </c>
      <c r="E174" s="153" t="s">
        <v>2083</v>
      </c>
      <c r="F174" s="6"/>
      <c r="G174" s="6"/>
      <c r="H174" s="85">
        <v>0</v>
      </c>
      <c r="I174" s="103">
        <f>IFERROR(VLOOKUP(B174,'July 2026-Recived'!$B$2:$H$1300,7,0),0)</f>
        <v>0</v>
      </c>
      <c r="J174" s="103">
        <f>IFERROR(VLOOKUP(B174,'July 2026- Dispatch'!$B$2:$H$1300,7,0),0)</f>
        <v>0</v>
      </c>
      <c r="K174" s="61">
        <f t="shared" si="2"/>
        <v>0</v>
      </c>
      <c r="L174" s="123">
        <v>0</v>
      </c>
    </row>
    <row r="175" spans="1:12" hidden="1" x14ac:dyDescent="0.25">
      <c r="A175" s="7">
        <v>174</v>
      </c>
      <c r="B175" s="152" t="s">
        <v>2488</v>
      </c>
      <c r="C175" s="153" t="s">
        <v>2489</v>
      </c>
      <c r="D175" s="153" t="s">
        <v>2490</v>
      </c>
      <c r="E175" s="153" t="s">
        <v>2086</v>
      </c>
      <c r="F175" s="6"/>
      <c r="G175" s="6"/>
      <c r="H175" s="85">
        <v>109</v>
      </c>
      <c r="I175" s="103">
        <f>IFERROR(VLOOKUP(B175,'July 2026-Recived'!$B$2:$H$1300,7,0),0)</f>
        <v>0</v>
      </c>
      <c r="J175" s="103">
        <f>IFERROR(VLOOKUP(B175,'July 2026- Dispatch'!$B$2:$H$1300,7,0),0)</f>
        <v>0</v>
      </c>
      <c r="K175" s="61">
        <f t="shared" si="2"/>
        <v>109</v>
      </c>
      <c r="L175" s="123">
        <v>0</v>
      </c>
    </row>
    <row r="176" spans="1:12" hidden="1" x14ac:dyDescent="0.25">
      <c r="A176" s="7">
        <v>175</v>
      </c>
      <c r="B176" s="152" t="s">
        <v>237</v>
      </c>
      <c r="C176" s="153" t="s">
        <v>2491</v>
      </c>
      <c r="D176" s="153" t="s">
        <v>2492</v>
      </c>
      <c r="E176" s="153" t="s">
        <v>2083</v>
      </c>
      <c r="F176" s="6"/>
      <c r="G176" s="6"/>
      <c r="H176" s="85">
        <v>0</v>
      </c>
      <c r="I176" s="103">
        <f>IFERROR(VLOOKUP(B176,'July 2026-Recived'!$B$2:$H$1300,7,0),0)</f>
        <v>0</v>
      </c>
      <c r="J176" s="103">
        <f>IFERROR(VLOOKUP(B176,'July 2026- Dispatch'!$B$2:$H$1300,7,0),0)</f>
        <v>0</v>
      </c>
      <c r="K176" s="61">
        <f t="shared" si="2"/>
        <v>0</v>
      </c>
      <c r="L176" s="123">
        <v>0</v>
      </c>
    </row>
    <row r="177" spans="1:12" hidden="1" x14ac:dyDescent="0.25">
      <c r="A177" s="7">
        <v>176</v>
      </c>
      <c r="B177" s="152" t="s">
        <v>2493</v>
      </c>
      <c r="C177" s="153" t="s">
        <v>2494</v>
      </c>
      <c r="D177" s="153" t="s">
        <v>2495</v>
      </c>
      <c r="E177" s="153" t="s">
        <v>2083</v>
      </c>
      <c r="F177" s="6"/>
      <c r="G177" s="6"/>
      <c r="H177" s="85">
        <v>0</v>
      </c>
      <c r="I177" s="103">
        <f>IFERROR(VLOOKUP(B177,'July 2026-Recived'!$B$2:$H$1300,7,0),0)</f>
        <v>0</v>
      </c>
      <c r="J177" s="103">
        <f>IFERROR(VLOOKUP(B177,'July 2026- Dispatch'!$B$2:$H$1300,7,0),0)</f>
        <v>0</v>
      </c>
      <c r="K177" s="61">
        <f t="shared" si="2"/>
        <v>0</v>
      </c>
      <c r="L177" s="123">
        <v>0</v>
      </c>
    </row>
    <row r="178" spans="1:12" hidden="1" x14ac:dyDescent="0.25">
      <c r="A178" s="7">
        <v>177</v>
      </c>
      <c r="B178" s="152" t="s">
        <v>1741</v>
      </c>
      <c r="C178" s="153" t="s">
        <v>2496</v>
      </c>
      <c r="D178" s="153" t="s">
        <v>2497</v>
      </c>
      <c r="E178" s="153" t="s">
        <v>2086</v>
      </c>
      <c r="F178" s="6"/>
      <c r="G178" s="6"/>
      <c r="H178" s="85">
        <v>37</v>
      </c>
      <c r="I178" s="103">
        <f>IFERROR(VLOOKUP(B178,'July 2026-Recived'!$B$2:$H$1300,7,0),0)</f>
        <v>0</v>
      </c>
      <c r="J178" s="103">
        <f>IFERROR(VLOOKUP(B178,'July 2026- Dispatch'!$B$2:$H$1300,7,0),0)</f>
        <v>0</v>
      </c>
      <c r="K178" s="61">
        <f t="shared" si="2"/>
        <v>37</v>
      </c>
      <c r="L178" s="123">
        <v>0</v>
      </c>
    </row>
    <row r="179" spans="1:12" hidden="1" x14ac:dyDescent="0.25">
      <c r="A179" s="7">
        <v>178</v>
      </c>
      <c r="B179" s="152" t="s">
        <v>2498</v>
      </c>
      <c r="C179" s="153" t="s">
        <v>2499</v>
      </c>
      <c r="D179" s="153" t="s">
        <v>2500</v>
      </c>
      <c r="E179" s="153" t="s">
        <v>2083</v>
      </c>
      <c r="F179" s="6"/>
      <c r="G179" s="6"/>
      <c r="H179" s="85">
        <v>0</v>
      </c>
      <c r="I179" s="103">
        <f>IFERROR(VLOOKUP(B179,'July 2026-Recived'!$B$2:$H$1300,7,0),0)</f>
        <v>0</v>
      </c>
      <c r="J179" s="103">
        <f>IFERROR(VLOOKUP(B179,'July 2026- Dispatch'!$B$2:$H$1300,7,0),0)</f>
        <v>0</v>
      </c>
      <c r="K179" s="61">
        <f t="shared" si="2"/>
        <v>0</v>
      </c>
      <c r="L179" s="123">
        <v>0</v>
      </c>
    </row>
    <row r="180" spans="1:12" hidden="1" x14ac:dyDescent="0.25">
      <c r="A180" s="7">
        <v>179</v>
      </c>
      <c r="B180" s="152" t="s">
        <v>2501</v>
      </c>
      <c r="C180" s="153" t="s">
        <v>2502</v>
      </c>
      <c r="D180" s="153" t="s">
        <v>2503</v>
      </c>
      <c r="E180" s="153" t="s">
        <v>2083</v>
      </c>
      <c r="F180" s="6"/>
      <c r="G180" s="6"/>
      <c r="H180" s="85">
        <v>0</v>
      </c>
      <c r="I180" s="103">
        <f>IFERROR(VLOOKUP(B180,'July 2026-Recived'!$B$2:$H$1300,7,0),0)</f>
        <v>0</v>
      </c>
      <c r="J180" s="103">
        <f>IFERROR(VLOOKUP(B180,'July 2026- Dispatch'!$B$2:$H$1300,7,0),0)</f>
        <v>0</v>
      </c>
      <c r="K180" s="61">
        <f t="shared" si="2"/>
        <v>0</v>
      </c>
      <c r="L180" s="123">
        <v>0</v>
      </c>
    </row>
    <row r="181" spans="1:12" hidden="1" x14ac:dyDescent="0.25">
      <c r="A181" s="7">
        <v>180</v>
      </c>
      <c r="B181" s="152" t="s">
        <v>2504</v>
      </c>
      <c r="C181" s="153" t="s">
        <v>2505</v>
      </c>
      <c r="D181" s="153" t="s">
        <v>2506</v>
      </c>
      <c r="E181" s="153" t="s">
        <v>2083</v>
      </c>
      <c r="F181" s="6"/>
      <c r="G181" s="6"/>
      <c r="H181" s="85">
        <v>0</v>
      </c>
      <c r="I181" s="103">
        <f>IFERROR(VLOOKUP(B181,'July 2026-Recived'!$B$2:$H$1300,7,0),0)</f>
        <v>163</v>
      </c>
      <c r="J181" s="103">
        <f>IFERROR(VLOOKUP(B181,'July 2026- Dispatch'!$B$2:$H$1300,7,0),0)</f>
        <v>0</v>
      </c>
      <c r="K181" s="61">
        <f t="shared" si="2"/>
        <v>163</v>
      </c>
      <c r="L181" s="123">
        <v>0</v>
      </c>
    </row>
    <row r="182" spans="1:12" hidden="1" x14ac:dyDescent="0.25">
      <c r="A182" s="7">
        <v>181</v>
      </c>
      <c r="B182" s="152" t="s">
        <v>2507</v>
      </c>
      <c r="C182" s="153" t="s">
        <v>2508</v>
      </c>
      <c r="D182" s="153" t="s">
        <v>2509</v>
      </c>
      <c r="E182" s="153" t="s">
        <v>2083</v>
      </c>
      <c r="F182" s="6"/>
      <c r="G182" s="6"/>
      <c r="H182" s="85">
        <v>0</v>
      </c>
      <c r="I182" s="103">
        <f>IFERROR(VLOOKUP(B182,'July 2026-Recived'!$B$2:$H$1300,7,0),0)</f>
        <v>0</v>
      </c>
      <c r="J182" s="103">
        <f>IFERROR(VLOOKUP(B182,'July 2026- Dispatch'!$B$2:$H$1300,7,0),0)</f>
        <v>0</v>
      </c>
      <c r="K182" s="61">
        <f t="shared" si="2"/>
        <v>0</v>
      </c>
      <c r="L182" s="123">
        <v>0</v>
      </c>
    </row>
    <row r="183" spans="1:12" hidden="1" x14ac:dyDescent="0.25">
      <c r="A183" s="7">
        <v>182</v>
      </c>
      <c r="B183" s="152" t="s">
        <v>342</v>
      </c>
      <c r="C183" s="153" t="s">
        <v>2510</v>
      </c>
      <c r="D183" s="153" t="s">
        <v>2511</v>
      </c>
      <c r="E183" s="153" t="s">
        <v>2083</v>
      </c>
      <c r="F183" s="6"/>
      <c r="G183" s="6"/>
      <c r="H183" s="85">
        <v>0</v>
      </c>
      <c r="I183" s="103">
        <f>IFERROR(VLOOKUP(B183,'July 2026-Recived'!$B$2:$H$1300,7,0),0)</f>
        <v>0</v>
      </c>
      <c r="J183" s="103">
        <f>IFERROR(VLOOKUP(B183,'July 2026- Dispatch'!$B$2:$H$1300,7,0),0)</f>
        <v>0</v>
      </c>
      <c r="K183" s="61">
        <f t="shared" si="2"/>
        <v>0</v>
      </c>
      <c r="L183" s="123">
        <v>0</v>
      </c>
    </row>
    <row r="184" spans="1:12" hidden="1" x14ac:dyDescent="0.25">
      <c r="A184" s="7">
        <v>183</v>
      </c>
      <c r="B184" s="152" t="s">
        <v>2512</v>
      </c>
      <c r="C184" s="153" t="s">
        <v>2513</v>
      </c>
      <c r="D184" s="153" t="s">
        <v>2514</v>
      </c>
      <c r="E184" s="153" t="s">
        <v>2083</v>
      </c>
      <c r="F184" s="6"/>
      <c r="G184" s="6"/>
      <c r="H184" s="85">
        <v>0</v>
      </c>
      <c r="I184" s="103">
        <f>IFERROR(VLOOKUP(B184,'July 2026-Recived'!$B$2:$H$1300,7,0),0)</f>
        <v>0</v>
      </c>
      <c r="J184" s="103">
        <f>IFERROR(VLOOKUP(B184,'July 2026- Dispatch'!$B$2:$H$1300,7,0),0)</f>
        <v>0</v>
      </c>
      <c r="K184" s="61">
        <f t="shared" si="2"/>
        <v>0</v>
      </c>
      <c r="L184" s="123">
        <v>0</v>
      </c>
    </row>
    <row r="185" spans="1:12" hidden="1" x14ac:dyDescent="0.25">
      <c r="A185" s="7">
        <v>184</v>
      </c>
      <c r="B185" s="152" t="s">
        <v>2515</v>
      </c>
      <c r="C185" s="153" t="s">
        <v>2516</v>
      </c>
      <c r="D185" s="153" t="s">
        <v>2517</v>
      </c>
      <c r="E185" s="153" t="s">
        <v>2083</v>
      </c>
      <c r="F185" s="6"/>
      <c r="G185" s="6"/>
      <c r="H185" s="85">
        <v>0</v>
      </c>
      <c r="I185" s="103">
        <f>IFERROR(VLOOKUP(B185,'July 2026-Recived'!$B$2:$H$1300,7,0),0)</f>
        <v>0</v>
      </c>
      <c r="J185" s="103">
        <f>IFERROR(VLOOKUP(B185,'July 2026- Dispatch'!$B$2:$H$1300,7,0),0)</f>
        <v>0</v>
      </c>
      <c r="K185" s="61">
        <f t="shared" si="2"/>
        <v>0</v>
      </c>
      <c r="L185" s="123">
        <v>0</v>
      </c>
    </row>
    <row r="186" spans="1:12" hidden="1" x14ac:dyDescent="0.25">
      <c r="A186" s="7">
        <v>185</v>
      </c>
      <c r="B186" s="152" t="s">
        <v>2518</v>
      </c>
      <c r="C186" s="153" t="s">
        <v>2519</v>
      </c>
      <c r="D186" s="153" t="s">
        <v>2520</v>
      </c>
      <c r="E186" s="153" t="s">
        <v>2086</v>
      </c>
      <c r="F186" s="6"/>
      <c r="G186" s="6"/>
      <c r="H186" s="85">
        <v>2606</v>
      </c>
      <c r="I186" s="103">
        <f>IFERROR(VLOOKUP(B186,'July 2026-Recived'!$B$2:$H$1300,7,0),0)</f>
        <v>0</v>
      </c>
      <c r="J186" s="103">
        <f>IFERROR(VLOOKUP(B186,'July 2026- Dispatch'!$B$2:$H$1300,7,0),0)</f>
        <v>0</v>
      </c>
      <c r="K186" s="61">
        <f t="shared" si="2"/>
        <v>2606</v>
      </c>
      <c r="L186" s="123">
        <v>0</v>
      </c>
    </row>
    <row r="187" spans="1:12" hidden="1" x14ac:dyDescent="0.25">
      <c r="A187" s="7">
        <v>186</v>
      </c>
      <c r="B187" s="152" t="s">
        <v>2521</v>
      </c>
      <c r="C187" s="153" t="s">
        <v>2522</v>
      </c>
      <c r="D187" s="153" t="s">
        <v>2523</v>
      </c>
      <c r="E187" s="153" t="s">
        <v>2086</v>
      </c>
      <c r="F187" s="6"/>
      <c r="G187" s="6"/>
      <c r="H187" s="85">
        <v>2</v>
      </c>
      <c r="I187" s="103">
        <f>IFERROR(VLOOKUP(B187,'July 2026-Recived'!$B$2:$H$1300,7,0),0)</f>
        <v>0</v>
      </c>
      <c r="J187" s="103">
        <f>IFERROR(VLOOKUP(B187,'July 2026- Dispatch'!$B$2:$H$1300,7,0),0)</f>
        <v>0</v>
      </c>
      <c r="K187" s="61">
        <f t="shared" si="2"/>
        <v>2</v>
      </c>
      <c r="L187" s="123">
        <v>0</v>
      </c>
    </row>
    <row r="188" spans="1:12" hidden="1" x14ac:dyDescent="0.25">
      <c r="A188" s="7">
        <v>187</v>
      </c>
      <c r="B188" s="152" t="s">
        <v>329</v>
      </c>
      <c r="C188" s="153" t="s">
        <v>2524</v>
      </c>
      <c r="D188" s="153" t="s">
        <v>2525</v>
      </c>
      <c r="E188" s="153" t="s">
        <v>2083</v>
      </c>
      <c r="F188" s="6"/>
      <c r="G188" s="6"/>
      <c r="H188" s="85">
        <v>0</v>
      </c>
      <c r="I188" s="103">
        <f>IFERROR(VLOOKUP(B188,'July 2026-Recived'!$B$2:$H$1300,7,0),0)</f>
        <v>0</v>
      </c>
      <c r="J188" s="103">
        <f>IFERROR(VLOOKUP(B188,'July 2026- Dispatch'!$B$2:$H$1300,7,0),0)</f>
        <v>0</v>
      </c>
      <c r="K188" s="61">
        <f t="shared" si="2"/>
        <v>0</v>
      </c>
      <c r="L188" s="123">
        <v>0</v>
      </c>
    </row>
    <row r="189" spans="1:12" hidden="1" x14ac:dyDescent="0.25">
      <c r="A189" s="7">
        <v>188</v>
      </c>
      <c r="B189" s="152" t="s">
        <v>2526</v>
      </c>
      <c r="C189" s="153" t="s">
        <v>2527</v>
      </c>
      <c r="D189" s="153" t="s">
        <v>2528</v>
      </c>
      <c r="E189" s="153" t="s">
        <v>2086</v>
      </c>
      <c r="F189" s="6"/>
      <c r="G189" s="6"/>
      <c r="H189" s="85">
        <v>1400</v>
      </c>
      <c r="I189" s="103">
        <f>IFERROR(VLOOKUP(B189,'July 2026-Recived'!$B$2:$H$1300,7,0),0)</f>
        <v>0</v>
      </c>
      <c r="J189" s="103">
        <f>IFERROR(VLOOKUP(B189,'July 2026- Dispatch'!$B$2:$H$1300,7,0),0)</f>
        <v>0</v>
      </c>
      <c r="K189" s="61">
        <f t="shared" si="2"/>
        <v>1400</v>
      </c>
      <c r="L189" s="123">
        <v>0</v>
      </c>
    </row>
    <row r="190" spans="1:12" hidden="1" x14ac:dyDescent="0.25">
      <c r="A190" s="7">
        <v>189</v>
      </c>
      <c r="B190" s="152" t="s">
        <v>331</v>
      </c>
      <c r="C190" s="153" t="s">
        <v>2529</v>
      </c>
      <c r="D190" s="153" t="s">
        <v>2530</v>
      </c>
      <c r="E190" s="153" t="s">
        <v>2083</v>
      </c>
      <c r="F190" s="6"/>
      <c r="G190" s="6"/>
      <c r="H190" s="85">
        <v>0</v>
      </c>
      <c r="I190" s="103">
        <f>IFERROR(VLOOKUP(B190,'July 2026-Recived'!$B$2:$H$1300,7,0),0)</f>
        <v>0</v>
      </c>
      <c r="J190" s="103">
        <f>IFERROR(VLOOKUP(B190,'July 2026- Dispatch'!$B$2:$H$1300,7,0),0)</f>
        <v>0</v>
      </c>
      <c r="K190" s="61">
        <f t="shared" si="2"/>
        <v>0</v>
      </c>
      <c r="L190" s="123">
        <v>0</v>
      </c>
    </row>
    <row r="191" spans="1:12" hidden="1" x14ac:dyDescent="0.25">
      <c r="A191" s="7">
        <v>190</v>
      </c>
      <c r="B191" s="152" t="s">
        <v>2531</v>
      </c>
      <c r="C191" s="153" t="s">
        <v>2532</v>
      </c>
      <c r="D191" s="153" t="s">
        <v>2533</v>
      </c>
      <c r="E191" s="153" t="s">
        <v>2083</v>
      </c>
      <c r="F191" s="6"/>
      <c r="G191" s="6"/>
      <c r="H191" s="85">
        <v>0</v>
      </c>
      <c r="I191" s="103">
        <f>IFERROR(VLOOKUP(B191,'July 2026-Recived'!$B$2:$H$1300,7,0),0)</f>
        <v>0</v>
      </c>
      <c r="J191" s="103">
        <f>IFERROR(VLOOKUP(B191,'July 2026- Dispatch'!$B$2:$H$1300,7,0),0)</f>
        <v>0</v>
      </c>
      <c r="K191" s="61">
        <f t="shared" si="2"/>
        <v>0</v>
      </c>
      <c r="L191" s="123">
        <v>0</v>
      </c>
    </row>
    <row r="192" spans="1:12" hidden="1" x14ac:dyDescent="0.25">
      <c r="A192" s="7">
        <v>191</v>
      </c>
      <c r="B192" s="152" t="s">
        <v>2534</v>
      </c>
      <c r="C192" s="153" t="s">
        <v>2535</v>
      </c>
      <c r="D192" s="153" t="s">
        <v>2536</v>
      </c>
      <c r="E192" s="153" t="s">
        <v>2083</v>
      </c>
      <c r="F192" s="6"/>
      <c r="G192" s="6"/>
      <c r="H192" s="85">
        <v>0</v>
      </c>
      <c r="I192" s="103">
        <f>IFERROR(VLOOKUP(B192,'July 2026-Recived'!$B$2:$H$1300,7,0),0)</f>
        <v>0</v>
      </c>
      <c r="J192" s="103">
        <f>IFERROR(VLOOKUP(B192,'July 2026- Dispatch'!$B$2:$H$1300,7,0),0)</f>
        <v>0</v>
      </c>
      <c r="K192" s="61">
        <f t="shared" si="2"/>
        <v>0</v>
      </c>
      <c r="L192" s="123">
        <v>0</v>
      </c>
    </row>
    <row r="193" spans="1:12" hidden="1" x14ac:dyDescent="0.25">
      <c r="A193" s="7">
        <v>192</v>
      </c>
      <c r="B193" s="152" t="s">
        <v>245</v>
      </c>
      <c r="C193" s="153" t="s">
        <v>2537</v>
      </c>
      <c r="D193" s="153" t="s">
        <v>2538</v>
      </c>
      <c r="E193" s="153" t="s">
        <v>2083</v>
      </c>
      <c r="F193" s="6"/>
      <c r="G193" s="6"/>
      <c r="H193" s="85">
        <v>0</v>
      </c>
      <c r="I193" s="103">
        <f>IFERROR(VLOOKUP(B193,'July 2026-Recived'!$B$2:$H$1300,7,0),0)</f>
        <v>0</v>
      </c>
      <c r="J193" s="103">
        <f>IFERROR(VLOOKUP(B193,'July 2026- Dispatch'!$B$2:$H$1300,7,0),0)</f>
        <v>0</v>
      </c>
      <c r="K193" s="61">
        <f t="shared" si="2"/>
        <v>0</v>
      </c>
      <c r="L193" s="123">
        <v>0</v>
      </c>
    </row>
    <row r="194" spans="1:12" hidden="1" x14ac:dyDescent="0.25">
      <c r="A194" s="7">
        <v>193</v>
      </c>
      <c r="B194" s="152" t="s">
        <v>2539</v>
      </c>
      <c r="C194" s="153" t="s">
        <v>2540</v>
      </c>
      <c r="D194" s="153" t="s">
        <v>2541</v>
      </c>
      <c r="E194" s="153" t="s">
        <v>2083</v>
      </c>
      <c r="F194" s="6"/>
      <c r="G194" s="6"/>
      <c r="H194" s="85">
        <v>0</v>
      </c>
      <c r="I194" s="103">
        <f>IFERROR(VLOOKUP(B194,'July 2026-Recived'!$B$2:$H$1300,7,0),0)</f>
        <v>0</v>
      </c>
      <c r="J194" s="103">
        <f>IFERROR(VLOOKUP(B194,'July 2026- Dispatch'!$B$2:$H$1300,7,0),0)</f>
        <v>0</v>
      </c>
      <c r="K194" s="61">
        <f t="shared" ref="K194:K257" si="3">H194+I194-J194</f>
        <v>0</v>
      </c>
      <c r="L194" s="123">
        <v>0</v>
      </c>
    </row>
    <row r="195" spans="1:12" hidden="1" x14ac:dyDescent="0.25">
      <c r="A195" s="7">
        <v>194</v>
      </c>
      <c r="B195" s="152" t="s">
        <v>2542</v>
      </c>
      <c r="C195" s="153" t="s">
        <v>2543</v>
      </c>
      <c r="D195" s="153" t="s">
        <v>2544</v>
      </c>
      <c r="E195" s="153" t="s">
        <v>2083</v>
      </c>
      <c r="F195" s="6"/>
      <c r="G195" s="6"/>
      <c r="H195" s="85">
        <v>0</v>
      </c>
      <c r="I195" s="103">
        <f>IFERROR(VLOOKUP(B195,'July 2026-Recived'!$B$2:$H$1300,7,0),0)</f>
        <v>0</v>
      </c>
      <c r="J195" s="103">
        <f>IFERROR(VLOOKUP(B195,'July 2026- Dispatch'!$B$2:$H$1300,7,0),0)</f>
        <v>0</v>
      </c>
      <c r="K195" s="61">
        <f t="shared" si="3"/>
        <v>0</v>
      </c>
      <c r="L195" s="123">
        <v>0</v>
      </c>
    </row>
    <row r="196" spans="1:12" hidden="1" x14ac:dyDescent="0.25">
      <c r="A196" s="7">
        <v>195</v>
      </c>
      <c r="B196" s="152" t="s">
        <v>2545</v>
      </c>
      <c r="C196" s="153" t="s">
        <v>2546</v>
      </c>
      <c r="D196" s="153" t="s">
        <v>2547</v>
      </c>
      <c r="E196" s="153" t="s">
        <v>2083</v>
      </c>
      <c r="F196" s="6"/>
      <c r="G196" s="6"/>
      <c r="H196" s="85">
        <v>0</v>
      </c>
      <c r="I196" s="103">
        <f>IFERROR(VLOOKUP(B196,'July 2026-Recived'!$B$2:$H$1300,7,0),0)</f>
        <v>0</v>
      </c>
      <c r="J196" s="103">
        <f>IFERROR(VLOOKUP(B196,'July 2026- Dispatch'!$B$2:$H$1300,7,0),0)</f>
        <v>0</v>
      </c>
      <c r="K196" s="61">
        <f t="shared" si="3"/>
        <v>0</v>
      </c>
      <c r="L196" s="123">
        <v>0</v>
      </c>
    </row>
    <row r="197" spans="1:12" hidden="1" x14ac:dyDescent="0.25">
      <c r="A197" s="7">
        <v>196</v>
      </c>
      <c r="B197" s="152" t="s">
        <v>2548</v>
      </c>
      <c r="C197" s="153" t="s">
        <v>2549</v>
      </c>
      <c r="D197" s="153" t="s">
        <v>2550</v>
      </c>
      <c r="E197" s="153" t="s">
        <v>2083</v>
      </c>
      <c r="F197" s="6"/>
      <c r="G197" s="6"/>
      <c r="H197" s="85">
        <v>0</v>
      </c>
      <c r="I197" s="103">
        <f>IFERROR(VLOOKUP(B197,'July 2026-Recived'!$B$2:$H$1300,7,0),0)</f>
        <v>0</v>
      </c>
      <c r="J197" s="103">
        <f>IFERROR(VLOOKUP(B197,'July 2026- Dispatch'!$B$2:$H$1300,7,0),0)</f>
        <v>0</v>
      </c>
      <c r="K197" s="61">
        <f t="shared" si="3"/>
        <v>0</v>
      </c>
      <c r="L197" s="123">
        <v>0</v>
      </c>
    </row>
    <row r="198" spans="1:12" hidden="1" x14ac:dyDescent="0.25">
      <c r="A198" s="7">
        <v>197</v>
      </c>
      <c r="B198" s="152" t="s">
        <v>2551</v>
      </c>
      <c r="C198" s="153" t="s">
        <v>2552</v>
      </c>
      <c r="D198" s="153" t="s">
        <v>2553</v>
      </c>
      <c r="E198" s="153" t="s">
        <v>2086</v>
      </c>
      <c r="F198" s="6"/>
      <c r="G198" s="6"/>
      <c r="H198" s="85">
        <v>1794</v>
      </c>
      <c r="I198" s="103">
        <f>IFERROR(VLOOKUP(B198,'July 2026-Recived'!$B$2:$H$1300,7,0),0)</f>
        <v>0</v>
      </c>
      <c r="J198" s="103">
        <f>IFERROR(VLOOKUP(B198,'July 2026- Dispatch'!$B$2:$H$1300,7,0),0)</f>
        <v>0</v>
      </c>
      <c r="K198" s="61">
        <f t="shared" si="3"/>
        <v>1794</v>
      </c>
      <c r="L198" s="123">
        <v>0</v>
      </c>
    </row>
    <row r="199" spans="1:12" hidden="1" x14ac:dyDescent="0.25">
      <c r="A199" s="7">
        <v>198</v>
      </c>
      <c r="B199" s="152" t="s">
        <v>2554</v>
      </c>
      <c r="C199" s="153" t="s">
        <v>2555</v>
      </c>
      <c r="D199" s="153" t="s">
        <v>2556</v>
      </c>
      <c r="E199" s="153" t="s">
        <v>2086</v>
      </c>
      <c r="F199" s="6"/>
      <c r="G199" s="6"/>
      <c r="H199" s="85">
        <v>10</v>
      </c>
      <c r="I199" s="103">
        <f>IFERROR(VLOOKUP(B199,'July 2026-Recived'!$B$2:$H$1300,7,0),0)</f>
        <v>0</v>
      </c>
      <c r="J199" s="103">
        <f>IFERROR(VLOOKUP(B199,'July 2026- Dispatch'!$B$2:$H$1300,7,0),0)</f>
        <v>0</v>
      </c>
      <c r="K199" s="61">
        <f t="shared" si="3"/>
        <v>10</v>
      </c>
      <c r="L199" s="123">
        <v>0</v>
      </c>
    </row>
    <row r="200" spans="1:12" hidden="1" x14ac:dyDescent="0.25">
      <c r="A200" s="7">
        <v>199</v>
      </c>
      <c r="B200" s="152" t="s">
        <v>2557</v>
      </c>
      <c r="C200" s="153" t="s">
        <v>2558</v>
      </c>
      <c r="D200" s="153" t="s">
        <v>2559</v>
      </c>
      <c r="E200" s="153" t="s">
        <v>2083</v>
      </c>
      <c r="F200" s="6"/>
      <c r="G200" s="6"/>
      <c r="H200" s="85">
        <v>0</v>
      </c>
      <c r="I200" s="103">
        <f>IFERROR(VLOOKUP(B200,'July 2026-Recived'!$B$2:$H$1300,7,0),0)</f>
        <v>0</v>
      </c>
      <c r="J200" s="103">
        <f>IFERROR(VLOOKUP(B200,'July 2026- Dispatch'!$B$2:$H$1300,7,0),0)</f>
        <v>0</v>
      </c>
      <c r="K200" s="61">
        <f t="shared" si="3"/>
        <v>0</v>
      </c>
      <c r="L200" s="123">
        <v>0</v>
      </c>
    </row>
    <row r="201" spans="1:12" hidden="1" x14ac:dyDescent="0.25">
      <c r="A201" s="7">
        <v>200</v>
      </c>
      <c r="B201" s="152" t="s">
        <v>2560</v>
      </c>
      <c r="C201" s="153" t="s">
        <v>2561</v>
      </c>
      <c r="D201" s="153" t="s">
        <v>2562</v>
      </c>
      <c r="E201" s="153" t="s">
        <v>2083</v>
      </c>
      <c r="F201" s="6"/>
      <c r="G201" s="6"/>
      <c r="H201" s="85">
        <v>0</v>
      </c>
      <c r="I201" s="103">
        <f>IFERROR(VLOOKUP(B201,'July 2026-Recived'!$B$2:$H$1300,7,0),0)</f>
        <v>0</v>
      </c>
      <c r="J201" s="103">
        <f>IFERROR(VLOOKUP(B201,'July 2026- Dispatch'!$B$2:$H$1300,7,0),0)</f>
        <v>0</v>
      </c>
      <c r="K201" s="61">
        <f t="shared" si="3"/>
        <v>0</v>
      </c>
      <c r="L201" s="123">
        <v>0</v>
      </c>
    </row>
    <row r="202" spans="1:12" hidden="1" x14ac:dyDescent="0.25">
      <c r="A202" s="7">
        <v>201</v>
      </c>
      <c r="B202" s="152" t="s">
        <v>1771</v>
      </c>
      <c r="C202" s="153" t="s">
        <v>2563</v>
      </c>
      <c r="D202" s="153" t="s">
        <v>2564</v>
      </c>
      <c r="E202" s="153" t="s">
        <v>64</v>
      </c>
      <c r="F202" s="6"/>
      <c r="G202" s="6"/>
      <c r="H202" s="85">
        <v>13</v>
      </c>
      <c r="I202" s="103">
        <f>IFERROR(VLOOKUP(B202,'July 2026-Recived'!$B$2:$H$1300,7,0),0)</f>
        <v>0</v>
      </c>
      <c r="J202" s="103">
        <f>IFERROR(VLOOKUP(B202,'July 2026- Dispatch'!$B$2:$H$1300,7,0),0)</f>
        <v>7</v>
      </c>
      <c r="K202" s="61">
        <f t="shared" si="3"/>
        <v>6</v>
      </c>
      <c r="L202" s="123">
        <v>0</v>
      </c>
    </row>
    <row r="203" spans="1:12" hidden="1" x14ac:dyDescent="0.25">
      <c r="A203" s="7">
        <v>202</v>
      </c>
      <c r="B203" s="152" t="s">
        <v>2565</v>
      </c>
      <c r="C203" s="153" t="s">
        <v>2566</v>
      </c>
      <c r="D203" s="153" t="s">
        <v>2567</v>
      </c>
      <c r="E203" s="153" t="s">
        <v>2083</v>
      </c>
      <c r="F203" s="6"/>
      <c r="G203" s="6"/>
      <c r="H203" s="85">
        <v>0</v>
      </c>
      <c r="I203" s="103">
        <f>IFERROR(VLOOKUP(B203,'July 2026-Recived'!$B$2:$H$1300,7,0),0)</f>
        <v>0</v>
      </c>
      <c r="J203" s="103">
        <f>IFERROR(VLOOKUP(B203,'July 2026- Dispatch'!$B$2:$H$1300,7,0),0)</f>
        <v>0</v>
      </c>
      <c r="K203" s="61">
        <f t="shared" si="3"/>
        <v>0</v>
      </c>
      <c r="L203" s="123">
        <v>0</v>
      </c>
    </row>
    <row r="204" spans="1:12" hidden="1" x14ac:dyDescent="0.25">
      <c r="A204" s="7">
        <v>203</v>
      </c>
      <c r="B204" s="152" t="s">
        <v>2568</v>
      </c>
      <c r="C204" s="153" t="s">
        <v>2569</v>
      </c>
      <c r="D204" s="153" t="s">
        <v>2570</v>
      </c>
      <c r="E204" s="153" t="s">
        <v>2083</v>
      </c>
      <c r="F204" s="6"/>
      <c r="G204" s="6"/>
      <c r="H204" s="85">
        <v>0</v>
      </c>
      <c r="I204" s="103">
        <f>IFERROR(VLOOKUP(B204,'July 2026-Recived'!$B$2:$H$1300,7,0),0)</f>
        <v>0</v>
      </c>
      <c r="J204" s="103">
        <f>IFERROR(VLOOKUP(B204,'July 2026- Dispatch'!$B$2:$H$1300,7,0),0)</f>
        <v>0</v>
      </c>
      <c r="K204" s="61">
        <f t="shared" si="3"/>
        <v>0</v>
      </c>
      <c r="L204" s="123">
        <v>0</v>
      </c>
    </row>
    <row r="205" spans="1:12" hidden="1" x14ac:dyDescent="0.25">
      <c r="A205" s="7">
        <v>204</v>
      </c>
      <c r="B205" s="152" t="s">
        <v>2571</v>
      </c>
      <c r="C205" s="153" t="s">
        <v>2572</v>
      </c>
      <c r="D205" s="153" t="s">
        <v>2573</v>
      </c>
      <c r="E205" s="153" t="s">
        <v>2086</v>
      </c>
      <c r="F205" s="6"/>
      <c r="G205" s="6"/>
      <c r="H205" s="85">
        <v>4</v>
      </c>
      <c r="I205" s="103">
        <f>IFERROR(VLOOKUP(B205,'July 2026-Recived'!$B$2:$H$1300,7,0),0)</f>
        <v>0</v>
      </c>
      <c r="J205" s="103">
        <f>IFERROR(VLOOKUP(B205,'July 2026- Dispatch'!$B$2:$H$1300,7,0),0)</f>
        <v>4</v>
      </c>
      <c r="K205" s="61">
        <f t="shared" si="3"/>
        <v>0</v>
      </c>
      <c r="L205" s="123">
        <v>0</v>
      </c>
    </row>
    <row r="206" spans="1:12" hidden="1" x14ac:dyDescent="0.25">
      <c r="A206" s="7">
        <v>205</v>
      </c>
      <c r="B206" s="152" t="s">
        <v>2574</v>
      </c>
      <c r="C206" s="153" t="s">
        <v>2575</v>
      </c>
      <c r="D206" s="153" t="s">
        <v>2576</v>
      </c>
      <c r="E206" s="153" t="s">
        <v>2086</v>
      </c>
      <c r="F206" s="6"/>
      <c r="G206" s="6"/>
      <c r="H206" s="85">
        <v>54</v>
      </c>
      <c r="I206" s="103">
        <f>IFERROR(VLOOKUP(B206,'July 2026-Recived'!$B$2:$H$1300,7,0),0)</f>
        <v>0</v>
      </c>
      <c r="J206" s="103">
        <f>IFERROR(VLOOKUP(B206,'July 2026- Dispatch'!$B$2:$H$1300,7,0),0)</f>
        <v>0</v>
      </c>
      <c r="K206" s="61">
        <f t="shared" si="3"/>
        <v>54</v>
      </c>
      <c r="L206" s="123">
        <v>0</v>
      </c>
    </row>
    <row r="207" spans="1:12" x14ac:dyDescent="0.25">
      <c r="A207" s="7">
        <v>206</v>
      </c>
      <c r="B207" s="152" t="s">
        <v>2577</v>
      </c>
      <c r="C207" s="153" t="s">
        <v>2578</v>
      </c>
      <c r="D207" s="153" t="s">
        <v>2579</v>
      </c>
      <c r="E207" s="153" t="s">
        <v>2086</v>
      </c>
      <c r="F207" s="6"/>
      <c r="G207" s="6"/>
      <c r="H207" s="85">
        <v>48</v>
      </c>
      <c r="I207" s="103">
        <f>IFERROR(VLOOKUP(B207,'July 2026-Recived'!$B$2:$H$1300,7,0),0)</f>
        <v>0</v>
      </c>
      <c r="J207" s="103">
        <f>IFERROR(VLOOKUP(B207,'July 2026- Dispatch'!$B$2:$H$1300,7,0),0)</f>
        <v>0</v>
      </c>
      <c r="K207" s="61">
        <f t="shared" si="3"/>
        <v>48</v>
      </c>
      <c r="L207" s="123">
        <v>0</v>
      </c>
    </row>
    <row r="208" spans="1:12" hidden="1" x14ac:dyDescent="0.25">
      <c r="A208" s="7">
        <v>207</v>
      </c>
      <c r="B208" s="152" t="s">
        <v>2580</v>
      </c>
      <c r="C208" s="153" t="s">
        <v>2581</v>
      </c>
      <c r="D208" s="153" t="s">
        <v>2582</v>
      </c>
      <c r="E208" s="153" t="s">
        <v>2086</v>
      </c>
      <c r="F208" s="6"/>
      <c r="G208" s="6"/>
      <c r="H208" s="85">
        <v>73</v>
      </c>
      <c r="I208" s="103">
        <f>IFERROR(VLOOKUP(B208,'July 2026-Recived'!$B$2:$H$1300,7,0),0)</f>
        <v>0</v>
      </c>
      <c r="J208" s="103">
        <f>IFERROR(VLOOKUP(B208,'July 2026- Dispatch'!$B$2:$H$1300,7,0),0)</f>
        <v>0</v>
      </c>
      <c r="K208" s="61">
        <f t="shared" si="3"/>
        <v>73</v>
      </c>
      <c r="L208" s="123">
        <v>0</v>
      </c>
    </row>
    <row r="209" spans="1:12" hidden="1" x14ac:dyDescent="0.25">
      <c r="A209" s="7">
        <v>208</v>
      </c>
      <c r="B209" s="152" t="s">
        <v>2583</v>
      </c>
      <c r="C209" s="153" t="s">
        <v>2584</v>
      </c>
      <c r="D209" s="153" t="s">
        <v>2585</v>
      </c>
      <c r="E209" s="153" t="s">
        <v>2083</v>
      </c>
      <c r="F209" s="6"/>
      <c r="G209" s="6"/>
      <c r="H209" s="85">
        <v>0</v>
      </c>
      <c r="I209" s="103">
        <f>IFERROR(VLOOKUP(B209,'July 2026-Recived'!$B$2:$H$1300,7,0),0)</f>
        <v>0</v>
      </c>
      <c r="J209" s="103">
        <f>IFERROR(VLOOKUP(B209,'July 2026- Dispatch'!$B$2:$H$1300,7,0),0)</f>
        <v>0</v>
      </c>
      <c r="K209" s="61">
        <f t="shared" si="3"/>
        <v>0</v>
      </c>
      <c r="L209" s="123">
        <v>0</v>
      </c>
    </row>
    <row r="210" spans="1:12" hidden="1" x14ac:dyDescent="0.25">
      <c r="A210" s="7">
        <v>209</v>
      </c>
      <c r="B210" s="152" t="s">
        <v>2586</v>
      </c>
      <c r="C210" s="153" t="s">
        <v>2587</v>
      </c>
      <c r="D210" s="153" t="s">
        <v>2588</v>
      </c>
      <c r="E210" s="153" t="s">
        <v>2083</v>
      </c>
      <c r="F210" s="6"/>
      <c r="G210" s="6"/>
      <c r="H210" s="85">
        <v>0</v>
      </c>
      <c r="I210" s="103">
        <f>IFERROR(VLOOKUP(B210,'July 2026-Recived'!$B$2:$H$1300,7,0),0)</f>
        <v>0</v>
      </c>
      <c r="J210" s="103">
        <f>IFERROR(VLOOKUP(B210,'July 2026- Dispatch'!$B$2:$H$1300,7,0),0)</f>
        <v>0</v>
      </c>
      <c r="K210" s="61">
        <f t="shared" si="3"/>
        <v>0</v>
      </c>
      <c r="L210" s="123">
        <v>0</v>
      </c>
    </row>
    <row r="211" spans="1:12" hidden="1" x14ac:dyDescent="0.25">
      <c r="A211" s="7">
        <v>210</v>
      </c>
      <c r="B211" s="152" t="s">
        <v>2589</v>
      </c>
      <c r="C211" s="153" t="s">
        <v>2590</v>
      </c>
      <c r="D211" s="153" t="s">
        <v>2591</v>
      </c>
      <c r="E211" s="153" t="s">
        <v>2086</v>
      </c>
      <c r="F211" s="6"/>
      <c r="G211" s="6"/>
      <c r="H211" s="85">
        <v>36</v>
      </c>
      <c r="I211" s="103">
        <f>IFERROR(VLOOKUP(B211,'July 2026-Recived'!$B$2:$H$1300,7,0),0)</f>
        <v>0</v>
      </c>
      <c r="J211" s="103">
        <f>IFERROR(VLOOKUP(B211,'July 2026- Dispatch'!$B$2:$H$1300,7,0),0)</f>
        <v>15</v>
      </c>
      <c r="K211" s="61">
        <f t="shared" si="3"/>
        <v>21</v>
      </c>
      <c r="L211" s="123">
        <v>0</v>
      </c>
    </row>
    <row r="212" spans="1:12" hidden="1" x14ac:dyDescent="0.25">
      <c r="A212" s="7">
        <v>211</v>
      </c>
      <c r="B212" s="152" t="s">
        <v>2592</v>
      </c>
      <c r="C212" s="153" t="s">
        <v>2593</v>
      </c>
      <c r="D212" s="153" t="s">
        <v>2594</v>
      </c>
      <c r="E212" s="153" t="s">
        <v>2086</v>
      </c>
      <c r="F212" s="6"/>
      <c r="G212" s="6"/>
      <c r="H212" s="85">
        <v>53</v>
      </c>
      <c r="I212" s="103">
        <f>IFERROR(VLOOKUP(B212,'July 2026-Recived'!$B$2:$H$1300,7,0),0)</f>
        <v>0</v>
      </c>
      <c r="J212" s="103">
        <f>IFERROR(VLOOKUP(B212,'July 2026- Dispatch'!$B$2:$H$1300,7,0),0)</f>
        <v>0</v>
      </c>
      <c r="K212" s="61">
        <f t="shared" si="3"/>
        <v>53</v>
      </c>
      <c r="L212" s="123">
        <v>0</v>
      </c>
    </row>
    <row r="213" spans="1:12" hidden="1" x14ac:dyDescent="0.25">
      <c r="A213" s="7">
        <v>212</v>
      </c>
      <c r="B213" s="152" t="s">
        <v>2595</v>
      </c>
      <c r="C213" s="153" t="s">
        <v>2596</v>
      </c>
      <c r="D213" s="153" t="s">
        <v>2597</v>
      </c>
      <c r="E213" s="153" t="s">
        <v>2086</v>
      </c>
      <c r="F213" s="6"/>
      <c r="G213" s="6"/>
      <c r="H213" s="85">
        <v>20</v>
      </c>
      <c r="I213" s="103">
        <f>IFERROR(VLOOKUP(B213,'July 2026-Recived'!$B$2:$H$1300,7,0),0)</f>
        <v>0</v>
      </c>
      <c r="J213" s="103">
        <f>IFERROR(VLOOKUP(B213,'July 2026- Dispatch'!$B$2:$H$1300,7,0),0)</f>
        <v>0</v>
      </c>
      <c r="K213" s="61">
        <f t="shared" si="3"/>
        <v>20</v>
      </c>
      <c r="L213" s="123">
        <v>0</v>
      </c>
    </row>
    <row r="214" spans="1:12" hidden="1" x14ac:dyDescent="0.25">
      <c r="A214" s="7">
        <v>213</v>
      </c>
      <c r="B214" s="152" t="s">
        <v>2598</v>
      </c>
      <c r="C214" s="153" t="s">
        <v>2599</v>
      </c>
      <c r="D214" s="153" t="s">
        <v>2600</v>
      </c>
      <c r="E214" s="153" t="s">
        <v>2086</v>
      </c>
      <c r="F214" s="6"/>
      <c r="G214" s="6"/>
      <c r="H214" s="85">
        <v>38</v>
      </c>
      <c r="I214" s="103">
        <f>IFERROR(VLOOKUP(B214,'July 2026-Recived'!$B$2:$H$1300,7,0),0)</f>
        <v>0</v>
      </c>
      <c r="J214" s="103">
        <f>IFERROR(VLOOKUP(B214,'July 2026- Dispatch'!$B$2:$H$1300,7,0),0)</f>
        <v>0</v>
      </c>
      <c r="K214" s="61">
        <f t="shared" si="3"/>
        <v>38</v>
      </c>
      <c r="L214" s="123">
        <v>0</v>
      </c>
    </row>
    <row r="215" spans="1:12" hidden="1" x14ac:dyDescent="0.25">
      <c r="A215" s="7">
        <v>214</v>
      </c>
      <c r="B215" s="152" t="s">
        <v>2601</v>
      </c>
      <c r="C215" s="153" t="s">
        <v>2602</v>
      </c>
      <c r="D215" s="153" t="s">
        <v>2603</v>
      </c>
      <c r="E215" s="153" t="s">
        <v>2086</v>
      </c>
      <c r="F215" s="6"/>
      <c r="G215" s="6"/>
      <c r="H215" s="85">
        <v>7</v>
      </c>
      <c r="I215" s="103">
        <f>IFERROR(VLOOKUP(B215,'July 2026-Recived'!$B$2:$H$1300,7,0),0)</f>
        <v>0</v>
      </c>
      <c r="J215" s="103">
        <f>IFERROR(VLOOKUP(B215,'July 2026- Dispatch'!$B$2:$H$1300,7,0),0)</f>
        <v>0</v>
      </c>
      <c r="K215" s="61">
        <f t="shared" si="3"/>
        <v>7</v>
      </c>
      <c r="L215" s="123">
        <v>0</v>
      </c>
    </row>
    <row r="216" spans="1:12" hidden="1" x14ac:dyDescent="0.25">
      <c r="A216" s="7">
        <v>215</v>
      </c>
      <c r="B216" s="152" t="s">
        <v>2604</v>
      </c>
      <c r="C216" s="153" t="s">
        <v>2605</v>
      </c>
      <c r="D216" s="153" t="s">
        <v>2606</v>
      </c>
      <c r="E216" s="153" t="s">
        <v>2083</v>
      </c>
      <c r="F216" s="6"/>
      <c r="G216" s="6"/>
      <c r="H216" s="85">
        <v>0</v>
      </c>
      <c r="I216" s="103">
        <f>IFERROR(VLOOKUP(B216,'July 2026-Recived'!$B$2:$H$1300,7,0),0)</f>
        <v>0</v>
      </c>
      <c r="J216" s="103">
        <f>IFERROR(VLOOKUP(B216,'July 2026- Dispatch'!$B$2:$H$1300,7,0),0)</f>
        <v>0</v>
      </c>
      <c r="K216" s="61">
        <f t="shared" si="3"/>
        <v>0</v>
      </c>
      <c r="L216" s="123">
        <v>0</v>
      </c>
    </row>
    <row r="217" spans="1:12" hidden="1" x14ac:dyDescent="0.25">
      <c r="A217" s="7">
        <v>216</v>
      </c>
      <c r="B217" s="152" t="s">
        <v>2607</v>
      </c>
      <c r="C217" s="153" t="s">
        <v>2608</v>
      </c>
      <c r="D217" s="153" t="s">
        <v>2609</v>
      </c>
      <c r="E217" s="153" t="s">
        <v>2083</v>
      </c>
      <c r="F217" s="6"/>
      <c r="G217" s="6"/>
      <c r="H217" s="85">
        <v>0</v>
      </c>
      <c r="I217" s="103">
        <f>IFERROR(VLOOKUP(B217,'July 2026-Recived'!$B$2:$H$1300,7,0),0)</f>
        <v>0</v>
      </c>
      <c r="J217" s="103">
        <f>IFERROR(VLOOKUP(B217,'July 2026- Dispatch'!$B$2:$H$1300,7,0),0)</f>
        <v>0</v>
      </c>
      <c r="K217" s="61">
        <f t="shared" si="3"/>
        <v>0</v>
      </c>
      <c r="L217" s="123">
        <v>0</v>
      </c>
    </row>
    <row r="218" spans="1:12" hidden="1" x14ac:dyDescent="0.25">
      <c r="A218" s="7">
        <v>217</v>
      </c>
      <c r="B218" s="152" t="s">
        <v>2610</v>
      </c>
      <c r="C218" s="153" t="s">
        <v>2611</v>
      </c>
      <c r="D218" s="153" t="s">
        <v>2612</v>
      </c>
      <c r="E218" s="153" t="s">
        <v>2083</v>
      </c>
      <c r="F218" s="6"/>
      <c r="G218" s="6"/>
      <c r="H218" s="85">
        <v>0</v>
      </c>
      <c r="I218" s="103">
        <f>IFERROR(VLOOKUP(B218,'July 2026-Recived'!$B$2:$H$1300,7,0),0)</f>
        <v>0</v>
      </c>
      <c r="J218" s="103">
        <f>IFERROR(VLOOKUP(B218,'July 2026- Dispatch'!$B$2:$H$1300,7,0),0)</f>
        <v>0</v>
      </c>
      <c r="K218" s="61">
        <f t="shared" si="3"/>
        <v>0</v>
      </c>
      <c r="L218" s="123">
        <v>0</v>
      </c>
    </row>
    <row r="219" spans="1:12" hidden="1" x14ac:dyDescent="0.25">
      <c r="A219" s="7">
        <v>218</v>
      </c>
      <c r="B219" s="152" t="s">
        <v>2613</v>
      </c>
      <c r="C219" s="153" t="s">
        <v>2614</v>
      </c>
      <c r="D219" s="153" t="s">
        <v>2615</v>
      </c>
      <c r="E219" s="153" t="s">
        <v>2086</v>
      </c>
      <c r="F219" s="6"/>
      <c r="G219" s="6"/>
      <c r="H219" s="85">
        <v>49</v>
      </c>
      <c r="I219" s="103">
        <f>IFERROR(VLOOKUP(B219,'July 2026-Recived'!$B$2:$H$1300,7,0),0)</f>
        <v>0</v>
      </c>
      <c r="J219" s="103">
        <f>IFERROR(VLOOKUP(B219,'July 2026- Dispatch'!$B$2:$H$1300,7,0),0)</f>
        <v>0</v>
      </c>
      <c r="K219" s="61">
        <f t="shared" si="3"/>
        <v>49</v>
      </c>
      <c r="L219" s="123">
        <v>0</v>
      </c>
    </row>
    <row r="220" spans="1:12" hidden="1" x14ac:dyDescent="0.25">
      <c r="A220" s="7">
        <v>219</v>
      </c>
      <c r="B220" s="152" t="s">
        <v>2616</v>
      </c>
      <c r="C220" s="153" t="s">
        <v>2617</v>
      </c>
      <c r="D220" s="153" t="s">
        <v>2618</v>
      </c>
      <c r="E220" s="153" t="s">
        <v>2086</v>
      </c>
      <c r="F220" s="6"/>
      <c r="G220" s="6"/>
      <c r="H220" s="85">
        <v>44</v>
      </c>
      <c r="I220" s="103">
        <f>IFERROR(VLOOKUP(B220,'July 2026-Recived'!$B$2:$H$1300,7,0),0)</f>
        <v>0</v>
      </c>
      <c r="J220" s="103">
        <f>IFERROR(VLOOKUP(B220,'July 2026- Dispatch'!$B$2:$H$1300,7,0),0)</f>
        <v>0</v>
      </c>
      <c r="K220" s="61">
        <f t="shared" si="3"/>
        <v>44</v>
      </c>
      <c r="L220" s="123">
        <v>0</v>
      </c>
    </row>
    <row r="221" spans="1:12" hidden="1" x14ac:dyDescent="0.25">
      <c r="A221" s="7">
        <v>220</v>
      </c>
      <c r="B221" s="152" t="s">
        <v>2619</v>
      </c>
      <c r="C221" s="153" t="s">
        <v>2620</v>
      </c>
      <c r="D221" s="153" t="s">
        <v>2621</v>
      </c>
      <c r="E221" s="153" t="s">
        <v>2086</v>
      </c>
      <c r="F221" s="6"/>
      <c r="G221" s="6"/>
      <c r="H221" s="85">
        <v>384</v>
      </c>
      <c r="I221" s="103">
        <f>IFERROR(VLOOKUP(B221,'July 2026-Recived'!$B$2:$H$1300,7,0),0)</f>
        <v>0</v>
      </c>
      <c r="J221" s="103">
        <f>IFERROR(VLOOKUP(B221,'July 2026- Dispatch'!$B$2:$H$1300,7,0),0)</f>
        <v>34</v>
      </c>
      <c r="K221" s="61">
        <f t="shared" si="3"/>
        <v>350</v>
      </c>
      <c r="L221" s="123">
        <v>0</v>
      </c>
    </row>
    <row r="222" spans="1:12" hidden="1" x14ac:dyDescent="0.25">
      <c r="A222" s="7">
        <v>221</v>
      </c>
      <c r="B222" s="152" t="s">
        <v>2622</v>
      </c>
      <c r="C222" s="153" t="s">
        <v>2623</v>
      </c>
      <c r="D222" s="153" t="s">
        <v>2624</v>
      </c>
      <c r="E222" s="153" t="s">
        <v>2086</v>
      </c>
      <c r="F222" s="6"/>
      <c r="G222" s="6"/>
      <c r="H222" s="85">
        <v>17</v>
      </c>
      <c r="I222" s="103">
        <f>IFERROR(VLOOKUP(B222,'July 2026-Recived'!$B$2:$H$1300,7,0),0)</f>
        <v>0</v>
      </c>
      <c r="J222" s="103">
        <f>IFERROR(VLOOKUP(B222,'July 2026- Dispatch'!$B$2:$H$1300,7,0),0)</f>
        <v>0</v>
      </c>
      <c r="K222" s="61">
        <f t="shared" si="3"/>
        <v>17</v>
      </c>
      <c r="L222" s="123">
        <v>0</v>
      </c>
    </row>
    <row r="223" spans="1:12" hidden="1" x14ac:dyDescent="0.25">
      <c r="A223" s="7">
        <v>222</v>
      </c>
      <c r="B223" s="152" t="s">
        <v>2625</v>
      </c>
      <c r="C223" s="153" t="s">
        <v>2626</v>
      </c>
      <c r="D223" s="153" t="s">
        <v>2627</v>
      </c>
      <c r="E223" s="153" t="s">
        <v>2083</v>
      </c>
      <c r="F223" s="6"/>
      <c r="G223" s="6"/>
      <c r="H223" s="85">
        <v>0</v>
      </c>
      <c r="I223" s="103">
        <f>IFERROR(VLOOKUP(B223,'July 2026-Recived'!$B$2:$H$1300,7,0),0)</f>
        <v>0</v>
      </c>
      <c r="J223" s="103">
        <f>IFERROR(VLOOKUP(B223,'July 2026- Dispatch'!$B$2:$H$1300,7,0),0)</f>
        <v>0</v>
      </c>
      <c r="K223" s="61">
        <f t="shared" si="3"/>
        <v>0</v>
      </c>
      <c r="L223" s="123">
        <v>0</v>
      </c>
    </row>
    <row r="224" spans="1:12" hidden="1" x14ac:dyDescent="0.25">
      <c r="A224" s="7">
        <v>223</v>
      </c>
      <c r="B224" s="152" t="s">
        <v>2628</v>
      </c>
      <c r="C224" s="153" t="s">
        <v>2629</v>
      </c>
      <c r="D224" s="153" t="s">
        <v>2630</v>
      </c>
      <c r="E224" s="153" t="s">
        <v>2083</v>
      </c>
      <c r="F224" s="6"/>
      <c r="G224" s="6"/>
      <c r="H224" s="85">
        <v>0</v>
      </c>
      <c r="I224" s="103">
        <f>IFERROR(VLOOKUP(B224,'July 2026-Recived'!$B$2:$H$1300,7,0),0)</f>
        <v>0</v>
      </c>
      <c r="J224" s="103">
        <f>IFERROR(VLOOKUP(B224,'July 2026- Dispatch'!$B$2:$H$1300,7,0),0)</f>
        <v>0</v>
      </c>
      <c r="K224" s="61">
        <f t="shared" si="3"/>
        <v>0</v>
      </c>
      <c r="L224" s="123">
        <v>0</v>
      </c>
    </row>
    <row r="225" spans="1:12" hidden="1" x14ac:dyDescent="0.25">
      <c r="A225" s="7">
        <v>224</v>
      </c>
      <c r="B225" s="152" t="s">
        <v>1734</v>
      </c>
      <c r="C225" s="153" t="s">
        <v>2631</v>
      </c>
      <c r="D225" s="153" t="s">
        <v>2632</v>
      </c>
      <c r="E225" s="153" t="s">
        <v>2086</v>
      </c>
      <c r="F225" s="6"/>
      <c r="G225" s="6"/>
      <c r="H225" s="85">
        <v>106</v>
      </c>
      <c r="I225" s="103">
        <f>IFERROR(VLOOKUP(B225,'July 2026-Recived'!$B$2:$H$1300,7,0),0)</f>
        <v>0</v>
      </c>
      <c r="J225" s="103">
        <f>IFERROR(VLOOKUP(B225,'July 2026- Dispatch'!$B$2:$H$1300,7,0),0)</f>
        <v>6</v>
      </c>
      <c r="K225" s="61">
        <f t="shared" si="3"/>
        <v>100</v>
      </c>
      <c r="L225" s="123">
        <v>0</v>
      </c>
    </row>
    <row r="226" spans="1:12" hidden="1" x14ac:dyDescent="0.25">
      <c r="A226" s="7">
        <v>225</v>
      </c>
      <c r="B226" s="152" t="s">
        <v>2633</v>
      </c>
      <c r="C226" s="153" t="s">
        <v>2634</v>
      </c>
      <c r="D226" s="153" t="s">
        <v>2635</v>
      </c>
      <c r="E226" s="153" t="s">
        <v>2083</v>
      </c>
      <c r="F226" s="6"/>
      <c r="G226" s="6"/>
      <c r="H226" s="85">
        <v>0</v>
      </c>
      <c r="I226" s="103">
        <f>IFERROR(VLOOKUP(B226,'July 2026-Recived'!$B$2:$H$1300,7,0),0)</f>
        <v>0</v>
      </c>
      <c r="J226" s="103">
        <f>IFERROR(VLOOKUP(B226,'July 2026- Dispatch'!$B$2:$H$1300,7,0),0)</f>
        <v>0</v>
      </c>
      <c r="K226" s="61">
        <f t="shared" si="3"/>
        <v>0</v>
      </c>
      <c r="L226" s="123">
        <v>0</v>
      </c>
    </row>
    <row r="227" spans="1:12" hidden="1" x14ac:dyDescent="0.25">
      <c r="A227" s="7">
        <v>226</v>
      </c>
      <c r="B227" s="152" t="s">
        <v>2636</v>
      </c>
      <c r="C227" s="153" t="s">
        <v>2637</v>
      </c>
      <c r="D227" s="153" t="s">
        <v>2638</v>
      </c>
      <c r="E227" s="153" t="s">
        <v>2083</v>
      </c>
      <c r="F227" s="6"/>
      <c r="G227" s="6"/>
      <c r="H227" s="85">
        <f>53</f>
        <v>53</v>
      </c>
      <c r="I227" s="103">
        <f>IFERROR(VLOOKUP(B227,'July 2026-Recived'!$B$2:$H$1300,7,0),0)</f>
        <v>0</v>
      </c>
      <c r="J227" s="103">
        <f>IFERROR(VLOOKUP(B227,'July 2026- Dispatch'!$B$2:$H$1300,7,0),0)</f>
        <v>26</v>
      </c>
      <c r="K227" s="61">
        <f t="shared" si="3"/>
        <v>27</v>
      </c>
      <c r="L227" s="123">
        <v>0</v>
      </c>
    </row>
    <row r="228" spans="1:12" hidden="1" x14ac:dyDescent="0.25">
      <c r="A228" s="7">
        <v>227</v>
      </c>
      <c r="B228" s="152" t="s">
        <v>2639</v>
      </c>
      <c r="C228" s="153" t="s">
        <v>2640</v>
      </c>
      <c r="D228" s="153" t="s">
        <v>2641</v>
      </c>
      <c r="E228" s="153" t="s">
        <v>2083</v>
      </c>
      <c r="F228" s="6"/>
      <c r="G228" s="6"/>
      <c r="H228" s="85">
        <f>36</f>
        <v>36</v>
      </c>
      <c r="I228" s="103">
        <f>IFERROR(VLOOKUP(B228,'July 2026-Recived'!$B$2:$H$1300,7,0),0)</f>
        <v>0</v>
      </c>
      <c r="J228" s="103">
        <f>IFERROR(VLOOKUP(B228,'July 2026- Dispatch'!$B$2:$H$1300,7,0),0)</f>
        <v>12</v>
      </c>
      <c r="K228" s="61">
        <f t="shared" si="3"/>
        <v>24</v>
      </c>
      <c r="L228" s="123">
        <v>0</v>
      </c>
    </row>
    <row r="229" spans="1:12" hidden="1" x14ac:dyDescent="0.25">
      <c r="A229" s="7">
        <v>228</v>
      </c>
      <c r="B229" s="152" t="s">
        <v>2642</v>
      </c>
      <c r="C229" s="153" t="s">
        <v>2643</v>
      </c>
      <c r="D229" s="153" t="s">
        <v>2644</v>
      </c>
      <c r="E229" s="153" t="s">
        <v>2086</v>
      </c>
      <c r="F229" s="6"/>
      <c r="G229" s="6"/>
      <c r="H229" s="85">
        <v>1375</v>
      </c>
      <c r="I229" s="103">
        <f>IFERROR(VLOOKUP(B229,'July 2026-Recived'!$B$2:$H$1300,7,0),0)</f>
        <v>0</v>
      </c>
      <c r="J229" s="103">
        <f>IFERROR(VLOOKUP(B229,'July 2026- Dispatch'!$B$2:$H$1300,7,0),0)</f>
        <v>7</v>
      </c>
      <c r="K229" s="61">
        <f t="shared" si="3"/>
        <v>1368</v>
      </c>
      <c r="L229" s="123">
        <v>0</v>
      </c>
    </row>
    <row r="230" spans="1:12" hidden="1" x14ac:dyDescent="0.25">
      <c r="A230" s="7">
        <v>229</v>
      </c>
      <c r="B230" s="152" t="s">
        <v>2645</v>
      </c>
      <c r="C230" s="153" t="s">
        <v>2646</v>
      </c>
      <c r="D230" s="153" t="s">
        <v>2647</v>
      </c>
      <c r="E230" s="153" t="s">
        <v>2086</v>
      </c>
      <c r="F230" s="6"/>
      <c r="G230" s="6"/>
      <c r="H230" s="85">
        <v>5</v>
      </c>
      <c r="I230" s="103">
        <f>IFERROR(VLOOKUP(B230,'July 2026-Recived'!$B$2:$H$1300,7,0),0)</f>
        <v>0</v>
      </c>
      <c r="J230" s="103">
        <f>IFERROR(VLOOKUP(B230,'July 2026- Dispatch'!$B$2:$H$1300,7,0),0)</f>
        <v>0</v>
      </c>
      <c r="K230" s="61">
        <f t="shared" si="3"/>
        <v>5</v>
      </c>
      <c r="L230" s="123">
        <v>0</v>
      </c>
    </row>
    <row r="231" spans="1:12" hidden="1" x14ac:dyDescent="0.25">
      <c r="A231" s="7">
        <v>230</v>
      </c>
      <c r="B231" s="152" t="s">
        <v>2648</v>
      </c>
      <c r="C231" s="153" t="s">
        <v>2649</v>
      </c>
      <c r="D231" s="153" t="s">
        <v>2650</v>
      </c>
      <c r="E231" s="153" t="s">
        <v>2651</v>
      </c>
      <c r="F231" s="6"/>
      <c r="G231" s="6"/>
      <c r="H231" s="85">
        <v>0</v>
      </c>
      <c r="I231" s="103">
        <f>IFERROR(VLOOKUP(B231,'July 2026-Recived'!$B$2:$H$1300,7,0),0)</f>
        <v>0</v>
      </c>
      <c r="J231" s="103">
        <f>IFERROR(VLOOKUP(B231,'July 2026- Dispatch'!$B$2:$H$1300,7,0),0)</f>
        <v>0</v>
      </c>
      <c r="K231" s="61">
        <f t="shared" si="3"/>
        <v>0</v>
      </c>
      <c r="L231" s="123">
        <v>0</v>
      </c>
    </row>
    <row r="232" spans="1:12" hidden="1" x14ac:dyDescent="0.25">
      <c r="A232" s="7">
        <v>231</v>
      </c>
      <c r="B232" s="152" t="s">
        <v>2652</v>
      </c>
      <c r="C232" s="153" t="s">
        <v>2653</v>
      </c>
      <c r="D232" s="153" t="s">
        <v>2654</v>
      </c>
      <c r="E232" s="153" t="s">
        <v>2651</v>
      </c>
      <c r="F232" s="6"/>
      <c r="G232" s="6"/>
      <c r="H232" s="85">
        <v>0</v>
      </c>
      <c r="I232" s="103">
        <f>IFERROR(VLOOKUP(B232,'July 2026-Recived'!$B$2:$H$1300,7,0),0)</f>
        <v>0</v>
      </c>
      <c r="J232" s="103">
        <f>IFERROR(VLOOKUP(B232,'July 2026- Dispatch'!$B$2:$H$1300,7,0),0)</f>
        <v>0</v>
      </c>
      <c r="K232" s="61">
        <f t="shared" si="3"/>
        <v>0</v>
      </c>
      <c r="L232" s="123">
        <v>0</v>
      </c>
    </row>
    <row r="233" spans="1:12" hidden="1" x14ac:dyDescent="0.25">
      <c r="A233" s="7">
        <v>232</v>
      </c>
      <c r="B233" s="152" t="s">
        <v>2655</v>
      </c>
      <c r="C233" s="153" t="s">
        <v>2656</v>
      </c>
      <c r="D233" s="153" t="s">
        <v>2657</v>
      </c>
      <c r="E233" s="153" t="s">
        <v>2651</v>
      </c>
      <c r="F233" s="6"/>
      <c r="G233" s="6"/>
      <c r="H233" s="85">
        <v>0</v>
      </c>
      <c r="I233" s="103">
        <f>IFERROR(VLOOKUP(B233,'July 2026-Recived'!$B$2:$H$1300,7,0),0)</f>
        <v>0</v>
      </c>
      <c r="J233" s="103">
        <f>IFERROR(VLOOKUP(B233,'July 2026- Dispatch'!$B$2:$H$1300,7,0),0)</f>
        <v>0</v>
      </c>
      <c r="K233" s="61">
        <f t="shared" si="3"/>
        <v>0</v>
      </c>
      <c r="L233" s="123">
        <v>0</v>
      </c>
    </row>
    <row r="234" spans="1:12" hidden="1" x14ac:dyDescent="0.25">
      <c r="A234" s="7">
        <v>233</v>
      </c>
      <c r="B234" s="152" t="s">
        <v>2658</v>
      </c>
      <c r="C234" s="153" t="s">
        <v>2659</v>
      </c>
      <c r="D234" s="153" t="s">
        <v>2660</v>
      </c>
      <c r="E234" s="153" t="s">
        <v>2651</v>
      </c>
      <c r="F234" s="6"/>
      <c r="G234" s="6"/>
      <c r="H234" s="85">
        <v>0</v>
      </c>
      <c r="I234" s="103">
        <f>IFERROR(VLOOKUP(B234,'July 2026-Recived'!$B$2:$H$1300,7,0),0)</f>
        <v>0</v>
      </c>
      <c r="J234" s="103">
        <f>IFERROR(VLOOKUP(B234,'July 2026- Dispatch'!$B$2:$H$1300,7,0),0)</f>
        <v>0</v>
      </c>
      <c r="K234" s="61">
        <f t="shared" si="3"/>
        <v>0</v>
      </c>
      <c r="L234" s="123">
        <v>0</v>
      </c>
    </row>
    <row r="235" spans="1:12" hidden="1" x14ac:dyDescent="0.25">
      <c r="A235" s="7">
        <v>234</v>
      </c>
      <c r="B235" s="152" t="s">
        <v>2661</v>
      </c>
      <c r="C235" s="153" t="s">
        <v>2662</v>
      </c>
      <c r="D235" s="153" t="s">
        <v>2663</v>
      </c>
      <c r="E235" s="153" t="s">
        <v>2083</v>
      </c>
      <c r="F235" s="6"/>
      <c r="G235" s="6"/>
      <c r="H235" s="85">
        <v>0</v>
      </c>
      <c r="I235" s="103">
        <f>IFERROR(VLOOKUP(B235,'July 2026-Recived'!$B$2:$H$1300,7,0),0)</f>
        <v>0</v>
      </c>
      <c r="J235" s="103">
        <f>IFERROR(VLOOKUP(B235,'July 2026- Dispatch'!$B$2:$H$1300,7,0),0)</f>
        <v>0</v>
      </c>
      <c r="K235" s="61">
        <f t="shared" si="3"/>
        <v>0</v>
      </c>
      <c r="L235" s="123">
        <v>0</v>
      </c>
    </row>
    <row r="236" spans="1:12" hidden="1" x14ac:dyDescent="0.25">
      <c r="A236" s="7">
        <v>235</v>
      </c>
      <c r="B236" s="152" t="s">
        <v>2664</v>
      </c>
      <c r="C236" s="153" t="s">
        <v>2665</v>
      </c>
      <c r="D236" s="153" t="s">
        <v>2666</v>
      </c>
      <c r="E236" s="153" t="s">
        <v>2083</v>
      </c>
      <c r="F236" s="6"/>
      <c r="G236" s="6"/>
      <c r="H236" s="85">
        <v>0</v>
      </c>
      <c r="I236" s="103">
        <f>IFERROR(VLOOKUP(B236,'July 2026-Recived'!$B$2:$H$1300,7,0),0)</f>
        <v>0</v>
      </c>
      <c r="J236" s="103">
        <f>IFERROR(VLOOKUP(B236,'July 2026- Dispatch'!$B$2:$H$1300,7,0),0)</f>
        <v>0</v>
      </c>
      <c r="K236" s="61">
        <f t="shared" si="3"/>
        <v>0</v>
      </c>
      <c r="L236" s="123">
        <v>0</v>
      </c>
    </row>
    <row r="237" spans="1:12" hidden="1" x14ac:dyDescent="0.25">
      <c r="A237" s="7">
        <v>236</v>
      </c>
      <c r="B237" s="152" t="s">
        <v>2667</v>
      </c>
      <c r="C237" s="153" t="s">
        <v>2668</v>
      </c>
      <c r="D237" s="153" t="s">
        <v>2669</v>
      </c>
      <c r="E237" s="153" t="s">
        <v>2086</v>
      </c>
      <c r="F237" s="6"/>
      <c r="G237" s="6"/>
      <c r="H237" s="85">
        <v>78</v>
      </c>
      <c r="I237" s="103">
        <f>IFERROR(VLOOKUP(B237,'July 2026-Recived'!$B$2:$H$1300,7,0),0)</f>
        <v>0</v>
      </c>
      <c r="J237" s="103">
        <f>IFERROR(VLOOKUP(B237,'July 2026- Dispatch'!$B$2:$H$1300,7,0),0)</f>
        <v>0</v>
      </c>
      <c r="K237" s="61">
        <f t="shared" si="3"/>
        <v>78</v>
      </c>
      <c r="L237" s="123">
        <v>0</v>
      </c>
    </row>
    <row r="238" spans="1:12" hidden="1" x14ac:dyDescent="0.25">
      <c r="A238" s="7">
        <v>237</v>
      </c>
      <c r="B238" s="152" t="s">
        <v>2670</v>
      </c>
      <c r="C238" s="153" t="s">
        <v>2671</v>
      </c>
      <c r="D238" s="153" t="s">
        <v>2672</v>
      </c>
      <c r="E238" s="153" t="s">
        <v>2083</v>
      </c>
      <c r="F238" s="6"/>
      <c r="G238" s="6"/>
      <c r="H238" s="85">
        <v>0</v>
      </c>
      <c r="I238" s="103">
        <f>IFERROR(VLOOKUP(B238,'July 2026-Recived'!$B$2:$H$1300,7,0),0)</f>
        <v>0</v>
      </c>
      <c r="J238" s="103">
        <f>IFERROR(VLOOKUP(B238,'July 2026- Dispatch'!$B$2:$H$1300,7,0),0)</f>
        <v>0</v>
      </c>
      <c r="K238" s="61">
        <f t="shared" si="3"/>
        <v>0</v>
      </c>
      <c r="L238" s="123">
        <v>0</v>
      </c>
    </row>
    <row r="239" spans="1:12" hidden="1" x14ac:dyDescent="0.25">
      <c r="A239" s="7">
        <v>238</v>
      </c>
      <c r="B239" s="152" t="s">
        <v>2673</v>
      </c>
      <c r="C239" s="153" t="s">
        <v>2674</v>
      </c>
      <c r="D239" s="153" t="s">
        <v>2675</v>
      </c>
      <c r="E239" s="153" t="s">
        <v>2083</v>
      </c>
      <c r="F239" s="6"/>
      <c r="G239" s="6"/>
      <c r="H239" s="85">
        <v>0</v>
      </c>
      <c r="I239" s="103">
        <f>IFERROR(VLOOKUP(B239,'July 2026-Recived'!$B$2:$H$1300,7,0),0)</f>
        <v>0</v>
      </c>
      <c r="J239" s="103">
        <f>IFERROR(VLOOKUP(B239,'July 2026- Dispatch'!$B$2:$H$1300,7,0),0)</f>
        <v>0</v>
      </c>
      <c r="K239" s="61">
        <f t="shared" si="3"/>
        <v>0</v>
      </c>
      <c r="L239" s="123">
        <v>0</v>
      </c>
    </row>
    <row r="240" spans="1:12" hidden="1" x14ac:dyDescent="0.25">
      <c r="A240" s="7">
        <v>239</v>
      </c>
      <c r="B240" s="152" t="s">
        <v>2676</v>
      </c>
      <c r="C240" s="153" t="s">
        <v>2677</v>
      </c>
      <c r="D240" s="153" t="s">
        <v>2678</v>
      </c>
      <c r="E240" s="153" t="s">
        <v>2083</v>
      </c>
      <c r="F240" s="6"/>
      <c r="G240" s="6"/>
      <c r="H240" s="85">
        <v>0</v>
      </c>
      <c r="I240" s="103">
        <f>IFERROR(VLOOKUP(B240,'July 2026-Recived'!$B$2:$H$1300,7,0),0)</f>
        <v>0</v>
      </c>
      <c r="J240" s="103">
        <f>IFERROR(VLOOKUP(B240,'July 2026- Dispatch'!$B$2:$H$1300,7,0),0)</f>
        <v>0</v>
      </c>
      <c r="K240" s="61">
        <f t="shared" si="3"/>
        <v>0</v>
      </c>
      <c r="L240" s="123">
        <v>0</v>
      </c>
    </row>
    <row r="241" spans="1:12" hidden="1" x14ac:dyDescent="0.25">
      <c r="A241" s="7">
        <v>240</v>
      </c>
      <c r="B241" s="152" t="s">
        <v>2679</v>
      </c>
      <c r="C241" s="153" t="s">
        <v>2680</v>
      </c>
      <c r="D241" s="153" t="s">
        <v>2681</v>
      </c>
      <c r="E241" s="153" t="s">
        <v>2083</v>
      </c>
      <c r="F241" s="6"/>
      <c r="G241" s="6"/>
      <c r="H241" s="85">
        <v>0</v>
      </c>
      <c r="I241" s="103">
        <f>IFERROR(VLOOKUP(B241,'July 2026-Recived'!$B$2:$H$1300,7,0),0)</f>
        <v>0</v>
      </c>
      <c r="J241" s="103">
        <f>IFERROR(VLOOKUP(B241,'July 2026- Dispatch'!$B$2:$H$1300,7,0),0)</f>
        <v>0</v>
      </c>
      <c r="K241" s="61">
        <f t="shared" si="3"/>
        <v>0</v>
      </c>
      <c r="L241" s="123">
        <v>0</v>
      </c>
    </row>
    <row r="242" spans="1:12" hidden="1" x14ac:dyDescent="0.25">
      <c r="A242" s="7">
        <v>241</v>
      </c>
      <c r="B242" s="152" t="s">
        <v>2682</v>
      </c>
      <c r="C242" s="153" t="s">
        <v>2683</v>
      </c>
      <c r="D242" s="153" t="s">
        <v>2684</v>
      </c>
      <c r="E242" s="153" t="s">
        <v>2083</v>
      </c>
      <c r="F242" s="6"/>
      <c r="G242" s="6"/>
      <c r="H242" s="85">
        <v>0</v>
      </c>
      <c r="I242" s="103">
        <f>IFERROR(VLOOKUP(B242,'July 2026-Recived'!$B$2:$H$1300,7,0),0)</f>
        <v>0</v>
      </c>
      <c r="J242" s="103">
        <f>IFERROR(VLOOKUP(B242,'July 2026- Dispatch'!$B$2:$H$1300,7,0),0)</f>
        <v>0</v>
      </c>
      <c r="K242" s="61">
        <f t="shared" si="3"/>
        <v>0</v>
      </c>
      <c r="L242" s="123">
        <v>0</v>
      </c>
    </row>
    <row r="243" spans="1:12" hidden="1" x14ac:dyDescent="0.25">
      <c r="A243" s="7">
        <v>242</v>
      </c>
      <c r="B243" s="152" t="s">
        <v>2685</v>
      </c>
      <c r="C243" s="153" t="s">
        <v>2686</v>
      </c>
      <c r="D243" s="153" t="s">
        <v>2687</v>
      </c>
      <c r="E243" s="153" t="s">
        <v>2083</v>
      </c>
      <c r="F243" s="6"/>
      <c r="G243" s="6"/>
      <c r="H243" s="85">
        <v>0</v>
      </c>
      <c r="I243" s="103">
        <f>IFERROR(VLOOKUP(B243,'July 2026-Recived'!$B$2:$H$1300,7,0),0)</f>
        <v>0</v>
      </c>
      <c r="J243" s="103">
        <f>IFERROR(VLOOKUP(B243,'July 2026- Dispatch'!$B$2:$H$1300,7,0),0)</f>
        <v>0</v>
      </c>
      <c r="K243" s="61">
        <f t="shared" si="3"/>
        <v>0</v>
      </c>
      <c r="L243" s="123">
        <v>0</v>
      </c>
    </row>
    <row r="244" spans="1:12" hidden="1" x14ac:dyDescent="0.25">
      <c r="A244" s="7">
        <v>243</v>
      </c>
      <c r="B244" s="152" t="s">
        <v>2688</v>
      </c>
      <c r="C244" s="153" t="s">
        <v>2689</v>
      </c>
      <c r="D244" s="153" t="s">
        <v>2690</v>
      </c>
      <c r="E244" s="153" t="s">
        <v>2651</v>
      </c>
      <c r="F244" s="6"/>
      <c r="G244" s="6"/>
      <c r="H244" s="85">
        <v>0</v>
      </c>
      <c r="I244" s="103">
        <f>IFERROR(VLOOKUP(B244,'July 2026-Recived'!$B$2:$H$1300,7,0),0)</f>
        <v>0</v>
      </c>
      <c r="J244" s="103">
        <f>IFERROR(VLOOKUP(B244,'July 2026- Dispatch'!$B$2:$H$1300,7,0),0)</f>
        <v>0</v>
      </c>
      <c r="K244" s="61">
        <f t="shared" si="3"/>
        <v>0</v>
      </c>
      <c r="L244" s="123">
        <v>0</v>
      </c>
    </row>
    <row r="245" spans="1:12" hidden="1" x14ac:dyDescent="0.25">
      <c r="A245" s="7">
        <v>244</v>
      </c>
      <c r="B245" s="152" t="s">
        <v>2691</v>
      </c>
      <c r="C245" s="153" t="s">
        <v>2692</v>
      </c>
      <c r="D245" s="153" t="s">
        <v>2693</v>
      </c>
      <c r="E245" s="153" t="s">
        <v>2651</v>
      </c>
      <c r="F245" s="6"/>
      <c r="G245" s="6"/>
      <c r="H245" s="85">
        <v>0</v>
      </c>
      <c r="I245" s="103">
        <f>IFERROR(VLOOKUP(B245,'July 2026-Recived'!$B$2:$H$1300,7,0),0)</f>
        <v>0</v>
      </c>
      <c r="J245" s="103">
        <f>IFERROR(VLOOKUP(B245,'July 2026- Dispatch'!$B$2:$H$1300,7,0),0)</f>
        <v>0</v>
      </c>
      <c r="K245" s="61">
        <f t="shared" si="3"/>
        <v>0</v>
      </c>
      <c r="L245" s="123">
        <v>0</v>
      </c>
    </row>
    <row r="246" spans="1:12" hidden="1" x14ac:dyDescent="0.25">
      <c r="A246" s="7">
        <v>245</v>
      </c>
      <c r="B246" s="152" t="s">
        <v>2694</v>
      </c>
      <c r="C246" s="153" t="s">
        <v>2695</v>
      </c>
      <c r="D246" s="153" t="s">
        <v>2696</v>
      </c>
      <c r="E246" s="153" t="s">
        <v>2083</v>
      </c>
      <c r="F246" s="6"/>
      <c r="G246" s="6"/>
      <c r="H246" s="85">
        <v>0</v>
      </c>
      <c r="I246" s="103">
        <f>IFERROR(VLOOKUP(B246,'July 2026-Recived'!$B$2:$H$1300,7,0),0)</f>
        <v>0</v>
      </c>
      <c r="J246" s="103">
        <f>IFERROR(VLOOKUP(B246,'July 2026- Dispatch'!$B$2:$H$1300,7,0),0)</f>
        <v>0</v>
      </c>
      <c r="K246" s="61">
        <f t="shared" si="3"/>
        <v>0</v>
      </c>
      <c r="L246" s="123">
        <v>0</v>
      </c>
    </row>
    <row r="247" spans="1:12" hidden="1" x14ac:dyDescent="0.25">
      <c r="A247" s="7">
        <v>246</v>
      </c>
      <c r="B247" s="152" t="s">
        <v>2697</v>
      </c>
      <c r="C247" s="153" t="s">
        <v>2698</v>
      </c>
      <c r="D247" s="153" t="s">
        <v>2699</v>
      </c>
      <c r="E247" s="153" t="s">
        <v>2083</v>
      </c>
      <c r="F247" s="6"/>
      <c r="G247" s="6"/>
      <c r="H247" s="85">
        <v>0</v>
      </c>
      <c r="I247" s="103">
        <f>IFERROR(VLOOKUP(B247,'July 2026-Recived'!$B$2:$H$1300,7,0),0)</f>
        <v>0</v>
      </c>
      <c r="J247" s="103">
        <f>IFERROR(VLOOKUP(B247,'July 2026- Dispatch'!$B$2:$H$1300,7,0),0)</f>
        <v>0</v>
      </c>
      <c r="K247" s="61">
        <f t="shared" si="3"/>
        <v>0</v>
      </c>
      <c r="L247" s="123">
        <v>0</v>
      </c>
    </row>
    <row r="248" spans="1:12" hidden="1" x14ac:dyDescent="0.25">
      <c r="A248" s="7">
        <v>247</v>
      </c>
      <c r="B248" s="152" t="s">
        <v>2700</v>
      </c>
      <c r="C248" s="153" t="s">
        <v>2701</v>
      </c>
      <c r="D248" s="153" t="s">
        <v>2702</v>
      </c>
      <c r="E248" s="153" t="s">
        <v>2160</v>
      </c>
      <c r="F248" s="6"/>
      <c r="G248" s="6"/>
      <c r="H248" s="85">
        <v>0</v>
      </c>
      <c r="I248" s="103">
        <f>IFERROR(VLOOKUP(B248,'July 2026-Recived'!$B$2:$H$1300,7,0),0)</f>
        <v>0</v>
      </c>
      <c r="J248" s="103">
        <f>IFERROR(VLOOKUP(B248,'July 2026- Dispatch'!$B$2:$H$1300,7,0),0)</f>
        <v>0</v>
      </c>
      <c r="K248" s="61">
        <f t="shared" si="3"/>
        <v>0</v>
      </c>
      <c r="L248" s="123">
        <v>0</v>
      </c>
    </row>
    <row r="249" spans="1:12" hidden="1" x14ac:dyDescent="0.25">
      <c r="A249" s="7">
        <v>248</v>
      </c>
      <c r="B249" s="152" t="s">
        <v>2703</v>
      </c>
      <c r="C249" s="153" t="s">
        <v>2704</v>
      </c>
      <c r="D249" s="153" t="s">
        <v>2705</v>
      </c>
      <c r="E249" s="153" t="s">
        <v>2160</v>
      </c>
      <c r="F249" s="6"/>
      <c r="G249" s="6"/>
      <c r="H249" s="85">
        <v>0</v>
      </c>
      <c r="I249" s="103">
        <f>IFERROR(VLOOKUP(B249,'July 2026-Recived'!$B$2:$H$1300,7,0),0)</f>
        <v>0</v>
      </c>
      <c r="J249" s="103">
        <f>IFERROR(VLOOKUP(B249,'July 2026- Dispatch'!$B$2:$H$1300,7,0),0)</f>
        <v>0</v>
      </c>
      <c r="K249" s="61">
        <f t="shared" si="3"/>
        <v>0</v>
      </c>
      <c r="L249" s="123">
        <v>0</v>
      </c>
    </row>
    <row r="250" spans="1:12" hidden="1" x14ac:dyDescent="0.25">
      <c r="A250" s="7">
        <v>249</v>
      </c>
      <c r="B250" s="152" t="s">
        <v>2706</v>
      </c>
      <c r="C250" s="153" t="s">
        <v>2707</v>
      </c>
      <c r="D250" s="153" t="s">
        <v>2708</v>
      </c>
      <c r="E250" s="153" t="s">
        <v>2083</v>
      </c>
      <c r="F250" s="6"/>
      <c r="G250" s="6"/>
      <c r="H250" s="85">
        <v>0</v>
      </c>
      <c r="I250" s="103">
        <f>IFERROR(VLOOKUP(B250,'July 2026-Recived'!$B$2:$H$1300,7,0),0)</f>
        <v>0</v>
      </c>
      <c r="J250" s="103">
        <f>IFERROR(VLOOKUP(B250,'July 2026- Dispatch'!$B$2:$H$1300,7,0),0)</f>
        <v>0</v>
      </c>
      <c r="K250" s="61">
        <f t="shared" si="3"/>
        <v>0</v>
      </c>
      <c r="L250" s="123">
        <v>0</v>
      </c>
    </row>
    <row r="251" spans="1:12" hidden="1" x14ac:dyDescent="0.25">
      <c r="A251" s="7">
        <v>250</v>
      </c>
      <c r="B251" s="152" t="s">
        <v>2709</v>
      </c>
      <c r="C251" s="153" t="s">
        <v>2710</v>
      </c>
      <c r="D251" s="153" t="s">
        <v>2711</v>
      </c>
      <c r="E251" s="153" t="s">
        <v>2083</v>
      </c>
      <c r="F251" s="6"/>
      <c r="G251" s="6"/>
      <c r="H251" s="85">
        <v>0</v>
      </c>
      <c r="I251" s="103">
        <f>IFERROR(VLOOKUP(B251,'July 2026-Recived'!$B$2:$H$1300,7,0),0)</f>
        <v>0</v>
      </c>
      <c r="J251" s="103">
        <f>IFERROR(VLOOKUP(B251,'July 2026- Dispatch'!$B$2:$H$1300,7,0),0)</f>
        <v>0</v>
      </c>
      <c r="K251" s="61">
        <f t="shared" si="3"/>
        <v>0</v>
      </c>
      <c r="L251" s="123">
        <v>0</v>
      </c>
    </row>
    <row r="252" spans="1:12" hidden="1" x14ac:dyDescent="0.25">
      <c r="A252" s="7">
        <v>251</v>
      </c>
      <c r="B252" s="152" t="s">
        <v>2712</v>
      </c>
      <c r="C252" s="153" t="s">
        <v>2713</v>
      </c>
      <c r="D252" s="153" t="s">
        <v>2714</v>
      </c>
      <c r="E252" s="153" t="s">
        <v>2083</v>
      </c>
      <c r="F252" s="6"/>
      <c r="G252" s="6"/>
      <c r="H252" s="85">
        <v>0</v>
      </c>
      <c r="I252" s="103">
        <f>IFERROR(VLOOKUP(B252,'July 2026-Recived'!$B$2:$H$1300,7,0),0)</f>
        <v>0</v>
      </c>
      <c r="J252" s="103">
        <f>IFERROR(VLOOKUP(B252,'July 2026- Dispatch'!$B$2:$H$1300,7,0),0)</f>
        <v>0</v>
      </c>
      <c r="K252" s="61">
        <f t="shared" si="3"/>
        <v>0</v>
      </c>
      <c r="L252" s="123">
        <v>0</v>
      </c>
    </row>
    <row r="253" spans="1:12" hidden="1" x14ac:dyDescent="0.25">
      <c r="A253" s="7">
        <v>252</v>
      </c>
      <c r="B253" s="152" t="s">
        <v>2715</v>
      </c>
      <c r="C253" s="153" t="s">
        <v>2716</v>
      </c>
      <c r="D253" s="153" t="s">
        <v>2717</v>
      </c>
      <c r="E253" s="153" t="s">
        <v>2083</v>
      </c>
      <c r="F253" s="6"/>
      <c r="G253" s="6"/>
      <c r="H253" s="85">
        <v>0</v>
      </c>
      <c r="I253" s="103">
        <f>IFERROR(VLOOKUP(B253,'July 2026-Recived'!$B$2:$H$1300,7,0),0)</f>
        <v>0</v>
      </c>
      <c r="J253" s="103">
        <f>IFERROR(VLOOKUP(B253,'July 2026- Dispatch'!$B$2:$H$1300,7,0),0)</f>
        <v>0</v>
      </c>
      <c r="K253" s="61">
        <f t="shared" si="3"/>
        <v>0</v>
      </c>
      <c r="L253" s="123">
        <v>0</v>
      </c>
    </row>
    <row r="254" spans="1:12" hidden="1" x14ac:dyDescent="0.25">
      <c r="A254" s="7">
        <v>253</v>
      </c>
      <c r="B254" s="152" t="s">
        <v>2718</v>
      </c>
      <c r="C254" s="153" t="s">
        <v>2719</v>
      </c>
      <c r="D254" s="153" t="s">
        <v>2720</v>
      </c>
      <c r="E254" s="153" t="s">
        <v>2083</v>
      </c>
      <c r="F254" s="6"/>
      <c r="G254" s="6"/>
      <c r="H254" s="85">
        <v>0</v>
      </c>
      <c r="I254" s="103">
        <f>IFERROR(VLOOKUP(B254,'July 2026-Recived'!$B$2:$H$1300,7,0),0)</f>
        <v>0</v>
      </c>
      <c r="J254" s="103">
        <f>IFERROR(VLOOKUP(B254,'July 2026- Dispatch'!$B$2:$H$1300,7,0),0)</f>
        <v>0</v>
      </c>
      <c r="K254" s="61">
        <f t="shared" si="3"/>
        <v>0</v>
      </c>
      <c r="L254" s="123">
        <v>0</v>
      </c>
    </row>
    <row r="255" spans="1:12" hidden="1" x14ac:dyDescent="0.25">
      <c r="A255" s="7">
        <v>254</v>
      </c>
      <c r="B255" s="152" t="s">
        <v>2721</v>
      </c>
      <c r="C255" s="153" t="s">
        <v>2722</v>
      </c>
      <c r="D255" s="153" t="s">
        <v>2723</v>
      </c>
      <c r="E255" s="153" t="s">
        <v>2086</v>
      </c>
      <c r="F255" s="6"/>
      <c r="G255" s="6"/>
      <c r="H255" s="85">
        <v>20</v>
      </c>
      <c r="I255" s="103">
        <f>IFERROR(VLOOKUP(B255,'July 2026-Recived'!$B$2:$H$1300,7,0),0)</f>
        <v>0</v>
      </c>
      <c r="J255" s="103">
        <f>IFERROR(VLOOKUP(B255,'July 2026- Dispatch'!$B$2:$H$1300,7,0),0)</f>
        <v>0</v>
      </c>
      <c r="K255" s="61">
        <f t="shared" si="3"/>
        <v>20</v>
      </c>
      <c r="L255" s="123">
        <v>0</v>
      </c>
    </row>
    <row r="256" spans="1:12" hidden="1" x14ac:dyDescent="0.25">
      <c r="A256" s="7">
        <v>255</v>
      </c>
      <c r="B256" s="152" t="s">
        <v>2724</v>
      </c>
      <c r="C256" s="153" t="s">
        <v>2725</v>
      </c>
      <c r="D256" s="153" t="s">
        <v>2726</v>
      </c>
      <c r="E256" s="153" t="s">
        <v>2727</v>
      </c>
      <c r="F256" s="6"/>
      <c r="G256" s="6"/>
      <c r="H256" s="85">
        <v>0</v>
      </c>
      <c r="I256" s="103">
        <f>IFERROR(VLOOKUP(B256,'July 2026-Recived'!$B$2:$H$1300,7,0),0)</f>
        <v>0</v>
      </c>
      <c r="J256" s="103">
        <f>IFERROR(VLOOKUP(B256,'July 2026- Dispatch'!$B$2:$H$1300,7,0),0)</f>
        <v>0</v>
      </c>
      <c r="K256" s="61">
        <f t="shared" si="3"/>
        <v>0</v>
      </c>
      <c r="L256" s="123">
        <v>0</v>
      </c>
    </row>
    <row r="257" spans="1:12" hidden="1" x14ac:dyDescent="0.25">
      <c r="A257" s="7">
        <v>256</v>
      </c>
      <c r="B257" s="152" t="s">
        <v>2728</v>
      </c>
      <c r="C257" s="153" t="s">
        <v>2729</v>
      </c>
      <c r="D257" s="153" t="s">
        <v>2730</v>
      </c>
      <c r="E257" s="153" t="s">
        <v>2083</v>
      </c>
      <c r="F257" s="6"/>
      <c r="G257" s="6"/>
      <c r="H257" s="85">
        <v>0</v>
      </c>
      <c r="I257" s="103">
        <f>IFERROR(VLOOKUP(B257,'July 2026-Recived'!$B$2:$H$1300,7,0),0)</f>
        <v>0</v>
      </c>
      <c r="J257" s="103">
        <f>IFERROR(VLOOKUP(B257,'July 2026- Dispatch'!$B$2:$H$1300,7,0),0)</f>
        <v>0</v>
      </c>
      <c r="K257" s="61">
        <f t="shared" si="3"/>
        <v>0</v>
      </c>
      <c r="L257" s="123">
        <v>0</v>
      </c>
    </row>
    <row r="258" spans="1:12" hidden="1" x14ac:dyDescent="0.25">
      <c r="A258" s="7">
        <v>257</v>
      </c>
      <c r="B258" s="152" t="s">
        <v>2731</v>
      </c>
      <c r="C258" s="153" t="s">
        <v>2732</v>
      </c>
      <c r="D258" s="153" t="s">
        <v>2733</v>
      </c>
      <c r="E258" s="153" t="s">
        <v>2083</v>
      </c>
      <c r="F258" s="6"/>
      <c r="G258" s="6"/>
      <c r="H258" s="85">
        <v>0</v>
      </c>
      <c r="I258" s="103">
        <f>IFERROR(VLOOKUP(B258,'July 2026-Recived'!$B$2:$H$1300,7,0),0)</f>
        <v>0</v>
      </c>
      <c r="J258" s="103">
        <f>IFERROR(VLOOKUP(B258,'July 2026- Dispatch'!$B$2:$H$1300,7,0),0)</f>
        <v>0</v>
      </c>
      <c r="K258" s="61">
        <f t="shared" ref="K258:K321" si="4">H258+I258-J258</f>
        <v>0</v>
      </c>
      <c r="L258" s="123">
        <v>0</v>
      </c>
    </row>
    <row r="259" spans="1:12" hidden="1" x14ac:dyDescent="0.25">
      <c r="A259" s="7">
        <v>258</v>
      </c>
      <c r="B259" s="152" t="s">
        <v>2734</v>
      </c>
      <c r="C259" s="153" t="s">
        <v>2735</v>
      </c>
      <c r="D259" s="153" t="s">
        <v>2736</v>
      </c>
      <c r="E259" s="153" t="s">
        <v>2083</v>
      </c>
      <c r="F259" s="6"/>
      <c r="G259" s="6"/>
      <c r="H259" s="85">
        <v>0</v>
      </c>
      <c r="I259" s="103">
        <f>IFERROR(VLOOKUP(B259,'July 2026-Recived'!$B$2:$H$1300,7,0),0)</f>
        <v>0</v>
      </c>
      <c r="J259" s="103">
        <f>IFERROR(VLOOKUP(B259,'July 2026- Dispatch'!$B$2:$H$1300,7,0),0)</f>
        <v>0</v>
      </c>
      <c r="K259" s="61">
        <f t="shared" si="4"/>
        <v>0</v>
      </c>
      <c r="L259" s="123">
        <v>0</v>
      </c>
    </row>
    <row r="260" spans="1:12" hidden="1" x14ac:dyDescent="0.25">
      <c r="A260" s="7">
        <v>259</v>
      </c>
      <c r="B260" s="152" t="s">
        <v>2737</v>
      </c>
      <c r="C260" s="153" t="s">
        <v>2738</v>
      </c>
      <c r="D260" s="153" t="s">
        <v>2739</v>
      </c>
      <c r="E260" s="153" t="s">
        <v>2083</v>
      </c>
      <c r="F260" s="6"/>
      <c r="G260" s="6"/>
      <c r="H260" s="85">
        <v>0</v>
      </c>
      <c r="I260" s="103">
        <f>IFERROR(VLOOKUP(B260,'July 2026-Recived'!$B$2:$H$1300,7,0),0)</f>
        <v>0</v>
      </c>
      <c r="J260" s="103">
        <f>IFERROR(VLOOKUP(B260,'July 2026- Dispatch'!$B$2:$H$1300,7,0),0)</f>
        <v>0</v>
      </c>
      <c r="K260" s="61">
        <f t="shared" si="4"/>
        <v>0</v>
      </c>
      <c r="L260" s="123">
        <v>0</v>
      </c>
    </row>
    <row r="261" spans="1:12" hidden="1" x14ac:dyDescent="0.25">
      <c r="A261" s="7">
        <v>260</v>
      </c>
      <c r="B261" s="152" t="s">
        <v>2740</v>
      </c>
      <c r="C261" s="153" t="s">
        <v>2741</v>
      </c>
      <c r="D261" s="153" t="s">
        <v>2742</v>
      </c>
      <c r="E261" s="153" t="s">
        <v>2083</v>
      </c>
      <c r="F261" s="6"/>
      <c r="G261" s="6"/>
      <c r="H261" s="85">
        <v>0</v>
      </c>
      <c r="I261" s="103">
        <f>IFERROR(VLOOKUP(B261,'July 2026-Recived'!$B$2:$H$1300,7,0),0)</f>
        <v>0</v>
      </c>
      <c r="J261" s="103">
        <f>IFERROR(VLOOKUP(B261,'July 2026- Dispatch'!$B$2:$H$1300,7,0),0)</f>
        <v>0</v>
      </c>
      <c r="K261" s="61">
        <f t="shared" si="4"/>
        <v>0</v>
      </c>
      <c r="L261" s="123">
        <v>0</v>
      </c>
    </row>
    <row r="262" spans="1:12" hidden="1" x14ac:dyDescent="0.25">
      <c r="A262" s="7">
        <v>261</v>
      </c>
      <c r="B262" s="152" t="s">
        <v>2743</v>
      </c>
      <c r="C262" s="153" t="s">
        <v>2744</v>
      </c>
      <c r="D262" s="153" t="s">
        <v>2745</v>
      </c>
      <c r="E262" s="153" t="s">
        <v>2746</v>
      </c>
      <c r="F262" s="6"/>
      <c r="G262" s="6"/>
      <c r="H262" s="85">
        <v>0</v>
      </c>
      <c r="I262" s="103">
        <f>IFERROR(VLOOKUP(B262,'July 2026-Recived'!$B$2:$H$1300,7,0),0)</f>
        <v>0</v>
      </c>
      <c r="J262" s="103">
        <f>IFERROR(VLOOKUP(B262,'July 2026- Dispatch'!$B$2:$H$1300,7,0),0)</f>
        <v>0</v>
      </c>
      <c r="K262" s="61">
        <f t="shared" si="4"/>
        <v>0</v>
      </c>
      <c r="L262" s="123">
        <v>0</v>
      </c>
    </row>
    <row r="263" spans="1:12" hidden="1" x14ac:dyDescent="0.25">
      <c r="A263" s="7">
        <v>262</v>
      </c>
      <c r="B263" s="152" t="s">
        <v>2747</v>
      </c>
      <c r="C263" s="153" t="s">
        <v>2748</v>
      </c>
      <c r="D263" s="153" t="s">
        <v>2749</v>
      </c>
      <c r="E263" s="153" t="s">
        <v>2746</v>
      </c>
      <c r="F263" s="6"/>
      <c r="G263" s="6"/>
      <c r="H263" s="85">
        <v>0</v>
      </c>
      <c r="I263" s="103">
        <f>IFERROR(VLOOKUP(B263,'July 2026-Recived'!$B$2:$H$1300,7,0),0)</f>
        <v>0</v>
      </c>
      <c r="J263" s="103">
        <f>IFERROR(VLOOKUP(B263,'July 2026- Dispatch'!$B$2:$H$1300,7,0),0)</f>
        <v>0</v>
      </c>
      <c r="K263" s="61">
        <f t="shared" si="4"/>
        <v>0</v>
      </c>
      <c r="L263" s="123">
        <v>0</v>
      </c>
    </row>
    <row r="264" spans="1:12" hidden="1" x14ac:dyDescent="0.25">
      <c r="A264" s="7">
        <v>263</v>
      </c>
      <c r="B264" s="152" t="s">
        <v>2750</v>
      </c>
      <c r="C264" s="153" t="s">
        <v>2751</v>
      </c>
      <c r="D264" s="153" t="s">
        <v>2752</v>
      </c>
      <c r="E264" s="153" t="s">
        <v>2083</v>
      </c>
      <c r="F264" s="6"/>
      <c r="G264" s="6"/>
      <c r="H264" s="85">
        <v>0</v>
      </c>
      <c r="I264" s="103">
        <f>IFERROR(VLOOKUP(B264,'July 2026-Recived'!$B$2:$H$1300,7,0),0)</f>
        <v>0</v>
      </c>
      <c r="J264" s="103">
        <f>IFERROR(VLOOKUP(B264,'July 2026- Dispatch'!$B$2:$H$1300,7,0),0)</f>
        <v>0</v>
      </c>
      <c r="K264" s="61">
        <f t="shared" si="4"/>
        <v>0</v>
      </c>
      <c r="L264" s="123">
        <v>0</v>
      </c>
    </row>
    <row r="265" spans="1:12" hidden="1" x14ac:dyDescent="0.25">
      <c r="A265" s="7">
        <v>264</v>
      </c>
      <c r="B265" s="152" t="s">
        <v>2753</v>
      </c>
      <c r="C265" s="153" t="s">
        <v>2754</v>
      </c>
      <c r="D265" s="153" t="s">
        <v>2755</v>
      </c>
      <c r="E265" s="153" t="s">
        <v>2083</v>
      </c>
      <c r="F265" s="6"/>
      <c r="G265" s="6"/>
      <c r="H265" s="85">
        <v>0</v>
      </c>
      <c r="I265" s="103">
        <f>IFERROR(VLOOKUP(B265,'July 2026-Recived'!$B$2:$H$1300,7,0),0)</f>
        <v>0</v>
      </c>
      <c r="J265" s="103">
        <f>IFERROR(VLOOKUP(B265,'July 2026- Dispatch'!$B$2:$H$1300,7,0),0)</f>
        <v>0</v>
      </c>
      <c r="K265" s="61">
        <f t="shared" si="4"/>
        <v>0</v>
      </c>
      <c r="L265" s="123">
        <v>0</v>
      </c>
    </row>
    <row r="266" spans="1:12" hidden="1" x14ac:dyDescent="0.25">
      <c r="A266" s="7">
        <v>265</v>
      </c>
      <c r="B266" s="152" t="s">
        <v>2756</v>
      </c>
      <c r="C266" s="153" t="s">
        <v>2757</v>
      </c>
      <c r="D266" s="153" t="s">
        <v>2758</v>
      </c>
      <c r="E266" s="153" t="s">
        <v>2746</v>
      </c>
      <c r="F266" s="6"/>
      <c r="G266" s="6"/>
      <c r="H266" s="85">
        <v>0</v>
      </c>
      <c r="I266" s="103">
        <f>IFERROR(VLOOKUP(B266,'July 2026-Recived'!$B$2:$H$1300,7,0),0)</f>
        <v>0</v>
      </c>
      <c r="J266" s="103">
        <f>IFERROR(VLOOKUP(B266,'July 2026- Dispatch'!$B$2:$H$1300,7,0),0)</f>
        <v>0</v>
      </c>
      <c r="K266" s="61">
        <f t="shared" si="4"/>
        <v>0</v>
      </c>
      <c r="L266" s="123">
        <v>0</v>
      </c>
    </row>
    <row r="267" spans="1:12" hidden="1" x14ac:dyDescent="0.25">
      <c r="A267" s="7">
        <v>266</v>
      </c>
      <c r="B267" s="152" t="s">
        <v>2759</v>
      </c>
      <c r="C267" s="153" t="s">
        <v>2760</v>
      </c>
      <c r="D267" s="153" t="s">
        <v>2761</v>
      </c>
      <c r="E267" s="153" t="s">
        <v>2746</v>
      </c>
      <c r="F267" s="6"/>
      <c r="G267" s="6"/>
      <c r="H267" s="85">
        <v>0</v>
      </c>
      <c r="I267" s="103">
        <f>IFERROR(VLOOKUP(B267,'July 2026-Recived'!$B$2:$H$1300,7,0),0)</f>
        <v>0</v>
      </c>
      <c r="J267" s="103">
        <f>IFERROR(VLOOKUP(B267,'July 2026- Dispatch'!$B$2:$H$1300,7,0),0)</f>
        <v>0</v>
      </c>
      <c r="K267" s="61">
        <f t="shared" si="4"/>
        <v>0</v>
      </c>
      <c r="L267" s="123">
        <v>0</v>
      </c>
    </row>
    <row r="268" spans="1:12" hidden="1" x14ac:dyDescent="0.25">
      <c r="A268" s="7">
        <v>267</v>
      </c>
      <c r="B268" s="152" t="s">
        <v>2762</v>
      </c>
      <c r="C268" s="153" t="s">
        <v>2763</v>
      </c>
      <c r="D268" s="153" t="s">
        <v>2764</v>
      </c>
      <c r="E268" s="153" t="s">
        <v>2746</v>
      </c>
      <c r="F268" s="6"/>
      <c r="G268" s="6"/>
      <c r="H268" s="85">
        <v>0</v>
      </c>
      <c r="I268" s="103">
        <f>IFERROR(VLOOKUP(B268,'July 2026-Recived'!$B$2:$H$1300,7,0),0)</f>
        <v>0</v>
      </c>
      <c r="J268" s="103">
        <f>IFERROR(VLOOKUP(B268,'July 2026- Dispatch'!$B$2:$H$1300,7,0),0)</f>
        <v>0</v>
      </c>
      <c r="K268" s="61">
        <f t="shared" si="4"/>
        <v>0</v>
      </c>
      <c r="L268" s="123">
        <v>0</v>
      </c>
    </row>
    <row r="269" spans="1:12" hidden="1" x14ac:dyDescent="0.25">
      <c r="A269" s="7">
        <v>268</v>
      </c>
      <c r="B269" s="152" t="s">
        <v>2765</v>
      </c>
      <c r="C269" s="153" t="s">
        <v>2766</v>
      </c>
      <c r="D269" s="153" t="s">
        <v>2767</v>
      </c>
      <c r="E269" s="153" t="s">
        <v>2083</v>
      </c>
      <c r="F269" s="6"/>
      <c r="G269" s="6"/>
      <c r="H269" s="85">
        <v>0</v>
      </c>
      <c r="I269" s="103">
        <f>IFERROR(VLOOKUP(B269,'July 2026-Recived'!$B$2:$H$1300,7,0),0)</f>
        <v>0</v>
      </c>
      <c r="J269" s="103">
        <f>IFERROR(VLOOKUP(B269,'July 2026- Dispatch'!$B$2:$H$1300,7,0),0)</f>
        <v>0</v>
      </c>
      <c r="K269" s="61">
        <f t="shared" si="4"/>
        <v>0</v>
      </c>
      <c r="L269" s="123">
        <v>0</v>
      </c>
    </row>
    <row r="270" spans="1:12" hidden="1" x14ac:dyDescent="0.25">
      <c r="A270" s="7">
        <v>269</v>
      </c>
      <c r="B270" s="152" t="s">
        <v>2768</v>
      </c>
      <c r="C270" s="153" t="s">
        <v>2769</v>
      </c>
      <c r="D270" s="153" t="s">
        <v>2770</v>
      </c>
      <c r="E270" s="153" t="s">
        <v>2746</v>
      </c>
      <c r="F270" s="6"/>
      <c r="G270" s="6"/>
      <c r="H270" s="85">
        <v>0</v>
      </c>
      <c r="I270" s="103">
        <f>IFERROR(VLOOKUP(B270,'July 2026-Recived'!$B$2:$H$1300,7,0),0)</f>
        <v>0</v>
      </c>
      <c r="J270" s="103">
        <f>IFERROR(VLOOKUP(B270,'July 2026- Dispatch'!$B$2:$H$1300,7,0),0)</f>
        <v>0</v>
      </c>
      <c r="K270" s="61">
        <f t="shared" si="4"/>
        <v>0</v>
      </c>
      <c r="L270" s="123">
        <v>0</v>
      </c>
    </row>
    <row r="271" spans="1:12" hidden="1" x14ac:dyDescent="0.25">
      <c r="A271" s="7">
        <v>270</v>
      </c>
      <c r="B271" s="152" t="s">
        <v>2771</v>
      </c>
      <c r="C271" s="153" t="s">
        <v>2772</v>
      </c>
      <c r="D271" s="153" t="s">
        <v>2773</v>
      </c>
      <c r="E271" s="153" t="s">
        <v>2083</v>
      </c>
      <c r="F271" s="6"/>
      <c r="G271" s="6"/>
      <c r="H271" s="85">
        <v>0</v>
      </c>
      <c r="I271" s="103">
        <f>IFERROR(VLOOKUP(B271,'July 2026-Recived'!$B$2:$H$1300,7,0),0)</f>
        <v>0</v>
      </c>
      <c r="J271" s="103">
        <f>IFERROR(VLOOKUP(B271,'July 2026- Dispatch'!$B$2:$H$1300,7,0),0)</f>
        <v>0</v>
      </c>
      <c r="K271" s="61">
        <f t="shared" si="4"/>
        <v>0</v>
      </c>
      <c r="L271" s="123">
        <v>0</v>
      </c>
    </row>
    <row r="272" spans="1:12" hidden="1" x14ac:dyDescent="0.25">
      <c r="A272" s="7">
        <v>271</v>
      </c>
      <c r="B272" s="155" t="s">
        <v>2774</v>
      </c>
      <c r="C272" s="156" t="s">
        <v>2775</v>
      </c>
      <c r="D272" s="156" t="s">
        <v>2776</v>
      </c>
      <c r="E272" s="153" t="s">
        <v>2746</v>
      </c>
      <c r="F272" s="6"/>
      <c r="G272" s="6"/>
      <c r="H272" s="85">
        <v>0</v>
      </c>
      <c r="I272" s="103">
        <f>IFERROR(VLOOKUP(B272,'July 2026-Recived'!$B$2:$H$1300,7,0),0)</f>
        <v>0</v>
      </c>
      <c r="J272" s="103">
        <f>IFERROR(VLOOKUP(B272,'July 2026- Dispatch'!$B$2:$H$1300,7,0),0)</f>
        <v>0</v>
      </c>
      <c r="K272" s="61">
        <f t="shared" si="4"/>
        <v>0</v>
      </c>
      <c r="L272" s="123">
        <v>0</v>
      </c>
    </row>
    <row r="273" spans="1:12" hidden="1" x14ac:dyDescent="0.25">
      <c r="A273" s="7">
        <v>272</v>
      </c>
      <c r="B273" s="152" t="s">
        <v>2777</v>
      </c>
      <c r="C273" s="153" t="s">
        <v>2778</v>
      </c>
      <c r="D273" s="153" t="s">
        <v>2779</v>
      </c>
      <c r="E273" s="153" t="s">
        <v>2126</v>
      </c>
      <c r="F273" s="6"/>
      <c r="G273" s="6"/>
      <c r="H273" s="85">
        <v>0</v>
      </c>
      <c r="I273" s="103">
        <f>IFERROR(VLOOKUP(B273,'July 2026-Recived'!$B$2:$H$1300,7,0),0)</f>
        <v>0</v>
      </c>
      <c r="J273" s="103">
        <f>IFERROR(VLOOKUP(B273,'July 2026- Dispatch'!$B$2:$H$1300,7,0),0)</f>
        <v>0</v>
      </c>
      <c r="K273" s="61">
        <f t="shared" si="4"/>
        <v>0</v>
      </c>
      <c r="L273" s="123">
        <v>0</v>
      </c>
    </row>
    <row r="274" spans="1:12" hidden="1" x14ac:dyDescent="0.25">
      <c r="A274" s="7">
        <v>273</v>
      </c>
      <c r="B274" s="152" t="s">
        <v>2780</v>
      </c>
      <c r="C274" s="153" t="s">
        <v>2781</v>
      </c>
      <c r="D274" s="153" t="s">
        <v>2782</v>
      </c>
      <c r="E274" s="153" t="s">
        <v>2126</v>
      </c>
      <c r="F274" s="6"/>
      <c r="G274" s="6"/>
      <c r="H274" s="85">
        <v>0</v>
      </c>
      <c r="I274" s="103">
        <f>IFERROR(VLOOKUP(B274,'July 2026-Recived'!$B$2:$H$1300,7,0),0)</f>
        <v>0</v>
      </c>
      <c r="J274" s="103">
        <f>IFERROR(VLOOKUP(B274,'July 2026- Dispatch'!$B$2:$H$1300,7,0),0)</f>
        <v>0</v>
      </c>
      <c r="K274" s="61">
        <f t="shared" si="4"/>
        <v>0</v>
      </c>
      <c r="L274" s="123">
        <v>0</v>
      </c>
    </row>
    <row r="275" spans="1:12" hidden="1" x14ac:dyDescent="0.25">
      <c r="A275" s="7">
        <v>274</v>
      </c>
      <c r="B275" s="152" t="s">
        <v>2783</v>
      </c>
      <c r="C275" s="153" t="s">
        <v>2784</v>
      </c>
      <c r="D275" s="153" t="s">
        <v>2785</v>
      </c>
      <c r="E275" s="153" t="s">
        <v>2126</v>
      </c>
      <c r="F275" s="6"/>
      <c r="G275" s="6"/>
      <c r="H275" s="85">
        <v>0</v>
      </c>
      <c r="I275" s="103">
        <f>IFERROR(VLOOKUP(B275,'July 2026-Recived'!$B$2:$H$1300,7,0),0)</f>
        <v>0</v>
      </c>
      <c r="J275" s="103">
        <f>IFERROR(VLOOKUP(B275,'July 2026- Dispatch'!$B$2:$H$1300,7,0),0)</f>
        <v>0</v>
      </c>
      <c r="K275" s="61">
        <f t="shared" si="4"/>
        <v>0</v>
      </c>
      <c r="L275" s="123">
        <v>0</v>
      </c>
    </row>
    <row r="276" spans="1:12" hidden="1" x14ac:dyDescent="0.25">
      <c r="A276" s="7">
        <v>275</v>
      </c>
      <c r="B276" s="152" t="s">
        <v>2786</v>
      </c>
      <c r="C276" s="153" t="s">
        <v>2787</v>
      </c>
      <c r="D276" s="153" t="s">
        <v>2788</v>
      </c>
      <c r="E276" s="153" t="s">
        <v>2126</v>
      </c>
      <c r="F276" s="6"/>
      <c r="G276" s="6"/>
      <c r="H276" s="85">
        <v>0</v>
      </c>
      <c r="I276" s="103">
        <f>IFERROR(VLOOKUP(B276,'July 2026-Recived'!$B$2:$H$1300,7,0),0)</f>
        <v>0</v>
      </c>
      <c r="J276" s="103">
        <f>IFERROR(VLOOKUP(B276,'July 2026- Dispatch'!$B$2:$H$1300,7,0),0)</f>
        <v>0</v>
      </c>
      <c r="K276" s="61">
        <f t="shared" si="4"/>
        <v>0</v>
      </c>
      <c r="L276" s="123">
        <v>0</v>
      </c>
    </row>
    <row r="277" spans="1:12" hidden="1" x14ac:dyDescent="0.25">
      <c r="A277" s="7">
        <v>276</v>
      </c>
      <c r="B277" s="152" t="s">
        <v>2789</v>
      </c>
      <c r="C277" s="153" t="s">
        <v>2790</v>
      </c>
      <c r="D277" s="153">
        <v>0</v>
      </c>
      <c r="E277" s="153" t="s">
        <v>2126</v>
      </c>
      <c r="F277" s="6"/>
      <c r="G277" s="6"/>
      <c r="H277" s="85">
        <v>0</v>
      </c>
      <c r="I277" s="103">
        <f>IFERROR(VLOOKUP(B277,'July 2026-Recived'!$B$2:$H$1300,7,0),0)</f>
        <v>0</v>
      </c>
      <c r="J277" s="103">
        <f>IFERROR(VLOOKUP(B277,'July 2026- Dispatch'!$B$2:$H$1300,7,0),0)</f>
        <v>0</v>
      </c>
      <c r="K277" s="61">
        <f t="shared" si="4"/>
        <v>0</v>
      </c>
      <c r="L277" s="123">
        <v>0</v>
      </c>
    </row>
    <row r="278" spans="1:12" hidden="1" x14ac:dyDescent="0.25">
      <c r="A278" s="7">
        <v>277</v>
      </c>
      <c r="B278" s="152" t="s">
        <v>2791</v>
      </c>
      <c r="C278" s="153" t="s">
        <v>2792</v>
      </c>
      <c r="D278" s="153" t="s">
        <v>2793</v>
      </c>
      <c r="E278" s="153" t="s">
        <v>2126</v>
      </c>
      <c r="F278" s="6"/>
      <c r="G278" s="6"/>
      <c r="H278" s="85">
        <v>0</v>
      </c>
      <c r="I278" s="103">
        <f>IFERROR(VLOOKUP(B278,'July 2026-Recived'!$B$2:$H$1300,7,0),0)</f>
        <v>0</v>
      </c>
      <c r="J278" s="103">
        <f>IFERROR(VLOOKUP(B278,'July 2026- Dispatch'!$B$2:$H$1300,7,0),0)</f>
        <v>0</v>
      </c>
      <c r="K278" s="61">
        <f t="shared" si="4"/>
        <v>0</v>
      </c>
      <c r="L278" s="123">
        <v>0</v>
      </c>
    </row>
    <row r="279" spans="1:12" hidden="1" x14ac:dyDescent="0.25">
      <c r="A279" s="7">
        <v>278</v>
      </c>
      <c r="B279" s="152" t="s">
        <v>2794</v>
      </c>
      <c r="C279" s="153" t="s">
        <v>2795</v>
      </c>
      <c r="D279" s="153" t="s">
        <v>2796</v>
      </c>
      <c r="E279" s="153" t="s">
        <v>2126</v>
      </c>
      <c r="F279" s="6"/>
      <c r="G279" s="6"/>
      <c r="H279" s="85">
        <v>0</v>
      </c>
      <c r="I279" s="103">
        <f>IFERROR(VLOOKUP(B279,'July 2026-Recived'!$B$2:$H$1300,7,0),0)</f>
        <v>0</v>
      </c>
      <c r="J279" s="103">
        <f>IFERROR(VLOOKUP(B279,'July 2026- Dispatch'!$B$2:$H$1300,7,0),0)</f>
        <v>0</v>
      </c>
      <c r="K279" s="61">
        <f t="shared" si="4"/>
        <v>0</v>
      </c>
      <c r="L279" s="123">
        <v>0</v>
      </c>
    </row>
    <row r="280" spans="1:12" hidden="1" x14ac:dyDescent="0.25">
      <c r="A280" s="7">
        <v>279</v>
      </c>
      <c r="B280" s="152" t="s">
        <v>2797</v>
      </c>
      <c r="C280" s="153" t="s">
        <v>2798</v>
      </c>
      <c r="D280" s="153" t="s">
        <v>2799</v>
      </c>
      <c r="E280" s="153" t="s">
        <v>2126</v>
      </c>
      <c r="F280" s="6"/>
      <c r="G280" s="6"/>
      <c r="H280" s="85">
        <v>0</v>
      </c>
      <c r="I280" s="103">
        <f>IFERROR(VLOOKUP(B280,'July 2026-Recived'!$B$2:$H$1300,7,0),0)</f>
        <v>0</v>
      </c>
      <c r="J280" s="103">
        <f>IFERROR(VLOOKUP(B280,'July 2026- Dispatch'!$B$2:$H$1300,7,0),0)</f>
        <v>0</v>
      </c>
      <c r="K280" s="61">
        <f t="shared" si="4"/>
        <v>0</v>
      </c>
      <c r="L280" s="123">
        <v>0</v>
      </c>
    </row>
    <row r="281" spans="1:12" hidden="1" x14ac:dyDescent="0.25">
      <c r="A281" s="7">
        <v>280</v>
      </c>
      <c r="B281" s="152" t="s">
        <v>2800</v>
      </c>
      <c r="C281" s="153" t="s">
        <v>2801</v>
      </c>
      <c r="D281" s="153" t="s">
        <v>2802</v>
      </c>
      <c r="E281" s="153" t="s">
        <v>2126</v>
      </c>
      <c r="F281" s="6"/>
      <c r="G281" s="6"/>
      <c r="H281" s="85">
        <v>0</v>
      </c>
      <c r="I281" s="103">
        <f>IFERROR(VLOOKUP(B281,'July 2026-Recived'!$B$2:$H$1300,7,0),0)</f>
        <v>0</v>
      </c>
      <c r="J281" s="103">
        <f>IFERROR(VLOOKUP(B281,'July 2026- Dispatch'!$B$2:$H$1300,7,0),0)</f>
        <v>0</v>
      </c>
      <c r="K281" s="61">
        <f t="shared" si="4"/>
        <v>0</v>
      </c>
      <c r="L281" s="123">
        <v>0</v>
      </c>
    </row>
    <row r="282" spans="1:12" hidden="1" x14ac:dyDescent="0.25">
      <c r="A282" s="7">
        <v>281</v>
      </c>
      <c r="B282" s="152" t="s">
        <v>2803</v>
      </c>
      <c r="C282" s="153" t="s">
        <v>2804</v>
      </c>
      <c r="D282" s="153" t="s">
        <v>2805</v>
      </c>
      <c r="E282" s="153" t="s">
        <v>2126</v>
      </c>
      <c r="F282" s="6"/>
      <c r="G282" s="6"/>
      <c r="H282" s="85">
        <v>0</v>
      </c>
      <c r="I282" s="103">
        <f>IFERROR(VLOOKUP(B282,'July 2026-Recived'!$B$2:$H$1300,7,0),0)</f>
        <v>0</v>
      </c>
      <c r="J282" s="103">
        <f>IFERROR(VLOOKUP(B282,'July 2026- Dispatch'!$B$2:$H$1300,7,0),0)</f>
        <v>0</v>
      </c>
      <c r="K282" s="61">
        <f t="shared" si="4"/>
        <v>0</v>
      </c>
      <c r="L282" s="123">
        <v>0</v>
      </c>
    </row>
    <row r="283" spans="1:12" hidden="1" x14ac:dyDescent="0.25">
      <c r="A283" s="7">
        <v>282</v>
      </c>
      <c r="B283" s="152" t="s">
        <v>2806</v>
      </c>
      <c r="C283" s="153" t="s">
        <v>2807</v>
      </c>
      <c r="D283" s="153" t="s">
        <v>2808</v>
      </c>
      <c r="E283" s="153" t="s">
        <v>2126</v>
      </c>
      <c r="F283" s="6"/>
      <c r="G283" s="6"/>
      <c r="H283" s="85">
        <v>0</v>
      </c>
      <c r="I283" s="103">
        <f>IFERROR(VLOOKUP(B283,'July 2026-Recived'!$B$2:$H$1300,7,0),0)</f>
        <v>0</v>
      </c>
      <c r="J283" s="103">
        <f>IFERROR(VLOOKUP(B283,'July 2026- Dispatch'!$B$2:$H$1300,7,0),0)</f>
        <v>0</v>
      </c>
      <c r="K283" s="61">
        <f t="shared" si="4"/>
        <v>0</v>
      </c>
      <c r="L283" s="123">
        <v>0</v>
      </c>
    </row>
    <row r="284" spans="1:12" hidden="1" x14ac:dyDescent="0.25">
      <c r="A284" s="7">
        <v>283</v>
      </c>
      <c r="B284" s="152" t="s">
        <v>2809</v>
      </c>
      <c r="C284" s="153" t="s">
        <v>2810</v>
      </c>
      <c r="D284" s="153" t="s">
        <v>2811</v>
      </c>
      <c r="E284" s="153" t="s">
        <v>2126</v>
      </c>
      <c r="F284" s="6"/>
      <c r="G284" s="6"/>
      <c r="H284" s="85">
        <v>0</v>
      </c>
      <c r="I284" s="103">
        <f>IFERROR(VLOOKUP(B284,'July 2026-Recived'!$B$2:$H$1300,7,0),0)</f>
        <v>0</v>
      </c>
      <c r="J284" s="103">
        <f>IFERROR(VLOOKUP(B284,'July 2026- Dispatch'!$B$2:$H$1300,7,0),0)</f>
        <v>0</v>
      </c>
      <c r="K284" s="61">
        <f t="shared" si="4"/>
        <v>0</v>
      </c>
      <c r="L284" s="123">
        <v>0</v>
      </c>
    </row>
    <row r="285" spans="1:12" hidden="1" x14ac:dyDescent="0.25">
      <c r="A285" s="7">
        <v>284</v>
      </c>
      <c r="B285" s="152" t="s">
        <v>2812</v>
      </c>
      <c r="C285" s="153" t="s">
        <v>2813</v>
      </c>
      <c r="D285" s="153" t="s">
        <v>2814</v>
      </c>
      <c r="E285" s="153" t="s">
        <v>2126</v>
      </c>
      <c r="F285" s="6"/>
      <c r="G285" s="6"/>
      <c r="H285" s="85">
        <v>0</v>
      </c>
      <c r="I285" s="103">
        <f>IFERROR(VLOOKUP(B285,'July 2026-Recived'!$B$2:$H$1300,7,0),0)</f>
        <v>0</v>
      </c>
      <c r="J285" s="103">
        <f>IFERROR(VLOOKUP(B285,'July 2026- Dispatch'!$B$2:$H$1300,7,0),0)</f>
        <v>0</v>
      </c>
      <c r="K285" s="61">
        <f t="shared" si="4"/>
        <v>0</v>
      </c>
      <c r="L285" s="123">
        <v>0</v>
      </c>
    </row>
    <row r="286" spans="1:12" hidden="1" x14ac:dyDescent="0.25">
      <c r="A286" s="7">
        <v>285</v>
      </c>
      <c r="B286" s="152" t="s">
        <v>2815</v>
      </c>
      <c r="C286" s="153" t="s">
        <v>2816</v>
      </c>
      <c r="D286" s="153">
        <v>0</v>
      </c>
      <c r="E286" s="153" t="s">
        <v>2126</v>
      </c>
      <c r="F286" s="6"/>
      <c r="G286" s="6"/>
      <c r="H286" s="85">
        <v>0</v>
      </c>
      <c r="I286" s="103">
        <f>IFERROR(VLOOKUP(B286,'July 2026-Recived'!$B$2:$H$1300,7,0),0)</f>
        <v>0</v>
      </c>
      <c r="J286" s="103">
        <f>IFERROR(VLOOKUP(B286,'July 2026- Dispatch'!$B$2:$H$1300,7,0),0)</f>
        <v>0</v>
      </c>
      <c r="K286" s="61">
        <f t="shared" si="4"/>
        <v>0</v>
      </c>
      <c r="L286" s="123">
        <v>0</v>
      </c>
    </row>
    <row r="287" spans="1:12" hidden="1" x14ac:dyDescent="0.25">
      <c r="A287" s="7">
        <v>286</v>
      </c>
      <c r="B287" s="152" t="s">
        <v>2817</v>
      </c>
      <c r="C287" s="153" t="s">
        <v>2818</v>
      </c>
      <c r="D287" s="153">
        <v>0</v>
      </c>
      <c r="E287" s="153" t="s">
        <v>2126</v>
      </c>
      <c r="F287" s="6"/>
      <c r="G287" s="6"/>
      <c r="H287" s="85">
        <v>0</v>
      </c>
      <c r="I287" s="103">
        <f>IFERROR(VLOOKUP(B287,'July 2026-Recived'!$B$2:$H$1300,7,0),0)</f>
        <v>0</v>
      </c>
      <c r="J287" s="103">
        <f>IFERROR(VLOOKUP(B287,'July 2026- Dispatch'!$B$2:$H$1300,7,0),0)</f>
        <v>0</v>
      </c>
      <c r="K287" s="61">
        <f t="shared" si="4"/>
        <v>0</v>
      </c>
      <c r="L287" s="123">
        <v>0</v>
      </c>
    </row>
    <row r="288" spans="1:12" hidden="1" x14ac:dyDescent="0.25">
      <c r="A288" s="7">
        <v>287</v>
      </c>
      <c r="B288" s="152" t="s">
        <v>2819</v>
      </c>
      <c r="C288" s="153" t="s">
        <v>2820</v>
      </c>
      <c r="D288" s="153" t="s">
        <v>2821</v>
      </c>
      <c r="E288" s="153" t="s">
        <v>2126</v>
      </c>
      <c r="F288" s="6"/>
      <c r="G288" s="6"/>
      <c r="H288" s="85">
        <v>0</v>
      </c>
      <c r="I288" s="103">
        <f>IFERROR(VLOOKUP(B288,'July 2026-Recived'!$B$2:$H$1300,7,0),0)</f>
        <v>0</v>
      </c>
      <c r="J288" s="103">
        <f>IFERROR(VLOOKUP(B288,'July 2026- Dispatch'!$B$2:$H$1300,7,0),0)</f>
        <v>0</v>
      </c>
      <c r="K288" s="61">
        <f t="shared" si="4"/>
        <v>0</v>
      </c>
      <c r="L288" s="123">
        <v>0</v>
      </c>
    </row>
    <row r="289" spans="1:12" hidden="1" x14ac:dyDescent="0.25">
      <c r="A289" s="7">
        <v>288</v>
      </c>
      <c r="B289" s="152" t="s">
        <v>2822</v>
      </c>
      <c r="C289" s="153" t="s">
        <v>2823</v>
      </c>
      <c r="D289" s="153" t="s">
        <v>2824</v>
      </c>
      <c r="E289" s="153" t="s">
        <v>2126</v>
      </c>
      <c r="F289" s="6"/>
      <c r="G289" s="6"/>
      <c r="H289" s="85">
        <v>0</v>
      </c>
      <c r="I289" s="103">
        <f>IFERROR(VLOOKUP(B289,'July 2026-Recived'!$B$2:$H$1300,7,0),0)</f>
        <v>0</v>
      </c>
      <c r="J289" s="103">
        <f>IFERROR(VLOOKUP(B289,'July 2026- Dispatch'!$B$2:$H$1300,7,0),0)</f>
        <v>0</v>
      </c>
      <c r="K289" s="61">
        <f t="shared" si="4"/>
        <v>0</v>
      </c>
      <c r="L289" s="123">
        <v>0</v>
      </c>
    </row>
    <row r="290" spans="1:12" hidden="1" x14ac:dyDescent="0.25">
      <c r="A290" s="7">
        <v>289</v>
      </c>
      <c r="B290" s="152" t="s">
        <v>2825</v>
      </c>
      <c r="C290" s="153" t="s">
        <v>2826</v>
      </c>
      <c r="D290" s="153" t="s">
        <v>2827</v>
      </c>
      <c r="E290" s="153" t="s">
        <v>2126</v>
      </c>
      <c r="F290" s="6"/>
      <c r="G290" s="6"/>
      <c r="H290" s="85">
        <v>0</v>
      </c>
      <c r="I290" s="103">
        <f>IFERROR(VLOOKUP(B290,'July 2026-Recived'!$B$2:$H$1300,7,0),0)</f>
        <v>0</v>
      </c>
      <c r="J290" s="103">
        <f>IFERROR(VLOOKUP(B290,'July 2026- Dispatch'!$B$2:$H$1300,7,0),0)</f>
        <v>0</v>
      </c>
      <c r="K290" s="61">
        <f t="shared" si="4"/>
        <v>0</v>
      </c>
      <c r="L290" s="123">
        <v>0</v>
      </c>
    </row>
    <row r="291" spans="1:12" hidden="1" x14ac:dyDescent="0.25">
      <c r="A291" s="7">
        <v>290</v>
      </c>
      <c r="B291" s="152" t="s">
        <v>2828</v>
      </c>
      <c r="C291" s="153" t="s">
        <v>2829</v>
      </c>
      <c r="D291" s="153" t="s">
        <v>2830</v>
      </c>
      <c r="E291" s="153" t="s">
        <v>2126</v>
      </c>
      <c r="F291" s="6"/>
      <c r="G291" s="6"/>
      <c r="H291" s="85">
        <v>0</v>
      </c>
      <c r="I291" s="103">
        <f>IFERROR(VLOOKUP(B291,'July 2026-Recived'!$B$2:$H$1300,7,0),0)</f>
        <v>0</v>
      </c>
      <c r="J291" s="103">
        <f>IFERROR(VLOOKUP(B291,'July 2026- Dispatch'!$B$2:$H$1300,7,0),0)</f>
        <v>0</v>
      </c>
      <c r="K291" s="61">
        <f t="shared" si="4"/>
        <v>0</v>
      </c>
      <c r="L291" s="123">
        <v>0</v>
      </c>
    </row>
    <row r="292" spans="1:12" hidden="1" x14ac:dyDescent="0.25">
      <c r="A292" s="7">
        <v>291</v>
      </c>
      <c r="B292" s="152" t="s">
        <v>2831</v>
      </c>
      <c r="C292" s="153" t="s">
        <v>2832</v>
      </c>
      <c r="D292" s="153" t="s">
        <v>2833</v>
      </c>
      <c r="E292" s="153" t="s">
        <v>2126</v>
      </c>
      <c r="F292" s="6"/>
      <c r="G292" s="6"/>
      <c r="H292" s="85">
        <v>0</v>
      </c>
      <c r="I292" s="103">
        <f>IFERROR(VLOOKUP(B292,'July 2026-Recived'!$B$2:$H$1300,7,0),0)</f>
        <v>0</v>
      </c>
      <c r="J292" s="103">
        <f>IFERROR(VLOOKUP(B292,'July 2026- Dispatch'!$B$2:$H$1300,7,0),0)</f>
        <v>0</v>
      </c>
      <c r="K292" s="61">
        <f t="shared" si="4"/>
        <v>0</v>
      </c>
      <c r="L292" s="123">
        <v>0</v>
      </c>
    </row>
    <row r="293" spans="1:12" hidden="1" x14ac:dyDescent="0.25">
      <c r="A293" s="7">
        <v>292</v>
      </c>
      <c r="B293" s="152" t="s">
        <v>2834</v>
      </c>
      <c r="C293" s="153" t="s">
        <v>2835</v>
      </c>
      <c r="D293" s="153" t="s">
        <v>2836</v>
      </c>
      <c r="E293" s="153" t="s">
        <v>2126</v>
      </c>
      <c r="F293" s="6"/>
      <c r="G293" s="6"/>
      <c r="H293" s="85">
        <v>0</v>
      </c>
      <c r="I293" s="103">
        <f>IFERROR(VLOOKUP(B293,'July 2026-Recived'!$B$2:$H$1300,7,0),0)</f>
        <v>0</v>
      </c>
      <c r="J293" s="103">
        <f>IFERROR(VLOOKUP(B293,'July 2026- Dispatch'!$B$2:$H$1300,7,0),0)</f>
        <v>0</v>
      </c>
      <c r="K293" s="61">
        <f t="shared" si="4"/>
        <v>0</v>
      </c>
      <c r="L293" s="123">
        <v>0</v>
      </c>
    </row>
    <row r="294" spans="1:12" hidden="1" x14ac:dyDescent="0.25">
      <c r="A294" s="7">
        <v>293</v>
      </c>
      <c r="B294" s="152" t="s">
        <v>2837</v>
      </c>
      <c r="C294" s="153" t="s">
        <v>2838</v>
      </c>
      <c r="D294" s="153" t="s">
        <v>2839</v>
      </c>
      <c r="E294" s="153" t="s">
        <v>2126</v>
      </c>
      <c r="F294" s="6"/>
      <c r="G294" s="6"/>
      <c r="H294" s="85">
        <v>0</v>
      </c>
      <c r="I294" s="103">
        <f>IFERROR(VLOOKUP(B294,'July 2026-Recived'!$B$2:$H$1300,7,0),0)</f>
        <v>0</v>
      </c>
      <c r="J294" s="103">
        <f>IFERROR(VLOOKUP(B294,'July 2026- Dispatch'!$B$2:$H$1300,7,0),0)</f>
        <v>0</v>
      </c>
      <c r="K294" s="61">
        <f t="shared" si="4"/>
        <v>0</v>
      </c>
      <c r="L294" s="123">
        <v>0</v>
      </c>
    </row>
    <row r="295" spans="1:12" hidden="1" x14ac:dyDescent="0.25">
      <c r="A295" s="7">
        <v>294</v>
      </c>
      <c r="B295" s="152" t="s">
        <v>2840</v>
      </c>
      <c r="C295" s="153" t="s">
        <v>2841</v>
      </c>
      <c r="D295" s="153" t="s">
        <v>2842</v>
      </c>
      <c r="E295" s="153" t="s">
        <v>2126</v>
      </c>
      <c r="F295" s="6"/>
      <c r="G295" s="6"/>
      <c r="H295" s="85">
        <v>0</v>
      </c>
      <c r="I295" s="103">
        <f>IFERROR(VLOOKUP(B295,'July 2026-Recived'!$B$2:$H$1300,7,0),0)</f>
        <v>0</v>
      </c>
      <c r="J295" s="103">
        <f>IFERROR(VLOOKUP(B295,'July 2026- Dispatch'!$B$2:$H$1300,7,0),0)</f>
        <v>0</v>
      </c>
      <c r="K295" s="61">
        <f t="shared" si="4"/>
        <v>0</v>
      </c>
      <c r="L295" s="123">
        <v>0</v>
      </c>
    </row>
    <row r="296" spans="1:12" hidden="1" x14ac:dyDescent="0.25">
      <c r="A296" s="7">
        <v>295</v>
      </c>
      <c r="B296" s="152" t="s">
        <v>2843</v>
      </c>
      <c r="C296" s="153" t="s">
        <v>2844</v>
      </c>
      <c r="D296" s="153" t="s">
        <v>2845</v>
      </c>
      <c r="E296" s="153" t="s">
        <v>2126</v>
      </c>
      <c r="F296" s="6"/>
      <c r="G296" s="6"/>
      <c r="H296" s="85">
        <v>0</v>
      </c>
      <c r="I296" s="103">
        <f>IFERROR(VLOOKUP(B296,'July 2026-Recived'!$B$2:$H$1300,7,0),0)</f>
        <v>0</v>
      </c>
      <c r="J296" s="103">
        <f>IFERROR(VLOOKUP(B296,'July 2026- Dispatch'!$B$2:$H$1300,7,0),0)</f>
        <v>0</v>
      </c>
      <c r="K296" s="61">
        <f t="shared" si="4"/>
        <v>0</v>
      </c>
      <c r="L296" s="123">
        <v>0</v>
      </c>
    </row>
    <row r="297" spans="1:12" hidden="1" x14ac:dyDescent="0.25">
      <c r="A297" s="7">
        <v>296</v>
      </c>
      <c r="B297" s="152" t="s">
        <v>2846</v>
      </c>
      <c r="C297" s="153" t="s">
        <v>2847</v>
      </c>
      <c r="D297" s="153" t="s">
        <v>2848</v>
      </c>
      <c r="E297" s="153" t="s">
        <v>2126</v>
      </c>
      <c r="F297" s="6"/>
      <c r="G297" s="6"/>
      <c r="H297" s="85">
        <v>0</v>
      </c>
      <c r="I297" s="103">
        <f>IFERROR(VLOOKUP(B297,'July 2026-Recived'!$B$2:$H$1300,7,0),0)</f>
        <v>0</v>
      </c>
      <c r="J297" s="103">
        <f>IFERROR(VLOOKUP(B297,'July 2026- Dispatch'!$B$2:$H$1300,7,0),0)</f>
        <v>0</v>
      </c>
      <c r="K297" s="61">
        <f t="shared" si="4"/>
        <v>0</v>
      </c>
      <c r="L297" s="123">
        <v>0</v>
      </c>
    </row>
    <row r="298" spans="1:12" hidden="1" x14ac:dyDescent="0.25">
      <c r="A298" s="7">
        <v>297</v>
      </c>
      <c r="B298" s="152" t="s">
        <v>2849</v>
      </c>
      <c r="C298" s="153" t="s">
        <v>2850</v>
      </c>
      <c r="D298" s="153" t="s">
        <v>2851</v>
      </c>
      <c r="E298" s="153" t="s">
        <v>2126</v>
      </c>
      <c r="F298" s="6"/>
      <c r="G298" s="6"/>
      <c r="H298" s="85">
        <v>0</v>
      </c>
      <c r="I298" s="103">
        <f>IFERROR(VLOOKUP(B298,'July 2026-Recived'!$B$2:$H$1300,7,0),0)</f>
        <v>0</v>
      </c>
      <c r="J298" s="103">
        <f>IFERROR(VLOOKUP(B298,'July 2026- Dispatch'!$B$2:$H$1300,7,0),0)</f>
        <v>0</v>
      </c>
      <c r="K298" s="61">
        <f t="shared" si="4"/>
        <v>0</v>
      </c>
      <c r="L298" s="123">
        <v>0</v>
      </c>
    </row>
    <row r="299" spans="1:12" hidden="1" x14ac:dyDescent="0.25">
      <c r="A299" s="7">
        <v>298</v>
      </c>
      <c r="B299" s="152" t="s">
        <v>2852</v>
      </c>
      <c r="C299" s="153" t="s">
        <v>2853</v>
      </c>
      <c r="D299" s="153" t="s">
        <v>2854</v>
      </c>
      <c r="E299" s="153" t="s">
        <v>2126</v>
      </c>
      <c r="F299" s="6"/>
      <c r="G299" s="6"/>
      <c r="H299" s="85">
        <v>0</v>
      </c>
      <c r="I299" s="103">
        <f>IFERROR(VLOOKUP(B299,'July 2026-Recived'!$B$2:$H$1300,7,0),0)</f>
        <v>0</v>
      </c>
      <c r="J299" s="103">
        <f>IFERROR(VLOOKUP(B299,'July 2026- Dispatch'!$B$2:$H$1300,7,0),0)</f>
        <v>0</v>
      </c>
      <c r="K299" s="61">
        <f t="shared" si="4"/>
        <v>0</v>
      </c>
      <c r="L299" s="123">
        <v>0</v>
      </c>
    </row>
    <row r="300" spans="1:12" hidden="1" x14ac:dyDescent="0.25">
      <c r="A300" s="7">
        <v>299</v>
      </c>
      <c r="B300" s="152" t="s">
        <v>2855</v>
      </c>
      <c r="C300" s="153" t="s">
        <v>2856</v>
      </c>
      <c r="D300" s="153" t="s">
        <v>2857</v>
      </c>
      <c r="E300" s="153" t="s">
        <v>2126</v>
      </c>
      <c r="F300" s="6"/>
      <c r="G300" s="6"/>
      <c r="H300" s="85">
        <v>0</v>
      </c>
      <c r="I300" s="103">
        <f>IFERROR(VLOOKUP(B300,'July 2026-Recived'!$B$2:$H$1300,7,0),0)</f>
        <v>0</v>
      </c>
      <c r="J300" s="103">
        <f>IFERROR(VLOOKUP(B300,'July 2026- Dispatch'!$B$2:$H$1300,7,0),0)</f>
        <v>0</v>
      </c>
      <c r="K300" s="61">
        <f t="shared" si="4"/>
        <v>0</v>
      </c>
      <c r="L300" s="123">
        <v>0</v>
      </c>
    </row>
    <row r="301" spans="1:12" hidden="1" x14ac:dyDescent="0.25">
      <c r="A301" s="7">
        <v>300</v>
      </c>
      <c r="B301" s="152" t="s">
        <v>2858</v>
      </c>
      <c r="C301" s="153" t="s">
        <v>2859</v>
      </c>
      <c r="D301" s="153" t="s">
        <v>2860</v>
      </c>
      <c r="E301" s="153" t="s">
        <v>2126</v>
      </c>
      <c r="F301" s="6"/>
      <c r="G301" s="6"/>
      <c r="H301" s="85">
        <v>0</v>
      </c>
      <c r="I301" s="103">
        <f>IFERROR(VLOOKUP(B301,'July 2026-Recived'!$B$2:$H$1300,7,0),0)</f>
        <v>0</v>
      </c>
      <c r="J301" s="103">
        <f>IFERROR(VLOOKUP(B301,'July 2026- Dispatch'!$B$2:$H$1300,7,0),0)</f>
        <v>0</v>
      </c>
      <c r="K301" s="61">
        <f t="shared" si="4"/>
        <v>0</v>
      </c>
      <c r="L301" s="123">
        <v>0</v>
      </c>
    </row>
    <row r="302" spans="1:12" hidden="1" x14ac:dyDescent="0.25">
      <c r="A302" s="7">
        <v>301</v>
      </c>
      <c r="B302" s="152" t="s">
        <v>2861</v>
      </c>
      <c r="C302" s="153" t="s">
        <v>2862</v>
      </c>
      <c r="D302" s="153" t="s">
        <v>2863</v>
      </c>
      <c r="E302" s="153" t="s">
        <v>2126</v>
      </c>
      <c r="F302" s="6"/>
      <c r="G302" s="6"/>
      <c r="H302" s="85">
        <v>0</v>
      </c>
      <c r="I302" s="103">
        <f>IFERROR(VLOOKUP(B302,'July 2026-Recived'!$B$2:$H$1300,7,0),0)</f>
        <v>0</v>
      </c>
      <c r="J302" s="103">
        <f>IFERROR(VLOOKUP(B302,'July 2026- Dispatch'!$B$2:$H$1300,7,0),0)</f>
        <v>0</v>
      </c>
      <c r="K302" s="61">
        <f t="shared" si="4"/>
        <v>0</v>
      </c>
      <c r="L302" s="123">
        <v>0</v>
      </c>
    </row>
    <row r="303" spans="1:12" hidden="1" x14ac:dyDescent="0.25">
      <c r="A303" s="7">
        <v>302</v>
      </c>
      <c r="B303" s="152" t="s">
        <v>2864</v>
      </c>
      <c r="C303" s="153" t="s">
        <v>2865</v>
      </c>
      <c r="D303" s="153" t="s">
        <v>2866</v>
      </c>
      <c r="E303" s="153" t="s">
        <v>2126</v>
      </c>
      <c r="F303" s="6"/>
      <c r="G303" s="6"/>
      <c r="H303" s="85">
        <v>0</v>
      </c>
      <c r="I303" s="103">
        <f>IFERROR(VLOOKUP(B303,'July 2026-Recived'!$B$2:$H$1300,7,0),0)</f>
        <v>0</v>
      </c>
      <c r="J303" s="103">
        <f>IFERROR(VLOOKUP(B303,'July 2026- Dispatch'!$B$2:$H$1300,7,0),0)</f>
        <v>0</v>
      </c>
      <c r="K303" s="61">
        <f t="shared" si="4"/>
        <v>0</v>
      </c>
      <c r="L303" s="123">
        <v>0</v>
      </c>
    </row>
    <row r="304" spans="1:12" hidden="1" x14ac:dyDescent="0.25">
      <c r="A304" s="7">
        <v>303</v>
      </c>
      <c r="B304" s="152" t="s">
        <v>2867</v>
      </c>
      <c r="C304" s="153" t="s">
        <v>2868</v>
      </c>
      <c r="D304" s="153">
        <v>0</v>
      </c>
      <c r="E304" s="153" t="s">
        <v>2126</v>
      </c>
      <c r="F304" s="6"/>
      <c r="G304" s="6"/>
      <c r="H304" s="85">
        <v>0</v>
      </c>
      <c r="I304" s="103">
        <f>IFERROR(VLOOKUP(B304,'July 2026-Recived'!$B$2:$H$1300,7,0),0)</f>
        <v>0</v>
      </c>
      <c r="J304" s="103">
        <f>IFERROR(VLOOKUP(B304,'July 2026- Dispatch'!$B$2:$H$1300,7,0),0)</f>
        <v>0</v>
      </c>
      <c r="K304" s="61">
        <f t="shared" si="4"/>
        <v>0</v>
      </c>
      <c r="L304" s="123">
        <v>0</v>
      </c>
    </row>
    <row r="305" spans="1:14" hidden="1" x14ac:dyDescent="0.25">
      <c r="A305" s="7">
        <v>304</v>
      </c>
      <c r="B305" s="152" t="s">
        <v>2869</v>
      </c>
      <c r="C305" s="153" t="s">
        <v>2870</v>
      </c>
      <c r="D305" s="153" t="s">
        <v>2871</v>
      </c>
      <c r="E305" s="153" t="s">
        <v>2126</v>
      </c>
      <c r="F305" s="6"/>
      <c r="G305" s="6"/>
      <c r="H305" s="85">
        <v>0</v>
      </c>
      <c r="I305" s="103">
        <f>IFERROR(VLOOKUP(B305,'July 2026-Recived'!$B$2:$H$1300,7,0),0)</f>
        <v>0</v>
      </c>
      <c r="J305" s="103">
        <f>IFERROR(VLOOKUP(B305,'July 2026- Dispatch'!$B$2:$H$1300,7,0),0)</f>
        <v>0</v>
      </c>
      <c r="K305" s="61">
        <f t="shared" si="4"/>
        <v>0</v>
      </c>
      <c r="L305" s="123">
        <v>0</v>
      </c>
    </row>
    <row r="306" spans="1:14" hidden="1" x14ac:dyDescent="0.25">
      <c r="A306" s="7">
        <v>305</v>
      </c>
      <c r="B306" s="152" t="s">
        <v>2872</v>
      </c>
      <c r="C306" s="153" t="s">
        <v>2873</v>
      </c>
      <c r="D306" s="153" t="s">
        <v>2874</v>
      </c>
      <c r="E306" s="153" t="s">
        <v>2126</v>
      </c>
      <c r="F306" s="6"/>
      <c r="G306" s="6"/>
      <c r="H306" s="85">
        <v>0</v>
      </c>
      <c r="I306" s="103">
        <f>IFERROR(VLOOKUP(B306,'July 2026-Recived'!$B$2:$H$1300,7,0),0)</f>
        <v>0</v>
      </c>
      <c r="J306" s="103">
        <f>IFERROR(VLOOKUP(B306,'July 2026- Dispatch'!$B$2:$H$1300,7,0),0)</f>
        <v>0</v>
      </c>
      <c r="K306" s="61">
        <f t="shared" si="4"/>
        <v>0</v>
      </c>
      <c r="L306" s="123">
        <v>0</v>
      </c>
    </row>
    <row r="307" spans="1:14" hidden="1" x14ac:dyDescent="0.25">
      <c r="A307" s="7">
        <v>306</v>
      </c>
      <c r="B307" s="152" t="s">
        <v>2875</v>
      </c>
      <c r="C307" s="153" t="s">
        <v>2876</v>
      </c>
      <c r="D307" s="153" t="s">
        <v>2877</v>
      </c>
      <c r="E307" s="153" t="s">
        <v>2126</v>
      </c>
      <c r="F307" s="6"/>
      <c r="G307" s="6"/>
      <c r="H307" s="85">
        <v>0</v>
      </c>
      <c r="I307" s="103">
        <f>IFERROR(VLOOKUP(B307,'July 2026-Recived'!$B$2:$H$1300,7,0),0)</f>
        <v>0</v>
      </c>
      <c r="J307" s="103">
        <f>IFERROR(VLOOKUP(B307,'July 2026- Dispatch'!$B$2:$H$1300,7,0),0)</f>
        <v>0</v>
      </c>
      <c r="K307" s="61">
        <f t="shared" si="4"/>
        <v>0</v>
      </c>
      <c r="L307" s="123">
        <v>0</v>
      </c>
    </row>
    <row r="308" spans="1:14" hidden="1" x14ac:dyDescent="0.25">
      <c r="A308" s="7">
        <v>307</v>
      </c>
      <c r="B308" s="152" t="s">
        <v>2878</v>
      </c>
      <c r="C308" s="153" t="s">
        <v>2879</v>
      </c>
      <c r="D308" s="153" t="s">
        <v>2880</v>
      </c>
      <c r="E308" s="153" t="s">
        <v>2126</v>
      </c>
      <c r="F308" s="6"/>
      <c r="G308" s="6"/>
      <c r="H308" s="85">
        <v>0</v>
      </c>
      <c r="I308" s="103">
        <f>IFERROR(VLOOKUP(B308,'July 2026-Recived'!$B$2:$H$1300,7,0),0)</f>
        <v>0</v>
      </c>
      <c r="J308" s="103">
        <f>IFERROR(VLOOKUP(B308,'July 2026- Dispatch'!$B$2:$H$1300,7,0),0)</f>
        <v>0</v>
      </c>
      <c r="K308" s="61">
        <f t="shared" si="4"/>
        <v>0</v>
      </c>
      <c r="L308" s="123">
        <v>0</v>
      </c>
    </row>
    <row r="309" spans="1:14" hidden="1" x14ac:dyDescent="0.25">
      <c r="A309" s="7">
        <v>308</v>
      </c>
      <c r="B309" s="152" t="s">
        <v>2881</v>
      </c>
      <c r="C309" s="153" t="s">
        <v>2882</v>
      </c>
      <c r="D309" s="153" t="s">
        <v>2883</v>
      </c>
      <c r="E309" s="153" t="s">
        <v>2126</v>
      </c>
      <c r="F309" s="6"/>
      <c r="G309" s="6"/>
      <c r="H309" s="85">
        <v>0</v>
      </c>
      <c r="I309" s="103">
        <f>IFERROR(VLOOKUP(B309,'July 2026-Recived'!$B$2:$H$1300,7,0),0)</f>
        <v>0</v>
      </c>
      <c r="J309" s="103">
        <f>IFERROR(VLOOKUP(B309,'July 2026- Dispatch'!$B$2:$H$1300,7,0),0)</f>
        <v>0</v>
      </c>
      <c r="K309" s="61">
        <f t="shared" si="4"/>
        <v>0</v>
      </c>
      <c r="L309" s="123">
        <v>0</v>
      </c>
    </row>
    <row r="310" spans="1:14" hidden="1" x14ac:dyDescent="0.25">
      <c r="A310" s="7">
        <v>309</v>
      </c>
      <c r="B310" s="152" t="s">
        <v>2884</v>
      </c>
      <c r="C310" s="153" t="s">
        <v>2885</v>
      </c>
      <c r="D310" s="153" t="s">
        <v>2886</v>
      </c>
      <c r="E310" s="153" t="s">
        <v>2126</v>
      </c>
      <c r="F310" s="6"/>
      <c r="G310" s="6"/>
      <c r="H310" s="85">
        <v>0</v>
      </c>
      <c r="I310" s="103">
        <f>IFERROR(VLOOKUP(B310,'July 2026-Recived'!$B$2:$H$1300,7,0),0)</f>
        <v>0</v>
      </c>
      <c r="J310" s="103">
        <f>IFERROR(VLOOKUP(B310,'July 2026- Dispatch'!$B$2:$H$1300,7,0),0)</f>
        <v>0</v>
      </c>
      <c r="K310" s="61">
        <f t="shared" si="4"/>
        <v>0</v>
      </c>
      <c r="L310" s="123">
        <v>0</v>
      </c>
    </row>
    <row r="311" spans="1:14" hidden="1" x14ac:dyDescent="0.25">
      <c r="A311" s="7">
        <v>310</v>
      </c>
      <c r="B311" s="152" t="s">
        <v>2887</v>
      </c>
      <c r="C311" s="153" t="s">
        <v>2888</v>
      </c>
      <c r="D311" s="153" t="s">
        <v>2889</v>
      </c>
      <c r="E311" s="153" t="s">
        <v>2126</v>
      </c>
      <c r="F311" s="6"/>
      <c r="G311" s="6"/>
      <c r="H311" s="85">
        <v>0</v>
      </c>
      <c r="I311" s="103">
        <f>IFERROR(VLOOKUP(B311,'July 2026-Recived'!$B$2:$H$1300,7,0),0)</f>
        <v>0</v>
      </c>
      <c r="J311" s="103">
        <f>IFERROR(VLOOKUP(B311,'July 2026- Dispatch'!$B$2:$H$1300,7,0),0)</f>
        <v>0</v>
      </c>
      <c r="K311" s="61">
        <f t="shared" si="4"/>
        <v>0</v>
      </c>
      <c r="L311" s="123">
        <v>0</v>
      </c>
    </row>
    <row r="312" spans="1:14" hidden="1" x14ac:dyDescent="0.25">
      <c r="A312" s="7">
        <v>311</v>
      </c>
      <c r="B312" s="152" t="s">
        <v>2890</v>
      </c>
      <c r="C312" s="153" t="s">
        <v>2891</v>
      </c>
      <c r="D312" s="153" t="s">
        <v>2892</v>
      </c>
      <c r="E312" s="153" t="s">
        <v>2126</v>
      </c>
      <c r="F312" s="6"/>
      <c r="G312" s="6"/>
      <c r="H312" s="85">
        <v>0</v>
      </c>
      <c r="I312" s="103">
        <f>IFERROR(VLOOKUP(B312,'July 2026-Recived'!$B$2:$H$1300,7,0),0)</f>
        <v>0</v>
      </c>
      <c r="J312" s="103">
        <f>IFERROR(VLOOKUP(B312,'July 2026- Dispatch'!$B$2:$H$1300,7,0),0)</f>
        <v>0</v>
      </c>
      <c r="K312" s="61">
        <f>H312+I312-J312</f>
        <v>0</v>
      </c>
      <c r="L312" s="123">
        <v>0</v>
      </c>
      <c r="N312" s="104"/>
    </row>
    <row r="313" spans="1:14" hidden="1" x14ac:dyDescent="0.25">
      <c r="A313" s="7">
        <v>312</v>
      </c>
      <c r="B313" s="152" t="s">
        <v>2893</v>
      </c>
      <c r="C313" s="153" t="s">
        <v>2894</v>
      </c>
      <c r="D313" s="153" t="s">
        <v>2895</v>
      </c>
      <c r="E313" s="153" t="s">
        <v>2126</v>
      </c>
      <c r="F313" s="6"/>
      <c r="G313" s="6"/>
      <c r="H313" s="85">
        <v>0</v>
      </c>
      <c r="I313" s="103">
        <f>IFERROR(VLOOKUP(B313,'July 2026-Recived'!$B$2:$H$1300,7,0),0)</f>
        <v>0</v>
      </c>
      <c r="J313" s="103">
        <f>IFERROR(VLOOKUP(B313,'July 2026- Dispatch'!$B$2:$H$1300,7,0),0)</f>
        <v>0</v>
      </c>
      <c r="K313" s="61">
        <f>H313+I313-J313</f>
        <v>0</v>
      </c>
      <c r="L313" s="123">
        <v>0</v>
      </c>
    </row>
    <row r="314" spans="1:14" hidden="1" x14ac:dyDescent="0.25">
      <c r="A314" s="7">
        <v>313</v>
      </c>
      <c r="B314" s="152" t="s">
        <v>2896</v>
      </c>
      <c r="C314" s="153" t="s">
        <v>2897</v>
      </c>
      <c r="D314" s="153" t="s">
        <v>2898</v>
      </c>
      <c r="E314" s="153" t="s">
        <v>2126</v>
      </c>
      <c r="F314" s="6"/>
      <c r="G314" s="6"/>
      <c r="H314" s="85">
        <v>0</v>
      </c>
      <c r="I314" s="103">
        <f>IFERROR(VLOOKUP(B314,'July 2026-Recived'!$B$2:$H$1300,7,0),0)</f>
        <v>0</v>
      </c>
      <c r="J314" s="103">
        <f>IFERROR(VLOOKUP(B314,'July 2026- Dispatch'!$B$2:$H$1300,7,0),0)</f>
        <v>0</v>
      </c>
      <c r="K314" s="61">
        <f t="shared" si="4"/>
        <v>0</v>
      </c>
      <c r="L314" s="123">
        <v>0</v>
      </c>
    </row>
    <row r="315" spans="1:14" hidden="1" x14ac:dyDescent="0.25">
      <c r="A315" s="7">
        <v>314</v>
      </c>
      <c r="B315" s="155" t="s">
        <v>695</v>
      </c>
      <c r="C315" s="156" t="s">
        <v>2899</v>
      </c>
      <c r="D315" s="156" t="s">
        <v>2900</v>
      </c>
      <c r="E315" s="153" t="s">
        <v>2135</v>
      </c>
      <c r="F315" s="6"/>
      <c r="G315" s="6"/>
      <c r="H315" s="85">
        <v>50</v>
      </c>
      <c r="I315" s="103">
        <f>IFERROR(VLOOKUP(B315,'July 2026-Recived'!$B$2:$H$1300,7,0),0)</f>
        <v>750</v>
      </c>
      <c r="J315" s="103">
        <f>IFERROR(VLOOKUP(B315,'July 2026- Dispatch'!$B$2:$H$1300,7,0),0)</f>
        <v>655</v>
      </c>
      <c r="K315" s="61">
        <f t="shared" si="4"/>
        <v>145</v>
      </c>
      <c r="L315" s="123">
        <v>0</v>
      </c>
    </row>
    <row r="316" spans="1:14" hidden="1" x14ac:dyDescent="0.25">
      <c r="A316" s="7">
        <v>315</v>
      </c>
      <c r="B316" s="152" t="s">
        <v>1619</v>
      </c>
      <c r="C316" s="153" t="s">
        <v>2901</v>
      </c>
      <c r="D316" s="153" t="s">
        <v>2902</v>
      </c>
      <c r="E316" s="153" t="s">
        <v>2086</v>
      </c>
      <c r="F316" s="6"/>
      <c r="G316" s="6"/>
      <c r="H316" s="85">
        <v>24000</v>
      </c>
      <c r="I316" s="103">
        <f>IFERROR(VLOOKUP(B316,'July 2026-Recived'!$B$2:$H$1300,7,0),0)</f>
        <v>0</v>
      </c>
      <c r="J316" s="103">
        <f>IFERROR(VLOOKUP(B316,'July 2026- Dispatch'!$B$2:$H$1300,7,0),0)</f>
        <v>16000</v>
      </c>
      <c r="K316" s="61">
        <f t="shared" si="4"/>
        <v>8000</v>
      </c>
      <c r="L316" s="123">
        <v>0</v>
      </c>
    </row>
    <row r="317" spans="1:14" hidden="1" x14ac:dyDescent="0.25">
      <c r="A317" s="7">
        <v>316</v>
      </c>
      <c r="B317" s="152" t="s">
        <v>1621</v>
      </c>
      <c r="C317" s="153" t="s">
        <v>2903</v>
      </c>
      <c r="D317" s="153" t="s">
        <v>2904</v>
      </c>
      <c r="E317" s="153" t="s">
        <v>2083</v>
      </c>
      <c r="F317" s="6"/>
      <c r="G317" s="6"/>
      <c r="H317" s="85">
        <v>0</v>
      </c>
      <c r="I317" s="103">
        <f>IFERROR(VLOOKUP(B317,'July 2026-Recived'!$B$2:$H$1300,7,0),0)</f>
        <v>0</v>
      </c>
      <c r="J317" s="103">
        <f>IFERROR(VLOOKUP(B317,'July 2026- Dispatch'!$B$2:$H$1300,7,0),0)</f>
        <v>0</v>
      </c>
      <c r="K317" s="61">
        <f t="shared" si="4"/>
        <v>0</v>
      </c>
      <c r="L317" s="123">
        <v>0</v>
      </c>
    </row>
    <row r="318" spans="1:14" hidden="1" x14ac:dyDescent="0.25">
      <c r="A318" s="7">
        <v>317</v>
      </c>
      <c r="B318" s="152" t="s">
        <v>1266</v>
      </c>
      <c r="C318" s="153" t="s">
        <v>2905</v>
      </c>
      <c r="D318" s="153" t="s">
        <v>2906</v>
      </c>
      <c r="E318" s="153" t="s">
        <v>2086</v>
      </c>
      <c r="F318" s="6"/>
      <c r="G318" s="6"/>
      <c r="H318" s="85">
        <v>88400</v>
      </c>
      <c r="I318" s="103">
        <f>IFERROR(VLOOKUP(B318,'July 2026-Recived'!$B$2:$H$1300,7,0),0)</f>
        <v>30000</v>
      </c>
      <c r="J318" s="103">
        <f>IFERROR(VLOOKUP(B318,'July 2026- Dispatch'!$B$2:$H$1300,7,0),0)</f>
        <v>7900</v>
      </c>
      <c r="K318" s="61">
        <f t="shared" si="4"/>
        <v>110500</v>
      </c>
      <c r="L318" s="123">
        <v>0</v>
      </c>
    </row>
    <row r="319" spans="1:14" hidden="1" x14ac:dyDescent="0.25">
      <c r="A319" s="7">
        <v>318</v>
      </c>
      <c r="B319" s="152" t="s">
        <v>1628</v>
      </c>
      <c r="C319" s="153" t="s">
        <v>2907</v>
      </c>
      <c r="D319" s="153" t="s">
        <v>2908</v>
      </c>
      <c r="E319" s="153" t="s">
        <v>2083</v>
      </c>
      <c r="F319" s="6"/>
      <c r="G319" s="6"/>
      <c r="H319" s="85">
        <v>0</v>
      </c>
      <c r="I319" s="103">
        <f>IFERROR(VLOOKUP(B319,'July 2026-Recived'!$B$2:$H$1300,7,0),0)</f>
        <v>0</v>
      </c>
      <c r="J319" s="103">
        <f>IFERROR(VLOOKUP(B319,'July 2026- Dispatch'!$B$2:$H$1300,7,0),0)</f>
        <v>0</v>
      </c>
      <c r="K319" s="61">
        <f t="shared" si="4"/>
        <v>0</v>
      </c>
      <c r="L319" s="123">
        <v>0</v>
      </c>
    </row>
    <row r="320" spans="1:14" hidden="1" x14ac:dyDescent="0.25">
      <c r="A320" s="7">
        <v>319</v>
      </c>
      <c r="B320" s="152" t="s">
        <v>974</v>
      </c>
      <c r="C320" s="153" t="s">
        <v>2909</v>
      </c>
      <c r="D320" s="153" t="s">
        <v>2910</v>
      </c>
      <c r="E320" s="153" t="s">
        <v>2086</v>
      </c>
      <c r="F320" s="6"/>
      <c r="G320" s="6"/>
      <c r="H320" s="85">
        <v>16000</v>
      </c>
      <c r="I320" s="103">
        <f>IFERROR(VLOOKUP(B320,'July 2026-Recived'!$B$2:$H$1300,7,0),0)</f>
        <v>23000</v>
      </c>
      <c r="J320" s="103">
        <f>IFERROR(VLOOKUP(B320,'July 2026- Dispatch'!$B$2:$H$1300,7,0),0)</f>
        <v>0</v>
      </c>
      <c r="K320" s="61">
        <f t="shared" si="4"/>
        <v>39000</v>
      </c>
      <c r="L320" s="123">
        <v>0</v>
      </c>
    </row>
    <row r="321" spans="1:12" hidden="1" x14ac:dyDescent="0.25">
      <c r="A321" s="7">
        <v>320</v>
      </c>
      <c r="B321" s="152" t="s">
        <v>956</v>
      </c>
      <c r="C321" s="153" t="s">
        <v>2911</v>
      </c>
      <c r="D321" s="153" t="s">
        <v>2912</v>
      </c>
      <c r="E321" s="153" t="s">
        <v>2083</v>
      </c>
      <c r="F321" s="6"/>
      <c r="G321" s="6"/>
      <c r="H321" s="85">
        <v>0</v>
      </c>
      <c r="I321" s="103">
        <f>IFERROR(VLOOKUP(B321,'July 2026-Recived'!$B$2:$H$1300,7,0),0)</f>
        <v>80500</v>
      </c>
      <c r="J321" s="103">
        <f>IFERROR(VLOOKUP(B321,'July 2026- Dispatch'!$B$2:$H$1300,7,0),0)</f>
        <v>5000</v>
      </c>
      <c r="K321" s="61">
        <f t="shared" si="4"/>
        <v>75500</v>
      </c>
      <c r="L321" s="123">
        <v>0</v>
      </c>
    </row>
    <row r="322" spans="1:12" hidden="1" x14ac:dyDescent="0.25">
      <c r="A322" s="7">
        <v>321</v>
      </c>
      <c r="B322" s="155" t="s">
        <v>2054</v>
      </c>
      <c r="C322" s="156" t="s">
        <v>2913</v>
      </c>
      <c r="D322" s="156" t="s">
        <v>2914</v>
      </c>
      <c r="E322" s="153" t="s">
        <v>2083</v>
      </c>
      <c r="F322" s="6"/>
      <c r="G322" s="6"/>
      <c r="H322" s="85">
        <v>0</v>
      </c>
      <c r="I322" s="103">
        <f>IFERROR(VLOOKUP(B322,'July 2026-Recived'!$B$2:$H$1300,7,0),0)</f>
        <v>5000</v>
      </c>
      <c r="J322" s="103">
        <f>IFERROR(VLOOKUP(B322,'July 2026- Dispatch'!$B$2:$H$1300,7,0),0)</f>
        <v>5000</v>
      </c>
      <c r="K322" s="61">
        <f t="shared" ref="K322:K385" si="5">H322+I322-J322</f>
        <v>0</v>
      </c>
      <c r="L322" s="123">
        <v>0</v>
      </c>
    </row>
    <row r="323" spans="1:12" hidden="1" x14ac:dyDescent="0.25">
      <c r="A323" s="7">
        <v>322</v>
      </c>
      <c r="B323" s="155" t="s">
        <v>2052</v>
      </c>
      <c r="C323" s="156" t="s">
        <v>2915</v>
      </c>
      <c r="D323" s="156" t="s">
        <v>2916</v>
      </c>
      <c r="E323" s="153" t="s">
        <v>2083</v>
      </c>
      <c r="F323" s="6"/>
      <c r="G323" s="6"/>
      <c r="H323" s="85">
        <v>0</v>
      </c>
      <c r="I323" s="103">
        <f>IFERROR(VLOOKUP(B323,'July 2026-Recived'!$B$2:$H$1300,7,0),0)</f>
        <v>10000</v>
      </c>
      <c r="J323" s="103">
        <f>IFERROR(VLOOKUP(B323,'July 2026- Dispatch'!$B$2:$H$1300,7,0),0)</f>
        <v>5000</v>
      </c>
      <c r="K323" s="61">
        <f t="shared" si="5"/>
        <v>5000</v>
      </c>
      <c r="L323" s="123">
        <v>0</v>
      </c>
    </row>
    <row r="324" spans="1:12" hidden="1" x14ac:dyDescent="0.25">
      <c r="A324" s="7">
        <v>323</v>
      </c>
      <c r="B324" s="152" t="s">
        <v>2917</v>
      </c>
      <c r="C324" s="153" t="s">
        <v>2918</v>
      </c>
      <c r="D324" s="153" t="s">
        <v>2919</v>
      </c>
      <c r="E324" s="153" t="s">
        <v>2083</v>
      </c>
      <c r="F324" s="6"/>
      <c r="G324" s="6"/>
      <c r="H324" s="85">
        <v>0</v>
      </c>
      <c r="I324" s="103">
        <f>IFERROR(VLOOKUP(B324,'July 2026-Recived'!$B$2:$H$1300,7,0),0)</f>
        <v>30000</v>
      </c>
      <c r="J324" s="103">
        <f>IFERROR(VLOOKUP(B324,'July 2026- Dispatch'!$B$2:$H$1300,7,0),0)</f>
        <v>0</v>
      </c>
      <c r="K324" s="61">
        <f t="shared" si="5"/>
        <v>30000</v>
      </c>
      <c r="L324" s="123">
        <v>0</v>
      </c>
    </row>
    <row r="325" spans="1:12" hidden="1" x14ac:dyDescent="0.25">
      <c r="A325" s="7">
        <v>324</v>
      </c>
      <c r="B325" s="152" t="s">
        <v>1626</v>
      </c>
      <c r="C325" s="153" t="s">
        <v>2920</v>
      </c>
      <c r="D325" s="153" t="s">
        <v>2921</v>
      </c>
      <c r="E325" s="153" t="s">
        <v>2086</v>
      </c>
      <c r="F325" s="6"/>
      <c r="G325" s="6"/>
      <c r="H325" s="85">
        <v>50500</v>
      </c>
      <c r="I325" s="103">
        <f>IFERROR(VLOOKUP(B325,'July 2026-Recived'!$B$2:$H$1300,7,0),0)</f>
        <v>0</v>
      </c>
      <c r="J325" s="103">
        <f>IFERROR(VLOOKUP(B325,'July 2026- Dispatch'!$B$2:$H$1300,7,0),0)</f>
        <v>0</v>
      </c>
      <c r="K325" s="61">
        <f t="shared" si="5"/>
        <v>50500</v>
      </c>
      <c r="L325" s="123">
        <v>0</v>
      </c>
    </row>
    <row r="326" spans="1:12" hidden="1" x14ac:dyDescent="0.25">
      <c r="A326" s="7">
        <v>325</v>
      </c>
      <c r="B326" s="152" t="s">
        <v>1363</v>
      </c>
      <c r="C326" s="153" t="s">
        <v>2922</v>
      </c>
      <c r="D326" s="153" t="s">
        <v>2923</v>
      </c>
      <c r="E326" s="153" t="s">
        <v>2086</v>
      </c>
      <c r="F326" s="6"/>
      <c r="G326" s="6"/>
      <c r="H326" s="85">
        <v>5000</v>
      </c>
      <c r="I326" s="103">
        <f>IFERROR(VLOOKUP(B326,'July 2026-Recived'!$B$2:$H$1300,7,0),0)</f>
        <v>0</v>
      </c>
      <c r="J326" s="103">
        <f>IFERROR(VLOOKUP(B326,'July 2026- Dispatch'!$B$2:$H$1300,7,0),0)</f>
        <v>5</v>
      </c>
      <c r="K326" s="61">
        <f t="shared" si="5"/>
        <v>4995</v>
      </c>
      <c r="L326" s="123">
        <v>0</v>
      </c>
    </row>
    <row r="327" spans="1:12" hidden="1" x14ac:dyDescent="0.25">
      <c r="A327" s="7">
        <v>326</v>
      </c>
      <c r="B327" s="152" t="s">
        <v>1339</v>
      </c>
      <c r="C327" s="153" t="s">
        <v>2924</v>
      </c>
      <c r="D327" s="153" t="s">
        <v>2925</v>
      </c>
      <c r="E327" s="153" t="s">
        <v>2086</v>
      </c>
      <c r="F327" s="6"/>
      <c r="G327" s="6"/>
      <c r="H327" s="85">
        <v>8500</v>
      </c>
      <c r="I327" s="103">
        <f>IFERROR(VLOOKUP(B327,'July 2026-Recived'!$B$2:$H$1300,7,0),0)</f>
        <v>0</v>
      </c>
      <c r="J327" s="103">
        <f>IFERROR(VLOOKUP(B327,'July 2026- Dispatch'!$B$2:$H$1300,7,0),0)</f>
        <v>5</v>
      </c>
      <c r="K327" s="61">
        <f t="shared" si="5"/>
        <v>8495</v>
      </c>
      <c r="L327" s="123">
        <v>0</v>
      </c>
    </row>
    <row r="328" spans="1:12" hidden="1" x14ac:dyDescent="0.25">
      <c r="A328" s="7">
        <v>327</v>
      </c>
      <c r="B328" s="152" t="s">
        <v>1371</v>
      </c>
      <c r="C328" s="153" t="s">
        <v>2926</v>
      </c>
      <c r="D328" s="153" t="s">
        <v>2927</v>
      </c>
      <c r="E328" s="153" t="s">
        <v>2086</v>
      </c>
      <c r="F328" s="6"/>
      <c r="G328" s="6"/>
      <c r="H328" s="85">
        <v>10500</v>
      </c>
      <c r="I328" s="103">
        <f>IFERROR(VLOOKUP(B328,'July 2026-Recived'!$B$2:$H$1300,7,0),0)</f>
        <v>0</v>
      </c>
      <c r="J328" s="103">
        <f>IFERROR(VLOOKUP(B328,'July 2026- Dispatch'!$B$2:$H$1300,7,0),0)</f>
        <v>5</v>
      </c>
      <c r="K328" s="61">
        <f t="shared" si="5"/>
        <v>10495</v>
      </c>
      <c r="L328" s="123">
        <v>0</v>
      </c>
    </row>
    <row r="329" spans="1:12" hidden="1" x14ac:dyDescent="0.25">
      <c r="A329" s="7">
        <v>328</v>
      </c>
      <c r="B329" s="152" t="s">
        <v>1117</v>
      </c>
      <c r="C329" s="153" t="s">
        <v>2928</v>
      </c>
      <c r="D329" s="153" t="s">
        <v>2929</v>
      </c>
      <c r="E329" s="153" t="s">
        <v>2086</v>
      </c>
      <c r="F329" s="6"/>
      <c r="G329" s="6"/>
      <c r="H329" s="85">
        <v>372400</v>
      </c>
      <c r="I329" s="103">
        <f>IFERROR(VLOOKUP(B329,'July 2026-Recived'!$B$2:$H$1300,7,0),0)</f>
        <v>0</v>
      </c>
      <c r="J329" s="103">
        <f>IFERROR(VLOOKUP(B329,'July 2026- Dispatch'!$B$2:$H$1300,7,0),0)</f>
        <v>30400</v>
      </c>
      <c r="K329" s="61">
        <f t="shared" si="5"/>
        <v>342000</v>
      </c>
      <c r="L329" s="123">
        <v>0</v>
      </c>
    </row>
    <row r="330" spans="1:12" hidden="1" x14ac:dyDescent="0.25">
      <c r="A330" s="7">
        <v>329</v>
      </c>
      <c r="B330" s="152" t="s">
        <v>2930</v>
      </c>
      <c r="C330" s="153" t="s">
        <v>2931</v>
      </c>
      <c r="D330" s="153" t="s">
        <v>2932</v>
      </c>
      <c r="E330" s="153" t="s">
        <v>2086</v>
      </c>
      <c r="F330" s="6"/>
      <c r="G330" s="6"/>
      <c r="H330" s="85">
        <v>278400</v>
      </c>
      <c r="I330" s="103">
        <f>IFERROR(VLOOKUP(B330,'July 2026-Recived'!$B$2:$H$1300,7,0),0)</f>
        <v>0</v>
      </c>
      <c r="J330" s="103">
        <f>IFERROR(VLOOKUP(B330,'July 2026- Dispatch'!$B$2:$H$1300,7,0),0)</f>
        <v>6000</v>
      </c>
      <c r="K330" s="61">
        <f t="shared" si="5"/>
        <v>272400</v>
      </c>
      <c r="L330" s="123">
        <v>0</v>
      </c>
    </row>
    <row r="331" spans="1:12" hidden="1" x14ac:dyDescent="0.25">
      <c r="A331" s="7">
        <v>330</v>
      </c>
      <c r="B331" s="152" t="s">
        <v>774</v>
      </c>
      <c r="C331" s="153" t="s">
        <v>2933</v>
      </c>
      <c r="D331" s="153" t="s">
        <v>2934</v>
      </c>
      <c r="E331" s="153" t="s">
        <v>2086</v>
      </c>
      <c r="F331" s="6"/>
      <c r="G331" s="6"/>
      <c r="H331" s="85">
        <v>14000</v>
      </c>
      <c r="I331" s="103">
        <f>IFERROR(VLOOKUP(B331,'July 2026-Recived'!$B$2:$H$1300,7,0),0)</f>
        <v>59600</v>
      </c>
      <c r="J331" s="103">
        <f>IFERROR(VLOOKUP(B331,'July 2026- Dispatch'!$B$2:$H$1300,7,0),0)</f>
        <v>8000</v>
      </c>
      <c r="K331" s="61">
        <f t="shared" si="5"/>
        <v>65600</v>
      </c>
      <c r="L331" s="123">
        <v>0</v>
      </c>
    </row>
    <row r="332" spans="1:12" hidden="1" x14ac:dyDescent="0.25">
      <c r="A332" s="7">
        <v>331</v>
      </c>
      <c r="B332" s="155" t="s">
        <v>2935</v>
      </c>
      <c r="C332" s="156" t="s">
        <v>2936</v>
      </c>
      <c r="D332" s="156" t="s">
        <v>2937</v>
      </c>
      <c r="E332" s="153" t="s">
        <v>2083</v>
      </c>
      <c r="F332" s="6"/>
      <c r="G332" s="6"/>
      <c r="H332" s="85">
        <v>0</v>
      </c>
      <c r="I332" s="103">
        <f>IFERROR(VLOOKUP(B332,'July 2026-Recived'!$B$2:$H$1300,7,0),0)</f>
        <v>0</v>
      </c>
      <c r="J332" s="103">
        <f>IFERROR(VLOOKUP(B332,'July 2026- Dispatch'!$B$2:$H$1300,7,0),0)</f>
        <v>0</v>
      </c>
      <c r="K332" s="61">
        <f t="shared" si="5"/>
        <v>0</v>
      </c>
      <c r="L332" s="123">
        <v>0</v>
      </c>
    </row>
    <row r="333" spans="1:12" hidden="1" x14ac:dyDescent="0.25">
      <c r="A333" s="7">
        <v>332</v>
      </c>
      <c r="B333" s="152" t="s">
        <v>224</v>
      </c>
      <c r="C333" s="153" t="s">
        <v>2938</v>
      </c>
      <c r="D333" s="153" t="s">
        <v>2939</v>
      </c>
      <c r="E333" s="153" t="s">
        <v>2086</v>
      </c>
      <c r="F333" s="6"/>
      <c r="G333" s="6"/>
      <c r="H333" s="85">
        <v>170</v>
      </c>
      <c r="I333" s="103">
        <f>IFERROR(VLOOKUP(B333,'July 2026-Recived'!$B$2:$H$1300,7,0),0)</f>
        <v>0</v>
      </c>
      <c r="J333" s="103">
        <f>IFERROR(VLOOKUP(B333,'July 2026- Dispatch'!$B$2:$H$1300,7,0),0)</f>
        <v>0</v>
      </c>
      <c r="K333" s="61">
        <f t="shared" si="5"/>
        <v>170</v>
      </c>
      <c r="L333" s="123">
        <v>0</v>
      </c>
    </row>
    <row r="334" spans="1:12" hidden="1" x14ac:dyDescent="0.25">
      <c r="A334" s="7">
        <v>333</v>
      </c>
      <c r="B334" s="152" t="s">
        <v>206</v>
      </c>
      <c r="C334" s="153" t="s">
        <v>2940</v>
      </c>
      <c r="D334" s="153" t="s">
        <v>2941</v>
      </c>
      <c r="E334" s="153" t="s">
        <v>2083</v>
      </c>
      <c r="F334" s="6"/>
      <c r="G334" s="6"/>
      <c r="H334" s="85">
        <v>0</v>
      </c>
      <c r="I334" s="103">
        <f>IFERROR(VLOOKUP(B334,'July 2026-Recived'!$B$2:$H$1300,7,0),0)</f>
        <v>0</v>
      </c>
      <c r="J334" s="103">
        <f>IFERROR(VLOOKUP(B334,'July 2026- Dispatch'!$B$2:$H$1300,7,0),0)</f>
        <v>0</v>
      </c>
      <c r="K334" s="61">
        <f t="shared" si="5"/>
        <v>0</v>
      </c>
      <c r="L334" s="123">
        <v>0</v>
      </c>
    </row>
    <row r="335" spans="1:12" hidden="1" x14ac:dyDescent="0.25">
      <c r="A335" s="7">
        <v>334</v>
      </c>
      <c r="B335" s="152" t="s">
        <v>2942</v>
      </c>
      <c r="C335" s="153" t="s">
        <v>2943</v>
      </c>
      <c r="D335" s="153" t="s">
        <v>2944</v>
      </c>
      <c r="E335" s="153" t="s">
        <v>2083</v>
      </c>
      <c r="F335" s="6"/>
      <c r="G335" s="6"/>
      <c r="H335" s="85">
        <v>0</v>
      </c>
      <c r="I335" s="103">
        <f>IFERROR(VLOOKUP(B335,'July 2026-Recived'!$B$2:$H$1300,7,0),0)</f>
        <v>0</v>
      </c>
      <c r="J335" s="103">
        <f>IFERROR(VLOOKUP(B335,'July 2026- Dispatch'!$B$2:$H$1300,7,0),0)</f>
        <v>0</v>
      </c>
      <c r="K335" s="61">
        <f t="shared" si="5"/>
        <v>0</v>
      </c>
      <c r="L335" s="123">
        <v>0</v>
      </c>
    </row>
    <row r="336" spans="1:12" hidden="1" x14ac:dyDescent="0.25">
      <c r="A336" s="7">
        <v>335</v>
      </c>
      <c r="B336" s="152" t="s">
        <v>1205</v>
      </c>
      <c r="C336" s="153" t="s">
        <v>2945</v>
      </c>
      <c r="D336" s="153" t="s">
        <v>2946</v>
      </c>
      <c r="E336" s="153" t="s">
        <v>2083</v>
      </c>
      <c r="F336" s="6"/>
      <c r="G336" s="6"/>
      <c r="H336" s="85">
        <v>0</v>
      </c>
      <c r="I336" s="103">
        <f>IFERROR(VLOOKUP(B336,'July 2026-Recived'!$B$2:$H$1300,7,0),0)</f>
        <v>12250</v>
      </c>
      <c r="J336" s="103">
        <f>IFERROR(VLOOKUP(B336,'July 2026- Dispatch'!$B$2:$H$1300,7,0),0)</f>
        <v>3000</v>
      </c>
      <c r="K336" s="61">
        <f t="shared" si="5"/>
        <v>9250</v>
      </c>
      <c r="L336" s="123">
        <v>0</v>
      </c>
    </row>
    <row r="337" spans="1:12" hidden="1" x14ac:dyDescent="0.25">
      <c r="A337" s="7">
        <v>336</v>
      </c>
      <c r="B337" s="152" t="s">
        <v>802</v>
      </c>
      <c r="C337" s="153" t="s">
        <v>2947</v>
      </c>
      <c r="D337" s="153" t="s">
        <v>2948</v>
      </c>
      <c r="E337" s="153" t="s">
        <v>2086</v>
      </c>
      <c r="F337" s="6"/>
      <c r="G337" s="6"/>
      <c r="H337" s="85">
        <v>92970</v>
      </c>
      <c r="I337" s="103">
        <f>IFERROR(VLOOKUP(B337,'July 2026-Recived'!$B$2:$H$1300,7,0),0)</f>
        <v>44460</v>
      </c>
      <c r="J337" s="103">
        <f>IFERROR(VLOOKUP(B337,'July 2026- Dispatch'!$B$2:$H$1300,7,0),0)</f>
        <v>64780</v>
      </c>
      <c r="K337" s="61">
        <f t="shared" si="5"/>
        <v>72650</v>
      </c>
      <c r="L337" s="123">
        <v>0</v>
      </c>
    </row>
    <row r="338" spans="1:12" hidden="1" x14ac:dyDescent="0.25">
      <c r="A338" s="7">
        <v>337</v>
      </c>
      <c r="B338" s="152" t="s">
        <v>31</v>
      </c>
      <c r="C338" s="153" t="s">
        <v>2949</v>
      </c>
      <c r="D338" s="153" t="s">
        <v>2950</v>
      </c>
      <c r="E338" s="153" t="s">
        <v>2083</v>
      </c>
      <c r="F338" s="6"/>
      <c r="G338" s="6"/>
      <c r="H338" s="85">
        <v>0</v>
      </c>
      <c r="I338" s="103">
        <f>IFERROR(VLOOKUP(B338,'July 2026-Recived'!$B$2:$H$1300,7,0),0)</f>
        <v>0</v>
      </c>
      <c r="J338" s="103">
        <f>IFERROR(VLOOKUP(B338,'July 2026- Dispatch'!$B$2:$H$1300,7,0),0)</f>
        <v>0</v>
      </c>
      <c r="K338" s="61">
        <f t="shared" si="5"/>
        <v>0</v>
      </c>
      <c r="L338" s="123">
        <v>0</v>
      </c>
    </row>
    <row r="339" spans="1:12" hidden="1" x14ac:dyDescent="0.25">
      <c r="A339" s="7">
        <v>338</v>
      </c>
      <c r="B339" s="152" t="s">
        <v>848</v>
      </c>
      <c r="C339" s="153" t="s">
        <v>2951</v>
      </c>
      <c r="D339" s="153" t="s">
        <v>2952</v>
      </c>
      <c r="E339" s="153" t="s">
        <v>2086</v>
      </c>
      <c r="F339" s="6"/>
      <c r="G339" s="6"/>
      <c r="H339" s="85">
        <v>16310</v>
      </c>
      <c r="I339" s="103">
        <f>IFERROR(VLOOKUP(B339,'July 2026-Recived'!$B$2:$H$1300,7,0),0)</f>
        <v>24105</v>
      </c>
      <c r="J339" s="103">
        <f>IFERROR(VLOOKUP(B339,'July 2026- Dispatch'!$B$2:$H$1300,7,0),0)</f>
        <v>2310</v>
      </c>
      <c r="K339" s="61">
        <f t="shared" si="5"/>
        <v>38105</v>
      </c>
      <c r="L339" s="123">
        <v>0</v>
      </c>
    </row>
    <row r="340" spans="1:12" hidden="1" x14ac:dyDescent="0.25">
      <c r="A340" s="7">
        <v>339</v>
      </c>
      <c r="B340" s="152" t="s">
        <v>909</v>
      </c>
      <c r="C340" s="153" t="s">
        <v>2953</v>
      </c>
      <c r="D340" s="153" t="s">
        <v>2954</v>
      </c>
      <c r="E340" s="153" t="s">
        <v>2086</v>
      </c>
      <c r="F340" s="6"/>
      <c r="G340" s="6"/>
      <c r="H340" s="85">
        <v>38440</v>
      </c>
      <c r="I340" s="103">
        <f>IFERROR(VLOOKUP(B340,'July 2026-Recived'!$B$2:$H$1300,7,0),0)</f>
        <v>0</v>
      </c>
      <c r="J340" s="103">
        <f>IFERROR(VLOOKUP(B340,'July 2026- Dispatch'!$B$2:$H$1300,7,0),0)</f>
        <v>5000</v>
      </c>
      <c r="K340" s="61">
        <f t="shared" si="5"/>
        <v>33440</v>
      </c>
      <c r="L340" s="123">
        <v>0</v>
      </c>
    </row>
    <row r="341" spans="1:12" hidden="1" x14ac:dyDescent="0.25">
      <c r="A341" s="7">
        <v>340</v>
      </c>
      <c r="B341" s="152" t="s">
        <v>2955</v>
      </c>
      <c r="C341" s="153" t="s">
        <v>2956</v>
      </c>
      <c r="D341" s="153" t="s">
        <v>2957</v>
      </c>
      <c r="E341" s="153" t="s">
        <v>2086</v>
      </c>
      <c r="F341" s="6"/>
      <c r="G341" s="6"/>
      <c r="H341" s="85">
        <v>106000</v>
      </c>
      <c r="I341" s="103">
        <f>IFERROR(VLOOKUP(B341,'July 2026-Recived'!$B$2:$H$1300,7,0),0)</f>
        <v>0</v>
      </c>
      <c r="J341" s="103">
        <f>IFERROR(VLOOKUP(B341,'July 2026- Dispatch'!$B$2:$H$1300,7,0),0)</f>
        <v>0</v>
      </c>
      <c r="K341" s="61">
        <f t="shared" si="5"/>
        <v>106000</v>
      </c>
      <c r="L341" s="123">
        <v>0</v>
      </c>
    </row>
    <row r="342" spans="1:12" hidden="1" x14ac:dyDescent="0.25">
      <c r="A342" s="7">
        <v>341</v>
      </c>
      <c r="B342" s="152" t="s">
        <v>1474</v>
      </c>
      <c r="C342" s="153" t="s">
        <v>2958</v>
      </c>
      <c r="D342" s="153" t="s">
        <v>2959</v>
      </c>
      <c r="E342" s="153" t="s">
        <v>2086</v>
      </c>
      <c r="F342" s="6"/>
      <c r="G342" s="6"/>
      <c r="H342" s="85">
        <v>9200</v>
      </c>
      <c r="I342" s="103">
        <f>IFERROR(VLOOKUP(B342,'July 2026-Recived'!$B$2:$H$1300,7,0),0)</f>
        <v>0</v>
      </c>
      <c r="J342" s="103">
        <f>IFERROR(VLOOKUP(B342,'July 2026- Dispatch'!$B$2:$H$1300,7,0),0)</f>
        <v>5000</v>
      </c>
      <c r="K342" s="61">
        <f t="shared" si="5"/>
        <v>4200</v>
      </c>
      <c r="L342" s="123">
        <v>0</v>
      </c>
    </row>
    <row r="343" spans="1:12" hidden="1" x14ac:dyDescent="0.25">
      <c r="A343" s="7">
        <v>342</v>
      </c>
      <c r="B343" s="152" t="s">
        <v>1084</v>
      </c>
      <c r="C343" s="153" t="s">
        <v>2960</v>
      </c>
      <c r="D343" s="153" t="s">
        <v>2961</v>
      </c>
      <c r="E343" s="153" t="s">
        <v>2086</v>
      </c>
      <c r="F343" s="6"/>
      <c r="G343" s="6"/>
      <c r="H343" s="85">
        <v>15000</v>
      </c>
      <c r="I343" s="103">
        <f>IFERROR(VLOOKUP(B343,'July 2026-Recived'!$B$2:$H$1300,7,0),0)</f>
        <v>0</v>
      </c>
      <c r="J343" s="103">
        <f>IFERROR(VLOOKUP(B343,'July 2026- Dispatch'!$B$2:$H$1300,7,0),0)</f>
        <v>5</v>
      </c>
      <c r="K343" s="61">
        <f t="shared" si="5"/>
        <v>14995</v>
      </c>
      <c r="L343" s="123">
        <v>0</v>
      </c>
    </row>
    <row r="344" spans="1:12" hidden="1" x14ac:dyDescent="0.25">
      <c r="A344" s="7">
        <v>343</v>
      </c>
      <c r="B344" s="152" t="s">
        <v>2962</v>
      </c>
      <c r="C344" s="153" t="s">
        <v>2963</v>
      </c>
      <c r="D344" s="153" t="s">
        <v>2964</v>
      </c>
      <c r="E344" s="153" t="s">
        <v>2083</v>
      </c>
      <c r="F344" s="6"/>
      <c r="G344" s="6"/>
      <c r="H344" s="85">
        <v>0</v>
      </c>
      <c r="I344" s="103">
        <f>IFERROR(VLOOKUP(B344,'July 2026-Recived'!$B$2:$H$1300,7,0),0)</f>
        <v>0</v>
      </c>
      <c r="J344" s="103">
        <f>IFERROR(VLOOKUP(B344,'July 2026- Dispatch'!$B$2:$H$1300,7,0),0)</f>
        <v>0</v>
      </c>
      <c r="K344" s="61">
        <f t="shared" si="5"/>
        <v>0</v>
      </c>
      <c r="L344" s="123">
        <v>0</v>
      </c>
    </row>
    <row r="345" spans="1:12" hidden="1" x14ac:dyDescent="0.25">
      <c r="A345" s="7">
        <v>344</v>
      </c>
      <c r="B345" s="152" t="s">
        <v>953</v>
      </c>
      <c r="C345" s="153" t="s">
        <v>2965</v>
      </c>
      <c r="D345" s="153" t="s">
        <v>2966</v>
      </c>
      <c r="E345" s="153" t="s">
        <v>2086</v>
      </c>
      <c r="F345" s="6"/>
      <c r="G345" s="6"/>
      <c r="H345" s="85">
        <v>32000</v>
      </c>
      <c r="I345" s="103">
        <f>IFERROR(VLOOKUP(B345,'July 2026-Recived'!$B$2:$H$1300,7,0),0)</f>
        <v>97835</v>
      </c>
      <c r="J345" s="103">
        <f>IFERROR(VLOOKUP(B345,'July 2026- Dispatch'!$B$2:$H$1300,7,0),0)</f>
        <v>73285</v>
      </c>
      <c r="K345" s="61">
        <f t="shared" si="5"/>
        <v>56550</v>
      </c>
      <c r="L345" s="123">
        <v>0</v>
      </c>
    </row>
    <row r="346" spans="1:12" hidden="1" x14ac:dyDescent="0.25">
      <c r="A346" s="94">
        <v>345</v>
      </c>
      <c r="B346" s="152" t="s">
        <v>1423</v>
      </c>
      <c r="C346" s="153" t="s">
        <v>2967</v>
      </c>
      <c r="D346" s="153" t="s">
        <v>2968</v>
      </c>
      <c r="E346" s="153" t="s">
        <v>2086</v>
      </c>
      <c r="F346" s="6"/>
      <c r="G346" s="6"/>
      <c r="H346" s="85">
        <v>1190</v>
      </c>
      <c r="I346" s="103">
        <f>IFERROR(VLOOKUP(B346,'July 2026-Recived'!$B$2:$H$1300,7,0),0)</f>
        <v>0</v>
      </c>
      <c r="J346" s="103">
        <f>IFERROR(VLOOKUP(B346,'July 2026- Dispatch'!$B$2:$H$1300,7,0),0)</f>
        <v>1190</v>
      </c>
      <c r="K346" s="61">
        <f t="shared" si="5"/>
        <v>0</v>
      </c>
      <c r="L346" s="123">
        <v>0</v>
      </c>
    </row>
    <row r="347" spans="1:12" hidden="1" x14ac:dyDescent="0.25">
      <c r="A347" s="7">
        <v>346</v>
      </c>
      <c r="B347" s="152" t="s">
        <v>2969</v>
      </c>
      <c r="C347" s="153" t="s">
        <v>2970</v>
      </c>
      <c r="D347" s="153" t="s">
        <v>2971</v>
      </c>
      <c r="E347" s="153" t="s">
        <v>2086</v>
      </c>
      <c r="F347" s="6"/>
      <c r="G347" s="6"/>
      <c r="H347" s="85">
        <v>45000</v>
      </c>
      <c r="I347" s="103">
        <f>IFERROR(VLOOKUP(B347,'July 2026-Recived'!$B$2:$H$1300,7,0),0)</f>
        <v>0</v>
      </c>
      <c r="J347" s="103">
        <f>IFERROR(VLOOKUP(B347,'July 2026- Dispatch'!$B$2:$H$1300,7,0),0)</f>
        <v>0</v>
      </c>
      <c r="K347" s="61">
        <f t="shared" si="5"/>
        <v>45000</v>
      </c>
      <c r="L347" s="123">
        <v>0</v>
      </c>
    </row>
    <row r="348" spans="1:12" hidden="1" x14ac:dyDescent="0.25">
      <c r="A348" s="7">
        <v>347</v>
      </c>
      <c r="B348" s="155" t="s">
        <v>2972</v>
      </c>
      <c r="C348" s="156" t="s">
        <v>2973</v>
      </c>
      <c r="D348" s="156" t="s">
        <v>2974</v>
      </c>
      <c r="E348" s="153" t="s">
        <v>2083</v>
      </c>
      <c r="F348" s="6"/>
      <c r="G348" s="6"/>
      <c r="H348" s="85">
        <v>0</v>
      </c>
      <c r="I348" s="103">
        <f>IFERROR(VLOOKUP(B348,'July 2026-Recived'!$B$2:$H$1300,7,0),0)</f>
        <v>0</v>
      </c>
      <c r="J348" s="103">
        <f>IFERROR(VLOOKUP(B348,'July 2026- Dispatch'!$B$2:$H$1300,7,0),0)</f>
        <v>0</v>
      </c>
      <c r="K348" s="61">
        <f t="shared" si="5"/>
        <v>0</v>
      </c>
      <c r="L348" s="123">
        <v>0</v>
      </c>
    </row>
    <row r="349" spans="1:12" hidden="1" x14ac:dyDescent="0.25">
      <c r="A349" s="7">
        <v>348</v>
      </c>
      <c r="B349" s="152" t="s">
        <v>1240</v>
      </c>
      <c r="C349" s="153" t="s">
        <v>2975</v>
      </c>
      <c r="D349" s="153" t="s">
        <v>2976</v>
      </c>
      <c r="E349" s="153" t="s">
        <v>2086</v>
      </c>
      <c r="F349" s="6"/>
      <c r="G349" s="6"/>
      <c r="H349" s="85">
        <v>309400</v>
      </c>
      <c r="I349" s="103">
        <f>IFERROR(VLOOKUP(B349,'July 2026-Recived'!$B$2:$H$1300,7,0),0)</f>
        <v>0</v>
      </c>
      <c r="J349" s="103">
        <f>IFERROR(VLOOKUP(B349,'July 2026- Dispatch'!$B$2:$H$1300,7,0),0)</f>
        <v>135500</v>
      </c>
      <c r="K349" s="61">
        <f t="shared" si="5"/>
        <v>173900</v>
      </c>
      <c r="L349" s="123">
        <v>0</v>
      </c>
    </row>
    <row r="350" spans="1:12" hidden="1" x14ac:dyDescent="0.25">
      <c r="A350" s="7">
        <v>349</v>
      </c>
      <c r="B350" s="152" t="s">
        <v>1885</v>
      </c>
      <c r="C350" s="153" t="s">
        <v>2977</v>
      </c>
      <c r="D350" s="153" t="s">
        <v>2978</v>
      </c>
      <c r="E350" s="153" t="s">
        <v>2086</v>
      </c>
      <c r="F350" s="6"/>
      <c r="G350" s="6"/>
      <c r="H350" s="85">
        <v>3720</v>
      </c>
      <c r="I350" s="103">
        <f>IFERROR(VLOOKUP(B350,'July 2026-Recived'!$B$2:$H$1300,7,0),0)</f>
        <v>0</v>
      </c>
      <c r="J350" s="103">
        <f>IFERROR(VLOOKUP(B350,'July 2026- Dispatch'!$B$2:$H$1300,7,0),0)</f>
        <v>840</v>
      </c>
      <c r="K350" s="61">
        <f t="shared" si="5"/>
        <v>2880</v>
      </c>
      <c r="L350" s="123">
        <v>0</v>
      </c>
    </row>
    <row r="351" spans="1:12" hidden="1" x14ac:dyDescent="0.25">
      <c r="A351" s="7">
        <v>350</v>
      </c>
      <c r="B351" s="152" t="s">
        <v>1873</v>
      </c>
      <c r="C351" s="153" t="s">
        <v>2979</v>
      </c>
      <c r="D351" s="153" t="s">
        <v>2980</v>
      </c>
      <c r="E351" s="153" t="s">
        <v>2086</v>
      </c>
      <c r="F351" s="6"/>
      <c r="G351" s="6"/>
      <c r="H351" s="85">
        <v>13500</v>
      </c>
      <c r="I351" s="103">
        <f>IFERROR(VLOOKUP(B351,'July 2026-Recived'!$B$2:$H$1300,7,0),0)</f>
        <v>4000</v>
      </c>
      <c r="J351" s="103">
        <f>IFERROR(VLOOKUP(B351,'July 2026- Dispatch'!$B$2:$H$1300,7,0),0)</f>
        <v>4005</v>
      </c>
      <c r="K351" s="61">
        <f t="shared" si="5"/>
        <v>13495</v>
      </c>
      <c r="L351" s="123">
        <v>0</v>
      </c>
    </row>
    <row r="352" spans="1:12" hidden="1" x14ac:dyDescent="0.25">
      <c r="A352" s="7">
        <v>351</v>
      </c>
      <c r="B352" s="152" t="s">
        <v>1183</v>
      </c>
      <c r="C352" s="153" t="s">
        <v>2981</v>
      </c>
      <c r="D352" s="153" t="s">
        <v>2982</v>
      </c>
      <c r="E352" s="153" t="s">
        <v>2086</v>
      </c>
      <c r="F352" s="6"/>
      <c r="G352" s="6"/>
      <c r="H352" s="85">
        <v>51000</v>
      </c>
      <c r="I352" s="103">
        <f>IFERROR(VLOOKUP(B352,'July 2026-Recived'!$B$2:$H$1300,7,0),0)</f>
        <v>0</v>
      </c>
      <c r="J352" s="103">
        <f>IFERROR(VLOOKUP(B352,'July 2026- Dispatch'!$B$2:$H$1300,7,0),0)</f>
        <v>4200</v>
      </c>
      <c r="K352" s="61">
        <f t="shared" si="5"/>
        <v>46800</v>
      </c>
      <c r="L352" s="123">
        <v>0</v>
      </c>
    </row>
    <row r="353" spans="1:12" hidden="1" x14ac:dyDescent="0.25">
      <c r="A353" s="7">
        <v>352</v>
      </c>
      <c r="B353" s="152" t="s">
        <v>1866</v>
      </c>
      <c r="C353" s="153" t="s">
        <v>2983</v>
      </c>
      <c r="D353" s="153" t="s">
        <v>2984</v>
      </c>
      <c r="E353" s="153" t="s">
        <v>2086</v>
      </c>
      <c r="F353" s="6"/>
      <c r="G353" s="6"/>
      <c r="H353" s="85">
        <v>400</v>
      </c>
      <c r="I353" s="103">
        <f>IFERROR(VLOOKUP(B353,'July 2026-Recived'!$B$2:$H$1300,7,0),0)</f>
        <v>0</v>
      </c>
      <c r="J353" s="103">
        <f>IFERROR(VLOOKUP(B353,'July 2026- Dispatch'!$B$2:$H$1300,7,0),0)</f>
        <v>0</v>
      </c>
      <c r="K353" s="61">
        <f t="shared" si="5"/>
        <v>400</v>
      </c>
      <c r="L353" s="123">
        <v>0</v>
      </c>
    </row>
    <row r="354" spans="1:12" hidden="1" x14ac:dyDescent="0.25">
      <c r="A354" s="7">
        <v>353</v>
      </c>
      <c r="B354" s="155" t="s">
        <v>2985</v>
      </c>
      <c r="C354" s="156" t="s">
        <v>2986</v>
      </c>
      <c r="D354" s="156" t="s">
        <v>2987</v>
      </c>
      <c r="E354" s="153" t="s">
        <v>2083</v>
      </c>
      <c r="F354" s="6"/>
      <c r="G354" s="6"/>
      <c r="H354" s="85">
        <v>0</v>
      </c>
      <c r="I354" s="103">
        <f>IFERROR(VLOOKUP(B354,'July 2026-Recived'!$B$2:$H$1300,7,0),0)</f>
        <v>0</v>
      </c>
      <c r="J354" s="103">
        <f>IFERROR(VLOOKUP(B354,'July 2026- Dispatch'!$B$2:$H$1300,7,0),0)</f>
        <v>0</v>
      </c>
      <c r="K354" s="61">
        <f t="shared" si="5"/>
        <v>0</v>
      </c>
      <c r="L354" s="123">
        <v>0</v>
      </c>
    </row>
    <row r="355" spans="1:12" hidden="1" x14ac:dyDescent="0.25">
      <c r="A355" s="7">
        <v>354</v>
      </c>
      <c r="B355" s="152" t="s">
        <v>1879</v>
      </c>
      <c r="C355" s="153" t="s">
        <v>2988</v>
      </c>
      <c r="D355" s="153" t="s">
        <v>2989</v>
      </c>
      <c r="E355" s="153" t="s">
        <v>2086</v>
      </c>
      <c r="F355" s="6"/>
      <c r="G355" s="6"/>
      <c r="H355" s="85">
        <v>100</v>
      </c>
      <c r="I355" s="103">
        <f>IFERROR(VLOOKUP(B355,'July 2026-Recived'!$B$2:$H$1300,7,0),0)</f>
        <v>0</v>
      </c>
      <c r="J355" s="103">
        <f>IFERROR(VLOOKUP(B355,'July 2026- Dispatch'!$B$2:$H$1300,7,0),0)</f>
        <v>100</v>
      </c>
      <c r="K355" s="61">
        <f t="shared" si="5"/>
        <v>0</v>
      </c>
      <c r="L355" s="123">
        <v>0</v>
      </c>
    </row>
    <row r="356" spans="1:12" hidden="1" x14ac:dyDescent="0.25">
      <c r="A356" s="7">
        <v>355</v>
      </c>
      <c r="B356" s="152" t="s">
        <v>2990</v>
      </c>
      <c r="C356" s="153" t="s">
        <v>2991</v>
      </c>
      <c r="D356" s="153" t="s">
        <v>2992</v>
      </c>
      <c r="E356" s="153" t="s">
        <v>2083</v>
      </c>
      <c r="F356" s="6"/>
      <c r="G356" s="6"/>
      <c r="H356" s="85">
        <v>0</v>
      </c>
      <c r="I356" s="103">
        <f>IFERROR(VLOOKUP(B356,'July 2026-Recived'!$B$2:$H$1300,7,0),0)</f>
        <v>0</v>
      </c>
      <c r="J356" s="103">
        <f>IFERROR(VLOOKUP(B356,'July 2026- Dispatch'!$B$2:$H$1300,7,0),0)</f>
        <v>0</v>
      </c>
      <c r="K356" s="61">
        <f t="shared" si="5"/>
        <v>0</v>
      </c>
      <c r="L356" s="123">
        <v>0</v>
      </c>
    </row>
    <row r="357" spans="1:12" hidden="1" x14ac:dyDescent="0.25">
      <c r="A357" s="7">
        <v>356</v>
      </c>
      <c r="B357" s="152" t="s">
        <v>798</v>
      </c>
      <c r="C357" s="153" t="s">
        <v>2993</v>
      </c>
      <c r="D357" s="153" t="s">
        <v>2994</v>
      </c>
      <c r="E357" s="153" t="s">
        <v>2086</v>
      </c>
      <c r="F357" s="6"/>
      <c r="G357" s="6"/>
      <c r="H357" s="85">
        <v>65250</v>
      </c>
      <c r="I357" s="103">
        <f>IFERROR(VLOOKUP(B357,'July 2026-Recived'!$B$2:$H$1300,7,0),0)</f>
        <v>0</v>
      </c>
      <c r="J357" s="103">
        <f>IFERROR(VLOOKUP(B357,'July 2026- Dispatch'!$B$2:$H$1300,7,0),0)</f>
        <v>15750</v>
      </c>
      <c r="K357" s="61">
        <f t="shared" si="5"/>
        <v>49500</v>
      </c>
      <c r="L357" s="123">
        <v>0</v>
      </c>
    </row>
    <row r="358" spans="1:12" hidden="1" x14ac:dyDescent="0.25">
      <c r="A358" s="7">
        <v>357</v>
      </c>
      <c r="B358" s="152" t="s">
        <v>1013</v>
      </c>
      <c r="C358" s="153" t="s">
        <v>2995</v>
      </c>
      <c r="D358" s="153" t="s">
        <v>2996</v>
      </c>
      <c r="E358" s="153" t="s">
        <v>2083</v>
      </c>
      <c r="F358" s="6"/>
      <c r="G358" s="6"/>
      <c r="H358" s="85">
        <v>0</v>
      </c>
      <c r="I358" s="103">
        <f>IFERROR(VLOOKUP(B358,'July 2026-Recived'!$B$2:$H$1300,7,0),0)</f>
        <v>0</v>
      </c>
      <c r="J358" s="103">
        <f>IFERROR(VLOOKUP(B358,'July 2026- Dispatch'!$B$2:$H$1300,7,0),0)</f>
        <v>0</v>
      </c>
      <c r="K358" s="61">
        <f t="shared" si="5"/>
        <v>0</v>
      </c>
      <c r="L358" s="123">
        <v>0</v>
      </c>
    </row>
    <row r="359" spans="1:12" hidden="1" x14ac:dyDescent="0.25">
      <c r="A359" s="7">
        <v>358</v>
      </c>
      <c r="B359" s="152" t="s">
        <v>1033</v>
      </c>
      <c r="C359" s="153" t="s">
        <v>2997</v>
      </c>
      <c r="D359" s="153" t="s">
        <v>2998</v>
      </c>
      <c r="E359" s="153" t="s">
        <v>2086</v>
      </c>
      <c r="F359" s="6"/>
      <c r="G359" s="6"/>
      <c r="H359" s="85">
        <v>60050</v>
      </c>
      <c r="I359" s="103">
        <f>IFERROR(VLOOKUP(B359,'July 2026-Recived'!$B$2:$H$1300,7,0),0)</f>
        <v>0</v>
      </c>
      <c r="J359" s="103">
        <f>IFERROR(VLOOKUP(B359,'July 2026- Dispatch'!$B$2:$H$1300,7,0),0)</f>
        <v>601</v>
      </c>
      <c r="K359" s="61">
        <f t="shared" si="5"/>
        <v>59449</v>
      </c>
      <c r="L359" s="123">
        <v>0</v>
      </c>
    </row>
    <row r="360" spans="1:12" hidden="1" x14ac:dyDescent="0.25">
      <c r="A360" s="7">
        <v>359</v>
      </c>
      <c r="B360" s="152" t="s">
        <v>2999</v>
      </c>
      <c r="C360" s="153" t="s">
        <v>3000</v>
      </c>
      <c r="D360" s="153" t="s">
        <v>3001</v>
      </c>
      <c r="E360" s="153" t="s">
        <v>2083</v>
      </c>
      <c r="F360" s="6"/>
      <c r="G360" s="6"/>
      <c r="H360" s="85">
        <v>0</v>
      </c>
      <c r="I360" s="103">
        <f>IFERROR(VLOOKUP(B360,'July 2026-Recived'!$B$2:$H$1300,7,0),0)</f>
        <v>0</v>
      </c>
      <c r="J360" s="103">
        <f>IFERROR(VLOOKUP(B360,'July 2026- Dispatch'!$B$2:$H$1300,7,0),0)</f>
        <v>0</v>
      </c>
      <c r="K360" s="61">
        <f t="shared" si="5"/>
        <v>0</v>
      </c>
      <c r="L360" s="123">
        <v>0</v>
      </c>
    </row>
    <row r="361" spans="1:12" hidden="1" x14ac:dyDescent="0.25">
      <c r="A361" s="7">
        <v>360</v>
      </c>
      <c r="B361" s="152" t="s">
        <v>1882</v>
      </c>
      <c r="C361" s="153" t="s">
        <v>3002</v>
      </c>
      <c r="D361" s="153" t="s">
        <v>3003</v>
      </c>
      <c r="E361" s="153" t="s">
        <v>2086</v>
      </c>
      <c r="F361" s="6"/>
      <c r="G361" s="6"/>
      <c r="H361" s="85">
        <v>3500</v>
      </c>
      <c r="I361" s="103">
        <f>IFERROR(VLOOKUP(B361,'July 2026-Recived'!$B$2:$H$1300,7,0),0)</f>
        <v>0</v>
      </c>
      <c r="J361" s="103">
        <f>IFERROR(VLOOKUP(B361,'July 2026- Dispatch'!$B$2:$H$1300,7,0),0)</f>
        <v>1000</v>
      </c>
      <c r="K361" s="61">
        <f t="shared" si="5"/>
        <v>2500</v>
      </c>
      <c r="L361" s="123">
        <v>0</v>
      </c>
    </row>
    <row r="362" spans="1:12" hidden="1" x14ac:dyDescent="0.25">
      <c r="A362" s="7">
        <v>361</v>
      </c>
      <c r="B362" s="152" t="s">
        <v>1565</v>
      </c>
      <c r="C362" s="153" t="s">
        <v>3004</v>
      </c>
      <c r="D362" s="153" t="s">
        <v>3005</v>
      </c>
      <c r="E362" s="153" t="s">
        <v>2086</v>
      </c>
      <c r="F362" s="6"/>
      <c r="G362" s="6"/>
      <c r="H362" s="85">
        <v>16800</v>
      </c>
      <c r="I362" s="103">
        <f>IFERROR(VLOOKUP(B362,'July 2026-Recived'!$B$2:$H$1300,7,0),0)</f>
        <v>0</v>
      </c>
      <c r="J362" s="103">
        <f>IFERROR(VLOOKUP(B362,'July 2026- Dispatch'!$B$2:$H$1300,7,0),0)</f>
        <v>0</v>
      </c>
      <c r="K362" s="61">
        <f t="shared" si="5"/>
        <v>16800</v>
      </c>
      <c r="L362" s="123">
        <v>0</v>
      </c>
    </row>
    <row r="363" spans="1:12" hidden="1" x14ac:dyDescent="0.25">
      <c r="A363" s="7">
        <v>362</v>
      </c>
      <c r="B363" s="152" t="s">
        <v>1919</v>
      </c>
      <c r="C363" s="153" t="s">
        <v>3006</v>
      </c>
      <c r="D363" s="153" t="s">
        <v>3007</v>
      </c>
      <c r="E363" s="153" t="s">
        <v>2086</v>
      </c>
      <c r="F363" s="6"/>
      <c r="G363" s="6"/>
      <c r="H363" s="85">
        <v>1250</v>
      </c>
      <c r="I363" s="103">
        <f>IFERROR(VLOOKUP(B363,'July 2026-Recived'!$B$2:$H$1300,7,0),0)</f>
        <v>450</v>
      </c>
      <c r="J363" s="103">
        <f>IFERROR(VLOOKUP(B363,'July 2026- Dispatch'!$B$2:$H$1300,7,0),0)</f>
        <v>505</v>
      </c>
      <c r="K363" s="61">
        <f t="shared" si="5"/>
        <v>1195</v>
      </c>
      <c r="L363" s="123">
        <v>0</v>
      </c>
    </row>
    <row r="364" spans="1:12" hidden="1" x14ac:dyDescent="0.25">
      <c r="A364" s="7">
        <v>363</v>
      </c>
      <c r="B364" s="152" t="s">
        <v>197</v>
      </c>
      <c r="C364" s="153" t="s">
        <v>3008</v>
      </c>
      <c r="D364" s="153" t="s">
        <v>3009</v>
      </c>
      <c r="E364" s="153" t="s">
        <v>2083</v>
      </c>
      <c r="F364" s="6"/>
      <c r="G364" s="6"/>
      <c r="H364" s="85">
        <v>0</v>
      </c>
      <c r="I364" s="103">
        <f>IFERROR(VLOOKUP(B364,'July 2026-Recived'!$B$2:$H$1300,7,0),0)</f>
        <v>0</v>
      </c>
      <c r="J364" s="103">
        <f>IFERROR(VLOOKUP(B364,'July 2026- Dispatch'!$B$2:$H$1300,7,0),0)</f>
        <v>0</v>
      </c>
      <c r="K364" s="61">
        <f t="shared" si="5"/>
        <v>0</v>
      </c>
      <c r="L364" s="123">
        <v>0</v>
      </c>
    </row>
    <row r="365" spans="1:12" hidden="1" x14ac:dyDescent="0.25">
      <c r="A365" s="7">
        <v>364</v>
      </c>
      <c r="B365" s="152" t="s">
        <v>3010</v>
      </c>
      <c r="C365" s="153" t="s">
        <v>3011</v>
      </c>
      <c r="D365" s="153" t="s">
        <v>3012</v>
      </c>
      <c r="E365" s="153" t="s">
        <v>2086</v>
      </c>
      <c r="F365" s="6"/>
      <c r="G365" s="6"/>
      <c r="H365" s="85">
        <v>7000</v>
      </c>
      <c r="I365" s="103">
        <f>IFERROR(VLOOKUP(B365,'July 2026-Recived'!$B$2:$H$1300,7,0),0)</f>
        <v>0</v>
      </c>
      <c r="J365" s="103">
        <f>IFERROR(VLOOKUP(B365,'July 2026- Dispatch'!$B$2:$H$1300,7,0),0)</f>
        <v>0</v>
      </c>
      <c r="K365" s="61">
        <f t="shared" si="5"/>
        <v>7000</v>
      </c>
      <c r="L365" s="123">
        <v>0</v>
      </c>
    </row>
    <row r="366" spans="1:12" hidden="1" x14ac:dyDescent="0.25">
      <c r="A366" s="7">
        <v>365</v>
      </c>
      <c r="B366" s="152" t="s">
        <v>3013</v>
      </c>
      <c r="C366" s="153" t="s">
        <v>3014</v>
      </c>
      <c r="D366" s="153" t="s">
        <v>3015</v>
      </c>
      <c r="E366" s="153" t="s">
        <v>2086</v>
      </c>
      <c r="F366" s="6"/>
      <c r="G366" s="6"/>
      <c r="H366" s="85">
        <v>3600</v>
      </c>
      <c r="I366" s="103">
        <f>IFERROR(VLOOKUP(B366,'July 2026-Recived'!$B$2:$H$1300,7,0),0)</f>
        <v>0</v>
      </c>
      <c r="J366" s="103">
        <f>IFERROR(VLOOKUP(B366,'July 2026- Dispatch'!$B$2:$H$1300,7,0),0)</f>
        <v>0</v>
      </c>
      <c r="K366" s="61">
        <f t="shared" si="5"/>
        <v>3600</v>
      </c>
      <c r="L366" s="123">
        <v>0</v>
      </c>
    </row>
    <row r="367" spans="1:12" hidden="1" x14ac:dyDescent="0.25">
      <c r="A367" s="7">
        <v>366</v>
      </c>
      <c r="B367" s="152" t="s">
        <v>3016</v>
      </c>
      <c r="C367" s="153" t="s">
        <v>3017</v>
      </c>
      <c r="D367" s="153" t="s">
        <v>3018</v>
      </c>
      <c r="E367" s="153" t="s">
        <v>2086</v>
      </c>
      <c r="F367" s="6"/>
      <c r="G367" s="6"/>
      <c r="H367" s="85">
        <v>23000</v>
      </c>
      <c r="I367" s="103">
        <f>IFERROR(VLOOKUP(B367,'July 2026-Recived'!$B$2:$H$1300,7,0),0)</f>
        <v>0</v>
      </c>
      <c r="J367" s="103">
        <f>IFERROR(VLOOKUP(B367,'July 2026- Dispatch'!$B$2:$H$1300,7,0),0)</f>
        <v>0</v>
      </c>
      <c r="K367" s="61">
        <f t="shared" si="5"/>
        <v>23000</v>
      </c>
      <c r="L367" s="123">
        <v>0</v>
      </c>
    </row>
    <row r="368" spans="1:12" hidden="1" x14ac:dyDescent="0.25">
      <c r="A368" s="7">
        <v>367</v>
      </c>
      <c r="B368" s="152" t="s">
        <v>1833</v>
      </c>
      <c r="C368" s="153" t="s">
        <v>3019</v>
      </c>
      <c r="D368" s="153" t="s">
        <v>3020</v>
      </c>
      <c r="E368" s="153" t="s">
        <v>2083</v>
      </c>
      <c r="F368" s="6"/>
      <c r="G368" s="6"/>
      <c r="H368" s="85">
        <v>0</v>
      </c>
      <c r="I368" s="103">
        <f>IFERROR(VLOOKUP(B368,'July 2026-Recived'!$B$2:$H$1300,7,0),0)</f>
        <v>0</v>
      </c>
      <c r="J368" s="103">
        <f>IFERROR(VLOOKUP(B368,'July 2026- Dispatch'!$B$2:$H$1300,7,0),0)</f>
        <v>0</v>
      </c>
      <c r="K368" s="61">
        <f t="shared" si="5"/>
        <v>0</v>
      </c>
      <c r="L368" s="123">
        <v>0</v>
      </c>
    </row>
    <row r="369" spans="1:13" hidden="1" x14ac:dyDescent="0.25">
      <c r="A369" s="7">
        <v>368</v>
      </c>
      <c r="B369" s="155" t="s">
        <v>1869</v>
      </c>
      <c r="C369" s="156" t="s">
        <v>3021</v>
      </c>
      <c r="D369" s="156" t="s">
        <v>3022</v>
      </c>
      <c r="E369" s="153" t="s">
        <v>2086</v>
      </c>
      <c r="F369" s="6"/>
      <c r="G369" s="6"/>
      <c r="H369" s="85">
        <v>2480</v>
      </c>
      <c r="I369" s="103">
        <f>IFERROR(VLOOKUP(B369,'July 2026-Recived'!$B$2:$H$1300,7,0),0)</f>
        <v>0</v>
      </c>
      <c r="J369" s="103">
        <f>IFERROR(VLOOKUP(B369,'July 2026- Dispatch'!$B$2:$H$1300,7,0),0)</f>
        <v>200</v>
      </c>
      <c r="K369" s="61">
        <f t="shared" si="5"/>
        <v>2280</v>
      </c>
      <c r="L369" s="123">
        <v>0</v>
      </c>
    </row>
    <row r="370" spans="1:13" hidden="1" x14ac:dyDescent="0.25">
      <c r="A370" s="7">
        <v>369</v>
      </c>
      <c r="B370" s="152" t="s">
        <v>3023</v>
      </c>
      <c r="C370" s="153" t="s">
        <v>3024</v>
      </c>
      <c r="D370" s="153" t="s">
        <v>3025</v>
      </c>
      <c r="E370" s="153" t="s">
        <v>2083</v>
      </c>
      <c r="F370" s="6"/>
      <c r="G370" s="6"/>
      <c r="H370" s="85">
        <v>0</v>
      </c>
      <c r="I370" s="103">
        <f>IFERROR(VLOOKUP(B370,'July 2026-Recived'!$B$2:$H$1300,7,0),0)</f>
        <v>0</v>
      </c>
      <c r="J370" s="103">
        <f>IFERROR(VLOOKUP(B370,'July 2026- Dispatch'!$B$2:$H$1300,7,0),0)</f>
        <v>0</v>
      </c>
      <c r="K370" s="61">
        <f t="shared" si="5"/>
        <v>0</v>
      </c>
      <c r="L370" s="123">
        <v>0</v>
      </c>
    </row>
    <row r="371" spans="1:13" hidden="1" x14ac:dyDescent="0.25">
      <c r="A371" s="7">
        <v>370</v>
      </c>
      <c r="B371" s="155" t="s">
        <v>3026</v>
      </c>
      <c r="C371" s="156" t="s">
        <v>3027</v>
      </c>
      <c r="D371" s="156" t="s">
        <v>3028</v>
      </c>
      <c r="E371" s="153" t="s">
        <v>2083</v>
      </c>
      <c r="F371" s="6"/>
      <c r="G371" s="6"/>
      <c r="H371" s="85">
        <v>0</v>
      </c>
      <c r="I371" s="103">
        <f>IFERROR(VLOOKUP(B371,'July 2026-Recived'!$B$2:$H$1300,7,0),0)</f>
        <v>0</v>
      </c>
      <c r="J371" s="103">
        <f>IFERROR(VLOOKUP(B371,'July 2026- Dispatch'!$B$2:$H$1300,7,0),0)</f>
        <v>0</v>
      </c>
      <c r="K371" s="61">
        <f t="shared" si="5"/>
        <v>0</v>
      </c>
      <c r="L371" s="123">
        <v>0</v>
      </c>
    </row>
    <row r="372" spans="1:13" hidden="1" x14ac:dyDescent="0.25">
      <c r="A372" s="7">
        <v>371</v>
      </c>
      <c r="B372" s="152" t="s">
        <v>1912</v>
      </c>
      <c r="C372" s="153" t="s">
        <v>3029</v>
      </c>
      <c r="D372" s="153" t="s">
        <v>3030</v>
      </c>
      <c r="E372" s="153" t="s">
        <v>2086</v>
      </c>
      <c r="F372" s="6"/>
      <c r="G372" s="6"/>
      <c r="H372" s="85">
        <v>1400</v>
      </c>
      <c r="I372" s="103">
        <f>IFERROR(VLOOKUP(B372,'July 2026-Recived'!$B$2:$H$1300,7,0),0)</f>
        <v>0</v>
      </c>
      <c r="J372" s="103">
        <f>IFERROR(VLOOKUP(B372,'July 2026- Dispatch'!$B$2:$H$1300,7,0),0)</f>
        <v>1400</v>
      </c>
      <c r="K372" s="61">
        <f t="shared" si="5"/>
        <v>0</v>
      </c>
      <c r="L372" s="123">
        <v>0</v>
      </c>
    </row>
    <row r="373" spans="1:13" hidden="1" x14ac:dyDescent="0.25">
      <c r="A373" s="7">
        <v>372</v>
      </c>
      <c r="B373" s="152" t="s">
        <v>3031</v>
      </c>
      <c r="C373" s="153" t="s">
        <v>3032</v>
      </c>
      <c r="D373" s="153" t="s">
        <v>3033</v>
      </c>
      <c r="E373" s="153" t="s">
        <v>2083</v>
      </c>
      <c r="F373" s="6"/>
      <c r="G373" s="6"/>
      <c r="H373" s="85">
        <v>0</v>
      </c>
      <c r="I373" s="103">
        <f>IFERROR(VLOOKUP(B373,'July 2026-Recived'!$B$2:$H$1300,7,0),0)</f>
        <v>0</v>
      </c>
      <c r="J373" s="103">
        <f>IFERROR(VLOOKUP(B373,'July 2026- Dispatch'!$B$2:$H$1300,7,0),0)</f>
        <v>0</v>
      </c>
      <c r="K373" s="61">
        <f t="shared" si="5"/>
        <v>0</v>
      </c>
      <c r="L373" s="123">
        <v>0</v>
      </c>
      <c r="M373" s="104"/>
    </row>
    <row r="374" spans="1:13" hidden="1" x14ac:dyDescent="0.25">
      <c r="A374" s="7">
        <v>373</v>
      </c>
      <c r="B374" s="152" t="s">
        <v>1249</v>
      </c>
      <c r="C374" s="153" t="s">
        <v>3034</v>
      </c>
      <c r="D374" s="153" t="s">
        <v>3035</v>
      </c>
      <c r="E374" s="153" t="s">
        <v>2086</v>
      </c>
      <c r="F374" s="6"/>
      <c r="G374" s="6"/>
      <c r="H374" s="85">
        <v>636</v>
      </c>
      <c r="I374" s="103">
        <f>IFERROR(VLOOKUP(B374,'July 2026-Recived'!$B$2:$H$1300,7,0),0)</f>
        <v>0</v>
      </c>
      <c r="J374" s="103">
        <f>IFERROR(VLOOKUP(B374,'July 2026- Dispatch'!$B$2:$H$1300,7,0),0)</f>
        <v>0</v>
      </c>
      <c r="K374" s="61">
        <f t="shared" si="5"/>
        <v>636</v>
      </c>
      <c r="L374" s="123">
        <v>0</v>
      </c>
    </row>
    <row r="375" spans="1:13" hidden="1" x14ac:dyDescent="0.25">
      <c r="A375" s="7">
        <v>374</v>
      </c>
      <c r="B375" s="152" t="s">
        <v>1173</v>
      </c>
      <c r="C375" s="153" t="s">
        <v>3036</v>
      </c>
      <c r="D375" s="153" t="s">
        <v>3037</v>
      </c>
      <c r="E375" s="153" t="s">
        <v>2086</v>
      </c>
      <c r="F375" s="6"/>
      <c r="G375" s="6"/>
      <c r="H375" s="85">
        <v>3400</v>
      </c>
      <c r="I375" s="103">
        <f>IFERROR(VLOOKUP(B375,'July 2026-Recived'!$B$2:$H$1300,7,0),0)</f>
        <v>0</v>
      </c>
      <c r="J375" s="103">
        <f>IFERROR(VLOOKUP(B375,'July 2026- Dispatch'!$B$2:$H$1300,7,0),0)</f>
        <v>2100</v>
      </c>
      <c r="K375" s="61">
        <f t="shared" si="5"/>
        <v>1300</v>
      </c>
      <c r="L375" s="123">
        <v>0</v>
      </c>
    </row>
    <row r="376" spans="1:13" hidden="1" x14ac:dyDescent="0.25">
      <c r="A376" s="7">
        <v>375</v>
      </c>
      <c r="B376" s="152" t="s">
        <v>43</v>
      </c>
      <c r="C376" s="153" t="s">
        <v>3038</v>
      </c>
      <c r="D376" s="153" t="s">
        <v>3039</v>
      </c>
      <c r="E376" s="153" t="s">
        <v>2083</v>
      </c>
      <c r="F376" s="6"/>
      <c r="G376" s="6"/>
      <c r="H376" s="85">
        <v>0</v>
      </c>
      <c r="I376" s="103">
        <f>IFERROR(VLOOKUP(B376,'July 2026-Recived'!$B$2:$H$1300,7,0),0)</f>
        <v>0</v>
      </c>
      <c r="J376" s="103">
        <f>IFERROR(VLOOKUP(B376,'July 2026- Dispatch'!$B$2:$H$1300,7,0),0)</f>
        <v>0</v>
      </c>
      <c r="K376" s="61">
        <f t="shared" si="5"/>
        <v>0</v>
      </c>
      <c r="L376" s="123">
        <v>0</v>
      </c>
    </row>
    <row r="377" spans="1:13" hidden="1" x14ac:dyDescent="0.25">
      <c r="A377" s="7">
        <v>376</v>
      </c>
      <c r="B377" s="152" t="s">
        <v>3040</v>
      </c>
      <c r="C377" s="153" t="s">
        <v>3041</v>
      </c>
      <c r="D377" s="153" t="s">
        <v>3042</v>
      </c>
      <c r="E377" s="153" t="s">
        <v>2083</v>
      </c>
      <c r="F377" s="6"/>
      <c r="G377" s="6"/>
      <c r="H377" s="85">
        <v>0</v>
      </c>
      <c r="I377" s="103">
        <f>IFERROR(VLOOKUP(B377,'July 2026-Recived'!$B$2:$H$1300,7,0),0)</f>
        <v>0</v>
      </c>
      <c r="J377" s="103">
        <f>IFERROR(VLOOKUP(B377,'July 2026- Dispatch'!$B$2:$H$1300,7,0),0)</f>
        <v>0</v>
      </c>
      <c r="K377" s="61">
        <f t="shared" si="5"/>
        <v>0</v>
      </c>
      <c r="L377" s="123">
        <v>0</v>
      </c>
    </row>
    <row r="378" spans="1:13" hidden="1" x14ac:dyDescent="0.25">
      <c r="A378" s="7">
        <v>377</v>
      </c>
      <c r="B378" s="152" t="s">
        <v>3043</v>
      </c>
      <c r="C378" s="153" t="s">
        <v>3044</v>
      </c>
      <c r="D378" s="153" t="s">
        <v>3045</v>
      </c>
      <c r="E378" s="153" t="s">
        <v>2086</v>
      </c>
      <c r="F378" s="6"/>
      <c r="G378" s="6"/>
      <c r="H378" s="85">
        <v>218086</v>
      </c>
      <c r="I378" s="103">
        <f>IFERROR(VLOOKUP(B378,'July 2026-Recived'!$B$2:$H$1300,7,0),0)</f>
        <v>0</v>
      </c>
      <c r="J378" s="103">
        <f>IFERROR(VLOOKUP(B378,'July 2026- Dispatch'!$B$2:$H$1300,7,0),0)</f>
        <v>0</v>
      </c>
      <c r="K378" s="61">
        <f t="shared" si="5"/>
        <v>218086</v>
      </c>
      <c r="L378" s="123">
        <v>0</v>
      </c>
    </row>
    <row r="379" spans="1:13" hidden="1" x14ac:dyDescent="0.25">
      <c r="A379" s="7">
        <v>378</v>
      </c>
      <c r="B379" s="152" t="s">
        <v>1570</v>
      </c>
      <c r="C379" s="153" t="s">
        <v>3046</v>
      </c>
      <c r="D379" s="153" t="s">
        <v>3047</v>
      </c>
      <c r="E379" s="153" t="s">
        <v>2086</v>
      </c>
      <c r="F379" s="6"/>
      <c r="G379" s="6"/>
      <c r="H379" s="85">
        <v>126000</v>
      </c>
      <c r="I379" s="103">
        <f>IFERROR(VLOOKUP(B379,'July 2026-Recived'!$B$2:$H$1300,7,0),0)</f>
        <v>0</v>
      </c>
      <c r="J379" s="103">
        <f>IFERROR(VLOOKUP(B379,'July 2026- Dispatch'!$B$2:$H$1300,7,0),0)</f>
        <v>0</v>
      </c>
      <c r="K379" s="61">
        <f t="shared" si="5"/>
        <v>126000</v>
      </c>
      <c r="L379" s="123">
        <v>0</v>
      </c>
    </row>
    <row r="380" spans="1:13" hidden="1" x14ac:dyDescent="0.25">
      <c r="A380" s="7">
        <v>379</v>
      </c>
      <c r="B380" s="152" t="s">
        <v>3048</v>
      </c>
      <c r="C380" s="153" t="s">
        <v>3049</v>
      </c>
      <c r="D380" s="153" t="s">
        <v>3050</v>
      </c>
      <c r="E380" s="153" t="s">
        <v>2086</v>
      </c>
      <c r="F380" s="6"/>
      <c r="G380" s="6"/>
      <c r="H380" s="85">
        <v>38700</v>
      </c>
      <c r="I380" s="103">
        <f>IFERROR(VLOOKUP(B380,'July 2026-Recived'!$B$2:$H$1300,7,0),0)</f>
        <v>33000</v>
      </c>
      <c r="J380" s="103">
        <f>IFERROR(VLOOKUP(B380,'July 2026- Dispatch'!$B$2:$H$1300,7,0),0)</f>
        <v>1500</v>
      </c>
      <c r="K380" s="61">
        <f t="shared" si="5"/>
        <v>70200</v>
      </c>
      <c r="L380" s="123">
        <v>0</v>
      </c>
    </row>
    <row r="381" spans="1:13" hidden="1" x14ac:dyDescent="0.25">
      <c r="A381" s="7">
        <v>380</v>
      </c>
      <c r="B381" s="152" t="s">
        <v>3051</v>
      </c>
      <c r="C381" s="153" t="s">
        <v>3052</v>
      </c>
      <c r="D381" s="153" t="s">
        <v>3053</v>
      </c>
      <c r="E381" s="153" t="s">
        <v>2083</v>
      </c>
      <c r="F381" s="6"/>
      <c r="G381" s="6"/>
      <c r="H381" s="85">
        <v>0</v>
      </c>
      <c r="I381" s="103">
        <f>IFERROR(VLOOKUP(B381,'July 2026-Recived'!$B$2:$H$1300,7,0),0)</f>
        <v>22000</v>
      </c>
      <c r="J381" s="103">
        <f>IFERROR(VLOOKUP(B381,'July 2026- Dispatch'!$B$2:$H$1300,7,0),0)</f>
        <v>0</v>
      </c>
      <c r="K381" s="61">
        <f t="shared" si="5"/>
        <v>22000</v>
      </c>
      <c r="L381" s="123">
        <v>0</v>
      </c>
    </row>
    <row r="382" spans="1:13" hidden="1" x14ac:dyDescent="0.25">
      <c r="A382" s="7">
        <v>381</v>
      </c>
      <c r="B382" s="152" t="s">
        <v>1347</v>
      </c>
      <c r="C382" s="153" t="s">
        <v>3054</v>
      </c>
      <c r="D382" s="153" t="s">
        <v>3055</v>
      </c>
      <c r="E382" s="153" t="s">
        <v>2086</v>
      </c>
      <c r="F382" s="6"/>
      <c r="G382" s="6"/>
      <c r="H382" s="85">
        <v>99000</v>
      </c>
      <c r="I382" s="103">
        <f>IFERROR(VLOOKUP(B382,'July 2026-Recived'!$B$2:$H$1300,7,0),0)</f>
        <v>0</v>
      </c>
      <c r="J382" s="103">
        <f>IFERROR(VLOOKUP(B382,'July 2026- Dispatch'!$B$2:$H$1300,7,0),0)</f>
        <v>15500</v>
      </c>
      <c r="K382" s="61">
        <f t="shared" si="5"/>
        <v>83500</v>
      </c>
      <c r="L382" s="123">
        <v>0</v>
      </c>
    </row>
    <row r="383" spans="1:13" hidden="1" x14ac:dyDescent="0.25">
      <c r="A383" s="7">
        <v>382</v>
      </c>
      <c r="B383" s="152" t="s">
        <v>3056</v>
      </c>
      <c r="C383" s="153" t="s">
        <v>3057</v>
      </c>
      <c r="D383" s="153" t="s">
        <v>3058</v>
      </c>
      <c r="E383" s="153" t="s">
        <v>2083</v>
      </c>
      <c r="F383" s="6"/>
      <c r="G383" s="6"/>
      <c r="H383" s="85">
        <v>0</v>
      </c>
      <c r="I383" s="103">
        <f>IFERROR(VLOOKUP(B383,'July 2026-Recived'!$B$2:$H$1300,7,0),0)</f>
        <v>0</v>
      </c>
      <c r="J383" s="103">
        <f>IFERROR(VLOOKUP(B383,'July 2026- Dispatch'!$B$2:$H$1300,7,0),0)</f>
        <v>0</v>
      </c>
      <c r="K383" s="61">
        <f t="shared" si="5"/>
        <v>0</v>
      </c>
      <c r="L383" s="123">
        <v>0</v>
      </c>
    </row>
    <row r="384" spans="1:13" hidden="1" x14ac:dyDescent="0.25">
      <c r="A384" s="7">
        <v>383</v>
      </c>
      <c r="B384" s="152" t="s">
        <v>3059</v>
      </c>
      <c r="C384" s="153" t="s">
        <v>3060</v>
      </c>
      <c r="D384" s="153" t="s">
        <v>3061</v>
      </c>
      <c r="E384" s="153" t="s">
        <v>2086</v>
      </c>
      <c r="F384" s="6"/>
      <c r="G384" s="6"/>
      <c r="H384" s="85">
        <v>28000</v>
      </c>
      <c r="I384" s="103">
        <f>IFERROR(VLOOKUP(B384,'July 2026-Recived'!$B$2:$H$1300,7,0),0)</f>
        <v>0</v>
      </c>
      <c r="J384" s="103">
        <f>IFERROR(VLOOKUP(B384,'July 2026- Dispatch'!$B$2:$H$1300,7,0),0)</f>
        <v>0</v>
      </c>
      <c r="K384" s="61">
        <f t="shared" si="5"/>
        <v>28000</v>
      </c>
      <c r="L384" s="123">
        <v>0</v>
      </c>
    </row>
    <row r="385" spans="1:12" hidden="1" x14ac:dyDescent="0.25">
      <c r="A385" s="7">
        <v>384</v>
      </c>
      <c r="B385" s="152" t="s">
        <v>1140</v>
      </c>
      <c r="C385" s="153" t="s">
        <v>3062</v>
      </c>
      <c r="D385" s="153" t="s">
        <v>3063</v>
      </c>
      <c r="E385" s="153" t="s">
        <v>2086</v>
      </c>
      <c r="F385" s="6"/>
      <c r="G385" s="6"/>
      <c r="H385" s="85">
        <v>199500</v>
      </c>
      <c r="I385" s="103">
        <f>IFERROR(VLOOKUP(B385,'July 2026-Recived'!$B$2:$H$1300,7,0),0)</f>
        <v>0</v>
      </c>
      <c r="J385" s="103">
        <f>IFERROR(VLOOKUP(B385,'July 2026- Dispatch'!$B$2:$H$1300,7,0),0)</f>
        <v>26000</v>
      </c>
      <c r="K385" s="61">
        <f t="shared" si="5"/>
        <v>173500</v>
      </c>
      <c r="L385" s="123">
        <v>0</v>
      </c>
    </row>
    <row r="386" spans="1:12" hidden="1" x14ac:dyDescent="0.25">
      <c r="A386" s="7">
        <v>385</v>
      </c>
      <c r="B386" s="152" t="s">
        <v>1145</v>
      </c>
      <c r="C386" s="153" t="s">
        <v>3064</v>
      </c>
      <c r="D386" s="153" t="s">
        <v>3065</v>
      </c>
      <c r="E386" s="153" t="s">
        <v>2086</v>
      </c>
      <c r="F386" s="6"/>
      <c r="G386" s="6"/>
      <c r="H386" s="85">
        <v>777280</v>
      </c>
      <c r="I386" s="103">
        <f>IFERROR(VLOOKUP(B386,'July 2026-Recived'!$B$2:$H$1300,7,0),0)</f>
        <v>0</v>
      </c>
      <c r="J386" s="103">
        <f>IFERROR(VLOOKUP(B386,'July 2026- Dispatch'!$B$2:$H$1300,7,0),0)</f>
        <v>247000</v>
      </c>
      <c r="K386" s="61">
        <f t="shared" ref="K386:K449" si="6">H386+I386-J386</f>
        <v>530280</v>
      </c>
      <c r="L386" s="123">
        <v>0</v>
      </c>
    </row>
    <row r="387" spans="1:12" hidden="1" x14ac:dyDescent="0.25">
      <c r="A387" s="7">
        <v>386</v>
      </c>
      <c r="B387" s="152" t="s">
        <v>176</v>
      </c>
      <c r="C387" s="153" t="s">
        <v>3066</v>
      </c>
      <c r="D387" s="153" t="s">
        <v>3067</v>
      </c>
      <c r="E387" s="153" t="s">
        <v>2086</v>
      </c>
      <c r="F387" s="6"/>
      <c r="G387" s="6"/>
      <c r="H387" s="85">
        <v>34500</v>
      </c>
      <c r="I387" s="103">
        <f>IFERROR(VLOOKUP(B387,'July 2026-Recived'!$B$2:$H$1300,7,0),0)</f>
        <v>0</v>
      </c>
      <c r="J387" s="103">
        <f>IFERROR(VLOOKUP(B387,'July 2026- Dispatch'!$B$2:$H$1300,7,0),0)</f>
        <v>3500</v>
      </c>
      <c r="K387" s="61">
        <f t="shared" si="6"/>
        <v>31000</v>
      </c>
      <c r="L387" s="123">
        <v>0</v>
      </c>
    </row>
    <row r="388" spans="1:12" hidden="1" x14ac:dyDescent="0.25">
      <c r="A388" s="7">
        <v>387</v>
      </c>
      <c r="B388" s="152" t="s">
        <v>1485</v>
      </c>
      <c r="C388" s="153" t="s">
        <v>3068</v>
      </c>
      <c r="D388" s="153" t="s">
        <v>3069</v>
      </c>
      <c r="E388" s="153" t="s">
        <v>2083</v>
      </c>
      <c r="F388" s="6"/>
      <c r="G388" s="6"/>
      <c r="H388" s="85">
        <v>0</v>
      </c>
      <c r="I388" s="103">
        <f>IFERROR(VLOOKUP(B388,'July 2026-Recived'!$B$2:$H$1300,7,0),0)</f>
        <v>0</v>
      </c>
      <c r="J388" s="103">
        <f>IFERROR(VLOOKUP(B388,'July 2026- Dispatch'!$B$2:$H$1300,7,0),0)</f>
        <v>0</v>
      </c>
      <c r="K388" s="61">
        <f t="shared" si="6"/>
        <v>0</v>
      </c>
      <c r="L388" s="123">
        <v>0</v>
      </c>
    </row>
    <row r="389" spans="1:12" hidden="1" x14ac:dyDescent="0.25">
      <c r="A389" s="7">
        <v>388</v>
      </c>
      <c r="B389" s="152" t="s">
        <v>1035</v>
      </c>
      <c r="C389" s="153" t="s">
        <v>3070</v>
      </c>
      <c r="D389" s="153" t="s">
        <v>3071</v>
      </c>
      <c r="E389" s="153" t="s">
        <v>2086</v>
      </c>
      <c r="F389" s="6"/>
      <c r="G389" s="6"/>
      <c r="H389" s="85">
        <v>44000</v>
      </c>
      <c r="I389" s="103">
        <f>IFERROR(VLOOKUP(B389,'July 2026-Recived'!$B$2:$H$1300,7,0),0)</f>
        <v>0</v>
      </c>
      <c r="J389" s="103">
        <f>IFERROR(VLOOKUP(B389,'July 2026- Dispatch'!$B$2:$H$1300,7,0),0)</f>
        <v>5500</v>
      </c>
      <c r="K389" s="61">
        <f t="shared" si="6"/>
        <v>38500</v>
      </c>
      <c r="L389" s="123">
        <v>0</v>
      </c>
    </row>
    <row r="390" spans="1:12" hidden="1" x14ac:dyDescent="0.25">
      <c r="A390" s="7">
        <v>389</v>
      </c>
      <c r="B390" s="152" t="s">
        <v>871</v>
      </c>
      <c r="C390" s="153" t="s">
        <v>3072</v>
      </c>
      <c r="D390" s="153" t="s">
        <v>3073</v>
      </c>
      <c r="E390" s="153" t="s">
        <v>2083</v>
      </c>
      <c r="F390" s="6"/>
      <c r="G390" s="6"/>
      <c r="H390" s="85">
        <v>0</v>
      </c>
      <c r="I390" s="103">
        <f>IFERROR(VLOOKUP(B390,'July 2026-Recived'!$B$2:$H$1300,7,0),0)</f>
        <v>0</v>
      </c>
      <c r="J390" s="103">
        <f>IFERROR(VLOOKUP(B390,'July 2026- Dispatch'!$B$2:$H$1300,7,0),0)</f>
        <v>0</v>
      </c>
      <c r="K390" s="61">
        <f t="shared" si="6"/>
        <v>0</v>
      </c>
      <c r="L390" s="123">
        <v>0</v>
      </c>
    </row>
    <row r="391" spans="1:12" hidden="1" x14ac:dyDescent="0.25">
      <c r="A391" s="7">
        <v>390</v>
      </c>
      <c r="B391" s="152" t="s">
        <v>1275</v>
      </c>
      <c r="C391" s="153" t="s">
        <v>3074</v>
      </c>
      <c r="D391" s="153" t="s">
        <v>3075</v>
      </c>
      <c r="E391" s="153" t="s">
        <v>2086</v>
      </c>
      <c r="F391" s="6"/>
      <c r="G391" s="6"/>
      <c r="H391" s="85">
        <v>190000</v>
      </c>
      <c r="I391" s="103">
        <f>IFERROR(VLOOKUP(B391,'July 2026-Recived'!$B$2:$H$1300,7,0),0)</f>
        <v>0</v>
      </c>
      <c r="J391" s="103">
        <f>IFERROR(VLOOKUP(B391,'July 2026- Dispatch'!$B$2:$H$1300,7,0),0)</f>
        <v>0</v>
      </c>
      <c r="K391" s="61">
        <f t="shared" si="6"/>
        <v>190000</v>
      </c>
      <c r="L391" s="123">
        <v>0</v>
      </c>
    </row>
    <row r="392" spans="1:12" hidden="1" x14ac:dyDescent="0.25">
      <c r="A392" s="7">
        <v>391</v>
      </c>
      <c r="B392" s="152" t="s">
        <v>23</v>
      </c>
      <c r="C392" s="153" t="s">
        <v>3076</v>
      </c>
      <c r="D392" s="153" t="s">
        <v>3077</v>
      </c>
      <c r="E392" s="153" t="s">
        <v>2086</v>
      </c>
      <c r="F392" s="6"/>
      <c r="G392" s="6"/>
      <c r="H392" s="85">
        <v>43500</v>
      </c>
      <c r="I392" s="103">
        <f>IFERROR(VLOOKUP(B392,'July 2026-Recived'!$B$2:$H$1300,7,0),0)</f>
        <v>0</v>
      </c>
      <c r="J392" s="103">
        <f>IFERROR(VLOOKUP(B392,'July 2026- Dispatch'!$B$2:$H$1300,7,0),0)</f>
        <v>19000</v>
      </c>
      <c r="K392" s="61">
        <f t="shared" si="6"/>
        <v>24500</v>
      </c>
      <c r="L392" s="123">
        <v>0</v>
      </c>
    </row>
    <row r="393" spans="1:12" hidden="1" x14ac:dyDescent="0.25">
      <c r="A393" s="7">
        <v>392</v>
      </c>
      <c r="B393" s="152" t="s">
        <v>178</v>
      </c>
      <c r="C393" s="153" t="s">
        <v>3078</v>
      </c>
      <c r="D393" s="153" t="s">
        <v>3079</v>
      </c>
      <c r="E393" s="153" t="s">
        <v>2083</v>
      </c>
      <c r="F393" s="6"/>
      <c r="G393" s="6"/>
      <c r="H393" s="85">
        <v>0</v>
      </c>
      <c r="I393" s="103">
        <f>IFERROR(VLOOKUP(B393,'July 2026-Recived'!$B$2:$H$1300,7,0),0)</f>
        <v>0</v>
      </c>
      <c r="J393" s="103">
        <f>IFERROR(VLOOKUP(B393,'July 2026- Dispatch'!$B$2:$H$1300,7,0),0)</f>
        <v>0</v>
      </c>
      <c r="K393" s="61">
        <f t="shared" si="6"/>
        <v>0</v>
      </c>
      <c r="L393" s="123">
        <v>0</v>
      </c>
    </row>
    <row r="394" spans="1:12" hidden="1" x14ac:dyDescent="0.25">
      <c r="A394" s="7">
        <v>393</v>
      </c>
      <c r="B394" s="152" t="s">
        <v>1845</v>
      </c>
      <c r="C394" s="153" t="s">
        <v>3080</v>
      </c>
      <c r="D394" s="153" t="s">
        <v>3081</v>
      </c>
      <c r="E394" s="153" t="s">
        <v>2083</v>
      </c>
      <c r="F394" s="6"/>
      <c r="G394" s="6"/>
      <c r="H394" s="85">
        <v>0</v>
      </c>
      <c r="I394" s="103">
        <f>IFERROR(VLOOKUP(B394,'July 2026-Recived'!$B$2:$H$1300,7,0),0)</f>
        <v>0</v>
      </c>
      <c r="J394" s="103">
        <f>IFERROR(VLOOKUP(B394,'July 2026- Dispatch'!$B$2:$H$1300,7,0),0)</f>
        <v>0</v>
      </c>
      <c r="K394" s="61">
        <f t="shared" si="6"/>
        <v>0</v>
      </c>
      <c r="L394" s="123">
        <v>0</v>
      </c>
    </row>
    <row r="395" spans="1:12" hidden="1" x14ac:dyDescent="0.25">
      <c r="A395" s="7">
        <v>394</v>
      </c>
      <c r="B395" s="152" t="s">
        <v>1842</v>
      </c>
      <c r="C395" s="153" t="s">
        <v>3082</v>
      </c>
      <c r="D395" s="153" t="s">
        <v>3083</v>
      </c>
      <c r="E395" s="153" t="s">
        <v>2083</v>
      </c>
      <c r="F395" s="6"/>
      <c r="G395" s="6"/>
      <c r="H395" s="85">
        <v>0</v>
      </c>
      <c r="I395" s="103">
        <f>IFERROR(VLOOKUP(B395,'July 2026-Recived'!$B$2:$H$1300,7,0),0)</f>
        <v>0</v>
      </c>
      <c r="J395" s="103">
        <f>IFERROR(VLOOKUP(B395,'July 2026- Dispatch'!$B$2:$H$1300,7,0),0)</f>
        <v>0</v>
      </c>
      <c r="K395" s="61">
        <f t="shared" si="6"/>
        <v>0</v>
      </c>
      <c r="L395" s="123">
        <v>0</v>
      </c>
    </row>
    <row r="396" spans="1:12" hidden="1" x14ac:dyDescent="0.25">
      <c r="A396" s="7">
        <v>395</v>
      </c>
      <c r="B396" s="152" t="s">
        <v>1839</v>
      </c>
      <c r="C396" s="153" t="s">
        <v>3084</v>
      </c>
      <c r="D396" s="153" t="s">
        <v>3085</v>
      </c>
      <c r="E396" s="153" t="s">
        <v>2083</v>
      </c>
      <c r="F396" s="6"/>
      <c r="G396" s="6"/>
      <c r="H396" s="85">
        <v>0</v>
      </c>
      <c r="I396" s="103">
        <f>IFERROR(VLOOKUP(B396,'July 2026-Recived'!$B$2:$H$1300,7,0),0)</f>
        <v>0</v>
      </c>
      <c r="J396" s="103">
        <f>IFERROR(VLOOKUP(B396,'July 2026- Dispatch'!$B$2:$H$1300,7,0),0)</f>
        <v>0</v>
      </c>
      <c r="K396" s="61">
        <f t="shared" si="6"/>
        <v>0</v>
      </c>
      <c r="L396" s="123">
        <v>0</v>
      </c>
    </row>
    <row r="397" spans="1:12" hidden="1" x14ac:dyDescent="0.25">
      <c r="A397" s="7">
        <v>396</v>
      </c>
      <c r="B397" s="152" t="s">
        <v>1836</v>
      </c>
      <c r="C397" s="153" t="s">
        <v>3086</v>
      </c>
      <c r="D397" s="153" t="s">
        <v>3087</v>
      </c>
      <c r="E397" s="153" t="s">
        <v>2083</v>
      </c>
      <c r="F397" s="6"/>
      <c r="G397" s="6"/>
      <c r="H397" s="85">
        <v>0</v>
      </c>
      <c r="I397" s="103">
        <f>IFERROR(VLOOKUP(B397,'July 2026-Recived'!$B$2:$H$1300,7,0),0)</f>
        <v>0</v>
      </c>
      <c r="J397" s="103">
        <f>IFERROR(VLOOKUP(B397,'July 2026- Dispatch'!$B$2:$H$1300,7,0),0)</f>
        <v>0</v>
      </c>
      <c r="K397" s="61">
        <f t="shared" si="6"/>
        <v>0</v>
      </c>
      <c r="L397" s="123">
        <v>0</v>
      </c>
    </row>
    <row r="398" spans="1:12" hidden="1" x14ac:dyDescent="0.25">
      <c r="A398" s="7">
        <v>397</v>
      </c>
      <c r="B398" s="152" t="s">
        <v>2043</v>
      </c>
      <c r="C398" s="153" t="s">
        <v>3088</v>
      </c>
      <c r="D398" s="153" t="s">
        <v>3089</v>
      </c>
      <c r="E398" s="153" t="s">
        <v>2086</v>
      </c>
      <c r="F398" s="6"/>
      <c r="G398" s="6"/>
      <c r="H398" s="85">
        <v>5000</v>
      </c>
      <c r="I398" s="103">
        <f>IFERROR(VLOOKUP(B398,'July 2026-Recived'!$B$2:$H$1300,7,0),0)</f>
        <v>13000</v>
      </c>
      <c r="J398" s="103">
        <f>IFERROR(VLOOKUP(B398,'July 2026- Dispatch'!$B$2:$H$1300,7,0),0)</f>
        <v>0</v>
      </c>
      <c r="K398" s="61">
        <f t="shared" si="6"/>
        <v>18000</v>
      </c>
      <c r="L398" s="123">
        <v>0</v>
      </c>
    </row>
    <row r="399" spans="1:12" hidden="1" x14ac:dyDescent="0.25">
      <c r="A399" s="7">
        <v>398</v>
      </c>
      <c r="B399" s="152" t="s">
        <v>1536</v>
      </c>
      <c r="C399" s="153" t="s">
        <v>3090</v>
      </c>
      <c r="D399" s="153" t="s">
        <v>3091</v>
      </c>
      <c r="E399" s="153" t="s">
        <v>2086</v>
      </c>
      <c r="F399" s="6"/>
      <c r="G399" s="6"/>
      <c r="H399" s="85">
        <v>153000</v>
      </c>
      <c r="I399" s="103">
        <f>IFERROR(VLOOKUP(B399,'July 2026-Recived'!$B$2:$H$1300,7,0),0)</f>
        <v>0</v>
      </c>
      <c r="J399" s="103">
        <f>IFERROR(VLOOKUP(B399,'July 2026- Dispatch'!$B$2:$H$1300,7,0),0)</f>
        <v>2500</v>
      </c>
      <c r="K399" s="61">
        <f t="shared" si="6"/>
        <v>150500</v>
      </c>
      <c r="L399" s="123">
        <v>0</v>
      </c>
    </row>
    <row r="400" spans="1:12" hidden="1" x14ac:dyDescent="0.25">
      <c r="A400" s="7">
        <v>399</v>
      </c>
      <c r="B400" s="152" t="s">
        <v>1018</v>
      </c>
      <c r="C400" s="153" t="s">
        <v>3092</v>
      </c>
      <c r="D400" s="153" t="s">
        <v>3093</v>
      </c>
      <c r="E400" s="153" t="s">
        <v>2086</v>
      </c>
      <c r="F400" s="6"/>
      <c r="G400" s="6"/>
      <c r="H400" s="85">
        <v>79500</v>
      </c>
      <c r="I400" s="103">
        <f>IFERROR(VLOOKUP(B400,'July 2026-Recived'!$B$2:$H$1300,7,0),0)</f>
        <v>50000</v>
      </c>
      <c r="J400" s="103">
        <f>IFERROR(VLOOKUP(B400,'July 2026- Dispatch'!$B$2:$H$1300,7,0),0)</f>
        <v>62500</v>
      </c>
      <c r="K400" s="61">
        <f t="shared" si="6"/>
        <v>67000</v>
      </c>
      <c r="L400" s="123">
        <v>0</v>
      </c>
    </row>
    <row r="401" spans="1:12" hidden="1" x14ac:dyDescent="0.25">
      <c r="A401" s="7">
        <v>400</v>
      </c>
      <c r="B401" s="152" t="s">
        <v>154</v>
      </c>
      <c r="C401" s="153" t="s">
        <v>3094</v>
      </c>
      <c r="D401" s="153" t="s">
        <v>3095</v>
      </c>
      <c r="E401" s="153" t="s">
        <v>2086</v>
      </c>
      <c r="F401" s="6"/>
      <c r="G401" s="6"/>
      <c r="H401" s="85">
        <v>32000</v>
      </c>
      <c r="I401" s="103">
        <f>IFERROR(VLOOKUP(B401,'July 2026-Recived'!$B$2:$H$1300,7,0),0)</f>
        <v>0</v>
      </c>
      <c r="J401" s="103">
        <f>IFERROR(VLOOKUP(B401,'July 2026- Dispatch'!$B$2:$H$1300,7,0),0)</f>
        <v>8000</v>
      </c>
      <c r="K401" s="61">
        <f t="shared" si="6"/>
        <v>24000</v>
      </c>
      <c r="L401" s="123">
        <v>0</v>
      </c>
    </row>
    <row r="402" spans="1:12" hidden="1" x14ac:dyDescent="0.25">
      <c r="A402" s="7">
        <v>401</v>
      </c>
      <c r="B402" s="152" t="s">
        <v>3096</v>
      </c>
      <c r="C402" s="153" t="s">
        <v>3097</v>
      </c>
      <c r="D402" s="153" t="s">
        <v>3098</v>
      </c>
      <c r="E402" s="153" t="s">
        <v>2083</v>
      </c>
      <c r="F402" s="6"/>
      <c r="G402" s="6"/>
      <c r="H402" s="85">
        <v>0</v>
      </c>
      <c r="I402" s="103">
        <f>IFERROR(VLOOKUP(B402,'July 2026-Recived'!$B$2:$H$1300,7,0),0)</f>
        <v>0</v>
      </c>
      <c r="J402" s="103">
        <f>IFERROR(VLOOKUP(B402,'July 2026- Dispatch'!$B$2:$H$1300,7,0),0)</f>
        <v>0</v>
      </c>
      <c r="K402" s="61">
        <f t="shared" si="6"/>
        <v>0</v>
      </c>
      <c r="L402" s="123">
        <v>0</v>
      </c>
    </row>
    <row r="403" spans="1:12" hidden="1" x14ac:dyDescent="0.25">
      <c r="A403" s="7">
        <v>402</v>
      </c>
      <c r="B403" s="152" t="s">
        <v>777</v>
      </c>
      <c r="C403" s="153" t="s">
        <v>3099</v>
      </c>
      <c r="D403" s="153" t="s">
        <v>3100</v>
      </c>
      <c r="E403" s="153" t="s">
        <v>2086</v>
      </c>
      <c r="F403" s="6"/>
      <c r="G403" s="6"/>
      <c r="H403" s="85">
        <v>950</v>
      </c>
      <c r="I403" s="103">
        <f>IFERROR(VLOOKUP(B403,'July 2026-Recived'!$B$2:$H$1300,7,0),0)</f>
        <v>0</v>
      </c>
      <c r="J403" s="103">
        <f>IFERROR(VLOOKUP(B403,'July 2026- Dispatch'!$B$2:$H$1300,7,0),0)</f>
        <v>503</v>
      </c>
      <c r="K403" s="61">
        <f t="shared" si="6"/>
        <v>447</v>
      </c>
      <c r="L403" s="123">
        <v>0</v>
      </c>
    </row>
    <row r="404" spans="1:12" hidden="1" x14ac:dyDescent="0.25">
      <c r="A404" s="7">
        <v>403</v>
      </c>
      <c r="B404" s="152" t="s">
        <v>943</v>
      </c>
      <c r="C404" s="153" t="s">
        <v>3101</v>
      </c>
      <c r="D404" s="153" t="s">
        <v>3102</v>
      </c>
      <c r="E404" s="153" t="s">
        <v>2086</v>
      </c>
      <c r="F404" s="6"/>
      <c r="G404" s="6"/>
      <c r="H404" s="85">
        <v>248000</v>
      </c>
      <c r="I404" s="103">
        <f>IFERROR(VLOOKUP(B404,'July 2026-Recived'!$B$2:$H$1300,7,0),0)</f>
        <v>131500</v>
      </c>
      <c r="J404" s="103">
        <f>IFERROR(VLOOKUP(B404,'July 2026- Dispatch'!$B$2:$H$1300,7,0),0)</f>
        <v>31000</v>
      </c>
      <c r="K404" s="61">
        <f t="shared" si="6"/>
        <v>348500</v>
      </c>
      <c r="L404" s="123">
        <v>0</v>
      </c>
    </row>
    <row r="405" spans="1:12" hidden="1" x14ac:dyDescent="0.25">
      <c r="A405" s="7">
        <v>404</v>
      </c>
      <c r="B405" s="152" t="s">
        <v>1113</v>
      </c>
      <c r="C405" s="153" t="s">
        <v>3103</v>
      </c>
      <c r="D405" s="153" t="s">
        <v>3104</v>
      </c>
      <c r="E405" s="153" t="s">
        <v>2086</v>
      </c>
      <c r="F405" s="6"/>
      <c r="G405" s="6"/>
      <c r="H405" s="85">
        <v>244000</v>
      </c>
      <c r="I405" s="103">
        <f>IFERROR(VLOOKUP(B405,'July 2026-Recived'!$B$2:$H$1300,7,0),0)</f>
        <v>0</v>
      </c>
      <c r="J405" s="103">
        <f>IFERROR(VLOOKUP(B405,'July 2026- Dispatch'!$B$2:$H$1300,7,0),0)</f>
        <v>119900</v>
      </c>
      <c r="K405" s="61">
        <f t="shared" si="6"/>
        <v>124100</v>
      </c>
      <c r="L405" s="123">
        <v>0</v>
      </c>
    </row>
    <row r="406" spans="1:12" hidden="1" x14ac:dyDescent="0.25">
      <c r="A406" s="7">
        <v>405</v>
      </c>
      <c r="B406" s="152" t="s">
        <v>90</v>
      </c>
      <c r="C406" s="153" t="s">
        <v>3105</v>
      </c>
      <c r="D406" s="153" t="s">
        <v>3106</v>
      </c>
      <c r="E406" s="153" t="s">
        <v>2086</v>
      </c>
      <c r="F406" s="6"/>
      <c r="G406" s="6"/>
      <c r="H406" s="85">
        <v>176000</v>
      </c>
      <c r="I406" s="103">
        <f>IFERROR(VLOOKUP(B406,'July 2026-Recived'!$B$2:$H$1300,7,0),0)</f>
        <v>212000</v>
      </c>
      <c r="J406" s="103">
        <f>IFERROR(VLOOKUP(B406,'July 2026- Dispatch'!$B$2:$H$1300,7,0),0)</f>
        <v>65500</v>
      </c>
      <c r="K406" s="61">
        <f t="shared" si="6"/>
        <v>322500</v>
      </c>
      <c r="L406" s="123">
        <v>0</v>
      </c>
    </row>
    <row r="407" spans="1:12" hidden="1" x14ac:dyDescent="0.25">
      <c r="A407" s="7">
        <v>406</v>
      </c>
      <c r="B407" s="152" t="s">
        <v>1101</v>
      </c>
      <c r="C407" s="153" t="s">
        <v>3107</v>
      </c>
      <c r="D407" s="153" t="s">
        <v>3108</v>
      </c>
      <c r="E407" s="153" t="s">
        <v>2086</v>
      </c>
      <c r="F407" s="6"/>
      <c r="G407" s="6"/>
      <c r="H407" s="85">
        <v>242000</v>
      </c>
      <c r="I407" s="103">
        <f>IFERROR(VLOOKUP(B407,'July 2026-Recived'!$B$2:$H$1300,7,0),0)</f>
        <v>0</v>
      </c>
      <c r="J407" s="103">
        <f>IFERROR(VLOOKUP(B407,'July 2026- Dispatch'!$B$2:$H$1300,7,0),0)</f>
        <v>53500</v>
      </c>
      <c r="K407" s="61">
        <f t="shared" si="6"/>
        <v>188500</v>
      </c>
      <c r="L407" s="123">
        <v>0</v>
      </c>
    </row>
    <row r="408" spans="1:12" hidden="1" x14ac:dyDescent="0.25">
      <c r="A408" s="7">
        <v>407</v>
      </c>
      <c r="B408" s="152" t="s">
        <v>934</v>
      </c>
      <c r="C408" s="153" t="s">
        <v>3109</v>
      </c>
      <c r="D408" s="153" t="s">
        <v>3110</v>
      </c>
      <c r="E408" s="153" t="s">
        <v>2086</v>
      </c>
      <c r="F408" s="6"/>
      <c r="G408" s="6"/>
      <c r="H408" s="85">
        <v>590000</v>
      </c>
      <c r="I408" s="103">
        <f>IFERROR(VLOOKUP(B408,'July 2026-Recived'!$B$2:$H$1300,7,0),0)</f>
        <v>0</v>
      </c>
      <c r="J408" s="103">
        <f>IFERROR(VLOOKUP(B408,'July 2026- Dispatch'!$B$2:$H$1300,7,0),0)</f>
        <v>29000</v>
      </c>
      <c r="K408" s="61">
        <f t="shared" si="6"/>
        <v>561000</v>
      </c>
      <c r="L408" s="123">
        <v>0</v>
      </c>
    </row>
    <row r="409" spans="1:12" hidden="1" x14ac:dyDescent="0.25">
      <c r="A409" s="7">
        <v>408</v>
      </c>
      <c r="B409" s="152" t="s">
        <v>1226</v>
      </c>
      <c r="C409" s="153" t="s">
        <v>3111</v>
      </c>
      <c r="D409" s="153" t="s">
        <v>3112</v>
      </c>
      <c r="E409" s="153" t="s">
        <v>2086</v>
      </c>
      <c r="F409" s="6"/>
      <c r="G409" s="6"/>
      <c r="H409" s="85">
        <v>662000</v>
      </c>
      <c r="I409" s="103">
        <f>IFERROR(VLOOKUP(B409,'July 2026-Recived'!$B$2:$H$1300,7,0),0)</f>
        <v>0</v>
      </c>
      <c r="J409" s="103">
        <f>IFERROR(VLOOKUP(B409,'July 2026- Dispatch'!$B$2:$H$1300,7,0),0)</f>
        <v>21000</v>
      </c>
      <c r="K409" s="61">
        <f t="shared" si="6"/>
        <v>641000</v>
      </c>
      <c r="L409" s="123">
        <v>0</v>
      </c>
    </row>
    <row r="410" spans="1:12" hidden="1" x14ac:dyDescent="0.25">
      <c r="A410" s="7">
        <v>409</v>
      </c>
      <c r="B410" s="152" t="s">
        <v>900</v>
      </c>
      <c r="C410" s="153" t="s">
        <v>3113</v>
      </c>
      <c r="D410" s="153" t="s">
        <v>3114</v>
      </c>
      <c r="E410" s="153" t="s">
        <v>2086</v>
      </c>
      <c r="F410" s="6"/>
      <c r="G410" s="6"/>
      <c r="H410" s="85">
        <v>216000</v>
      </c>
      <c r="I410" s="103">
        <f>IFERROR(VLOOKUP(B410,'July 2026-Recived'!$B$2:$H$1300,7,0),0)</f>
        <v>150000</v>
      </c>
      <c r="J410" s="103">
        <f>IFERROR(VLOOKUP(B410,'July 2026- Dispatch'!$B$2:$H$1300,7,0),0)</f>
        <v>149000</v>
      </c>
      <c r="K410" s="61">
        <f t="shared" si="6"/>
        <v>217000</v>
      </c>
      <c r="L410" s="123">
        <v>0</v>
      </c>
    </row>
    <row r="411" spans="1:12" hidden="1" x14ac:dyDescent="0.25">
      <c r="A411" s="7">
        <v>410</v>
      </c>
      <c r="B411" s="152" t="s">
        <v>833</v>
      </c>
      <c r="C411" s="153" t="s">
        <v>3115</v>
      </c>
      <c r="D411" s="153" t="s">
        <v>3116</v>
      </c>
      <c r="E411" s="153" t="s">
        <v>2086</v>
      </c>
      <c r="F411" s="6"/>
      <c r="G411" s="6"/>
      <c r="H411" s="85">
        <f>130300+245700</f>
        <v>376000</v>
      </c>
      <c r="I411" s="103">
        <f>IFERROR(VLOOKUP(B411,'July 2026-Recived'!$B$2:$H$1300,7,0),0)</f>
        <v>310000</v>
      </c>
      <c r="J411" s="103">
        <f>IFERROR(VLOOKUP(B411,'July 2026- Dispatch'!$B$2:$H$1300,7,0),0)</f>
        <v>500000</v>
      </c>
      <c r="K411" s="61">
        <f t="shared" si="6"/>
        <v>186000</v>
      </c>
      <c r="L411" s="123">
        <v>0</v>
      </c>
    </row>
    <row r="412" spans="1:12" hidden="1" x14ac:dyDescent="0.25">
      <c r="A412" s="7">
        <v>411</v>
      </c>
      <c r="B412" s="152" t="s">
        <v>1306</v>
      </c>
      <c r="C412" s="153" t="s">
        <v>3117</v>
      </c>
      <c r="D412" s="153" t="s">
        <v>3118</v>
      </c>
      <c r="E412" s="153" t="s">
        <v>2086</v>
      </c>
      <c r="F412" s="6"/>
      <c r="G412" s="6"/>
      <c r="H412" s="85">
        <v>800000</v>
      </c>
      <c r="I412" s="103">
        <f>IFERROR(VLOOKUP(B412,'July 2026-Recived'!$B$2:$H$1300,7,0),0)</f>
        <v>0</v>
      </c>
      <c r="J412" s="103">
        <f>IFERROR(VLOOKUP(B412,'July 2026- Dispatch'!$B$2:$H$1300,7,0),0)</f>
        <v>720000</v>
      </c>
      <c r="K412" s="61">
        <f t="shared" si="6"/>
        <v>80000</v>
      </c>
      <c r="L412" s="123">
        <v>0</v>
      </c>
    </row>
    <row r="413" spans="1:12" hidden="1" x14ac:dyDescent="0.25">
      <c r="A413" s="7">
        <v>412</v>
      </c>
      <c r="B413" s="152" t="s">
        <v>1105</v>
      </c>
      <c r="C413" s="153" t="s">
        <v>3119</v>
      </c>
      <c r="D413" s="153" t="s">
        <v>3120</v>
      </c>
      <c r="E413" s="153" t="s">
        <v>2083</v>
      </c>
      <c r="F413" s="6"/>
      <c r="G413" s="6"/>
      <c r="H413" s="85">
        <v>0</v>
      </c>
      <c r="I413" s="103">
        <f>IFERROR(VLOOKUP(B413,'July 2026-Recived'!$B$2:$H$1300,7,0),0)</f>
        <v>0</v>
      </c>
      <c r="J413" s="103">
        <f>IFERROR(VLOOKUP(B413,'July 2026- Dispatch'!$B$2:$H$1300,7,0),0)</f>
        <v>0</v>
      </c>
      <c r="K413" s="61">
        <f t="shared" si="6"/>
        <v>0</v>
      </c>
      <c r="L413" s="123">
        <v>0</v>
      </c>
    </row>
    <row r="414" spans="1:12" hidden="1" x14ac:dyDescent="0.25">
      <c r="A414" s="7">
        <v>413</v>
      </c>
      <c r="B414" s="152" t="s">
        <v>997</v>
      </c>
      <c r="C414" s="153" t="s">
        <v>3121</v>
      </c>
      <c r="D414" s="153" t="s">
        <v>3122</v>
      </c>
      <c r="E414" s="153" t="s">
        <v>2086</v>
      </c>
      <c r="F414" s="6"/>
      <c r="G414" s="6"/>
      <c r="H414" s="85">
        <v>267750</v>
      </c>
      <c r="I414" s="103">
        <f>IFERROR(VLOOKUP(B414,'July 2026-Recived'!$B$2:$H$1300,7,0),0)</f>
        <v>0</v>
      </c>
      <c r="J414" s="103">
        <f>IFERROR(VLOOKUP(B414,'July 2026- Dispatch'!$B$2:$H$1300,7,0),0)</f>
        <v>20500</v>
      </c>
      <c r="K414" s="61">
        <f t="shared" si="6"/>
        <v>247250</v>
      </c>
      <c r="L414" s="123">
        <v>0</v>
      </c>
    </row>
    <row r="415" spans="1:12" hidden="1" x14ac:dyDescent="0.25">
      <c r="A415" s="7">
        <v>414</v>
      </c>
      <c r="B415" s="152" t="s">
        <v>891</v>
      </c>
      <c r="C415" s="153" t="s">
        <v>3123</v>
      </c>
      <c r="D415" s="153" t="s">
        <v>3124</v>
      </c>
      <c r="E415" s="153" t="s">
        <v>2086</v>
      </c>
      <c r="F415" s="6"/>
      <c r="G415" s="6"/>
      <c r="H415" s="85">
        <v>176500</v>
      </c>
      <c r="I415" s="103">
        <f>IFERROR(VLOOKUP(B415,'July 2026-Recived'!$B$2:$H$1300,7,0),0)</f>
        <v>0</v>
      </c>
      <c r="J415" s="103">
        <f>IFERROR(VLOOKUP(B415,'July 2026- Dispatch'!$B$2:$H$1300,7,0),0)</f>
        <v>66300</v>
      </c>
      <c r="K415" s="61">
        <f t="shared" si="6"/>
        <v>110200</v>
      </c>
      <c r="L415" s="123">
        <v>0</v>
      </c>
    </row>
    <row r="416" spans="1:12" hidden="1" x14ac:dyDescent="0.25">
      <c r="A416" s="7">
        <v>415</v>
      </c>
      <c r="B416" s="152" t="s">
        <v>93</v>
      </c>
      <c r="C416" s="153" t="s">
        <v>3125</v>
      </c>
      <c r="D416" s="153" t="s">
        <v>3126</v>
      </c>
      <c r="E416" s="153" t="s">
        <v>2086</v>
      </c>
      <c r="F416" s="6"/>
      <c r="G416" s="6"/>
      <c r="H416" s="85">
        <v>115000</v>
      </c>
      <c r="I416" s="103">
        <f>IFERROR(VLOOKUP(B416,'July 2026-Recived'!$B$2:$H$1300,7,0),0)</f>
        <v>88000</v>
      </c>
      <c r="J416" s="103">
        <f>IFERROR(VLOOKUP(B416,'July 2026- Dispatch'!$B$2:$H$1300,7,0),0)</f>
        <v>44000</v>
      </c>
      <c r="K416" s="61">
        <f t="shared" si="6"/>
        <v>159000</v>
      </c>
      <c r="L416" s="123">
        <v>0</v>
      </c>
    </row>
    <row r="417" spans="1:13" hidden="1" x14ac:dyDescent="0.25">
      <c r="A417" s="7">
        <v>416</v>
      </c>
      <c r="B417" s="152" t="s">
        <v>1482</v>
      </c>
      <c r="C417" s="153" t="s">
        <v>3127</v>
      </c>
      <c r="D417" s="153" t="s">
        <v>3128</v>
      </c>
      <c r="E417" s="153" t="s">
        <v>2086</v>
      </c>
      <c r="F417" s="6"/>
      <c r="G417" s="6"/>
      <c r="H417" s="85">
        <v>84460</v>
      </c>
      <c r="I417" s="103">
        <f>IFERROR(VLOOKUP(B417,'July 2026-Recived'!$B$2:$H$1300,7,0),0)</f>
        <v>12000</v>
      </c>
      <c r="J417" s="103">
        <f>IFERROR(VLOOKUP(B417,'July 2026- Dispatch'!$B$2:$H$1300,7,0),0)</f>
        <v>19360</v>
      </c>
      <c r="K417" s="61">
        <f t="shared" si="6"/>
        <v>77100</v>
      </c>
      <c r="L417" s="123">
        <v>0</v>
      </c>
    </row>
    <row r="418" spans="1:13" hidden="1" x14ac:dyDescent="0.25">
      <c r="A418" s="7">
        <v>417</v>
      </c>
      <c r="B418" s="155" t="s">
        <v>959</v>
      </c>
      <c r="C418" s="156" t="s">
        <v>3129</v>
      </c>
      <c r="D418" s="156" t="s">
        <v>3130</v>
      </c>
      <c r="E418" s="153" t="s">
        <v>2086</v>
      </c>
      <c r="F418" s="6"/>
      <c r="G418" s="6"/>
      <c r="H418" s="85">
        <v>384</v>
      </c>
      <c r="I418" s="103">
        <f>IFERROR(VLOOKUP(B418,'July 2026-Recived'!$B$2:$H$1300,7,0),0)</f>
        <v>0</v>
      </c>
      <c r="J418" s="103">
        <f>IFERROR(VLOOKUP(B418,'July 2026- Dispatch'!$B$2:$H$1300,7,0),0)</f>
        <v>58</v>
      </c>
      <c r="K418" s="61">
        <f t="shared" si="6"/>
        <v>326</v>
      </c>
      <c r="L418" s="123">
        <v>0</v>
      </c>
    </row>
    <row r="419" spans="1:13" hidden="1" x14ac:dyDescent="0.25">
      <c r="A419" s="7">
        <v>418</v>
      </c>
      <c r="B419" s="152" t="s">
        <v>1099</v>
      </c>
      <c r="C419" s="153" t="s">
        <v>3131</v>
      </c>
      <c r="D419" s="153" t="s">
        <v>3132</v>
      </c>
      <c r="E419" s="153" t="s">
        <v>2086</v>
      </c>
      <c r="F419" s="6"/>
      <c r="G419" s="6"/>
      <c r="H419" s="85">
        <v>117000</v>
      </c>
      <c r="I419" s="103">
        <f>IFERROR(VLOOKUP(B419,'July 2026-Recived'!$B$2:$H$1300,7,0),0)</f>
        <v>300000</v>
      </c>
      <c r="J419" s="103">
        <f>IFERROR(VLOOKUP(B419,'July 2026- Dispatch'!$B$2:$H$1300,7,0),0)</f>
        <v>42000</v>
      </c>
      <c r="K419" s="61">
        <f t="shared" si="6"/>
        <v>375000</v>
      </c>
      <c r="L419" s="123">
        <v>0</v>
      </c>
    </row>
    <row r="420" spans="1:13" hidden="1" x14ac:dyDescent="0.25">
      <c r="A420" s="7">
        <v>419</v>
      </c>
      <c r="B420" s="152" t="s">
        <v>967</v>
      </c>
      <c r="C420" s="153" t="s">
        <v>3133</v>
      </c>
      <c r="D420" s="153" t="s">
        <v>3134</v>
      </c>
      <c r="E420" s="153" t="s">
        <v>2086</v>
      </c>
      <c r="F420" s="6"/>
      <c r="G420" s="6"/>
      <c r="H420" s="85">
        <v>116000</v>
      </c>
      <c r="I420" s="103">
        <f>IFERROR(VLOOKUP(B420,'July 2026-Recived'!$B$2:$H$1300,7,0),0)</f>
        <v>59000</v>
      </c>
      <c r="J420" s="103">
        <f>IFERROR(VLOOKUP(B420,'July 2026- Dispatch'!$B$2:$H$1300,7,0),0)</f>
        <v>53000</v>
      </c>
      <c r="K420" s="61">
        <f t="shared" si="6"/>
        <v>122000</v>
      </c>
      <c r="L420" s="123">
        <v>0</v>
      </c>
    </row>
    <row r="421" spans="1:13" hidden="1" x14ac:dyDescent="0.25">
      <c r="A421" s="7">
        <v>420</v>
      </c>
      <c r="B421" s="152" t="s">
        <v>181</v>
      </c>
      <c r="C421" s="153" t="s">
        <v>3135</v>
      </c>
      <c r="D421" s="153" t="s">
        <v>3136</v>
      </c>
      <c r="E421" s="153" t="s">
        <v>2083</v>
      </c>
      <c r="F421" s="6"/>
      <c r="G421" s="6"/>
      <c r="H421" s="85">
        <v>0</v>
      </c>
      <c r="I421" s="103">
        <f>IFERROR(VLOOKUP(B421,'July 2026-Recived'!$B$2:$H$1300,7,0),0)</f>
        <v>0</v>
      </c>
      <c r="J421" s="103">
        <f>IFERROR(VLOOKUP(B421,'July 2026- Dispatch'!$B$2:$H$1300,7,0),0)</f>
        <v>0</v>
      </c>
      <c r="K421" s="61">
        <f t="shared" si="6"/>
        <v>0</v>
      </c>
      <c r="L421" s="123">
        <v>0</v>
      </c>
    </row>
    <row r="422" spans="1:13" hidden="1" x14ac:dyDescent="0.25">
      <c r="A422" s="7">
        <v>421</v>
      </c>
      <c r="B422" s="152" t="s">
        <v>3137</v>
      </c>
      <c r="C422" s="153" t="s">
        <v>3138</v>
      </c>
      <c r="D422" s="153" t="s">
        <v>3139</v>
      </c>
      <c r="E422" s="153" t="s">
        <v>2083</v>
      </c>
      <c r="F422" s="6"/>
      <c r="G422" s="6"/>
      <c r="H422" s="85">
        <v>0</v>
      </c>
      <c r="I422" s="103">
        <f>IFERROR(VLOOKUP(B422,'July 2026-Recived'!$B$2:$H$1300,7,0),0)</f>
        <v>0</v>
      </c>
      <c r="J422" s="103">
        <f>IFERROR(VLOOKUP(B422,'July 2026- Dispatch'!$B$2:$H$1300,7,0),0)</f>
        <v>0</v>
      </c>
      <c r="K422" s="61">
        <f t="shared" si="6"/>
        <v>0</v>
      </c>
      <c r="L422" s="123">
        <v>0</v>
      </c>
    </row>
    <row r="423" spans="1:13" hidden="1" x14ac:dyDescent="0.25">
      <c r="A423" s="7">
        <v>422</v>
      </c>
      <c r="B423" s="152" t="s">
        <v>922</v>
      </c>
      <c r="C423" s="153" t="s">
        <v>3140</v>
      </c>
      <c r="D423" s="153" t="s">
        <v>3141</v>
      </c>
      <c r="E423" s="153" t="s">
        <v>2083</v>
      </c>
      <c r="F423" s="6"/>
      <c r="G423" s="6"/>
      <c r="H423" s="85">
        <v>0</v>
      </c>
      <c r="I423" s="103">
        <f>IFERROR(VLOOKUP(B423,'July 2026-Recived'!$B$2:$H$1300,7,0),0)</f>
        <v>480000</v>
      </c>
      <c r="J423" s="103">
        <f>IFERROR(VLOOKUP(B423,'July 2026- Dispatch'!$B$2:$H$1300,7,0),0)</f>
        <v>100800</v>
      </c>
      <c r="K423" s="61">
        <f t="shared" si="6"/>
        <v>379200</v>
      </c>
      <c r="L423" s="123">
        <v>0</v>
      </c>
    </row>
    <row r="424" spans="1:13" hidden="1" x14ac:dyDescent="0.25">
      <c r="A424" s="7">
        <v>423</v>
      </c>
      <c r="B424" s="152" t="s">
        <v>168</v>
      </c>
      <c r="C424" s="153" t="s">
        <v>3142</v>
      </c>
      <c r="D424" s="153" t="s">
        <v>3143</v>
      </c>
      <c r="E424" s="153" t="s">
        <v>2083</v>
      </c>
      <c r="F424" s="6"/>
      <c r="G424" s="6"/>
      <c r="H424" s="85">
        <v>0</v>
      </c>
      <c r="I424" s="103">
        <f>IFERROR(VLOOKUP(B424,'July 2026-Recived'!$B$2:$H$1300,7,0),0)</f>
        <v>510</v>
      </c>
      <c r="J424" s="103">
        <f>IFERROR(VLOOKUP(B424,'July 2026- Dispatch'!$B$2:$H$1300,7,0),0)</f>
        <v>0</v>
      </c>
      <c r="K424" s="61">
        <f t="shared" si="6"/>
        <v>510</v>
      </c>
      <c r="L424" s="123">
        <v>0</v>
      </c>
    </row>
    <row r="425" spans="1:13" hidden="1" x14ac:dyDescent="0.25">
      <c r="A425" s="7">
        <v>424</v>
      </c>
      <c r="B425" s="152" t="s">
        <v>1560</v>
      </c>
      <c r="C425" s="153" t="s">
        <v>3144</v>
      </c>
      <c r="D425" s="153" t="s">
        <v>3145</v>
      </c>
      <c r="E425" s="153" t="s">
        <v>2083</v>
      </c>
      <c r="F425" s="6"/>
      <c r="G425" s="6"/>
      <c r="H425" s="85">
        <f>23500</f>
        <v>23500</v>
      </c>
      <c r="I425" s="103">
        <f>IFERROR(VLOOKUP(B425,'July 2026-Recived'!$B$2:$H$1300,7,0),0)</f>
        <v>0</v>
      </c>
      <c r="J425" s="103">
        <f>IFERROR(VLOOKUP(B425,'July 2026- Dispatch'!$B$2:$H$1300,7,0),0)</f>
        <v>5500</v>
      </c>
      <c r="K425" s="61">
        <f t="shared" si="6"/>
        <v>18000</v>
      </c>
      <c r="L425" s="123">
        <v>0</v>
      </c>
      <c r="M425" t="s">
        <v>3146</v>
      </c>
    </row>
    <row r="426" spans="1:13" hidden="1" x14ac:dyDescent="0.25">
      <c r="A426" s="7">
        <v>425</v>
      </c>
      <c r="B426" s="152" t="s">
        <v>1421</v>
      </c>
      <c r="C426" s="153" t="s">
        <v>3147</v>
      </c>
      <c r="D426" s="153" t="s">
        <v>3148</v>
      </c>
      <c r="E426" s="153" t="s">
        <v>2086</v>
      </c>
      <c r="F426" s="6"/>
      <c r="G426" s="6"/>
      <c r="H426" s="85">
        <v>9000</v>
      </c>
      <c r="I426" s="103">
        <f>IFERROR(VLOOKUP(B426,'July 2026-Recived'!$B$2:$H$1300,7,0),0)</f>
        <v>0</v>
      </c>
      <c r="J426" s="103">
        <f>IFERROR(VLOOKUP(B426,'July 2026- Dispatch'!$B$2:$H$1300,7,0),0)</f>
        <v>1000</v>
      </c>
      <c r="K426" s="61">
        <f t="shared" si="6"/>
        <v>8000</v>
      </c>
      <c r="L426" s="123">
        <v>0</v>
      </c>
    </row>
    <row r="427" spans="1:13" hidden="1" x14ac:dyDescent="0.25">
      <c r="A427" s="7">
        <v>426</v>
      </c>
      <c r="B427" s="155" t="s">
        <v>217</v>
      </c>
      <c r="C427" s="156" t="s">
        <v>3149</v>
      </c>
      <c r="D427" s="156" t="s">
        <v>3150</v>
      </c>
      <c r="E427" s="153" t="s">
        <v>2086</v>
      </c>
      <c r="F427" s="6"/>
      <c r="G427" s="6"/>
      <c r="H427" s="85">
        <v>42</v>
      </c>
      <c r="I427" s="103">
        <f>IFERROR(VLOOKUP(B427,'July 2026-Recived'!$B$2:$H$1300,7,0),0)</f>
        <v>0</v>
      </c>
      <c r="J427" s="103">
        <f>IFERROR(VLOOKUP(B427,'July 2026- Dispatch'!$B$2:$H$1300,7,0),0)</f>
        <v>0</v>
      </c>
      <c r="K427" s="61">
        <f t="shared" si="6"/>
        <v>42</v>
      </c>
      <c r="L427" s="123">
        <v>0</v>
      </c>
    </row>
    <row r="428" spans="1:13" hidden="1" x14ac:dyDescent="0.25">
      <c r="A428" s="7">
        <v>427</v>
      </c>
      <c r="B428" s="152" t="s">
        <v>3151</v>
      </c>
      <c r="C428" s="153" t="s">
        <v>3152</v>
      </c>
      <c r="D428" s="153" t="s">
        <v>3153</v>
      </c>
      <c r="E428" s="153" t="s">
        <v>2083</v>
      </c>
      <c r="F428" s="6"/>
      <c r="G428" s="6"/>
      <c r="H428" s="85">
        <v>0</v>
      </c>
      <c r="I428" s="103">
        <f>IFERROR(VLOOKUP(B428,'July 2026-Recived'!$B$2:$H$1300,7,0),0)</f>
        <v>800</v>
      </c>
      <c r="J428" s="103">
        <f>IFERROR(VLOOKUP(B428,'July 2026- Dispatch'!$B$2:$H$1300,7,0),0)</f>
        <v>0</v>
      </c>
      <c r="K428" s="61">
        <f t="shared" si="6"/>
        <v>800</v>
      </c>
      <c r="L428" s="123">
        <v>0</v>
      </c>
    </row>
    <row r="429" spans="1:13" hidden="1" x14ac:dyDescent="0.25">
      <c r="A429" s="7">
        <v>428</v>
      </c>
      <c r="B429" s="152" t="s">
        <v>3154</v>
      </c>
      <c r="C429" s="153" t="s">
        <v>3155</v>
      </c>
      <c r="D429" s="153" t="s">
        <v>3156</v>
      </c>
      <c r="E429" s="153" t="s">
        <v>2083</v>
      </c>
      <c r="F429" s="6"/>
      <c r="G429" s="6"/>
      <c r="H429" s="85">
        <v>0</v>
      </c>
      <c r="I429" s="103">
        <f>IFERROR(VLOOKUP(B429,'July 2026-Recived'!$B$2:$H$1300,7,0),0)</f>
        <v>0</v>
      </c>
      <c r="J429" s="103">
        <f>IFERROR(VLOOKUP(B429,'July 2026- Dispatch'!$B$2:$H$1300,7,0),0)</f>
        <v>0</v>
      </c>
      <c r="K429" s="61">
        <f t="shared" si="6"/>
        <v>0</v>
      </c>
      <c r="L429" s="123">
        <v>0</v>
      </c>
    </row>
    <row r="430" spans="1:13" hidden="1" x14ac:dyDescent="0.25">
      <c r="A430" s="7">
        <v>429</v>
      </c>
      <c r="B430" s="155" t="s">
        <v>1931</v>
      </c>
      <c r="C430" s="156" t="s">
        <v>3157</v>
      </c>
      <c r="D430" s="156" t="s">
        <v>3158</v>
      </c>
      <c r="E430" s="153" t="s">
        <v>2083</v>
      </c>
      <c r="F430" s="6"/>
      <c r="G430" s="6"/>
      <c r="H430" s="85">
        <v>0</v>
      </c>
      <c r="I430" s="103">
        <f>IFERROR(VLOOKUP(B430,'July 2026-Recived'!$B$2:$H$1300,7,0),0)</f>
        <v>1500</v>
      </c>
      <c r="J430" s="103">
        <f>IFERROR(VLOOKUP(B430,'July 2026- Dispatch'!$B$2:$H$1300,7,0),0)</f>
        <v>6</v>
      </c>
      <c r="K430" s="61">
        <f t="shared" si="6"/>
        <v>1494</v>
      </c>
      <c r="L430" s="123">
        <v>0</v>
      </c>
    </row>
    <row r="431" spans="1:13" hidden="1" x14ac:dyDescent="0.25">
      <c r="A431" s="7">
        <v>430</v>
      </c>
      <c r="B431" s="152" t="s">
        <v>184</v>
      </c>
      <c r="C431" s="153" t="s">
        <v>3159</v>
      </c>
      <c r="D431" s="153" t="s">
        <v>3160</v>
      </c>
      <c r="E431" s="153" t="s">
        <v>2083</v>
      </c>
      <c r="F431" s="6"/>
      <c r="G431" s="6"/>
      <c r="H431" s="85">
        <v>0</v>
      </c>
      <c r="I431" s="103">
        <f>IFERROR(VLOOKUP(B431,'July 2026-Recived'!$B$2:$H$1300,7,0),0)</f>
        <v>8000</v>
      </c>
      <c r="J431" s="103">
        <f>IFERROR(VLOOKUP(B431,'July 2026- Dispatch'!$B$2:$H$1300,7,0),0)</f>
        <v>1000</v>
      </c>
      <c r="K431" s="61">
        <f t="shared" si="6"/>
        <v>7000</v>
      </c>
      <c r="L431" s="123">
        <v>0</v>
      </c>
    </row>
    <row r="432" spans="1:13" hidden="1" x14ac:dyDescent="0.25">
      <c r="A432" s="7">
        <v>431</v>
      </c>
      <c r="B432" s="152" t="s">
        <v>1925</v>
      </c>
      <c r="C432" s="153" t="s">
        <v>3161</v>
      </c>
      <c r="D432" s="153" t="s">
        <v>3162</v>
      </c>
      <c r="E432" s="153" t="s">
        <v>2083</v>
      </c>
      <c r="F432" s="6"/>
      <c r="G432" s="6"/>
      <c r="H432" s="85">
        <v>0</v>
      </c>
      <c r="I432" s="103">
        <f>IFERROR(VLOOKUP(B432,'July 2026-Recived'!$B$2:$H$1300,7,0),0)</f>
        <v>0</v>
      </c>
      <c r="J432" s="103">
        <f>IFERROR(VLOOKUP(B432,'July 2026- Dispatch'!$B$2:$H$1300,7,0),0)</f>
        <v>0</v>
      </c>
      <c r="K432" s="61">
        <f t="shared" si="6"/>
        <v>0</v>
      </c>
      <c r="L432" s="123">
        <v>0</v>
      </c>
    </row>
    <row r="433" spans="1:12" hidden="1" x14ac:dyDescent="0.25">
      <c r="A433" s="7">
        <v>432</v>
      </c>
      <c r="B433" s="152" t="s">
        <v>129</v>
      </c>
      <c r="C433" s="153" t="s">
        <v>3163</v>
      </c>
      <c r="D433" s="153" t="s">
        <v>3164</v>
      </c>
      <c r="E433" s="153" t="s">
        <v>2083</v>
      </c>
      <c r="F433" s="6"/>
      <c r="G433" s="6"/>
      <c r="H433" s="85">
        <v>0</v>
      </c>
      <c r="I433" s="103">
        <f>IFERROR(VLOOKUP(B433,'July 2026-Recived'!$B$2:$H$1300,7,0),0)</f>
        <v>100000</v>
      </c>
      <c r="J433" s="103">
        <f>IFERROR(VLOOKUP(B433,'July 2026- Dispatch'!$B$2:$H$1300,7,0),0)</f>
        <v>0</v>
      </c>
      <c r="K433" s="61">
        <f t="shared" si="6"/>
        <v>100000</v>
      </c>
      <c r="L433" s="123">
        <v>0</v>
      </c>
    </row>
    <row r="434" spans="1:12" hidden="1" x14ac:dyDescent="0.25">
      <c r="A434" s="7">
        <v>433</v>
      </c>
      <c r="B434" s="152" t="s">
        <v>1679</v>
      </c>
      <c r="C434" s="153" t="s">
        <v>3165</v>
      </c>
      <c r="D434" s="153" t="s">
        <v>3166</v>
      </c>
      <c r="E434" s="153" t="s">
        <v>2086</v>
      </c>
      <c r="F434" s="6"/>
      <c r="G434" s="6"/>
      <c r="H434" s="85">
        <v>168500</v>
      </c>
      <c r="I434" s="103">
        <f>IFERROR(VLOOKUP(B434,'July 2026-Recived'!$B$2:$H$1300,7,0),0)</f>
        <v>110000</v>
      </c>
      <c r="J434" s="103">
        <f>IFERROR(VLOOKUP(B434,'July 2026- Dispatch'!$B$2:$H$1300,7,0),0)</f>
        <v>225000</v>
      </c>
      <c r="K434" s="61">
        <f t="shared" si="6"/>
        <v>53500</v>
      </c>
      <c r="L434" s="123">
        <v>0</v>
      </c>
    </row>
    <row r="435" spans="1:12" hidden="1" x14ac:dyDescent="0.25">
      <c r="A435" s="7">
        <v>434</v>
      </c>
      <c r="B435" s="152" t="s">
        <v>1816</v>
      </c>
      <c r="C435" s="153" t="s">
        <v>3167</v>
      </c>
      <c r="D435" s="153" t="s">
        <v>3168</v>
      </c>
      <c r="E435" s="153" t="s">
        <v>2086</v>
      </c>
      <c r="F435" s="6"/>
      <c r="G435" s="6"/>
      <c r="H435" s="85">
        <v>14000</v>
      </c>
      <c r="I435" s="103">
        <f>IFERROR(VLOOKUP(B435,'July 2026-Recived'!$B$2:$H$1300,7,0),0)</f>
        <v>30000</v>
      </c>
      <c r="J435" s="103">
        <f>IFERROR(VLOOKUP(B435,'July 2026- Dispatch'!$B$2:$H$1300,7,0),0)</f>
        <v>21217</v>
      </c>
      <c r="K435" s="61">
        <f t="shared" si="6"/>
        <v>22783</v>
      </c>
      <c r="L435" s="123">
        <v>0</v>
      </c>
    </row>
    <row r="436" spans="1:12" hidden="1" x14ac:dyDescent="0.25">
      <c r="A436" s="7">
        <v>435</v>
      </c>
      <c r="B436" s="152" t="s">
        <v>165</v>
      </c>
      <c r="C436" s="153" t="s">
        <v>3169</v>
      </c>
      <c r="D436" s="153" t="s">
        <v>3170</v>
      </c>
      <c r="E436" s="153" t="s">
        <v>2083</v>
      </c>
      <c r="F436" s="6"/>
      <c r="G436" s="6"/>
      <c r="H436" s="85">
        <v>0</v>
      </c>
      <c r="I436" s="103">
        <f>IFERROR(VLOOKUP(B436,'July 2026-Recived'!$B$2:$H$1300,7,0),0)</f>
        <v>0</v>
      </c>
      <c r="J436" s="103">
        <f>IFERROR(VLOOKUP(B436,'July 2026- Dispatch'!$B$2:$H$1300,7,0),0)</f>
        <v>0</v>
      </c>
      <c r="K436" s="61">
        <f t="shared" si="6"/>
        <v>0</v>
      </c>
      <c r="L436" s="123">
        <v>0</v>
      </c>
    </row>
    <row r="437" spans="1:12" hidden="1" x14ac:dyDescent="0.25">
      <c r="A437" s="7">
        <v>436</v>
      </c>
      <c r="B437" s="152" t="s">
        <v>36</v>
      </c>
      <c r="C437" s="153" t="s">
        <v>3171</v>
      </c>
      <c r="D437" s="153" t="s">
        <v>3172</v>
      </c>
      <c r="E437" s="153" t="s">
        <v>2083</v>
      </c>
      <c r="F437" s="6"/>
      <c r="G437" s="6"/>
      <c r="H437" s="85">
        <v>0</v>
      </c>
      <c r="I437" s="103">
        <f>IFERROR(VLOOKUP(B437,'July 2026-Recived'!$B$2:$H$1300,7,0),0)</f>
        <v>0</v>
      </c>
      <c r="J437" s="103">
        <f>IFERROR(VLOOKUP(B437,'July 2026- Dispatch'!$B$2:$H$1300,7,0),0)</f>
        <v>0</v>
      </c>
      <c r="K437" s="61">
        <f t="shared" si="6"/>
        <v>0</v>
      </c>
      <c r="L437" s="123">
        <v>0</v>
      </c>
    </row>
    <row r="438" spans="1:12" hidden="1" x14ac:dyDescent="0.25">
      <c r="A438" s="7">
        <v>437</v>
      </c>
      <c r="B438" s="155" t="s">
        <v>1396</v>
      </c>
      <c r="C438" s="156" t="s">
        <v>3173</v>
      </c>
      <c r="D438" s="156" t="s">
        <v>3174</v>
      </c>
      <c r="E438" s="153" t="s">
        <v>2086</v>
      </c>
      <c r="F438" s="6"/>
      <c r="G438" s="6"/>
      <c r="H438" s="85">
        <v>19000</v>
      </c>
      <c r="I438" s="103">
        <f>IFERROR(VLOOKUP(B438,'July 2026-Recived'!$B$2:$H$1300,7,0),0)</f>
        <v>0</v>
      </c>
      <c r="J438" s="103">
        <f>IFERROR(VLOOKUP(B438,'July 2026- Dispatch'!$B$2:$H$1300,7,0),0)</f>
        <v>1500</v>
      </c>
      <c r="K438" s="61">
        <f t="shared" si="6"/>
        <v>17500</v>
      </c>
      <c r="L438" s="123">
        <v>0</v>
      </c>
    </row>
    <row r="439" spans="1:12" hidden="1" x14ac:dyDescent="0.25">
      <c r="A439" s="7">
        <v>438</v>
      </c>
      <c r="B439" s="152" t="s">
        <v>3175</v>
      </c>
      <c r="C439" s="153" t="s">
        <v>3176</v>
      </c>
      <c r="D439" s="153" t="s">
        <v>3177</v>
      </c>
      <c r="E439" s="153" t="s">
        <v>2083</v>
      </c>
      <c r="F439" s="6"/>
      <c r="G439" s="6"/>
      <c r="H439" s="85">
        <v>0</v>
      </c>
      <c r="I439" s="103">
        <f>IFERROR(VLOOKUP(B439,'July 2026-Recived'!$B$2:$H$1300,7,0),0)</f>
        <v>0</v>
      </c>
      <c r="J439" s="103">
        <f>IFERROR(VLOOKUP(B439,'July 2026- Dispatch'!$B$2:$H$1300,7,0),0)</f>
        <v>0</v>
      </c>
      <c r="K439" s="61">
        <f t="shared" si="6"/>
        <v>0</v>
      </c>
      <c r="L439" s="123">
        <v>0</v>
      </c>
    </row>
    <row r="440" spans="1:12" hidden="1" x14ac:dyDescent="0.25">
      <c r="A440" s="7">
        <v>439</v>
      </c>
      <c r="B440" s="155" t="s">
        <v>693</v>
      </c>
      <c r="C440" s="156" t="s">
        <v>3178</v>
      </c>
      <c r="D440" s="156" t="s">
        <v>3179</v>
      </c>
      <c r="E440" s="153" t="s">
        <v>2086</v>
      </c>
      <c r="F440" s="6"/>
      <c r="G440" s="6"/>
      <c r="H440" s="85">
        <v>528000</v>
      </c>
      <c r="I440" s="103">
        <f>IFERROR(VLOOKUP(B440,'July 2026-Recived'!$B$2:$H$1300,7,0),0)</f>
        <v>0</v>
      </c>
      <c r="J440" s="103">
        <f>IFERROR(VLOOKUP(B440,'July 2026- Dispatch'!$B$2:$H$1300,7,0),0)</f>
        <v>4800</v>
      </c>
      <c r="K440" s="61">
        <f t="shared" si="6"/>
        <v>523200</v>
      </c>
      <c r="L440" s="123">
        <v>0</v>
      </c>
    </row>
    <row r="441" spans="1:12" hidden="1" x14ac:dyDescent="0.25">
      <c r="A441" s="7">
        <v>440</v>
      </c>
      <c r="B441" s="152" t="s">
        <v>1590</v>
      </c>
      <c r="C441" s="153" t="s">
        <v>3180</v>
      </c>
      <c r="D441" s="153" t="s">
        <v>3181</v>
      </c>
      <c r="E441" s="153" t="s">
        <v>2086</v>
      </c>
      <c r="F441" s="6"/>
      <c r="G441" s="6"/>
      <c r="H441" s="85">
        <v>122000</v>
      </c>
      <c r="I441" s="103">
        <f>IFERROR(VLOOKUP(B441,'July 2026-Recived'!$B$2:$H$1300,7,0),0)</f>
        <v>0</v>
      </c>
      <c r="J441" s="103">
        <f>IFERROR(VLOOKUP(B441,'July 2026- Dispatch'!$B$2:$H$1300,7,0),0)</f>
        <v>1000</v>
      </c>
      <c r="K441" s="61">
        <f t="shared" si="6"/>
        <v>121000</v>
      </c>
      <c r="L441" s="123">
        <v>0</v>
      </c>
    </row>
    <row r="442" spans="1:12" hidden="1" x14ac:dyDescent="0.25">
      <c r="A442" s="7">
        <v>441</v>
      </c>
      <c r="B442" s="152" t="s">
        <v>3182</v>
      </c>
      <c r="C442" s="153" t="s">
        <v>3183</v>
      </c>
      <c r="D442" s="153" t="s">
        <v>3184</v>
      </c>
      <c r="E442" s="153" t="s">
        <v>2083</v>
      </c>
      <c r="F442" s="6"/>
      <c r="G442" s="6"/>
      <c r="H442" s="85">
        <v>0</v>
      </c>
      <c r="I442" s="103">
        <f>IFERROR(VLOOKUP(B442,'July 2026-Recived'!$B$2:$H$1300,7,0),0)</f>
        <v>0</v>
      </c>
      <c r="J442" s="103">
        <f>IFERROR(VLOOKUP(B442,'July 2026- Dispatch'!$B$2:$H$1300,7,0),0)</f>
        <v>0</v>
      </c>
      <c r="K442" s="61">
        <f t="shared" si="6"/>
        <v>0</v>
      </c>
      <c r="L442" s="123">
        <v>0</v>
      </c>
    </row>
    <row r="443" spans="1:12" hidden="1" x14ac:dyDescent="0.25">
      <c r="A443" s="7">
        <v>442</v>
      </c>
      <c r="B443" s="152" t="s">
        <v>3185</v>
      </c>
      <c r="C443" s="153" t="s">
        <v>3186</v>
      </c>
      <c r="D443" s="153" t="s">
        <v>3187</v>
      </c>
      <c r="E443" s="153" t="s">
        <v>2086</v>
      </c>
      <c r="F443" s="6"/>
      <c r="G443" s="6"/>
      <c r="H443" s="85">
        <v>18</v>
      </c>
      <c r="I443" s="103">
        <f>IFERROR(VLOOKUP(B443,'July 2026-Recived'!$B$2:$H$1300,7,0),0)</f>
        <v>0</v>
      </c>
      <c r="J443" s="103">
        <f>IFERROR(VLOOKUP(B443,'July 2026- Dispatch'!$B$2:$H$1300,7,0),0)</f>
        <v>0</v>
      </c>
      <c r="K443" s="61">
        <f t="shared" si="6"/>
        <v>18</v>
      </c>
      <c r="L443" s="123">
        <v>0</v>
      </c>
    </row>
    <row r="444" spans="1:12" hidden="1" x14ac:dyDescent="0.25">
      <c r="A444" s="7">
        <v>443</v>
      </c>
      <c r="B444" s="155" t="s">
        <v>1683</v>
      </c>
      <c r="C444" s="156" t="s">
        <v>3188</v>
      </c>
      <c r="D444" s="156" t="s">
        <v>3189</v>
      </c>
      <c r="E444" s="153" t="s">
        <v>2086</v>
      </c>
      <c r="F444" s="6"/>
      <c r="G444" s="6"/>
      <c r="H444" s="85">
        <v>11650</v>
      </c>
      <c r="I444" s="103">
        <f>IFERROR(VLOOKUP(B444,'July 2026-Recived'!$B$2:$H$1300,7,0),0)</f>
        <v>0</v>
      </c>
      <c r="J444" s="103">
        <f>IFERROR(VLOOKUP(B444,'July 2026- Dispatch'!$B$2:$H$1300,7,0),0)</f>
        <v>2303</v>
      </c>
      <c r="K444" s="61">
        <f t="shared" si="6"/>
        <v>9347</v>
      </c>
      <c r="L444" s="123">
        <v>0</v>
      </c>
    </row>
    <row r="445" spans="1:12" hidden="1" x14ac:dyDescent="0.25">
      <c r="A445" s="7">
        <v>444</v>
      </c>
      <c r="B445" s="152" t="s">
        <v>1081</v>
      </c>
      <c r="C445" s="153" t="s">
        <v>3190</v>
      </c>
      <c r="D445" s="153" t="s">
        <v>3191</v>
      </c>
      <c r="E445" s="153" t="s">
        <v>2086</v>
      </c>
      <c r="F445" s="6"/>
      <c r="G445" s="6"/>
      <c r="H445" s="85">
        <v>5400</v>
      </c>
      <c r="I445" s="103">
        <f>IFERROR(VLOOKUP(B445,'July 2026-Recived'!$B$2:$H$1300,7,0),0)</f>
        <v>0</v>
      </c>
      <c r="J445" s="103">
        <f>IFERROR(VLOOKUP(B445,'July 2026- Dispatch'!$B$2:$H$1300,7,0),0)</f>
        <v>181</v>
      </c>
      <c r="K445" s="61">
        <f t="shared" si="6"/>
        <v>5219</v>
      </c>
      <c r="L445" s="123">
        <v>0</v>
      </c>
    </row>
    <row r="446" spans="1:12" hidden="1" x14ac:dyDescent="0.25">
      <c r="A446" s="7">
        <v>445</v>
      </c>
      <c r="B446" s="152" t="s">
        <v>199</v>
      </c>
      <c r="C446" s="153" t="s">
        <v>3192</v>
      </c>
      <c r="D446" s="153" t="s">
        <v>3193</v>
      </c>
      <c r="E446" s="153" t="s">
        <v>2083</v>
      </c>
      <c r="F446" s="6"/>
      <c r="G446" s="6"/>
      <c r="H446" s="85">
        <v>0</v>
      </c>
      <c r="I446" s="103">
        <f>IFERROR(VLOOKUP(B446,'July 2026-Recived'!$B$2:$H$1300,7,0),0)</f>
        <v>0</v>
      </c>
      <c r="J446" s="103">
        <f>IFERROR(VLOOKUP(B446,'July 2026- Dispatch'!$B$2:$H$1300,7,0),0)</f>
        <v>0</v>
      </c>
      <c r="K446" s="61">
        <f t="shared" si="6"/>
        <v>0</v>
      </c>
      <c r="L446" s="123">
        <v>0</v>
      </c>
    </row>
    <row r="447" spans="1:12" hidden="1" x14ac:dyDescent="0.25">
      <c r="A447" s="7">
        <v>446</v>
      </c>
      <c r="B447" s="155" t="s">
        <v>1228</v>
      </c>
      <c r="C447" s="156" t="s">
        <v>3194</v>
      </c>
      <c r="D447" s="156" t="s">
        <v>3195</v>
      </c>
      <c r="E447" s="153" t="s">
        <v>2086</v>
      </c>
      <c r="F447" s="6"/>
      <c r="G447" s="6"/>
      <c r="H447" s="85">
        <v>3200</v>
      </c>
      <c r="I447" s="103">
        <f>IFERROR(VLOOKUP(B447,'July 2026-Recived'!$B$2:$H$1300,7,0),0)</f>
        <v>0</v>
      </c>
      <c r="J447" s="103">
        <f>IFERROR(VLOOKUP(B447,'July 2026- Dispatch'!$B$2:$H$1300,7,0),0)</f>
        <v>150</v>
      </c>
      <c r="K447" s="61">
        <f t="shared" si="6"/>
        <v>3050</v>
      </c>
      <c r="L447" s="123">
        <v>0</v>
      </c>
    </row>
    <row r="448" spans="1:12" hidden="1" x14ac:dyDescent="0.25">
      <c r="A448" s="7">
        <v>447</v>
      </c>
      <c r="B448" s="152" t="s">
        <v>1392</v>
      </c>
      <c r="C448" s="153" t="s">
        <v>3196</v>
      </c>
      <c r="D448" s="153" t="s">
        <v>3197</v>
      </c>
      <c r="E448" s="153" t="s">
        <v>2086</v>
      </c>
      <c r="F448" s="6"/>
      <c r="G448" s="6"/>
      <c r="H448" s="85">
        <v>52000</v>
      </c>
      <c r="I448" s="103">
        <f>IFERROR(VLOOKUP(B448,'July 2026-Recived'!$B$2:$H$1300,7,0),0)</f>
        <v>54000</v>
      </c>
      <c r="J448" s="103">
        <f>IFERROR(VLOOKUP(B448,'July 2026- Dispatch'!$B$2:$H$1300,7,0),0)</f>
        <v>20000</v>
      </c>
      <c r="K448" s="61">
        <f t="shared" si="6"/>
        <v>86000</v>
      </c>
      <c r="L448" s="123">
        <v>0</v>
      </c>
    </row>
    <row r="449" spans="1:12" hidden="1" x14ac:dyDescent="0.25">
      <c r="A449" s="7">
        <v>448</v>
      </c>
      <c r="B449" s="152" t="s">
        <v>3198</v>
      </c>
      <c r="C449" s="153" t="s">
        <v>3199</v>
      </c>
      <c r="D449" s="153" t="s">
        <v>3200</v>
      </c>
      <c r="E449" s="153" t="s">
        <v>2086</v>
      </c>
      <c r="F449" s="6"/>
      <c r="G449" s="6"/>
      <c r="H449" s="85">
        <v>12000</v>
      </c>
      <c r="I449" s="103">
        <f>IFERROR(VLOOKUP(B449,'July 2026-Recived'!$B$2:$H$1300,7,0),0)</f>
        <v>0</v>
      </c>
      <c r="J449" s="103">
        <f>IFERROR(VLOOKUP(B449,'July 2026- Dispatch'!$B$2:$H$1300,7,0),0)</f>
        <v>0</v>
      </c>
      <c r="K449" s="61">
        <f t="shared" si="6"/>
        <v>12000</v>
      </c>
      <c r="L449" s="123">
        <v>0</v>
      </c>
    </row>
    <row r="450" spans="1:12" hidden="1" x14ac:dyDescent="0.25">
      <c r="A450" s="7">
        <v>449</v>
      </c>
      <c r="B450" s="152" t="s">
        <v>209</v>
      </c>
      <c r="C450" s="153" t="s">
        <v>3201</v>
      </c>
      <c r="D450" s="153" t="s">
        <v>3202</v>
      </c>
      <c r="E450" s="153" t="s">
        <v>2083</v>
      </c>
      <c r="F450" s="6"/>
      <c r="G450" s="6"/>
      <c r="H450" s="85">
        <v>0</v>
      </c>
      <c r="I450" s="103">
        <f>IFERROR(VLOOKUP(B450,'July 2026-Recived'!$B$2:$H$1300,7,0),0)</f>
        <v>0</v>
      </c>
      <c r="J450" s="103">
        <f>IFERROR(VLOOKUP(B450,'July 2026- Dispatch'!$B$2:$H$1300,7,0),0)</f>
        <v>0</v>
      </c>
      <c r="K450" s="61">
        <f t="shared" ref="K450:K513" si="7">H450+I450-J450</f>
        <v>0</v>
      </c>
      <c r="L450" s="123">
        <v>0</v>
      </c>
    </row>
    <row r="451" spans="1:12" hidden="1" x14ac:dyDescent="0.25">
      <c r="A451" s="7">
        <v>450</v>
      </c>
      <c r="B451" s="152" t="s">
        <v>1606</v>
      </c>
      <c r="C451" s="153" t="s">
        <v>3203</v>
      </c>
      <c r="D451" s="153" t="s">
        <v>3204</v>
      </c>
      <c r="E451" s="153" t="s">
        <v>2083</v>
      </c>
      <c r="F451" s="6"/>
      <c r="G451" s="6"/>
      <c r="H451" s="85">
        <v>0</v>
      </c>
      <c r="I451" s="103">
        <f>IFERROR(VLOOKUP(B451,'July 2026-Recived'!$B$2:$H$1300,7,0),0)</f>
        <v>0</v>
      </c>
      <c r="J451" s="103">
        <f>IFERROR(VLOOKUP(B451,'July 2026- Dispatch'!$B$2:$H$1300,7,0),0)</f>
        <v>0</v>
      </c>
      <c r="K451" s="61">
        <f t="shared" si="7"/>
        <v>0</v>
      </c>
      <c r="L451" s="123">
        <v>0</v>
      </c>
    </row>
    <row r="452" spans="1:12" hidden="1" x14ac:dyDescent="0.25">
      <c r="A452" s="7">
        <v>451</v>
      </c>
      <c r="B452" s="152" t="s">
        <v>173</v>
      </c>
      <c r="C452" s="153" t="s">
        <v>3205</v>
      </c>
      <c r="D452" s="153" t="s">
        <v>3206</v>
      </c>
      <c r="E452" s="153" t="s">
        <v>2083</v>
      </c>
      <c r="F452" s="6"/>
      <c r="G452" s="6"/>
      <c r="H452" s="85">
        <v>0</v>
      </c>
      <c r="I452" s="103">
        <f>IFERROR(VLOOKUP(B452,'July 2026-Recived'!$B$2:$H$1300,7,0),0)</f>
        <v>0</v>
      </c>
      <c r="J452" s="103">
        <f>IFERROR(VLOOKUP(B452,'July 2026- Dispatch'!$B$2:$H$1300,7,0),0)</f>
        <v>0</v>
      </c>
      <c r="K452" s="61">
        <f t="shared" si="7"/>
        <v>0</v>
      </c>
      <c r="L452" s="123">
        <v>0</v>
      </c>
    </row>
    <row r="453" spans="1:12" hidden="1" x14ac:dyDescent="0.25">
      <c r="A453" s="7">
        <v>452</v>
      </c>
      <c r="B453" s="152" t="s">
        <v>762</v>
      </c>
      <c r="C453" s="153" t="s">
        <v>3207</v>
      </c>
      <c r="D453" s="153" t="s">
        <v>3208</v>
      </c>
      <c r="E453" s="153" t="s">
        <v>2086</v>
      </c>
      <c r="F453" s="6"/>
      <c r="G453" s="6"/>
      <c r="H453" s="85">
        <v>396000</v>
      </c>
      <c r="I453" s="103">
        <f>IFERROR(VLOOKUP(B453,'July 2026-Recived'!$B$2:$H$1300,7,0),0)</f>
        <v>211000</v>
      </c>
      <c r="J453" s="103">
        <f>IFERROR(VLOOKUP(B453,'July 2026- Dispatch'!$B$2:$H$1300,7,0),0)</f>
        <v>75500</v>
      </c>
      <c r="K453" s="61">
        <f>H453+I453-J453</f>
        <v>531500</v>
      </c>
      <c r="L453" s="123">
        <v>0</v>
      </c>
    </row>
    <row r="454" spans="1:12" hidden="1" x14ac:dyDescent="0.25">
      <c r="A454" s="7">
        <v>453</v>
      </c>
      <c r="B454" s="152" t="s">
        <v>214</v>
      </c>
      <c r="C454" s="153" t="s">
        <v>3209</v>
      </c>
      <c r="D454" s="153" t="s">
        <v>3210</v>
      </c>
      <c r="E454" s="153" t="s">
        <v>2086</v>
      </c>
      <c r="F454" s="6"/>
      <c r="G454" s="6"/>
      <c r="H454" s="85">
        <v>11400</v>
      </c>
      <c r="I454" s="103">
        <f>IFERROR(VLOOKUP(B454,'July 2026-Recived'!$B$2:$H$1300,7,0),0)</f>
        <v>0</v>
      </c>
      <c r="J454" s="103">
        <f>IFERROR(VLOOKUP(B454,'July 2026- Dispatch'!$B$2:$H$1300,7,0),0)</f>
        <v>0</v>
      </c>
      <c r="K454" s="61">
        <f t="shared" si="7"/>
        <v>11400</v>
      </c>
      <c r="L454" s="123">
        <v>0</v>
      </c>
    </row>
    <row r="455" spans="1:12" hidden="1" x14ac:dyDescent="0.25">
      <c r="A455" s="7">
        <v>454</v>
      </c>
      <c r="B455" s="152" t="s">
        <v>3211</v>
      </c>
      <c r="C455" s="153" t="s">
        <v>3212</v>
      </c>
      <c r="D455" s="153" t="s">
        <v>3213</v>
      </c>
      <c r="E455" s="153" t="s">
        <v>2086</v>
      </c>
      <c r="F455" s="6"/>
      <c r="G455" s="6"/>
      <c r="H455" s="85">
        <v>17250</v>
      </c>
      <c r="I455" s="103">
        <f>IFERROR(VLOOKUP(B455,'July 2026-Recived'!$B$2:$H$1300,7,0),0)</f>
        <v>0</v>
      </c>
      <c r="J455" s="103">
        <f>IFERROR(VLOOKUP(B455,'July 2026- Dispatch'!$B$2:$H$1300,7,0),0)</f>
        <v>0</v>
      </c>
      <c r="K455" s="61">
        <f t="shared" si="7"/>
        <v>17250</v>
      </c>
      <c r="L455" s="123">
        <v>0</v>
      </c>
    </row>
    <row r="456" spans="1:12" hidden="1" x14ac:dyDescent="0.25">
      <c r="A456" s="7">
        <v>455</v>
      </c>
      <c r="B456" s="152" t="s">
        <v>96</v>
      </c>
      <c r="C456" s="153" t="s">
        <v>3214</v>
      </c>
      <c r="D456" s="153" t="s">
        <v>3215</v>
      </c>
      <c r="E456" s="153" t="s">
        <v>2086</v>
      </c>
      <c r="F456" s="6"/>
      <c r="G456" s="6"/>
      <c r="H456" s="85">
        <v>7500</v>
      </c>
      <c r="I456" s="103">
        <f>IFERROR(VLOOKUP(B456,'July 2026-Recived'!$B$2:$H$1300,7,0),0)</f>
        <v>0</v>
      </c>
      <c r="J456" s="103">
        <f>IFERROR(VLOOKUP(B456,'July 2026- Dispatch'!$B$2:$H$1300,7,0),0)</f>
        <v>3000</v>
      </c>
      <c r="K456" s="61">
        <f t="shared" si="7"/>
        <v>4500</v>
      </c>
      <c r="L456" s="123">
        <v>0</v>
      </c>
    </row>
    <row r="457" spans="1:12" hidden="1" x14ac:dyDescent="0.25">
      <c r="A457" s="7">
        <v>456</v>
      </c>
      <c r="B457" s="152" t="s">
        <v>3216</v>
      </c>
      <c r="C457" s="153" t="s">
        <v>3217</v>
      </c>
      <c r="D457" s="153" t="s">
        <v>3218</v>
      </c>
      <c r="E457" s="153" t="s">
        <v>2083</v>
      </c>
      <c r="F457" s="6"/>
      <c r="G457" s="6"/>
      <c r="H457" s="85">
        <v>0</v>
      </c>
      <c r="I457" s="103">
        <f>IFERROR(VLOOKUP(B457,'July 2026-Recived'!$B$2:$H$1300,7,0),0)</f>
        <v>0</v>
      </c>
      <c r="J457" s="103">
        <f>IFERROR(VLOOKUP(B457,'July 2026- Dispatch'!$B$2:$H$1300,7,0),0)</f>
        <v>0</v>
      </c>
      <c r="K457" s="61">
        <f t="shared" si="7"/>
        <v>0</v>
      </c>
      <c r="L457" s="123">
        <v>0</v>
      </c>
    </row>
    <row r="458" spans="1:12" hidden="1" x14ac:dyDescent="0.25">
      <c r="A458" s="7">
        <v>457</v>
      </c>
      <c r="B458" s="152" t="s">
        <v>3219</v>
      </c>
      <c r="C458" s="153" t="s">
        <v>3220</v>
      </c>
      <c r="D458" s="153" t="s">
        <v>3221</v>
      </c>
      <c r="E458" s="153" t="s">
        <v>2083</v>
      </c>
      <c r="F458" s="6"/>
      <c r="G458" s="6"/>
      <c r="H458" s="85">
        <v>0</v>
      </c>
      <c r="I458" s="103">
        <f>IFERROR(VLOOKUP(B458,'July 2026-Recived'!$B$2:$H$1300,7,0),0)</f>
        <v>0</v>
      </c>
      <c r="J458" s="103">
        <f>IFERROR(VLOOKUP(B458,'July 2026- Dispatch'!$B$2:$H$1300,7,0),0)</f>
        <v>0</v>
      </c>
      <c r="K458" s="61">
        <f t="shared" si="7"/>
        <v>0</v>
      </c>
      <c r="L458" s="123">
        <v>0</v>
      </c>
    </row>
    <row r="459" spans="1:12" hidden="1" x14ac:dyDescent="0.25">
      <c r="A459" s="7">
        <v>458</v>
      </c>
      <c r="B459" s="152" t="s">
        <v>3222</v>
      </c>
      <c r="C459" s="153" t="s">
        <v>3223</v>
      </c>
      <c r="D459" s="153" t="s">
        <v>3224</v>
      </c>
      <c r="E459" s="153" t="s">
        <v>2083</v>
      </c>
      <c r="F459" s="6"/>
      <c r="G459" s="6"/>
      <c r="H459" s="85">
        <v>0</v>
      </c>
      <c r="I459" s="103">
        <f>IFERROR(VLOOKUP(B459,'July 2026-Recived'!$B$2:$H$1300,7,0),0)</f>
        <v>0</v>
      </c>
      <c r="J459" s="103">
        <f>IFERROR(VLOOKUP(B459,'July 2026- Dispatch'!$B$2:$H$1300,7,0),0)</f>
        <v>0</v>
      </c>
      <c r="K459" s="61">
        <f t="shared" si="7"/>
        <v>0</v>
      </c>
      <c r="L459" s="123">
        <v>0</v>
      </c>
    </row>
    <row r="460" spans="1:12" hidden="1" x14ac:dyDescent="0.25">
      <c r="A460" s="7">
        <v>459</v>
      </c>
      <c r="B460" s="152" t="s">
        <v>884</v>
      </c>
      <c r="C460" s="153" t="s">
        <v>3225</v>
      </c>
      <c r="D460" s="153" t="s">
        <v>3226</v>
      </c>
      <c r="E460" s="153" t="s">
        <v>2083</v>
      </c>
      <c r="F460" s="6"/>
      <c r="G460" s="6"/>
      <c r="H460" s="85">
        <v>0</v>
      </c>
      <c r="I460" s="103">
        <f>IFERROR(VLOOKUP(B460,'July 2026-Recived'!$B$2:$H$1300,7,0),0)</f>
        <v>0</v>
      </c>
      <c r="J460" s="103">
        <f>IFERROR(VLOOKUP(B460,'July 2026- Dispatch'!$B$2:$H$1300,7,0),0)</f>
        <v>0</v>
      </c>
      <c r="K460" s="61">
        <f t="shared" si="7"/>
        <v>0</v>
      </c>
      <c r="L460" s="123">
        <v>0</v>
      </c>
    </row>
    <row r="461" spans="1:12" hidden="1" x14ac:dyDescent="0.25">
      <c r="A461" s="7">
        <v>460</v>
      </c>
      <c r="B461" s="152" t="s">
        <v>3227</v>
      </c>
      <c r="C461" s="153" t="s">
        <v>3228</v>
      </c>
      <c r="D461" s="153" t="s">
        <v>3229</v>
      </c>
      <c r="E461" s="153" t="s">
        <v>2086</v>
      </c>
      <c r="F461" s="6"/>
      <c r="G461" s="6"/>
      <c r="H461" s="85">
        <v>3000</v>
      </c>
      <c r="I461" s="103">
        <f>IFERROR(VLOOKUP(B461,'July 2026-Recived'!$B$2:$H$1300,7,0),0)</f>
        <v>0</v>
      </c>
      <c r="J461" s="103">
        <f>IFERROR(VLOOKUP(B461,'July 2026- Dispatch'!$B$2:$H$1300,7,0),0)</f>
        <v>0</v>
      </c>
      <c r="K461" s="61">
        <f>H461+I461-J461</f>
        <v>3000</v>
      </c>
      <c r="L461" s="123">
        <v>0</v>
      </c>
    </row>
    <row r="462" spans="1:12" hidden="1" x14ac:dyDescent="0.25">
      <c r="A462" s="7">
        <v>461</v>
      </c>
      <c r="B462" s="152" t="s">
        <v>685</v>
      </c>
      <c r="C462" s="153" t="s">
        <v>3230</v>
      </c>
      <c r="D462" s="153" t="s">
        <v>3231</v>
      </c>
      <c r="E462" s="153" t="s">
        <v>2086</v>
      </c>
      <c r="F462" s="6"/>
      <c r="G462" s="6"/>
      <c r="H462" s="85">
        <v>2500</v>
      </c>
      <c r="I462" s="103">
        <f>IFERROR(VLOOKUP(B462,'July 2026-Recived'!$B$2:$H$1300,7,0),0)</f>
        <v>0</v>
      </c>
      <c r="J462" s="103">
        <f>IFERROR(VLOOKUP(B462,'July 2026- Dispatch'!$B$2:$H$1300,7,0),0)</f>
        <v>0</v>
      </c>
      <c r="K462" s="61">
        <f>H462+I462-J462</f>
        <v>2500</v>
      </c>
      <c r="L462" s="123">
        <v>0</v>
      </c>
    </row>
    <row r="463" spans="1:12" hidden="1" x14ac:dyDescent="0.25">
      <c r="A463" s="7">
        <v>462</v>
      </c>
      <c r="B463" s="152" t="s">
        <v>815</v>
      </c>
      <c r="C463" s="153" t="s">
        <v>3232</v>
      </c>
      <c r="D463" s="153" t="s">
        <v>3233</v>
      </c>
      <c r="E463" s="153" t="s">
        <v>2086</v>
      </c>
      <c r="F463" s="6"/>
      <c r="G463" s="6"/>
      <c r="H463" s="85">
        <v>4000</v>
      </c>
      <c r="I463" s="103">
        <f>IFERROR(VLOOKUP(B463,'July 2026-Recived'!$B$2:$H$1300,7,0),0)</f>
        <v>0</v>
      </c>
      <c r="J463" s="103">
        <f>IFERROR(VLOOKUP(B463,'July 2026- Dispatch'!$B$2:$H$1300,7,0),0)</f>
        <v>0</v>
      </c>
      <c r="K463" s="61">
        <f t="shared" si="7"/>
        <v>4000</v>
      </c>
      <c r="L463" s="123">
        <v>0</v>
      </c>
    </row>
    <row r="464" spans="1:12" hidden="1" x14ac:dyDescent="0.25">
      <c r="A464" s="7">
        <v>463</v>
      </c>
      <c r="B464" s="152" t="s">
        <v>3234</v>
      </c>
      <c r="C464" s="153" t="s">
        <v>3235</v>
      </c>
      <c r="D464" s="153" t="s">
        <v>3236</v>
      </c>
      <c r="E464" s="153" t="s">
        <v>2083</v>
      </c>
      <c r="F464" s="6"/>
      <c r="G464" s="6"/>
      <c r="H464" s="85">
        <v>0</v>
      </c>
      <c r="I464" s="103">
        <f>IFERROR(VLOOKUP(B464,'July 2026-Recived'!$B$2:$H$1300,7,0),0)</f>
        <v>0</v>
      </c>
      <c r="J464" s="103">
        <f>IFERROR(VLOOKUP(B464,'July 2026- Dispatch'!$B$2:$H$1300,7,0),0)</f>
        <v>0</v>
      </c>
      <c r="K464" s="61">
        <f t="shared" si="7"/>
        <v>0</v>
      </c>
      <c r="L464" s="123">
        <v>0</v>
      </c>
    </row>
    <row r="465" spans="1:12" hidden="1" x14ac:dyDescent="0.25">
      <c r="A465" s="7">
        <v>464</v>
      </c>
      <c r="B465" s="152" t="s">
        <v>2036</v>
      </c>
      <c r="C465" s="153" t="s">
        <v>3237</v>
      </c>
      <c r="D465" s="153" t="s">
        <v>3238</v>
      </c>
      <c r="E465" s="153" t="s">
        <v>2083</v>
      </c>
      <c r="F465" s="6"/>
      <c r="G465" s="6"/>
      <c r="H465" s="85">
        <v>0</v>
      </c>
      <c r="I465" s="103">
        <f>IFERROR(VLOOKUP(B465,'July 2026-Recived'!$B$2:$H$1300,7,0),0)</f>
        <v>0</v>
      </c>
      <c r="J465" s="103">
        <f>IFERROR(VLOOKUP(B465,'July 2026- Dispatch'!$B$2:$H$1300,7,0),0)</f>
        <v>0</v>
      </c>
      <c r="K465" s="61">
        <f t="shared" si="7"/>
        <v>0</v>
      </c>
      <c r="L465" s="123">
        <v>0</v>
      </c>
    </row>
    <row r="466" spans="1:12" hidden="1" x14ac:dyDescent="0.25">
      <c r="A466" s="7">
        <v>465</v>
      </c>
      <c r="B466" s="152" t="s">
        <v>3239</v>
      </c>
      <c r="C466" s="153" t="s">
        <v>3240</v>
      </c>
      <c r="D466" s="153" t="s">
        <v>3241</v>
      </c>
      <c r="E466" s="153" t="s">
        <v>2086</v>
      </c>
      <c r="F466" s="6"/>
      <c r="G466" s="6"/>
      <c r="H466" s="85">
        <v>48000</v>
      </c>
      <c r="I466" s="103">
        <f>IFERROR(VLOOKUP(B466,'July 2026-Recived'!$B$2:$H$1300,7,0),0)</f>
        <v>0</v>
      </c>
      <c r="J466" s="103">
        <f>IFERROR(VLOOKUP(B466,'July 2026- Dispatch'!$B$2:$H$1300,7,0),0)</f>
        <v>0</v>
      </c>
      <c r="K466" s="61">
        <f t="shared" si="7"/>
        <v>48000</v>
      </c>
      <c r="L466" s="123">
        <v>0</v>
      </c>
    </row>
    <row r="467" spans="1:12" hidden="1" x14ac:dyDescent="0.25">
      <c r="A467" s="7">
        <v>466</v>
      </c>
      <c r="B467" s="152" t="s">
        <v>3242</v>
      </c>
      <c r="C467" s="153" t="s">
        <v>3243</v>
      </c>
      <c r="D467" s="153" t="s">
        <v>3244</v>
      </c>
      <c r="E467" s="153" t="s">
        <v>2083</v>
      </c>
      <c r="F467" s="6"/>
      <c r="G467" s="6"/>
      <c r="H467" s="85">
        <v>0</v>
      </c>
      <c r="I467" s="103">
        <f>IFERROR(VLOOKUP(B467,'July 2026-Recived'!$B$2:$H$1300,7,0),0)</f>
        <v>0</v>
      </c>
      <c r="J467" s="103">
        <f>IFERROR(VLOOKUP(B467,'July 2026- Dispatch'!$B$2:$H$1300,7,0),0)</f>
        <v>0</v>
      </c>
      <c r="K467" s="61">
        <f t="shared" si="7"/>
        <v>0</v>
      </c>
      <c r="L467" s="123">
        <v>0</v>
      </c>
    </row>
    <row r="468" spans="1:12" hidden="1" x14ac:dyDescent="0.25">
      <c r="A468" s="7">
        <v>467</v>
      </c>
      <c r="B468" s="152" t="s">
        <v>3245</v>
      </c>
      <c r="C468" s="153" t="s">
        <v>3246</v>
      </c>
      <c r="D468" s="153" t="s">
        <v>3247</v>
      </c>
      <c r="E468" s="153" t="s">
        <v>2086</v>
      </c>
      <c r="F468" s="6"/>
      <c r="G468" s="6"/>
      <c r="H468" s="85">
        <v>1000</v>
      </c>
      <c r="I468" s="103">
        <f>IFERROR(VLOOKUP(B468,'July 2026-Recived'!$B$2:$H$1300,7,0),0)</f>
        <v>0</v>
      </c>
      <c r="J468" s="103">
        <f>IFERROR(VLOOKUP(B468,'July 2026- Dispatch'!$B$2:$H$1300,7,0),0)</f>
        <v>0</v>
      </c>
      <c r="K468" s="61">
        <f t="shared" si="7"/>
        <v>1000</v>
      </c>
      <c r="L468" s="123">
        <v>0</v>
      </c>
    </row>
    <row r="469" spans="1:12" hidden="1" x14ac:dyDescent="0.25">
      <c r="A469" s="7">
        <v>468</v>
      </c>
      <c r="B469" s="152" t="s">
        <v>1002</v>
      </c>
      <c r="C469" s="153" t="s">
        <v>3248</v>
      </c>
      <c r="D469" s="153" t="s">
        <v>3249</v>
      </c>
      <c r="E469" s="153" t="s">
        <v>2083</v>
      </c>
      <c r="F469" s="6"/>
      <c r="G469" s="6"/>
      <c r="H469" s="85">
        <v>0</v>
      </c>
      <c r="I469" s="103">
        <f>IFERROR(VLOOKUP(B469,'July 2026-Recived'!$B$2:$H$1300,7,0),0)</f>
        <v>0</v>
      </c>
      <c r="J469" s="103">
        <f>IFERROR(VLOOKUP(B469,'July 2026- Dispatch'!$B$2:$H$1300,7,0),0)</f>
        <v>0</v>
      </c>
      <c r="K469" s="61">
        <f t="shared" si="7"/>
        <v>0</v>
      </c>
      <c r="L469" s="123">
        <v>0</v>
      </c>
    </row>
    <row r="470" spans="1:12" hidden="1" x14ac:dyDescent="0.25">
      <c r="A470" s="7">
        <v>469</v>
      </c>
      <c r="B470" s="152" t="s">
        <v>3250</v>
      </c>
      <c r="C470" s="153" t="s">
        <v>3251</v>
      </c>
      <c r="D470" s="153" t="s">
        <v>3252</v>
      </c>
      <c r="E470" s="153" t="s">
        <v>2083</v>
      </c>
      <c r="F470" s="6"/>
      <c r="G470" s="6"/>
      <c r="H470" s="85">
        <v>0</v>
      </c>
      <c r="I470" s="103">
        <f>IFERROR(VLOOKUP(B470,'July 2026-Recived'!$B$2:$H$1300,7,0),0)</f>
        <v>0</v>
      </c>
      <c r="J470" s="103">
        <f>IFERROR(VLOOKUP(B470,'July 2026- Dispatch'!$B$2:$H$1300,7,0),0)</f>
        <v>0</v>
      </c>
      <c r="K470" s="61">
        <f t="shared" si="7"/>
        <v>0</v>
      </c>
      <c r="L470" s="123">
        <v>0</v>
      </c>
    </row>
    <row r="471" spans="1:12" hidden="1" x14ac:dyDescent="0.25">
      <c r="A471" s="7">
        <v>470</v>
      </c>
      <c r="B471" s="152" t="s">
        <v>1987</v>
      </c>
      <c r="C471" s="153" t="s">
        <v>3253</v>
      </c>
      <c r="D471" s="153" t="s">
        <v>3254</v>
      </c>
      <c r="E471" s="153" t="s">
        <v>2083</v>
      </c>
      <c r="F471" s="6"/>
      <c r="G471" s="6"/>
      <c r="H471" s="85">
        <v>0</v>
      </c>
      <c r="I471" s="103">
        <f>IFERROR(VLOOKUP(B471,'July 2026-Recived'!$B$2:$H$1300,7,0),0)</f>
        <v>0</v>
      </c>
      <c r="J471" s="103">
        <f>IFERROR(VLOOKUP(B471,'July 2026- Dispatch'!$B$2:$H$1300,7,0),0)</f>
        <v>0</v>
      </c>
      <c r="K471" s="61">
        <f t="shared" si="7"/>
        <v>0</v>
      </c>
      <c r="L471" s="123">
        <v>0</v>
      </c>
    </row>
    <row r="472" spans="1:12" hidden="1" x14ac:dyDescent="0.25">
      <c r="A472" s="7">
        <v>471</v>
      </c>
      <c r="B472" s="152" t="s">
        <v>3255</v>
      </c>
      <c r="C472" s="153" t="s">
        <v>3256</v>
      </c>
      <c r="D472" s="153" t="s">
        <v>3257</v>
      </c>
      <c r="E472" s="153" t="s">
        <v>2083</v>
      </c>
      <c r="F472" s="6"/>
      <c r="G472" s="6"/>
      <c r="H472" s="85">
        <v>0</v>
      </c>
      <c r="I472" s="103">
        <f>IFERROR(VLOOKUP(B472,'July 2026-Recived'!$B$2:$H$1300,7,0),0)</f>
        <v>0</v>
      </c>
      <c r="J472" s="103">
        <f>IFERROR(VLOOKUP(B472,'July 2026- Dispatch'!$B$2:$H$1300,7,0),0)</f>
        <v>0</v>
      </c>
      <c r="K472" s="61">
        <f t="shared" si="7"/>
        <v>0</v>
      </c>
      <c r="L472" s="123">
        <v>0</v>
      </c>
    </row>
    <row r="473" spans="1:12" hidden="1" x14ac:dyDescent="0.25">
      <c r="A473" s="7">
        <v>472</v>
      </c>
      <c r="B473" s="152" t="s">
        <v>3258</v>
      </c>
      <c r="C473" s="153" t="s">
        <v>3259</v>
      </c>
      <c r="D473" s="153" t="s">
        <v>3260</v>
      </c>
      <c r="E473" s="153" t="s">
        <v>2086</v>
      </c>
      <c r="F473" s="6"/>
      <c r="G473" s="6"/>
      <c r="H473" s="85">
        <v>8000</v>
      </c>
      <c r="I473" s="103">
        <f>IFERROR(VLOOKUP(B473,'July 2026-Recived'!$B$2:$H$1300,7,0),0)</f>
        <v>0</v>
      </c>
      <c r="J473" s="103">
        <f>IFERROR(VLOOKUP(B473,'July 2026- Dispatch'!$B$2:$H$1300,7,0),0)</f>
        <v>0</v>
      </c>
      <c r="K473" s="61">
        <f t="shared" si="7"/>
        <v>8000</v>
      </c>
      <c r="L473" s="123">
        <v>0</v>
      </c>
    </row>
    <row r="474" spans="1:12" hidden="1" x14ac:dyDescent="0.25">
      <c r="A474" s="7">
        <v>473</v>
      </c>
      <c r="B474" s="152" t="s">
        <v>3261</v>
      </c>
      <c r="C474" s="153" t="s">
        <v>3262</v>
      </c>
      <c r="D474" s="153" t="s">
        <v>3263</v>
      </c>
      <c r="E474" s="153" t="s">
        <v>2083</v>
      </c>
      <c r="F474" s="6"/>
      <c r="G474" s="6"/>
      <c r="H474" s="85">
        <v>0</v>
      </c>
      <c r="I474" s="103">
        <f>IFERROR(VLOOKUP(B474,'July 2026-Recived'!$B$2:$H$1300,7,0),0)</f>
        <v>0</v>
      </c>
      <c r="J474" s="103">
        <f>IFERROR(VLOOKUP(B474,'July 2026- Dispatch'!$B$2:$H$1300,7,0),0)</f>
        <v>0</v>
      </c>
      <c r="K474" s="61">
        <f t="shared" si="7"/>
        <v>0</v>
      </c>
      <c r="L474" s="123">
        <v>0</v>
      </c>
    </row>
    <row r="475" spans="1:12" hidden="1" x14ac:dyDescent="0.25">
      <c r="A475" s="7">
        <v>474</v>
      </c>
      <c r="B475" s="152" t="s">
        <v>1989</v>
      </c>
      <c r="C475" s="153" t="s">
        <v>3264</v>
      </c>
      <c r="D475" s="153" t="s">
        <v>3265</v>
      </c>
      <c r="E475" s="153" t="s">
        <v>2086</v>
      </c>
      <c r="F475" s="6"/>
      <c r="G475" s="6"/>
      <c r="H475" s="85">
        <v>3000</v>
      </c>
      <c r="I475" s="103">
        <f>IFERROR(VLOOKUP(B475,'July 2026-Recived'!$B$2:$H$1300,7,0),0)</f>
        <v>0</v>
      </c>
      <c r="J475" s="103">
        <f>IFERROR(VLOOKUP(B475,'July 2026- Dispatch'!$B$2:$H$1300,7,0),0)</f>
        <v>0</v>
      </c>
      <c r="K475" s="61">
        <f t="shared" si="7"/>
        <v>3000</v>
      </c>
      <c r="L475" s="123">
        <v>0</v>
      </c>
    </row>
    <row r="476" spans="1:12" hidden="1" x14ac:dyDescent="0.25">
      <c r="A476" s="7">
        <v>475</v>
      </c>
      <c r="B476" s="152" t="s">
        <v>2012</v>
      </c>
      <c r="C476" s="153" t="s">
        <v>3266</v>
      </c>
      <c r="D476" s="153" t="s">
        <v>3267</v>
      </c>
      <c r="E476" s="153" t="s">
        <v>2083</v>
      </c>
      <c r="F476" s="6"/>
      <c r="G476" s="6"/>
      <c r="H476" s="85">
        <v>0</v>
      </c>
      <c r="I476" s="103">
        <f>IFERROR(VLOOKUP(B476,'July 2026-Recived'!$B$2:$H$1300,7,0),0)</f>
        <v>0</v>
      </c>
      <c r="J476" s="103">
        <f>IFERROR(VLOOKUP(B476,'July 2026- Dispatch'!$B$2:$H$1300,7,0),0)</f>
        <v>0</v>
      </c>
      <c r="K476" s="61">
        <f t="shared" si="7"/>
        <v>0</v>
      </c>
      <c r="L476" s="123">
        <v>0</v>
      </c>
    </row>
    <row r="477" spans="1:12" hidden="1" x14ac:dyDescent="0.25">
      <c r="A477" s="7">
        <v>476</v>
      </c>
      <c r="B477" s="152" t="s">
        <v>3268</v>
      </c>
      <c r="C477" s="153" t="s">
        <v>3269</v>
      </c>
      <c r="D477" s="153" t="s">
        <v>3270</v>
      </c>
      <c r="E477" s="153" t="s">
        <v>2083</v>
      </c>
      <c r="F477" s="6"/>
      <c r="G477" s="6"/>
      <c r="H477" s="85">
        <v>0</v>
      </c>
      <c r="I477" s="103">
        <f>IFERROR(VLOOKUP(B477,'July 2026-Recived'!$B$2:$H$1300,7,0),0)</f>
        <v>0</v>
      </c>
      <c r="J477" s="103">
        <f>IFERROR(VLOOKUP(B477,'July 2026- Dispatch'!$B$2:$H$1300,7,0),0)</f>
        <v>0</v>
      </c>
      <c r="K477" s="61">
        <f t="shared" si="7"/>
        <v>0</v>
      </c>
      <c r="L477" s="123">
        <v>0</v>
      </c>
    </row>
    <row r="478" spans="1:12" hidden="1" x14ac:dyDescent="0.25">
      <c r="A478" s="7">
        <v>477</v>
      </c>
      <c r="B478" s="152" t="s">
        <v>1007</v>
      </c>
      <c r="C478" s="153" t="s">
        <v>3271</v>
      </c>
      <c r="D478" s="153" t="s">
        <v>3272</v>
      </c>
      <c r="E478" s="153" t="s">
        <v>2083</v>
      </c>
      <c r="F478" s="6"/>
      <c r="G478" s="6"/>
      <c r="H478" s="85">
        <v>0</v>
      </c>
      <c r="I478" s="103">
        <f>IFERROR(VLOOKUP(B478,'July 2026-Recived'!$B$2:$H$1300,7,0),0)</f>
        <v>0</v>
      </c>
      <c r="J478" s="103">
        <f>IFERROR(VLOOKUP(B478,'July 2026- Dispatch'!$B$2:$H$1300,7,0),0)</f>
        <v>0</v>
      </c>
      <c r="K478" s="61">
        <f t="shared" si="7"/>
        <v>0</v>
      </c>
      <c r="L478" s="123">
        <v>0</v>
      </c>
    </row>
    <row r="479" spans="1:12" hidden="1" x14ac:dyDescent="0.25">
      <c r="A479" s="7">
        <v>478</v>
      </c>
      <c r="B479" s="152" t="s">
        <v>698</v>
      </c>
      <c r="C479" s="153" t="s">
        <v>3273</v>
      </c>
      <c r="D479" s="153" t="s">
        <v>3274</v>
      </c>
      <c r="E479" s="153" t="s">
        <v>2086</v>
      </c>
      <c r="F479" s="6"/>
      <c r="G479" s="6"/>
      <c r="H479" s="85">
        <v>8500</v>
      </c>
      <c r="I479" s="103">
        <f>IFERROR(VLOOKUP(B479,'July 2026-Recived'!$B$2:$H$1300,7,0),0)</f>
        <v>0</v>
      </c>
      <c r="J479" s="103">
        <f>IFERROR(VLOOKUP(B479,'July 2026- Dispatch'!$B$2:$H$1300,7,0),0)</f>
        <v>2500</v>
      </c>
      <c r="K479" s="61">
        <f t="shared" si="7"/>
        <v>6000</v>
      </c>
      <c r="L479" s="123">
        <v>0</v>
      </c>
    </row>
    <row r="480" spans="1:12" hidden="1" x14ac:dyDescent="0.25">
      <c r="A480" s="7">
        <v>479</v>
      </c>
      <c r="B480" s="152" t="s">
        <v>1060</v>
      </c>
      <c r="C480" s="153" t="s">
        <v>3275</v>
      </c>
      <c r="D480" s="153" t="s">
        <v>3276</v>
      </c>
      <c r="E480" s="153" t="s">
        <v>2086</v>
      </c>
      <c r="F480" s="6"/>
      <c r="G480" s="6"/>
      <c r="H480" s="85">
        <v>54000</v>
      </c>
      <c r="I480" s="103">
        <f>IFERROR(VLOOKUP(B480,'July 2026-Recived'!$B$2:$H$1300,7,0),0)</f>
        <v>0</v>
      </c>
      <c r="J480" s="103">
        <f>IFERROR(VLOOKUP(B480,'July 2026- Dispatch'!$B$2:$H$1300,7,0),0)</f>
        <v>20000</v>
      </c>
      <c r="K480" s="61">
        <f t="shared" si="7"/>
        <v>34000</v>
      </c>
      <c r="L480" s="123">
        <v>0</v>
      </c>
    </row>
    <row r="481" spans="1:12" hidden="1" x14ac:dyDescent="0.25">
      <c r="A481" s="7">
        <v>480</v>
      </c>
      <c r="B481" s="152" t="s">
        <v>1115</v>
      </c>
      <c r="C481" s="153" t="s">
        <v>3277</v>
      </c>
      <c r="D481" s="153" t="s">
        <v>3278</v>
      </c>
      <c r="E481" s="153" t="s">
        <v>2083</v>
      </c>
      <c r="F481" s="6"/>
      <c r="G481" s="6"/>
      <c r="H481" s="85">
        <v>0</v>
      </c>
      <c r="I481" s="103">
        <f>IFERROR(VLOOKUP(B481,'July 2026-Recived'!$B$2:$H$1300,7,0),0)</f>
        <v>0</v>
      </c>
      <c r="J481" s="103">
        <f>IFERROR(VLOOKUP(B481,'July 2026- Dispatch'!$B$2:$H$1300,7,0),0)</f>
        <v>0</v>
      </c>
      <c r="K481" s="61">
        <f t="shared" si="7"/>
        <v>0</v>
      </c>
      <c r="L481" s="123">
        <v>0</v>
      </c>
    </row>
    <row r="482" spans="1:12" hidden="1" x14ac:dyDescent="0.25">
      <c r="A482" s="7">
        <v>481</v>
      </c>
      <c r="B482" s="152" t="s">
        <v>3279</v>
      </c>
      <c r="C482" s="153" t="s">
        <v>3280</v>
      </c>
      <c r="D482" s="153" t="s">
        <v>3281</v>
      </c>
      <c r="E482" s="153" t="s">
        <v>2083</v>
      </c>
      <c r="F482" s="6"/>
      <c r="G482" s="6"/>
      <c r="H482" s="85">
        <v>0</v>
      </c>
      <c r="I482" s="103">
        <f>IFERROR(VLOOKUP(B482,'July 2026-Recived'!$B$2:$H$1300,7,0),0)</f>
        <v>0</v>
      </c>
      <c r="J482" s="103">
        <f>IFERROR(VLOOKUP(B482,'July 2026- Dispatch'!$B$2:$H$1300,7,0),0)</f>
        <v>0</v>
      </c>
      <c r="K482" s="61">
        <f t="shared" si="7"/>
        <v>0</v>
      </c>
      <c r="L482" s="123">
        <v>0</v>
      </c>
    </row>
    <row r="483" spans="1:12" hidden="1" x14ac:dyDescent="0.25">
      <c r="A483" s="7">
        <v>482</v>
      </c>
      <c r="B483" s="152" t="s">
        <v>1050</v>
      </c>
      <c r="C483" s="153" t="s">
        <v>3282</v>
      </c>
      <c r="D483" s="153" t="s">
        <v>3283</v>
      </c>
      <c r="E483" s="153" t="s">
        <v>2086</v>
      </c>
      <c r="F483" s="6"/>
      <c r="G483" s="6"/>
      <c r="H483" s="85">
        <v>2448</v>
      </c>
      <c r="I483" s="103">
        <f>IFERROR(VLOOKUP(B483,'July 2026-Recived'!$B$2:$H$1300,7,0),0)</f>
        <v>0</v>
      </c>
      <c r="J483" s="103">
        <f>IFERROR(VLOOKUP(B483,'July 2026- Dispatch'!$B$2:$H$1300,7,0),0)</f>
        <v>0</v>
      </c>
      <c r="K483" s="61">
        <f t="shared" si="7"/>
        <v>2448</v>
      </c>
      <c r="L483" s="123">
        <v>0</v>
      </c>
    </row>
    <row r="484" spans="1:12" hidden="1" x14ac:dyDescent="0.25">
      <c r="A484" s="7">
        <v>483</v>
      </c>
      <c r="B484" s="155" t="s">
        <v>3284</v>
      </c>
      <c r="C484" s="156" t="s">
        <v>3285</v>
      </c>
      <c r="D484" s="156" t="s">
        <v>3286</v>
      </c>
      <c r="E484" s="153" t="s">
        <v>2083</v>
      </c>
      <c r="F484" s="6"/>
      <c r="G484" s="6"/>
      <c r="H484" s="85">
        <v>0</v>
      </c>
      <c r="I484" s="103">
        <f>IFERROR(VLOOKUP(B484,'July 2026-Recived'!$B$2:$H$1300,7,0),0)</f>
        <v>0</v>
      </c>
      <c r="J484" s="103">
        <f>IFERROR(VLOOKUP(B484,'July 2026- Dispatch'!$B$2:$H$1300,7,0),0)</f>
        <v>0</v>
      </c>
      <c r="K484" s="61">
        <f t="shared" si="7"/>
        <v>0</v>
      </c>
      <c r="L484" s="123">
        <v>0</v>
      </c>
    </row>
    <row r="485" spans="1:12" hidden="1" x14ac:dyDescent="0.25">
      <c r="A485" s="7">
        <v>484</v>
      </c>
      <c r="B485" s="152" t="s">
        <v>1909</v>
      </c>
      <c r="C485" s="153" t="s">
        <v>3287</v>
      </c>
      <c r="D485" s="153" t="s">
        <v>3288</v>
      </c>
      <c r="E485" s="153" t="s">
        <v>2083</v>
      </c>
      <c r="F485" s="6"/>
      <c r="G485" s="6"/>
      <c r="H485" s="85">
        <v>0</v>
      </c>
      <c r="I485" s="103">
        <f>IFERROR(VLOOKUP(B485,'July 2026-Recived'!$B$2:$H$1300,7,0),0)</f>
        <v>0</v>
      </c>
      <c r="J485" s="103">
        <f>IFERROR(VLOOKUP(B485,'July 2026- Dispatch'!$B$2:$H$1300,7,0),0)</f>
        <v>0</v>
      </c>
      <c r="K485" s="61">
        <f t="shared" si="7"/>
        <v>0</v>
      </c>
      <c r="L485" s="123">
        <v>0</v>
      </c>
    </row>
    <row r="486" spans="1:12" hidden="1" x14ac:dyDescent="0.25">
      <c r="A486" s="7">
        <v>485</v>
      </c>
      <c r="B486" s="152" t="s">
        <v>1147</v>
      </c>
      <c r="C486" s="153" t="s">
        <v>3289</v>
      </c>
      <c r="D486" s="153" t="s">
        <v>3290</v>
      </c>
      <c r="E486" s="153" t="s">
        <v>2086</v>
      </c>
      <c r="F486" s="6"/>
      <c r="G486" s="6"/>
      <c r="H486" s="85">
        <v>39975</v>
      </c>
      <c r="I486" s="103">
        <f>IFERROR(VLOOKUP(B486,'July 2026-Recived'!$B$2:$H$1300,7,0),0)</f>
        <v>0</v>
      </c>
      <c r="J486" s="103">
        <f>IFERROR(VLOOKUP(B486,'July 2026- Dispatch'!$B$2:$H$1300,7,0),0)</f>
        <v>6895</v>
      </c>
      <c r="K486" s="61">
        <f t="shared" si="7"/>
        <v>33080</v>
      </c>
      <c r="L486" s="123">
        <v>0</v>
      </c>
    </row>
    <row r="487" spans="1:12" hidden="1" x14ac:dyDescent="0.25">
      <c r="A487" s="7">
        <v>486</v>
      </c>
      <c r="B487" s="152" t="s">
        <v>1915</v>
      </c>
      <c r="C487" s="153" t="s">
        <v>3291</v>
      </c>
      <c r="D487" s="153" t="s">
        <v>3292</v>
      </c>
      <c r="E487" s="153" t="s">
        <v>2083</v>
      </c>
      <c r="F487" s="6"/>
      <c r="G487" s="6"/>
      <c r="H487" s="85">
        <v>0</v>
      </c>
      <c r="I487" s="103">
        <f>IFERROR(VLOOKUP(B487,'July 2026-Recived'!$B$2:$H$1300,7,0),0)</f>
        <v>0</v>
      </c>
      <c r="J487" s="103">
        <f>IFERROR(VLOOKUP(B487,'July 2026- Dispatch'!$B$2:$H$1300,7,0),0)</f>
        <v>0</v>
      </c>
      <c r="K487" s="61">
        <f t="shared" si="7"/>
        <v>0</v>
      </c>
      <c r="L487" s="123">
        <v>0</v>
      </c>
    </row>
    <row r="488" spans="1:12" hidden="1" x14ac:dyDescent="0.25">
      <c r="A488" s="7">
        <v>487</v>
      </c>
      <c r="B488" s="152" t="s">
        <v>3293</v>
      </c>
      <c r="C488" s="153" t="s">
        <v>3294</v>
      </c>
      <c r="D488" s="153" t="s">
        <v>3295</v>
      </c>
      <c r="E488" s="153" t="s">
        <v>2083</v>
      </c>
      <c r="F488" s="6"/>
      <c r="G488" s="6"/>
      <c r="H488" s="85">
        <v>0</v>
      </c>
      <c r="I488" s="103">
        <f>IFERROR(VLOOKUP(B488,'July 2026-Recived'!$B$2:$H$1300,7,0),0)</f>
        <v>0</v>
      </c>
      <c r="J488" s="103">
        <f>IFERROR(VLOOKUP(B488,'July 2026- Dispatch'!$B$2:$H$1300,7,0),0)</f>
        <v>0</v>
      </c>
      <c r="K488" s="61">
        <f t="shared" si="7"/>
        <v>0</v>
      </c>
      <c r="L488" s="123">
        <v>0</v>
      </c>
    </row>
    <row r="489" spans="1:12" hidden="1" x14ac:dyDescent="0.25">
      <c r="A489" s="7">
        <v>488</v>
      </c>
      <c r="B489" s="152" t="s">
        <v>3296</v>
      </c>
      <c r="C489" s="153" t="s">
        <v>3297</v>
      </c>
      <c r="D489" s="153" t="s">
        <v>3298</v>
      </c>
      <c r="E489" s="153" t="s">
        <v>2083</v>
      </c>
      <c r="F489" s="6"/>
      <c r="G489" s="6"/>
      <c r="H489" s="85">
        <v>0</v>
      </c>
      <c r="I489" s="103">
        <f>IFERROR(VLOOKUP(B489,'July 2026-Recived'!$B$2:$H$1300,7,0),0)</f>
        <v>0</v>
      </c>
      <c r="J489" s="103">
        <f>IFERROR(VLOOKUP(B489,'July 2026- Dispatch'!$B$2:$H$1300,7,0),0)</f>
        <v>0</v>
      </c>
      <c r="K489" s="61">
        <f t="shared" si="7"/>
        <v>0</v>
      </c>
      <c r="L489" s="123">
        <v>0</v>
      </c>
    </row>
    <row r="490" spans="1:12" hidden="1" x14ac:dyDescent="0.25">
      <c r="A490" s="7">
        <v>489</v>
      </c>
      <c r="B490" s="152" t="s">
        <v>1828</v>
      </c>
      <c r="C490" s="153" t="s">
        <v>3299</v>
      </c>
      <c r="D490" s="153" t="s">
        <v>3300</v>
      </c>
      <c r="E490" s="153" t="s">
        <v>2086</v>
      </c>
      <c r="F490" s="6"/>
      <c r="G490" s="6"/>
      <c r="H490" s="85">
        <v>5950</v>
      </c>
      <c r="I490" s="103">
        <f>IFERROR(VLOOKUP(B490,'July 2026-Recived'!$B$2:$H$1300,7,0),0)</f>
        <v>0</v>
      </c>
      <c r="J490" s="103">
        <f>IFERROR(VLOOKUP(B490,'July 2026- Dispatch'!$B$2:$H$1300,7,0),0)</f>
        <v>0</v>
      </c>
      <c r="K490" s="61">
        <f t="shared" si="7"/>
        <v>5950</v>
      </c>
      <c r="L490" s="123">
        <v>0</v>
      </c>
    </row>
    <row r="491" spans="1:12" hidden="1" x14ac:dyDescent="0.25">
      <c r="A491" s="7">
        <v>490</v>
      </c>
      <c r="B491" s="152" t="s">
        <v>3301</v>
      </c>
      <c r="C491" s="153" t="s">
        <v>3302</v>
      </c>
      <c r="D491" s="153" t="s">
        <v>3303</v>
      </c>
      <c r="E491" s="153" t="s">
        <v>2083</v>
      </c>
      <c r="F491" s="6"/>
      <c r="G491" s="6"/>
      <c r="H491" s="85">
        <v>0</v>
      </c>
      <c r="I491" s="103">
        <f>IFERROR(VLOOKUP(B491,'July 2026-Recived'!$B$2:$H$1300,7,0),0)</f>
        <v>0</v>
      </c>
      <c r="J491" s="103">
        <f>IFERROR(VLOOKUP(B491,'July 2026- Dispatch'!$B$2:$H$1300,7,0),0)</f>
        <v>0</v>
      </c>
      <c r="K491" s="61">
        <f t="shared" si="7"/>
        <v>0</v>
      </c>
      <c r="L491" s="123">
        <v>0</v>
      </c>
    </row>
    <row r="492" spans="1:12" hidden="1" x14ac:dyDescent="0.25">
      <c r="A492" s="7">
        <v>491</v>
      </c>
      <c r="B492" s="152" t="s">
        <v>3304</v>
      </c>
      <c r="C492" s="153" t="s">
        <v>3305</v>
      </c>
      <c r="D492" s="153" t="s">
        <v>3306</v>
      </c>
      <c r="E492" s="153" t="s">
        <v>2083</v>
      </c>
      <c r="F492" s="6"/>
      <c r="G492" s="6"/>
      <c r="H492" s="85">
        <v>0</v>
      </c>
      <c r="I492" s="103">
        <f>IFERROR(VLOOKUP(B492,'July 2026-Recived'!$B$2:$H$1300,7,0),0)</f>
        <v>0</v>
      </c>
      <c r="J492" s="103">
        <f>IFERROR(VLOOKUP(B492,'July 2026- Dispatch'!$B$2:$H$1300,7,0),0)</f>
        <v>0</v>
      </c>
      <c r="K492" s="61">
        <f t="shared" si="7"/>
        <v>0</v>
      </c>
      <c r="L492" s="123">
        <v>0</v>
      </c>
    </row>
    <row r="493" spans="1:12" hidden="1" x14ac:dyDescent="0.25">
      <c r="A493" s="7">
        <v>492</v>
      </c>
      <c r="B493" s="152" t="s">
        <v>3307</v>
      </c>
      <c r="C493" s="153" t="s">
        <v>3308</v>
      </c>
      <c r="D493" s="153" t="s">
        <v>3309</v>
      </c>
      <c r="E493" s="153" t="s">
        <v>2083</v>
      </c>
      <c r="F493" s="6"/>
      <c r="G493" s="6"/>
      <c r="H493" s="85">
        <v>0</v>
      </c>
      <c r="I493" s="103">
        <f>IFERROR(VLOOKUP(B493,'July 2026-Recived'!$B$2:$H$1300,7,0),0)</f>
        <v>0</v>
      </c>
      <c r="J493" s="103">
        <f>IFERROR(VLOOKUP(B493,'July 2026- Dispatch'!$B$2:$H$1300,7,0),0)</f>
        <v>0</v>
      </c>
      <c r="K493" s="61">
        <f t="shared" si="7"/>
        <v>0</v>
      </c>
      <c r="L493" s="123">
        <v>0</v>
      </c>
    </row>
    <row r="494" spans="1:12" hidden="1" x14ac:dyDescent="0.25">
      <c r="A494" s="7">
        <v>493</v>
      </c>
      <c r="B494" s="152" t="s">
        <v>3310</v>
      </c>
      <c r="C494" s="153" t="s">
        <v>3311</v>
      </c>
      <c r="D494" s="153" t="s">
        <v>3312</v>
      </c>
      <c r="E494" s="153" t="s">
        <v>2083</v>
      </c>
      <c r="F494" s="6"/>
      <c r="G494" s="6"/>
      <c r="H494" s="85">
        <v>0</v>
      </c>
      <c r="I494" s="103">
        <f>IFERROR(VLOOKUP(B494,'July 2026-Recived'!$B$2:$H$1300,7,0),0)</f>
        <v>0</v>
      </c>
      <c r="J494" s="103">
        <f>IFERROR(VLOOKUP(B494,'July 2026- Dispatch'!$B$2:$H$1300,7,0),0)</f>
        <v>0</v>
      </c>
      <c r="K494" s="61">
        <f t="shared" si="7"/>
        <v>0</v>
      </c>
      <c r="L494" s="123">
        <v>0</v>
      </c>
    </row>
    <row r="495" spans="1:12" hidden="1" x14ac:dyDescent="0.25">
      <c r="A495" s="7">
        <v>494</v>
      </c>
      <c r="B495" s="152" t="s">
        <v>3313</v>
      </c>
      <c r="C495" s="153" t="s">
        <v>3314</v>
      </c>
      <c r="D495" s="153" t="s">
        <v>3315</v>
      </c>
      <c r="E495" s="153" t="s">
        <v>2083</v>
      </c>
      <c r="F495" s="6"/>
      <c r="G495" s="6"/>
      <c r="H495" s="85">
        <v>0</v>
      </c>
      <c r="I495" s="103">
        <f>IFERROR(VLOOKUP(B495,'July 2026-Recived'!$B$2:$H$1300,7,0),0)</f>
        <v>0</v>
      </c>
      <c r="J495" s="103">
        <f>IFERROR(VLOOKUP(B495,'July 2026- Dispatch'!$B$2:$H$1300,7,0),0)</f>
        <v>0</v>
      </c>
      <c r="K495" s="61">
        <f t="shared" si="7"/>
        <v>0</v>
      </c>
      <c r="L495" s="123">
        <v>0</v>
      </c>
    </row>
    <row r="496" spans="1:12" hidden="1" x14ac:dyDescent="0.25">
      <c r="A496" s="7">
        <v>495</v>
      </c>
      <c r="B496" s="152" t="s">
        <v>3316</v>
      </c>
      <c r="C496" s="153" t="s">
        <v>3317</v>
      </c>
      <c r="D496" s="153" t="s">
        <v>3318</v>
      </c>
      <c r="E496" s="153" t="s">
        <v>2083</v>
      </c>
      <c r="F496" s="6"/>
      <c r="G496" s="6"/>
      <c r="H496" s="85">
        <v>0</v>
      </c>
      <c r="I496" s="103">
        <f>IFERROR(VLOOKUP(B496,'July 2026-Recived'!$B$2:$H$1300,7,0),0)</f>
        <v>0</v>
      </c>
      <c r="J496" s="103">
        <f>IFERROR(VLOOKUP(B496,'July 2026- Dispatch'!$B$2:$H$1300,7,0),0)</f>
        <v>0</v>
      </c>
      <c r="K496" s="61">
        <f t="shared" si="7"/>
        <v>0</v>
      </c>
      <c r="L496" s="123">
        <v>0</v>
      </c>
    </row>
    <row r="497" spans="1:12" hidden="1" x14ac:dyDescent="0.25">
      <c r="A497" s="7">
        <v>496</v>
      </c>
      <c r="B497" s="152" t="s">
        <v>3319</v>
      </c>
      <c r="C497" s="153" t="s">
        <v>3320</v>
      </c>
      <c r="D497" s="153" t="s">
        <v>3321</v>
      </c>
      <c r="E497" s="153" t="s">
        <v>2083</v>
      </c>
      <c r="F497" s="6"/>
      <c r="G497" s="6"/>
      <c r="H497" s="85">
        <v>0</v>
      </c>
      <c r="I497" s="103">
        <f>IFERROR(VLOOKUP(B497,'July 2026-Recived'!$B$2:$H$1300,7,0),0)</f>
        <v>0</v>
      </c>
      <c r="J497" s="103">
        <f>IFERROR(VLOOKUP(B497,'July 2026- Dispatch'!$B$2:$H$1300,7,0),0)</f>
        <v>0</v>
      </c>
      <c r="K497" s="61">
        <f t="shared" si="7"/>
        <v>0</v>
      </c>
      <c r="L497" s="123">
        <v>0</v>
      </c>
    </row>
    <row r="498" spans="1:12" hidden="1" x14ac:dyDescent="0.25">
      <c r="A498" s="7">
        <v>497</v>
      </c>
      <c r="B498" s="152" t="s">
        <v>3322</v>
      </c>
      <c r="C498" s="153" t="s">
        <v>3323</v>
      </c>
      <c r="D498" s="153" t="s">
        <v>3324</v>
      </c>
      <c r="E498" s="153" t="s">
        <v>2083</v>
      </c>
      <c r="F498" s="6"/>
      <c r="G498" s="6"/>
      <c r="H498" s="85">
        <v>0</v>
      </c>
      <c r="I498" s="103">
        <f>IFERROR(VLOOKUP(B498,'July 2026-Recived'!$B$2:$H$1300,7,0),0)</f>
        <v>0</v>
      </c>
      <c r="J498" s="103">
        <f>IFERROR(VLOOKUP(B498,'July 2026- Dispatch'!$B$2:$H$1300,7,0),0)</f>
        <v>0</v>
      </c>
      <c r="K498" s="61">
        <f t="shared" si="7"/>
        <v>0</v>
      </c>
      <c r="L498" s="123">
        <v>0</v>
      </c>
    </row>
    <row r="499" spans="1:12" hidden="1" x14ac:dyDescent="0.25">
      <c r="A499" s="7">
        <v>498</v>
      </c>
      <c r="B499" s="152" t="s">
        <v>3325</v>
      </c>
      <c r="C499" s="153" t="s">
        <v>3326</v>
      </c>
      <c r="D499" s="153" t="s">
        <v>3327</v>
      </c>
      <c r="E499" s="153" t="s">
        <v>2083</v>
      </c>
      <c r="F499" s="6"/>
      <c r="G499" s="6"/>
      <c r="H499" s="85">
        <v>0</v>
      </c>
      <c r="I499" s="103">
        <f>IFERROR(VLOOKUP(B499,'July 2026-Recived'!$B$2:$H$1300,7,0),0)</f>
        <v>0</v>
      </c>
      <c r="J499" s="103">
        <f>IFERROR(VLOOKUP(B499,'July 2026- Dispatch'!$B$2:$H$1300,7,0),0)</f>
        <v>0</v>
      </c>
      <c r="K499" s="61">
        <f t="shared" si="7"/>
        <v>0</v>
      </c>
      <c r="L499" s="123">
        <v>0</v>
      </c>
    </row>
    <row r="500" spans="1:12" hidden="1" x14ac:dyDescent="0.25">
      <c r="A500" s="7">
        <v>499</v>
      </c>
      <c r="B500" s="152" t="s">
        <v>3328</v>
      </c>
      <c r="C500" s="153" t="s">
        <v>3329</v>
      </c>
      <c r="D500" s="153" t="s">
        <v>3330</v>
      </c>
      <c r="E500" s="153" t="s">
        <v>2083</v>
      </c>
      <c r="F500" s="6"/>
      <c r="G500" s="6"/>
      <c r="H500" s="85">
        <v>0</v>
      </c>
      <c r="I500" s="103">
        <f>IFERROR(VLOOKUP(B500,'July 2026-Recived'!$B$2:$H$1300,7,0),0)</f>
        <v>0</v>
      </c>
      <c r="J500" s="103">
        <f>IFERROR(VLOOKUP(B500,'July 2026- Dispatch'!$B$2:$H$1300,7,0),0)</f>
        <v>0</v>
      </c>
      <c r="K500" s="61">
        <f t="shared" si="7"/>
        <v>0</v>
      </c>
      <c r="L500" s="123">
        <v>0</v>
      </c>
    </row>
    <row r="501" spans="1:12" hidden="1" x14ac:dyDescent="0.25">
      <c r="A501" s="7">
        <v>500</v>
      </c>
      <c r="B501" s="152" t="s">
        <v>1808</v>
      </c>
      <c r="C501" s="153" t="s">
        <v>3331</v>
      </c>
      <c r="D501" s="153" t="s">
        <v>3332</v>
      </c>
      <c r="E501" s="153" t="s">
        <v>2083</v>
      </c>
      <c r="F501" s="6"/>
      <c r="G501" s="6"/>
      <c r="H501" s="85">
        <v>0</v>
      </c>
      <c r="I501" s="103">
        <f>IFERROR(VLOOKUP(B501,'July 2026-Recived'!$B$2:$H$1300,7,0),0)</f>
        <v>0</v>
      </c>
      <c r="J501" s="103">
        <f>IFERROR(VLOOKUP(B501,'July 2026- Dispatch'!$B$2:$H$1300,7,0),0)</f>
        <v>0</v>
      </c>
      <c r="K501" s="61">
        <f t="shared" si="7"/>
        <v>0</v>
      </c>
      <c r="L501" s="123">
        <v>0</v>
      </c>
    </row>
    <row r="502" spans="1:12" hidden="1" x14ac:dyDescent="0.25">
      <c r="A502" s="7">
        <v>501</v>
      </c>
      <c r="B502" s="152" t="s">
        <v>3333</v>
      </c>
      <c r="C502" s="153" t="s">
        <v>3334</v>
      </c>
      <c r="D502" s="153" t="s">
        <v>3335</v>
      </c>
      <c r="E502" s="153" t="s">
        <v>2083</v>
      </c>
      <c r="F502" s="6"/>
      <c r="G502" s="6"/>
      <c r="H502" s="85">
        <v>0</v>
      </c>
      <c r="I502" s="103">
        <f>IFERROR(VLOOKUP(B502,'July 2026-Recived'!$B$2:$H$1300,7,0),0)</f>
        <v>0</v>
      </c>
      <c r="J502" s="103">
        <f>IFERROR(VLOOKUP(B502,'July 2026- Dispatch'!$B$2:$H$1300,7,0),0)</f>
        <v>0</v>
      </c>
      <c r="K502" s="61">
        <f t="shared" si="7"/>
        <v>0</v>
      </c>
      <c r="L502" s="123">
        <v>0</v>
      </c>
    </row>
    <row r="503" spans="1:12" hidden="1" x14ac:dyDescent="0.25">
      <c r="A503" s="7">
        <v>502</v>
      </c>
      <c r="B503" s="152" t="s">
        <v>3336</v>
      </c>
      <c r="C503" s="153" t="s">
        <v>3337</v>
      </c>
      <c r="D503" s="153" t="s">
        <v>3338</v>
      </c>
      <c r="E503" s="153" t="s">
        <v>2086</v>
      </c>
      <c r="F503" s="6"/>
      <c r="G503" s="6"/>
      <c r="H503" s="85">
        <v>4160</v>
      </c>
      <c r="I503" s="103">
        <f>IFERROR(VLOOKUP(B503,'July 2026-Recived'!$B$2:$H$1300,7,0),0)</f>
        <v>0</v>
      </c>
      <c r="J503" s="103">
        <f>IFERROR(VLOOKUP(B503,'July 2026- Dispatch'!$B$2:$H$1300,7,0),0)</f>
        <v>0</v>
      </c>
      <c r="K503" s="61">
        <f t="shared" si="7"/>
        <v>4160</v>
      </c>
      <c r="L503" s="123">
        <v>0</v>
      </c>
    </row>
    <row r="504" spans="1:12" hidden="1" x14ac:dyDescent="0.25">
      <c r="A504" s="7">
        <v>503</v>
      </c>
      <c r="B504" s="152" t="s">
        <v>3339</v>
      </c>
      <c r="C504" s="153" t="s">
        <v>3340</v>
      </c>
      <c r="D504" s="153" t="s">
        <v>3341</v>
      </c>
      <c r="E504" s="153" t="s">
        <v>2083</v>
      </c>
      <c r="F504" s="6"/>
      <c r="G504" s="6"/>
      <c r="H504" s="85">
        <v>0</v>
      </c>
      <c r="I504" s="103">
        <f>IFERROR(VLOOKUP(B504,'July 2026-Recived'!$B$2:$H$1300,7,0),0)</f>
        <v>0</v>
      </c>
      <c r="J504" s="103">
        <f>IFERROR(VLOOKUP(B504,'July 2026- Dispatch'!$B$2:$H$1300,7,0),0)</f>
        <v>0</v>
      </c>
      <c r="K504" s="61">
        <f t="shared" si="7"/>
        <v>0</v>
      </c>
      <c r="L504" s="123">
        <v>0</v>
      </c>
    </row>
    <row r="505" spans="1:12" hidden="1" x14ac:dyDescent="0.25">
      <c r="A505" s="7">
        <v>504</v>
      </c>
      <c r="B505" s="152" t="s">
        <v>3342</v>
      </c>
      <c r="C505" s="153" t="s">
        <v>3343</v>
      </c>
      <c r="D505" s="153" t="s">
        <v>3344</v>
      </c>
      <c r="E505" s="153" t="s">
        <v>2083</v>
      </c>
      <c r="F505" s="6"/>
      <c r="G505" s="6"/>
      <c r="H505" s="85">
        <v>0</v>
      </c>
      <c r="I505" s="103">
        <f>IFERROR(VLOOKUP(B505,'July 2026-Recived'!$B$2:$H$1300,7,0),0)</f>
        <v>0</v>
      </c>
      <c r="J505" s="103">
        <f>IFERROR(VLOOKUP(B505,'July 2026- Dispatch'!$B$2:$H$1300,7,0),0)</f>
        <v>0</v>
      </c>
      <c r="K505" s="61">
        <f t="shared" si="7"/>
        <v>0</v>
      </c>
      <c r="L505" s="123">
        <v>0</v>
      </c>
    </row>
    <row r="506" spans="1:12" hidden="1" x14ac:dyDescent="0.25">
      <c r="A506" s="7">
        <v>505</v>
      </c>
      <c r="B506" s="152" t="s">
        <v>3345</v>
      </c>
      <c r="C506" s="153" t="s">
        <v>3346</v>
      </c>
      <c r="D506" s="153" t="s">
        <v>3347</v>
      </c>
      <c r="E506" s="153" t="s">
        <v>2083</v>
      </c>
      <c r="F506" s="6"/>
      <c r="G506" s="6"/>
      <c r="H506" s="85">
        <v>0</v>
      </c>
      <c r="I506" s="103">
        <f>IFERROR(VLOOKUP(B506,'July 2026-Recived'!$B$2:$H$1300,7,0),0)</f>
        <v>0</v>
      </c>
      <c r="J506" s="103">
        <f>IFERROR(VLOOKUP(B506,'July 2026- Dispatch'!$B$2:$H$1300,7,0),0)</f>
        <v>0</v>
      </c>
      <c r="K506" s="61">
        <f t="shared" si="7"/>
        <v>0</v>
      </c>
      <c r="L506" s="123">
        <v>0</v>
      </c>
    </row>
    <row r="507" spans="1:12" hidden="1" x14ac:dyDescent="0.25">
      <c r="A507" s="7">
        <v>506</v>
      </c>
      <c r="B507" s="152" t="s">
        <v>927</v>
      </c>
      <c r="C507" s="153" t="s">
        <v>3348</v>
      </c>
      <c r="D507" s="153" t="s">
        <v>3349</v>
      </c>
      <c r="E507" s="153" t="s">
        <v>2086</v>
      </c>
      <c r="F507" s="6"/>
      <c r="G507" s="6"/>
      <c r="H507" s="85">
        <v>6500</v>
      </c>
      <c r="I507" s="103">
        <f>IFERROR(VLOOKUP(B507,'July 2026-Recived'!$B$2:$H$1300,7,0),0)</f>
        <v>0</v>
      </c>
      <c r="J507" s="103">
        <f>IFERROR(VLOOKUP(B507,'July 2026- Dispatch'!$B$2:$H$1300,7,0),0)</f>
        <v>3000</v>
      </c>
      <c r="K507" s="61">
        <f t="shared" si="7"/>
        <v>3500</v>
      </c>
      <c r="L507" s="123">
        <v>0</v>
      </c>
    </row>
    <row r="508" spans="1:12" hidden="1" x14ac:dyDescent="0.25">
      <c r="A508" s="7">
        <v>507</v>
      </c>
      <c r="B508" s="152" t="s">
        <v>3350</v>
      </c>
      <c r="C508" s="153" t="s">
        <v>3351</v>
      </c>
      <c r="D508" s="153" t="s">
        <v>3352</v>
      </c>
      <c r="E508" s="153" t="s">
        <v>2083</v>
      </c>
      <c r="F508" s="6"/>
      <c r="G508" s="6"/>
      <c r="H508" s="85">
        <v>0</v>
      </c>
      <c r="I508" s="103">
        <f>IFERROR(VLOOKUP(B508,'July 2026-Recived'!$B$2:$H$1300,7,0),0)</f>
        <v>0</v>
      </c>
      <c r="J508" s="103">
        <f>IFERROR(VLOOKUP(B508,'July 2026- Dispatch'!$B$2:$H$1300,7,0),0)</f>
        <v>0</v>
      </c>
      <c r="K508" s="61">
        <f t="shared" si="7"/>
        <v>0</v>
      </c>
      <c r="L508" s="123">
        <v>0</v>
      </c>
    </row>
    <row r="509" spans="1:12" hidden="1" x14ac:dyDescent="0.25">
      <c r="A509" s="7">
        <v>508</v>
      </c>
      <c r="B509" s="152" t="s">
        <v>3353</v>
      </c>
      <c r="C509" s="153" t="s">
        <v>3354</v>
      </c>
      <c r="D509" s="153" t="s">
        <v>3355</v>
      </c>
      <c r="E509" s="153" t="s">
        <v>2083</v>
      </c>
      <c r="F509" s="6"/>
      <c r="G509" s="6"/>
      <c r="H509" s="85">
        <v>0</v>
      </c>
      <c r="I509" s="103">
        <f>IFERROR(VLOOKUP(B509,'July 2026-Recived'!$B$2:$H$1300,7,0),0)</f>
        <v>0</v>
      </c>
      <c r="J509" s="103">
        <f>IFERROR(VLOOKUP(B509,'July 2026- Dispatch'!$B$2:$H$1300,7,0),0)</f>
        <v>0</v>
      </c>
      <c r="K509" s="61">
        <f t="shared" si="7"/>
        <v>0</v>
      </c>
      <c r="L509" s="123">
        <v>0</v>
      </c>
    </row>
    <row r="510" spans="1:12" hidden="1" x14ac:dyDescent="0.25">
      <c r="A510" s="7">
        <v>509</v>
      </c>
      <c r="B510" s="152" t="s">
        <v>3356</v>
      </c>
      <c r="C510" s="153" t="s">
        <v>3357</v>
      </c>
      <c r="D510" s="153" t="s">
        <v>3358</v>
      </c>
      <c r="E510" s="153" t="s">
        <v>2083</v>
      </c>
      <c r="F510" s="6"/>
      <c r="G510" s="6"/>
      <c r="H510" s="85">
        <v>0</v>
      </c>
      <c r="I510" s="103">
        <f>IFERROR(VLOOKUP(B510,'July 2026-Recived'!$B$2:$H$1300,7,0),0)</f>
        <v>0</v>
      </c>
      <c r="J510" s="103">
        <f>IFERROR(VLOOKUP(B510,'July 2026- Dispatch'!$B$2:$H$1300,7,0),0)</f>
        <v>0</v>
      </c>
      <c r="K510" s="61">
        <f t="shared" si="7"/>
        <v>0</v>
      </c>
      <c r="L510" s="123">
        <v>0</v>
      </c>
    </row>
    <row r="511" spans="1:12" hidden="1" x14ac:dyDescent="0.25">
      <c r="A511" s="7">
        <v>510</v>
      </c>
      <c r="B511" s="152" t="s">
        <v>795</v>
      </c>
      <c r="C511" s="153" t="s">
        <v>3359</v>
      </c>
      <c r="D511" s="153" t="s">
        <v>3360</v>
      </c>
      <c r="E511" s="153" t="s">
        <v>2086</v>
      </c>
      <c r="F511" s="6"/>
      <c r="G511" s="6"/>
      <c r="H511" s="85">
        <v>1900</v>
      </c>
      <c r="I511" s="103">
        <f>IFERROR(VLOOKUP(B511,'July 2026-Recived'!$B$2:$H$1300,7,0),0)</f>
        <v>800</v>
      </c>
      <c r="J511" s="103">
        <f>IFERROR(VLOOKUP(B511,'July 2026- Dispatch'!$B$2:$H$1300,7,0),0)</f>
        <v>1505</v>
      </c>
      <c r="K511" s="61">
        <f t="shared" si="7"/>
        <v>1195</v>
      </c>
      <c r="L511" s="123">
        <v>0</v>
      </c>
    </row>
    <row r="512" spans="1:12" hidden="1" x14ac:dyDescent="0.25">
      <c r="A512" s="7">
        <v>511</v>
      </c>
      <c r="B512" s="152" t="s">
        <v>3361</v>
      </c>
      <c r="C512" s="153" t="s">
        <v>3362</v>
      </c>
      <c r="D512" s="153" t="s">
        <v>3363</v>
      </c>
      <c r="E512" s="153" t="s">
        <v>2083</v>
      </c>
      <c r="F512" s="6"/>
      <c r="G512" s="6"/>
      <c r="H512" s="85">
        <v>0</v>
      </c>
      <c r="I512" s="103">
        <f>IFERROR(VLOOKUP(B512,'July 2026-Recived'!$B$2:$H$1300,7,0),0)</f>
        <v>5700</v>
      </c>
      <c r="J512" s="103">
        <f>IFERROR(VLOOKUP(B512,'July 2026- Dispatch'!$B$2:$H$1300,7,0),0)</f>
        <v>5</v>
      </c>
      <c r="K512" s="61">
        <f t="shared" si="7"/>
        <v>5695</v>
      </c>
      <c r="L512" s="123">
        <v>0</v>
      </c>
    </row>
    <row r="513" spans="1:12" hidden="1" x14ac:dyDescent="0.25">
      <c r="A513" s="7">
        <v>512</v>
      </c>
      <c r="B513" s="152" t="s">
        <v>1863</v>
      </c>
      <c r="C513" s="153" t="s">
        <v>3364</v>
      </c>
      <c r="D513" s="153" t="s">
        <v>3365</v>
      </c>
      <c r="E513" s="153" t="s">
        <v>2086</v>
      </c>
      <c r="F513" s="6"/>
      <c r="G513" s="6"/>
      <c r="H513" s="85">
        <v>1300</v>
      </c>
      <c r="I513" s="103">
        <f>IFERROR(VLOOKUP(B513,'July 2026-Recived'!$B$2:$H$1300,7,0),0)</f>
        <v>0</v>
      </c>
      <c r="J513" s="103">
        <f>IFERROR(VLOOKUP(B513,'July 2026- Dispatch'!$B$2:$H$1300,7,0),0)</f>
        <v>0</v>
      </c>
      <c r="K513" s="61">
        <f t="shared" si="7"/>
        <v>1300</v>
      </c>
      <c r="L513" s="123">
        <v>0</v>
      </c>
    </row>
    <row r="514" spans="1:12" hidden="1" x14ac:dyDescent="0.25">
      <c r="A514" s="7">
        <v>513</v>
      </c>
      <c r="B514" s="152" t="s">
        <v>1854</v>
      </c>
      <c r="C514" s="153" t="s">
        <v>3366</v>
      </c>
      <c r="D514" s="153" t="s">
        <v>3367</v>
      </c>
      <c r="E514" s="153" t="s">
        <v>2086</v>
      </c>
      <c r="F514" s="6"/>
      <c r="G514" s="6"/>
      <c r="H514" s="85">
        <v>475</v>
      </c>
      <c r="I514" s="103">
        <f>IFERROR(VLOOKUP(B514,'July 2026-Recived'!$B$2:$H$1300,7,0),0)</f>
        <v>0</v>
      </c>
      <c r="J514" s="103">
        <f>IFERROR(VLOOKUP(B514,'July 2026- Dispatch'!$B$2:$H$1300,7,0),0)</f>
        <v>0</v>
      </c>
      <c r="K514" s="61">
        <f t="shared" ref="K514:K577" si="8">H514+I514-J514</f>
        <v>475</v>
      </c>
      <c r="L514" s="123">
        <v>0</v>
      </c>
    </row>
    <row r="515" spans="1:12" hidden="1" x14ac:dyDescent="0.25">
      <c r="A515" s="7">
        <v>514</v>
      </c>
      <c r="B515" s="152" t="s">
        <v>1075</v>
      </c>
      <c r="C515" s="153" t="s">
        <v>3368</v>
      </c>
      <c r="D515" s="153" t="s">
        <v>3369</v>
      </c>
      <c r="E515" s="153" t="s">
        <v>2083</v>
      </c>
      <c r="F515" s="6"/>
      <c r="G515" s="6"/>
      <c r="H515" s="85">
        <v>0</v>
      </c>
      <c r="I515" s="103">
        <f>IFERROR(VLOOKUP(B515,'July 2026-Recived'!$B$2:$H$1300,7,0),0)</f>
        <v>0</v>
      </c>
      <c r="J515" s="103">
        <f>IFERROR(VLOOKUP(B515,'July 2026- Dispatch'!$B$2:$H$1300,7,0),0)</f>
        <v>0</v>
      </c>
      <c r="K515" s="61">
        <f t="shared" si="8"/>
        <v>0</v>
      </c>
      <c r="L515" s="123">
        <v>0</v>
      </c>
    </row>
    <row r="516" spans="1:12" hidden="1" x14ac:dyDescent="0.25">
      <c r="A516" s="7">
        <v>515</v>
      </c>
      <c r="B516" s="152" t="s">
        <v>3370</v>
      </c>
      <c r="C516" s="153" t="s">
        <v>3371</v>
      </c>
      <c r="D516" s="153" t="s">
        <v>3372</v>
      </c>
      <c r="E516" s="153" t="s">
        <v>2083</v>
      </c>
      <c r="F516" s="6"/>
      <c r="G516" s="6"/>
      <c r="H516" s="85">
        <v>0</v>
      </c>
      <c r="I516" s="103">
        <f>IFERROR(VLOOKUP(B516,'July 2026-Recived'!$B$2:$H$1300,7,0),0)</f>
        <v>0</v>
      </c>
      <c r="J516" s="103">
        <f>IFERROR(VLOOKUP(B516,'July 2026- Dispatch'!$B$2:$H$1300,7,0),0)</f>
        <v>0</v>
      </c>
      <c r="K516" s="61">
        <f t="shared" si="8"/>
        <v>0</v>
      </c>
      <c r="L516" s="123">
        <v>0</v>
      </c>
    </row>
    <row r="517" spans="1:12" hidden="1" x14ac:dyDescent="0.25">
      <c r="A517" s="7">
        <v>516</v>
      </c>
      <c r="B517" s="152" t="s">
        <v>1519</v>
      </c>
      <c r="C517" s="153" t="s">
        <v>3373</v>
      </c>
      <c r="D517" s="153" t="s">
        <v>3374</v>
      </c>
      <c r="E517" s="153" t="s">
        <v>2083</v>
      </c>
      <c r="F517" s="6"/>
      <c r="G517" s="6"/>
      <c r="H517" s="85">
        <v>0</v>
      </c>
      <c r="I517" s="103">
        <f>IFERROR(VLOOKUP(B517,'July 2026-Recived'!$B$2:$H$1300,7,0),0)</f>
        <v>0</v>
      </c>
      <c r="J517" s="103">
        <f>IFERROR(VLOOKUP(B517,'July 2026- Dispatch'!$B$2:$H$1300,7,0),0)</f>
        <v>0</v>
      </c>
      <c r="K517" s="61">
        <f t="shared" si="8"/>
        <v>0</v>
      </c>
      <c r="L517" s="123">
        <v>0</v>
      </c>
    </row>
    <row r="518" spans="1:12" hidden="1" x14ac:dyDescent="0.25">
      <c r="A518" s="7">
        <v>517</v>
      </c>
      <c r="B518" s="152" t="s">
        <v>76</v>
      </c>
      <c r="C518" s="153" t="s">
        <v>3375</v>
      </c>
      <c r="D518" s="153" t="s">
        <v>3376</v>
      </c>
      <c r="E518" s="153" t="s">
        <v>2083</v>
      </c>
      <c r="F518" s="6"/>
      <c r="G518" s="6"/>
      <c r="H518" s="85">
        <v>0</v>
      </c>
      <c r="I518" s="103">
        <f>IFERROR(VLOOKUP(B518,'July 2026-Recived'!$B$2:$H$1300,7,0),0)</f>
        <v>0</v>
      </c>
      <c r="J518" s="103">
        <f>IFERROR(VLOOKUP(B518,'July 2026- Dispatch'!$B$2:$H$1300,7,0),0)</f>
        <v>0</v>
      </c>
      <c r="K518" s="61">
        <f t="shared" si="8"/>
        <v>0</v>
      </c>
      <c r="L518" s="123">
        <v>0</v>
      </c>
    </row>
    <row r="519" spans="1:12" hidden="1" x14ac:dyDescent="0.25">
      <c r="A519" s="7">
        <v>518</v>
      </c>
      <c r="B519" s="152" t="s">
        <v>3377</v>
      </c>
      <c r="C519" s="153" t="s">
        <v>3378</v>
      </c>
      <c r="D519" s="153" t="s">
        <v>3379</v>
      </c>
      <c r="E519" s="153" t="s">
        <v>2083</v>
      </c>
      <c r="F519" s="6"/>
      <c r="G519" s="6"/>
      <c r="H519" s="85">
        <v>0</v>
      </c>
      <c r="I519" s="103">
        <f>IFERROR(VLOOKUP(B519,'July 2026-Recived'!$B$2:$H$1300,7,0),0)</f>
        <v>0</v>
      </c>
      <c r="J519" s="103">
        <f>IFERROR(VLOOKUP(B519,'July 2026- Dispatch'!$B$2:$H$1300,7,0),0)</f>
        <v>0</v>
      </c>
      <c r="K519" s="61">
        <f t="shared" si="8"/>
        <v>0</v>
      </c>
      <c r="L519" s="123">
        <v>0</v>
      </c>
    </row>
    <row r="520" spans="1:12" hidden="1" x14ac:dyDescent="0.25">
      <c r="A520" s="7">
        <v>519</v>
      </c>
      <c r="B520" s="152" t="s">
        <v>161</v>
      </c>
      <c r="C520" s="153" t="s">
        <v>3380</v>
      </c>
      <c r="D520" s="153" t="s">
        <v>3381</v>
      </c>
      <c r="E520" s="153" t="s">
        <v>2083</v>
      </c>
      <c r="F520" s="6"/>
      <c r="G520" s="6"/>
      <c r="H520" s="85">
        <v>0</v>
      </c>
      <c r="I520" s="103">
        <f>IFERROR(VLOOKUP(B520,'July 2026-Recived'!$B$2:$H$1300,7,0),0)</f>
        <v>0</v>
      </c>
      <c r="J520" s="103">
        <f>IFERROR(VLOOKUP(B520,'July 2026- Dispatch'!$B$2:$H$1300,7,0),0)</f>
        <v>0</v>
      </c>
      <c r="K520" s="61">
        <f t="shared" si="8"/>
        <v>0</v>
      </c>
      <c r="L520" s="123">
        <v>0</v>
      </c>
    </row>
    <row r="521" spans="1:12" hidden="1" x14ac:dyDescent="0.25">
      <c r="A521" s="7">
        <v>520</v>
      </c>
      <c r="B521" s="152" t="s">
        <v>3382</v>
      </c>
      <c r="C521" s="153" t="s">
        <v>3383</v>
      </c>
      <c r="D521" s="153" t="s">
        <v>3384</v>
      </c>
      <c r="E521" s="153" t="s">
        <v>2083</v>
      </c>
      <c r="F521" s="6"/>
      <c r="G521" s="6"/>
      <c r="H521" s="85">
        <v>0</v>
      </c>
      <c r="I521" s="103">
        <f>IFERROR(VLOOKUP(B521,'July 2026-Recived'!$B$2:$H$1300,7,0),0)</f>
        <v>0</v>
      </c>
      <c r="J521" s="103">
        <f>IFERROR(VLOOKUP(B521,'July 2026- Dispatch'!$B$2:$H$1300,7,0),0)</f>
        <v>0</v>
      </c>
      <c r="K521" s="61">
        <f t="shared" si="8"/>
        <v>0</v>
      </c>
      <c r="L521" s="123">
        <v>0</v>
      </c>
    </row>
    <row r="522" spans="1:12" hidden="1" x14ac:dyDescent="0.25">
      <c r="A522" s="7">
        <v>521</v>
      </c>
      <c r="B522" s="152" t="s">
        <v>3385</v>
      </c>
      <c r="C522" s="153" t="s">
        <v>3386</v>
      </c>
      <c r="D522" s="153" t="s">
        <v>3387</v>
      </c>
      <c r="E522" s="153" t="s">
        <v>2083</v>
      </c>
      <c r="F522" s="6"/>
      <c r="G522" s="6"/>
      <c r="H522" s="85">
        <v>0</v>
      </c>
      <c r="I522" s="103">
        <f>IFERROR(VLOOKUP(B522,'July 2026-Recived'!$B$2:$H$1300,7,0),0)</f>
        <v>0</v>
      </c>
      <c r="J522" s="103">
        <f>IFERROR(VLOOKUP(B522,'July 2026- Dispatch'!$B$2:$H$1300,7,0),0)</f>
        <v>0</v>
      </c>
      <c r="K522" s="61">
        <f t="shared" si="8"/>
        <v>0</v>
      </c>
      <c r="L522" s="123">
        <v>0</v>
      </c>
    </row>
    <row r="523" spans="1:12" hidden="1" x14ac:dyDescent="0.25">
      <c r="A523" s="7">
        <v>522</v>
      </c>
      <c r="B523" s="152" t="s">
        <v>1469</v>
      </c>
      <c r="C523" s="153" t="s">
        <v>3388</v>
      </c>
      <c r="D523" s="153" t="s">
        <v>3389</v>
      </c>
      <c r="E523" s="153" t="s">
        <v>2083</v>
      </c>
      <c r="F523" s="6"/>
      <c r="G523" s="6"/>
      <c r="H523" s="85">
        <v>0</v>
      </c>
      <c r="I523" s="103">
        <f>IFERROR(VLOOKUP(B523,'July 2026-Recived'!$B$2:$H$1300,7,0),0)</f>
        <v>0</v>
      </c>
      <c r="J523" s="103">
        <f>IFERROR(VLOOKUP(B523,'July 2026- Dispatch'!$B$2:$H$1300,7,0),0)</f>
        <v>0</v>
      </c>
      <c r="K523" s="61">
        <f t="shared" si="8"/>
        <v>0</v>
      </c>
      <c r="L523" s="123">
        <v>0</v>
      </c>
    </row>
    <row r="524" spans="1:12" hidden="1" x14ac:dyDescent="0.25">
      <c r="A524" s="7">
        <v>523</v>
      </c>
      <c r="B524" s="152" t="s">
        <v>163</v>
      </c>
      <c r="C524" s="153" t="s">
        <v>3390</v>
      </c>
      <c r="D524" s="153" t="s">
        <v>3391</v>
      </c>
      <c r="E524" s="153" t="s">
        <v>2083</v>
      </c>
      <c r="F524" s="6"/>
      <c r="G524" s="6"/>
      <c r="H524" s="85">
        <v>0</v>
      </c>
      <c r="I524" s="103">
        <f>IFERROR(VLOOKUP(B524,'July 2026-Recived'!$B$2:$H$1300,7,0),0)</f>
        <v>0</v>
      </c>
      <c r="J524" s="103">
        <f>IFERROR(VLOOKUP(B524,'July 2026- Dispatch'!$B$2:$H$1300,7,0),0)</f>
        <v>0</v>
      </c>
      <c r="K524" s="61">
        <f t="shared" si="8"/>
        <v>0</v>
      </c>
      <c r="L524" s="123">
        <v>0</v>
      </c>
    </row>
    <row r="525" spans="1:12" hidden="1" x14ac:dyDescent="0.25">
      <c r="A525" s="7">
        <v>524</v>
      </c>
      <c r="B525" s="152" t="s">
        <v>1888</v>
      </c>
      <c r="C525" s="153" t="s">
        <v>3392</v>
      </c>
      <c r="D525" s="153" t="s">
        <v>3393</v>
      </c>
      <c r="E525" s="153" t="s">
        <v>2086</v>
      </c>
      <c r="F525" s="6"/>
      <c r="G525" s="6"/>
      <c r="H525" s="85">
        <v>5400</v>
      </c>
      <c r="I525" s="103">
        <f>IFERROR(VLOOKUP(B525,'July 2026-Recived'!$B$2:$H$1300,7,0),0)</f>
        <v>0</v>
      </c>
      <c r="J525" s="103">
        <f>IFERROR(VLOOKUP(B525,'July 2026- Dispatch'!$B$2:$H$1300,7,0),0)</f>
        <v>0</v>
      </c>
      <c r="K525" s="61">
        <f t="shared" si="8"/>
        <v>5400</v>
      </c>
      <c r="L525" s="123">
        <v>0</v>
      </c>
    </row>
    <row r="526" spans="1:12" hidden="1" x14ac:dyDescent="0.25">
      <c r="A526" s="7">
        <v>525</v>
      </c>
      <c r="B526" s="152" t="s">
        <v>3394</v>
      </c>
      <c r="C526" s="153" t="s">
        <v>3395</v>
      </c>
      <c r="D526" s="153" t="s">
        <v>3396</v>
      </c>
      <c r="E526" s="153" t="s">
        <v>2083</v>
      </c>
      <c r="F526" s="6"/>
      <c r="G526" s="6"/>
      <c r="H526" s="85">
        <v>0</v>
      </c>
      <c r="I526" s="103">
        <f>IFERROR(VLOOKUP(B526,'July 2026-Recived'!$B$2:$H$1300,7,0),0)</f>
        <v>0</v>
      </c>
      <c r="J526" s="103">
        <f>IFERROR(VLOOKUP(B526,'July 2026- Dispatch'!$B$2:$H$1300,7,0),0)</f>
        <v>0</v>
      </c>
      <c r="K526" s="61">
        <f t="shared" si="8"/>
        <v>0</v>
      </c>
      <c r="L526" s="123">
        <v>0</v>
      </c>
    </row>
    <row r="527" spans="1:12" hidden="1" x14ac:dyDescent="0.25">
      <c r="A527" s="7">
        <v>526</v>
      </c>
      <c r="B527" s="152" t="s">
        <v>3397</v>
      </c>
      <c r="C527" s="153" t="s">
        <v>3398</v>
      </c>
      <c r="D527" s="153" t="s">
        <v>3399</v>
      </c>
      <c r="E527" s="153" t="s">
        <v>2083</v>
      </c>
      <c r="F527" s="6"/>
      <c r="G527" s="6"/>
      <c r="H527" s="85">
        <v>0</v>
      </c>
      <c r="I527" s="103">
        <f>IFERROR(VLOOKUP(B527,'July 2026-Recived'!$B$2:$H$1300,7,0),0)</f>
        <v>0</v>
      </c>
      <c r="J527" s="103">
        <f>IFERROR(VLOOKUP(B527,'July 2026- Dispatch'!$B$2:$H$1300,7,0),0)</f>
        <v>0</v>
      </c>
      <c r="K527" s="61">
        <f t="shared" si="8"/>
        <v>0</v>
      </c>
      <c r="L527" s="123">
        <v>0</v>
      </c>
    </row>
    <row r="528" spans="1:12" hidden="1" x14ac:dyDescent="0.25">
      <c r="A528" s="7">
        <v>527</v>
      </c>
      <c r="B528" s="152" t="s">
        <v>3400</v>
      </c>
      <c r="C528" s="153" t="s">
        <v>3401</v>
      </c>
      <c r="D528" s="153" t="s">
        <v>3402</v>
      </c>
      <c r="E528" s="153" t="s">
        <v>2083</v>
      </c>
      <c r="F528" s="6"/>
      <c r="G528" s="6"/>
      <c r="H528" s="85">
        <v>0</v>
      </c>
      <c r="I528" s="103">
        <f>IFERROR(VLOOKUP(B528,'July 2026-Recived'!$B$2:$H$1300,7,0),0)</f>
        <v>0</v>
      </c>
      <c r="J528" s="103">
        <f>IFERROR(VLOOKUP(B528,'July 2026- Dispatch'!$B$2:$H$1300,7,0),0)</f>
        <v>0</v>
      </c>
      <c r="K528" s="61">
        <f t="shared" si="8"/>
        <v>0</v>
      </c>
      <c r="L528" s="123">
        <v>0</v>
      </c>
    </row>
    <row r="529" spans="1:12" hidden="1" x14ac:dyDescent="0.25">
      <c r="A529" s="7">
        <v>528</v>
      </c>
      <c r="B529" s="152" t="s">
        <v>3403</v>
      </c>
      <c r="C529" s="153" t="s">
        <v>3404</v>
      </c>
      <c r="D529" s="153" t="s">
        <v>3405</v>
      </c>
      <c r="E529" s="153" t="s">
        <v>2083</v>
      </c>
      <c r="F529" s="6"/>
      <c r="G529" s="6"/>
      <c r="H529" s="85">
        <v>0</v>
      </c>
      <c r="I529" s="103">
        <f>IFERROR(VLOOKUP(B529,'July 2026-Recived'!$B$2:$H$1300,7,0),0)</f>
        <v>0</v>
      </c>
      <c r="J529" s="103">
        <f>IFERROR(VLOOKUP(B529,'July 2026- Dispatch'!$B$2:$H$1300,7,0),0)</f>
        <v>0</v>
      </c>
      <c r="K529" s="61">
        <f t="shared" si="8"/>
        <v>0</v>
      </c>
      <c r="L529" s="123">
        <v>0</v>
      </c>
    </row>
    <row r="530" spans="1:12" hidden="1" x14ac:dyDescent="0.25">
      <c r="A530" s="7">
        <v>529</v>
      </c>
      <c r="B530" s="152" t="s">
        <v>3406</v>
      </c>
      <c r="C530" s="153" t="s">
        <v>3407</v>
      </c>
      <c r="D530" s="153" t="s">
        <v>3408</v>
      </c>
      <c r="E530" s="153" t="s">
        <v>2083</v>
      </c>
      <c r="F530" s="6"/>
      <c r="G530" s="6"/>
      <c r="H530" s="85">
        <v>0</v>
      </c>
      <c r="I530" s="103">
        <f>IFERROR(VLOOKUP(B530,'July 2026-Recived'!$B$2:$H$1300,7,0),0)</f>
        <v>0</v>
      </c>
      <c r="J530" s="103">
        <f>IFERROR(VLOOKUP(B530,'July 2026- Dispatch'!$B$2:$H$1300,7,0),0)</f>
        <v>0</v>
      </c>
      <c r="K530" s="61">
        <f t="shared" si="8"/>
        <v>0</v>
      </c>
      <c r="L530" s="123">
        <v>0</v>
      </c>
    </row>
    <row r="531" spans="1:12" hidden="1" x14ac:dyDescent="0.25">
      <c r="A531" s="7">
        <v>530</v>
      </c>
      <c r="B531" s="152" t="s">
        <v>3409</v>
      </c>
      <c r="C531" s="153" t="s">
        <v>3410</v>
      </c>
      <c r="D531" s="153" t="s">
        <v>3411</v>
      </c>
      <c r="E531" s="153" t="s">
        <v>2083</v>
      </c>
      <c r="F531" s="6"/>
      <c r="G531" s="6"/>
      <c r="H531" s="85">
        <v>0</v>
      </c>
      <c r="I531" s="103">
        <f>IFERROR(VLOOKUP(B531,'July 2026-Recived'!$B$2:$H$1300,7,0),0)</f>
        <v>0</v>
      </c>
      <c r="J531" s="103">
        <f>IFERROR(VLOOKUP(B531,'July 2026- Dispatch'!$B$2:$H$1300,7,0),0)</f>
        <v>0</v>
      </c>
      <c r="K531" s="61">
        <f t="shared" si="8"/>
        <v>0</v>
      </c>
      <c r="L531" s="123">
        <v>0</v>
      </c>
    </row>
    <row r="532" spans="1:12" hidden="1" x14ac:dyDescent="0.25">
      <c r="A532" s="7">
        <v>531</v>
      </c>
      <c r="B532" s="152" t="s">
        <v>3412</v>
      </c>
      <c r="C532" s="153" t="s">
        <v>3413</v>
      </c>
      <c r="D532" s="153" t="s">
        <v>3414</v>
      </c>
      <c r="E532" s="153" t="s">
        <v>2086</v>
      </c>
      <c r="F532" s="6"/>
      <c r="G532" s="6"/>
      <c r="H532" s="85">
        <v>2000</v>
      </c>
      <c r="I532" s="103">
        <f>IFERROR(VLOOKUP(B532,'July 2026-Recived'!$B$2:$H$1300,7,0),0)</f>
        <v>0</v>
      </c>
      <c r="J532" s="103">
        <f>IFERROR(VLOOKUP(B532,'July 2026- Dispatch'!$B$2:$H$1300,7,0),0)</f>
        <v>0</v>
      </c>
      <c r="K532" s="61">
        <f t="shared" si="8"/>
        <v>2000</v>
      </c>
      <c r="L532" s="123">
        <v>0</v>
      </c>
    </row>
    <row r="533" spans="1:12" hidden="1" x14ac:dyDescent="0.25">
      <c r="A533" s="7">
        <v>532</v>
      </c>
      <c r="B533" s="152" t="s">
        <v>3415</v>
      </c>
      <c r="C533" s="153" t="s">
        <v>3416</v>
      </c>
      <c r="D533" s="153" t="s">
        <v>3417</v>
      </c>
      <c r="E533" s="153" t="s">
        <v>2083</v>
      </c>
      <c r="F533" s="6"/>
      <c r="G533" s="6"/>
      <c r="H533" s="85">
        <v>0</v>
      </c>
      <c r="I533" s="103">
        <f>IFERROR(VLOOKUP(B533,'July 2026-Recived'!$B$2:$H$1300,7,0),0)</f>
        <v>0</v>
      </c>
      <c r="J533" s="103">
        <f>IFERROR(VLOOKUP(B533,'July 2026- Dispatch'!$B$2:$H$1300,7,0),0)</f>
        <v>0</v>
      </c>
      <c r="K533" s="61">
        <f t="shared" si="8"/>
        <v>0</v>
      </c>
      <c r="L533" s="123">
        <v>0</v>
      </c>
    </row>
    <row r="534" spans="1:12" hidden="1" x14ac:dyDescent="0.25">
      <c r="A534" s="7">
        <v>533</v>
      </c>
      <c r="B534" s="152" t="s">
        <v>3418</v>
      </c>
      <c r="C534" s="153" t="s">
        <v>3419</v>
      </c>
      <c r="D534" s="153" t="s">
        <v>3420</v>
      </c>
      <c r="E534" s="153" t="s">
        <v>2083</v>
      </c>
      <c r="F534" s="6"/>
      <c r="G534" s="6"/>
      <c r="H534" s="85">
        <v>0</v>
      </c>
      <c r="I534" s="103">
        <f>IFERROR(VLOOKUP(B534,'July 2026-Recived'!$B$2:$H$1300,7,0),0)</f>
        <v>0</v>
      </c>
      <c r="J534" s="103">
        <f>IFERROR(VLOOKUP(B534,'July 2026- Dispatch'!$B$2:$H$1300,7,0),0)</f>
        <v>0</v>
      </c>
      <c r="K534" s="61">
        <f t="shared" si="8"/>
        <v>0</v>
      </c>
      <c r="L534" s="123">
        <v>0</v>
      </c>
    </row>
    <row r="535" spans="1:12" hidden="1" x14ac:dyDescent="0.25">
      <c r="A535" s="7">
        <v>534</v>
      </c>
      <c r="B535" s="152" t="s">
        <v>3421</v>
      </c>
      <c r="C535" s="153" t="s">
        <v>3422</v>
      </c>
      <c r="D535" s="153" t="s">
        <v>3423</v>
      </c>
      <c r="E535" s="153" t="s">
        <v>2083</v>
      </c>
      <c r="F535" s="6"/>
      <c r="G535" s="6"/>
      <c r="H535" s="85">
        <v>0</v>
      </c>
      <c r="I535" s="103">
        <f>IFERROR(VLOOKUP(B535,'July 2026-Recived'!$B$2:$H$1300,7,0),0)</f>
        <v>0</v>
      </c>
      <c r="J535" s="103">
        <f>IFERROR(VLOOKUP(B535,'July 2026- Dispatch'!$B$2:$H$1300,7,0),0)</f>
        <v>0</v>
      </c>
      <c r="K535" s="61">
        <f t="shared" si="8"/>
        <v>0</v>
      </c>
      <c r="L535" s="123">
        <v>0</v>
      </c>
    </row>
    <row r="536" spans="1:12" hidden="1" x14ac:dyDescent="0.25">
      <c r="A536" s="7">
        <v>535</v>
      </c>
      <c r="B536" s="152" t="s">
        <v>735</v>
      </c>
      <c r="C536" s="153" t="s">
        <v>3424</v>
      </c>
      <c r="D536" s="153" t="s">
        <v>3425</v>
      </c>
      <c r="E536" s="153" t="s">
        <v>2086</v>
      </c>
      <c r="F536" s="6"/>
      <c r="G536" s="6"/>
      <c r="H536" s="85">
        <v>39100</v>
      </c>
      <c r="I536" s="103">
        <f>IFERROR(VLOOKUP(B536,'July 2026-Recived'!$B$2:$H$1300,7,0),0)</f>
        <v>0</v>
      </c>
      <c r="J536" s="103">
        <f>IFERROR(VLOOKUP(B536,'July 2026- Dispatch'!$B$2:$H$1300,7,0),0)</f>
        <v>1350</v>
      </c>
      <c r="K536" s="61">
        <f t="shared" si="8"/>
        <v>37750</v>
      </c>
      <c r="L536" s="123">
        <v>0</v>
      </c>
    </row>
    <row r="537" spans="1:12" hidden="1" x14ac:dyDescent="0.25">
      <c r="A537" s="7">
        <v>536</v>
      </c>
      <c r="B537" s="152" t="s">
        <v>1403</v>
      </c>
      <c r="C537" s="153" t="s">
        <v>3426</v>
      </c>
      <c r="D537" s="153" t="s">
        <v>3427</v>
      </c>
      <c r="E537" s="153" t="s">
        <v>2086</v>
      </c>
      <c r="F537" s="6"/>
      <c r="G537" s="6"/>
      <c r="H537" s="85">
        <v>45900</v>
      </c>
      <c r="I537" s="103">
        <f>IFERROR(VLOOKUP(B537,'July 2026-Recived'!$B$2:$H$1300,7,0),0)</f>
        <v>0</v>
      </c>
      <c r="J537" s="103">
        <f>IFERROR(VLOOKUP(B537,'July 2026- Dispatch'!$B$2:$H$1300,7,0),0)</f>
        <v>0</v>
      </c>
      <c r="K537" s="61">
        <f t="shared" si="8"/>
        <v>45900</v>
      </c>
      <c r="L537" s="123">
        <v>0</v>
      </c>
    </row>
    <row r="538" spans="1:12" hidden="1" x14ac:dyDescent="0.25">
      <c r="A538" s="7">
        <v>537</v>
      </c>
      <c r="B538" s="152" t="s">
        <v>1848</v>
      </c>
      <c r="C538" s="153" t="s">
        <v>3428</v>
      </c>
      <c r="D538" s="153" t="s">
        <v>3429</v>
      </c>
      <c r="E538" s="153" t="s">
        <v>2086</v>
      </c>
      <c r="F538" s="6"/>
      <c r="G538" s="6"/>
      <c r="H538" s="85">
        <v>4800</v>
      </c>
      <c r="I538" s="103">
        <f>IFERROR(VLOOKUP(B538,'July 2026-Recived'!$B$2:$H$1300,7,0),0)</f>
        <v>0</v>
      </c>
      <c r="J538" s="103">
        <f>IFERROR(VLOOKUP(B538,'July 2026- Dispatch'!$B$2:$H$1300,7,0),0)</f>
        <v>0</v>
      </c>
      <c r="K538" s="61">
        <f t="shared" si="8"/>
        <v>4800</v>
      </c>
      <c r="L538" s="123">
        <v>0</v>
      </c>
    </row>
    <row r="539" spans="1:12" hidden="1" x14ac:dyDescent="0.25">
      <c r="A539" s="7">
        <v>538</v>
      </c>
      <c r="B539" s="152" t="s">
        <v>1851</v>
      </c>
      <c r="C539" s="153" t="s">
        <v>3430</v>
      </c>
      <c r="D539" s="153" t="s">
        <v>3431</v>
      </c>
      <c r="E539" s="153" t="s">
        <v>2086</v>
      </c>
      <c r="F539" s="6"/>
      <c r="G539" s="6"/>
      <c r="H539" s="85">
        <v>5320</v>
      </c>
      <c r="I539" s="103">
        <f>IFERROR(VLOOKUP(B539,'July 2026-Recived'!$B$2:$H$1300,7,0),0)</f>
        <v>0</v>
      </c>
      <c r="J539" s="103">
        <f>IFERROR(VLOOKUP(B539,'July 2026- Dispatch'!$B$2:$H$1300,7,0),0)</f>
        <v>0</v>
      </c>
      <c r="K539" s="61">
        <f t="shared" si="8"/>
        <v>5320</v>
      </c>
      <c r="L539" s="123">
        <v>0</v>
      </c>
    </row>
    <row r="540" spans="1:12" hidden="1" x14ac:dyDescent="0.25">
      <c r="A540" s="7">
        <v>539</v>
      </c>
      <c r="B540" s="152" t="s">
        <v>3432</v>
      </c>
      <c r="C540" s="153" t="s">
        <v>3433</v>
      </c>
      <c r="D540" s="153" t="s">
        <v>3434</v>
      </c>
      <c r="E540" s="153" t="s">
        <v>2083</v>
      </c>
      <c r="F540" s="6"/>
      <c r="G540" s="6"/>
      <c r="H540" s="85">
        <v>0</v>
      </c>
      <c r="I540" s="103">
        <f>IFERROR(VLOOKUP(B540,'July 2026-Recived'!$B$2:$H$1300,7,0),0)</f>
        <v>0</v>
      </c>
      <c r="J540" s="103">
        <f>IFERROR(VLOOKUP(B540,'July 2026- Dispatch'!$B$2:$H$1300,7,0),0)</f>
        <v>0</v>
      </c>
      <c r="K540" s="61">
        <f t="shared" si="8"/>
        <v>0</v>
      </c>
      <c r="L540" s="123">
        <v>0</v>
      </c>
    </row>
    <row r="541" spans="1:12" hidden="1" x14ac:dyDescent="0.25">
      <c r="A541" s="7">
        <v>540</v>
      </c>
      <c r="B541" s="152" t="s">
        <v>3435</v>
      </c>
      <c r="C541" s="153" t="s">
        <v>3436</v>
      </c>
      <c r="D541" s="153" t="s">
        <v>3437</v>
      </c>
      <c r="E541" s="153" t="s">
        <v>2083</v>
      </c>
      <c r="F541" s="6"/>
      <c r="G541" s="6"/>
      <c r="H541" s="85">
        <v>0</v>
      </c>
      <c r="I541" s="103">
        <f>IFERROR(VLOOKUP(B541,'July 2026-Recived'!$B$2:$H$1300,7,0),0)</f>
        <v>0</v>
      </c>
      <c r="J541" s="103">
        <f>IFERROR(VLOOKUP(B541,'July 2026- Dispatch'!$B$2:$H$1300,7,0),0)</f>
        <v>0</v>
      </c>
      <c r="K541" s="61">
        <f t="shared" si="8"/>
        <v>0</v>
      </c>
      <c r="L541" s="123">
        <v>0</v>
      </c>
    </row>
    <row r="542" spans="1:12" hidden="1" x14ac:dyDescent="0.25">
      <c r="A542" s="7">
        <v>541</v>
      </c>
      <c r="B542" s="152" t="s">
        <v>3438</v>
      </c>
      <c r="C542" s="153" t="s">
        <v>3439</v>
      </c>
      <c r="D542" s="153" t="s">
        <v>3440</v>
      </c>
      <c r="E542" s="153" t="s">
        <v>2083</v>
      </c>
      <c r="F542" s="6"/>
      <c r="G542" s="6"/>
      <c r="H542" s="85">
        <v>0</v>
      </c>
      <c r="I542" s="103">
        <f>IFERROR(VLOOKUP(B542,'July 2026-Recived'!$B$2:$H$1300,7,0),0)</f>
        <v>0</v>
      </c>
      <c r="J542" s="103">
        <f>IFERROR(VLOOKUP(B542,'July 2026- Dispatch'!$B$2:$H$1300,7,0),0)</f>
        <v>0</v>
      </c>
      <c r="K542" s="61">
        <f t="shared" si="8"/>
        <v>0</v>
      </c>
      <c r="L542" s="123">
        <v>0</v>
      </c>
    </row>
    <row r="543" spans="1:12" hidden="1" x14ac:dyDescent="0.25">
      <c r="A543" s="7">
        <v>542</v>
      </c>
      <c r="B543" s="152" t="s">
        <v>3441</v>
      </c>
      <c r="C543" s="153" t="s">
        <v>3442</v>
      </c>
      <c r="D543" s="153" t="s">
        <v>3443</v>
      </c>
      <c r="E543" s="153" t="s">
        <v>2083</v>
      </c>
      <c r="F543" s="6"/>
      <c r="G543" s="6"/>
      <c r="H543" s="85">
        <v>0</v>
      </c>
      <c r="I543" s="103">
        <f>IFERROR(VLOOKUP(B543,'July 2026-Recived'!$B$2:$H$1300,7,0),0)</f>
        <v>0</v>
      </c>
      <c r="J543" s="103">
        <f>IFERROR(VLOOKUP(B543,'July 2026- Dispatch'!$B$2:$H$1300,7,0),0)</f>
        <v>0</v>
      </c>
      <c r="K543" s="61">
        <f t="shared" si="8"/>
        <v>0</v>
      </c>
      <c r="L543" s="123">
        <v>0</v>
      </c>
    </row>
    <row r="544" spans="1:12" hidden="1" x14ac:dyDescent="0.25">
      <c r="A544" s="7">
        <v>543</v>
      </c>
      <c r="B544" s="152" t="s">
        <v>3444</v>
      </c>
      <c r="C544" s="153" t="s">
        <v>3445</v>
      </c>
      <c r="D544" s="153" t="s">
        <v>3446</v>
      </c>
      <c r="E544" s="153" t="s">
        <v>2083</v>
      </c>
      <c r="F544" s="6"/>
      <c r="G544" s="6"/>
      <c r="H544" s="85">
        <v>0</v>
      </c>
      <c r="I544" s="103">
        <f>IFERROR(VLOOKUP(B544,'July 2026-Recived'!$B$2:$H$1300,7,0),0)</f>
        <v>0</v>
      </c>
      <c r="J544" s="103">
        <f>IFERROR(VLOOKUP(B544,'July 2026- Dispatch'!$B$2:$H$1300,7,0),0)</f>
        <v>0</v>
      </c>
      <c r="K544" s="61">
        <f t="shared" si="8"/>
        <v>0</v>
      </c>
      <c r="L544" s="123">
        <v>0</v>
      </c>
    </row>
    <row r="545" spans="1:13" hidden="1" x14ac:dyDescent="0.25">
      <c r="A545" s="7">
        <v>544</v>
      </c>
      <c r="B545" s="152" t="s">
        <v>3447</v>
      </c>
      <c r="C545" s="153" t="s">
        <v>3448</v>
      </c>
      <c r="D545" s="153" t="s">
        <v>3449</v>
      </c>
      <c r="E545" s="153" t="s">
        <v>2083</v>
      </c>
      <c r="F545" s="6"/>
      <c r="G545" s="6"/>
      <c r="H545" s="85">
        <v>0</v>
      </c>
      <c r="I545" s="103">
        <f>IFERROR(VLOOKUP(B545,'July 2026-Recived'!$B$2:$H$1300,7,0),0)</f>
        <v>0</v>
      </c>
      <c r="J545" s="103">
        <f>IFERROR(VLOOKUP(B545,'July 2026- Dispatch'!$B$2:$H$1300,7,0),0)</f>
        <v>0</v>
      </c>
      <c r="K545" s="61">
        <f t="shared" si="8"/>
        <v>0</v>
      </c>
      <c r="L545" s="123">
        <v>0</v>
      </c>
    </row>
    <row r="546" spans="1:13" hidden="1" x14ac:dyDescent="0.25">
      <c r="A546" s="7">
        <v>545</v>
      </c>
      <c r="B546" s="152" t="s">
        <v>1623</v>
      </c>
      <c r="C546" s="153" t="s">
        <v>3450</v>
      </c>
      <c r="D546" s="153" t="s">
        <v>3451</v>
      </c>
      <c r="E546" s="153" t="s">
        <v>2086</v>
      </c>
      <c r="F546" s="6"/>
      <c r="G546" s="6"/>
      <c r="H546" s="85">
        <v>30000</v>
      </c>
      <c r="I546" s="103">
        <f>IFERROR(VLOOKUP(B546,'July 2026-Recived'!$B$2:$H$1300,7,0),0)</f>
        <v>0</v>
      </c>
      <c r="J546" s="103">
        <f>IFERROR(VLOOKUP(B546,'July 2026- Dispatch'!$B$2:$H$1300,7,0),0)</f>
        <v>5000</v>
      </c>
      <c r="K546" s="61">
        <f t="shared" si="8"/>
        <v>25000</v>
      </c>
      <c r="L546" s="123">
        <v>0</v>
      </c>
    </row>
    <row r="547" spans="1:13" hidden="1" x14ac:dyDescent="0.25">
      <c r="A547" s="7">
        <v>546</v>
      </c>
      <c r="B547" s="152" t="s">
        <v>3452</v>
      </c>
      <c r="C547" s="153" t="s">
        <v>3453</v>
      </c>
      <c r="D547" s="153" t="s">
        <v>3454</v>
      </c>
      <c r="E547" s="153" t="s">
        <v>2086</v>
      </c>
      <c r="F547" s="6"/>
      <c r="G547" s="6"/>
      <c r="H547" s="85">
        <v>10500</v>
      </c>
      <c r="I547" s="103">
        <f>IFERROR(VLOOKUP(B547,'July 2026-Recived'!$B$2:$H$1300,7,0),0)</f>
        <v>0</v>
      </c>
      <c r="J547" s="103">
        <f>IFERROR(VLOOKUP(B547,'July 2026- Dispatch'!$B$2:$H$1300,7,0),0)</f>
        <v>1500</v>
      </c>
      <c r="K547" s="61">
        <f t="shared" si="8"/>
        <v>9000</v>
      </c>
      <c r="L547" s="123">
        <v>0</v>
      </c>
    </row>
    <row r="548" spans="1:13" hidden="1" x14ac:dyDescent="0.25">
      <c r="A548" s="7">
        <v>547</v>
      </c>
      <c r="B548" s="152" t="s">
        <v>1677</v>
      </c>
      <c r="C548" s="153" t="s">
        <v>3455</v>
      </c>
      <c r="D548" s="153" t="s">
        <v>3456</v>
      </c>
      <c r="E548" s="153" t="s">
        <v>2083</v>
      </c>
      <c r="F548" s="6"/>
      <c r="G548" s="6"/>
      <c r="H548" s="85">
        <v>0</v>
      </c>
      <c r="I548" s="103">
        <f>IFERROR(VLOOKUP(B548,'July 2026-Recived'!$B$2:$H$1300,7,0),0)</f>
        <v>0</v>
      </c>
      <c r="J548" s="103">
        <f>IFERROR(VLOOKUP(B548,'July 2026- Dispatch'!$B$2:$H$1300,7,0),0)</f>
        <v>0</v>
      </c>
      <c r="K548" s="61">
        <f t="shared" si="8"/>
        <v>0</v>
      </c>
      <c r="L548" s="123">
        <v>0</v>
      </c>
    </row>
    <row r="549" spans="1:13" hidden="1" x14ac:dyDescent="0.25">
      <c r="A549" s="7">
        <v>548</v>
      </c>
      <c r="B549" s="152" t="s">
        <v>149</v>
      </c>
      <c r="C549" s="153" t="s">
        <v>3457</v>
      </c>
      <c r="D549" s="153" t="s">
        <v>3458</v>
      </c>
      <c r="E549" s="153" t="s">
        <v>2086</v>
      </c>
      <c r="F549" s="6"/>
      <c r="G549" s="6"/>
      <c r="H549" s="85">
        <v>145000</v>
      </c>
      <c r="I549" s="103">
        <f>IFERROR(VLOOKUP(B549,'July 2026-Recived'!$B$2:$H$1300,7,0),0)</f>
        <v>0</v>
      </c>
      <c r="J549" s="103">
        <f>IFERROR(VLOOKUP(B549,'July 2026- Dispatch'!$B$2:$H$1300,7,0),0)</f>
        <v>0</v>
      </c>
      <c r="K549" s="61">
        <f t="shared" si="8"/>
        <v>145000</v>
      </c>
      <c r="L549" s="123">
        <v>0</v>
      </c>
    </row>
    <row r="550" spans="1:13" hidden="1" x14ac:dyDescent="0.25">
      <c r="A550" s="7">
        <v>549</v>
      </c>
      <c r="B550" s="152" t="s">
        <v>1516</v>
      </c>
      <c r="C550" s="153" t="s">
        <v>3459</v>
      </c>
      <c r="D550" s="153" t="s">
        <v>3460</v>
      </c>
      <c r="E550" s="153" t="s">
        <v>2086</v>
      </c>
      <c r="F550" s="6"/>
      <c r="G550" s="6"/>
      <c r="H550" s="85">
        <v>72410</v>
      </c>
      <c r="I550" s="103">
        <f>IFERROR(VLOOKUP(B550,'July 2026-Recived'!$B$2:$H$1300,7,0),0)</f>
        <v>0</v>
      </c>
      <c r="J550" s="103">
        <f>IFERROR(VLOOKUP(B550,'July 2026- Dispatch'!$B$2:$H$1300,7,0),0)</f>
        <v>16510</v>
      </c>
      <c r="K550" s="61">
        <f t="shared" si="8"/>
        <v>55900</v>
      </c>
      <c r="L550" s="123">
        <v>0</v>
      </c>
    </row>
    <row r="551" spans="1:13" hidden="1" x14ac:dyDescent="0.25">
      <c r="A551" s="7">
        <v>550</v>
      </c>
      <c r="B551" s="152" t="s">
        <v>1450</v>
      </c>
      <c r="C551" s="153" t="s">
        <v>3461</v>
      </c>
      <c r="D551" s="153" t="s">
        <v>3462</v>
      </c>
      <c r="E551" s="153" t="s">
        <v>2083</v>
      </c>
      <c r="F551" s="6"/>
      <c r="G551" s="6"/>
      <c r="H551" s="85">
        <v>0</v>
      </c>
      <c r="I551" s="103">
        <f>IFERROR(VLOOKUP(B551,'July 2026-Recived'!$B$2:$H$1300,7,0),0)</f>
        <v>0</v>
      </c>
      <c r="J551" s="103">
        <f>IFERROR(VLOOKUP(B551,'July 2026- Dispatch'!$B$2:$H$1300,7,0),0)</f>
        <v>0</v>
      </c>
      <c r="K551" s="61">
        <f t="shared" si="8"/>
        <v>0</v>
      </c>
      <c r="L551" s="123">
        <v>0</v>
      </c>
    </row>
    <row r="552" spans="1:13" hidden="1" x14ac:dyDescent="0.25">
      <c r="A552" s="7">
        <v>551</v>
      </c>
      <c r="B552" s="152" t="s">
        <v>1430</v>
      </c>
      <c r="C552" s="153" t="s">
        <v>3463</v>
      </c>
      <c r="D552" s="153" t="s">
        <v>3464</v>
      </c>
      <c r="E552" s="153" t="s">
        <v>2086</v>
      </c>
      <c r="F552" s="6"/>
      <c r="G552" s="6"/>
      <c r="H552" s="85">
        <v>39600</v>
      </c>
      <c r="I552" s="103">
        <f>IFERROR(VLOOKUP(B552,'July 2026-Recived'!$B$2:$H$1300,7,0),0)</f>
        <v>0</v>
      </c>
      <c r="J552" s="103">
        <f>IFERROR(VLOOKUP(B552,'July 2026- Dispatch'!$B$2:$H$1300,7,0),0)</f>
        <v>0</v>
      </c>
      <c r="K552" s="61">
        <f t="shared" si="8"/>
        <v>39600</v>
      </c>
      <c r="L552" s="123">
        <v>0</v>
      </c>
    </row>
    <row r="553" spans="1:13" hidden="1" x14ac:dyDescent="0.25">
      <c r="A553" s="7">
        <v>552</v>
      </c>
      <c r="B553" s="152" t="s">
        <v>1875</v>
      </c>
      <c r="C553" s="153" t="s">
        <v>3465</v>
      </c>
      <c r="D553" s="153" t="s">
        <v>3466</v>
      </c>
      <c r="E553" s="153" t="s">
        <v>2086</v>
      </c>
      <c r="F553" s="6"/>
      <c r="G553" s="6"/>
      <c r="H553" s="85">
        <v>23800</v>
      </c>
      <c r="I553" s="103">
        <f>IFERROR(VLOOKUP(B553,'July 2026-Recived'!$B$2:$H$1300,7,0),0)</f>
        <v>0</v>
      </c>
      <c r="J553" s="103">
        <f>IFERROR(VLOOKUP(B553,'July 2026- Dispatch'!$B$2:$H$1300,7,0),0)</f>
        <v>0</v>
      </c>
      <c r="K553" s="61">
        <f t="shared" si="8"/>
        <v>23800</v>
      </c>
      <c r="L553" s="123">
        <v>0</v>
      </c>
    </row>
    <row r="554" spans="1:13" hidden="1" x14ac:dyDescent="0.25">
      <c r="A554" s="7">
        <v>553</v>
      </c>
      <c r="B554" s="152" t="s">
        <v>143</v>
      </c>
      <c r="C554" s="153" t="s">
        <v>3467</v>
      </c>
      <c r="D554" s="153" t="s">
        <v>3468</v>
      </c>
      <c r="E554" s="153" t="s">
        <v>2086</v>
      </c>
      <c r="F554" s="6"/>
      <c r="G554" s="6"/>
      <c r="H554" s="85">
        <v>28700</v>
      </c>
      <c r="I554" s="103">
        <f>IFERROR(VLOOKUP(B554,'July 2026-Recived'!$B$2:$H$1300,7,0),0)</f>
        <v>0</v>
      </c>
      <c r="J554" s="103">
        <f>IFERROR(VLOOKUP(B554,'July 2026- Dispatch'!$B$2:$H$1300,7,0),0)</f>
        <v>150</v>
      </c>
      <c r="K554" s="61">
        <f t="shared" si="8"/>
        <v>28550</v>
      </c>
      <c r="L554" s="123">
        <v>0</v>
      </c>
    </row>
    <row r="555" spans="1:13" hidden="1" x14ac:dyDescent="0.25">
      <c r="A555" s="7">
        <v>554</v>
      </c>
      <c r="B555" s="152" t="s">
        <v>3469</v>
      </c>
      <c r="C555" s="153" t="s">
        <v>3470</v>
      </c>
      <c r="D555" s="153" t="s">
        <v>3471</v>
      </c>
      <c r="E555" s="153" t="s">
        <v>2086</v>
      </c>
      <c r="F555" s="6"/>
      <c r="G555" s="6"/>
      <c r="H555" s="85">
        <v>522000</v>
      </c>
      <c r="I555" s="103">
        <f>IFERROR(VLOOKUP(B555,'July 2026-Recived'!$B$2:$H$1300,7,0),0)</f>
        <v>0</v>
      </c>
      <c r="J555" s="103">
        <f>IFERROR(VLOOKUP(B555,'July 2026- Dispatch'!$B$2:$H$1300,7,0),0)</f>
        <v>0</v>
      </c>
      <c r="K555" s="61">
        <f t="shared" si="8"/>
        <v>522000</v>
      </c>
      <c r="L555" s="123">
        <v>0</v>
      </c>
    </row>
    <row r="556" spans="1:13" hidden="1" x14ac:dyDescent="0.25">
      <c r="A556" s="7">
        <v>555</v>
      </c>
      <c r="B556" s="152" t="s">
        <v>1263</v>
      </c>
      <c r="C556" s="153" t="s">
        <v>3472</v>
      </c>
      <c r="D556" s="153" t="s">
        <v>3473</v>
      </c>
      <c r="E556" s="153" t="s">
        <v>2086</v>
      </c>
      <c r="F556" s="6"/>
      <c r="G556" s="6"/>
      <c r="H556" s="85">
        <v>55000</v>
      </c>
      <c r="I556" s="103">
        <f>IFERROR(VLOOKUP(B556,'July 2026-Recived'!$B$2:$H$1300,7,0),0)</f>
        <v>250000</v>
      </c>
      <c r="J556" s="103">
        <f>IFERROR(VLOOKUP(B556,'July 2026- Dispatch'!$B$2:$H$1300,7,0),0)</f>
        <v>52500</v>
      </c>
      <c r="K556" s="61">
        <f t="shared" si="8"/>
        <v>252500</v>
      </c>
      <c r="L556" s="123">
        <v>0</v>
      </c>
    </row>
    <row r="557" spans="1:13" hidden="1" x14ac:dyDescent="0.25">
      <c r="A557" s="7">
        <v>556</v>
      </c>
      <c r="B557" s="152" t="s">
        <v>3474</v>
      </c>
      <c r="C557" s="153" t="s">
        <v>3475</v>
      </c>
      <c r="D557" s="153" t="s">
        <v>3476</v>
      </c>
      <c r="E557" s="153" t="s">
        <v>2083</v>
      </c>
      <c r="F557" s="6"/>
      <c r="G557" s="6"/>
      <c r="H557" s="85">
        <v>0</v>
      </c>
      <c r="I557" s="103">
        <f>IFERROR(VLOOKUP(B557,'July 2026-Recived'!$B$2:$H$1300,7,0),0)</f>
        <v>0</v>
      </c>
      <c r="J557" s="103">
        <f>IFERROR(VLOOKUP(B557,'July 2026- Dispatch'!$B$2:$H$1300,7,0),0)</f>
        <v>0</v>
      </c>
      <c r="K557" s="61">
        <f t="shared" si="8"/>
        <v>0</v>
      </c>
      <c r="L557" s="123">
        <v>0</v>
      </c>
      <c r="M557" t="s">
        <v>3146</v>
      </c>
    </row>
    <row r="558" spans="1:13" hidden="1" x14ac:dyDescent="0.25">
      <c r="A558" s="7">
        <v>557</v>
      </c>
      <c r="B558" s="152" t="s">
        <v>1328</v>
      </c>
      <c r="C558" s="153" t="s">
        <v>3477</v>
      </c>
      <c r="D558" s="153" t="s">
        <v>3478</v>
      </c>
      <c r="E558" s="153" t="s">
        <v>2086</v>
      </c>
      <c r="F558" s="6"/>
      <c r="G558" s="6"/>
      <c r="H558" s="85">
        <v>1115000</v>
      </c>
      <c r="I558" s="103">
        <f>IFERROR(VLOOKUP(B558,'July 2026-Recived'!$B$2:$H$1300,7,0),0)</f>
        <v>0</v>
      </c>
      <c r="J558" s="103">
        <f>IFERROR(VLOOKUP(B558,'July 2026- Dispatch'!$B$2:$H$1300,7,0),0)</f>
        <v>178800</v>
      </c>
      <c r="K558" s="61">
        <f t="shared" si="8"/>
        <v>936200</v>
      </c>
      <c r="L558" s="123">
        <v>0</v>
      </c>
    </row>
    <row r="559" spans="1:13" hidden="1" x14ac:dyDescent="0.25">
      <c r="A559" s="7">
        <v>558</v>
      </c>
      <c r="B559" s="152" t="s">
        <v>1428</v>
      </c>
      <c r="C559" s="153" t="s">
        <v>3479</v>
      </c>
      <c r="D559" s="153" t="s">
        <v>3480</v>
      </c>
      <c r="E559" s="153" t="s">
        <v>2086</v>
      </c>
      <c r="F559" s="6"/>
      <c r="G559" s="6"/>
      <c r="H559" s="85">
        <v>49500</v>
      </c>
      <c r="I559" s="103">
        <f>IFERROR(VLOOKUP(B559,'July 2026-Recived'!$B$2:$H$1300,7,0),0)</f>
        <v>0</v>
      </c>
      <c r="J559" s="103">
        <f>IFERROR(VLOOKUP(B559,'July 2026- Dispatch'!$B$2:$H$1300,7,0),0)</f>
        <v>0</v>
      </c>
      <c r="K559" s="61">
        <f t="shared" si="8"/>
        <v>49500</v>
      </c>
      <c r="L559" s="123">
        <v>0</v>
      </c>
    </row>
    <row r="560" spans="1:13" hidden="1" x14ac:dyDescent="0.25">
      <c r="A560" s="7">
        <v>559</v>
      </c>
      <c r="B560" s="152" t="s">
        <v>3481</v>
      </c>
      <c r="C560" s="153" t="s">
        <v>3482</v>
      </c>
      <c r="D560" s="153" t="s">
        <v>3483</v>
      </c>
      <c r="E560" s="153" t="s">
        <v>2086</v>
      </c>
      <c r="F560" s="6"/>
      <c r="G560" s="6"/>
      <c r="H560" s="85">
        <v>66200</v>
      </c>
      <c r="I560" s="103">
        <f>IFERROR(VLOOKUP(B560,'July 2026-Recived'!$B$2:$H$1300,7,0),0)</f>
        <v>0</v>
      </c>
      <c r="J560" s="103">
        <f>IFERROR(VLOOKUP(B560,'July 2026- Dispatch'!$B$2:$H$1300,7,0),0)</f>
        <v>0</v>
      </c>
      <c r="K560" s="61">
        <f t="shared" si="8"/>
        <v>66200</v>
      </c>
      <c r="L560" s="123">
        <v>0</v>
      </c>
    </row>
    <row r="561" spans="1:12" hidden="1" x14ac:dyDescent="0.25">
      <c r="A561" s="7">
        <v>560</v>
      </c>
      <c r="B561" s="152" t="s">
        <v>1567</v>
      </c>
      <c r="C561" s="153" t="s">
        <v>3484</v>
      </c>
      <c r="D561" s="153" t="s">
        <v>3485</v>
      </c>
      <c r="E561" s="153" t="s">
        <v>2086</v>
      </c>
      <c r="F561" s="6"/>
      <c r="G561" s="6"/>
      <c r="H561" s="85">
        <v>186200</v>
      </c>
      <c r="I561" s="103">
        <f>IFERROR(VLOOKUP(B561,'July 2026-Recived'!$B$2:$H$1300,7,0),0)</f>
        <v>0</v>
      </c>
      <c r="J561" s="103">
        <f>IFERROR(VLOOKUP(B561,'July 2026- Dispatch'!$B$2:$H$1300,7,0),0)</f>
        <v>0</v>
      </c>
      <c r="K561" s="61">
        <f t="shared" si="8"/>
        <v>186200</v>
      </c>
      <c r="L561" s="123">
        <v>0</v>
      </c>
    </row>
    <row r="562" spans="1:12" hidden="1" x14ac:dyDescent="0.25">
      <c r="A562" s="7">
        <v>561</v>
      </c>
      <c r="B562" s="152" t="s">
        <v>1448</v>
      </c>
      <c r="C562" s="153" t="s">
        <v>3486</v>
      </c>
      <c r="D562" s="153" t="s">
        <v>3487</v>
      </c>
      <c r="E562" s="153" t="s">
        <v>2086</v>
      </c>
      <c r="F562" s="6"/>
      <c r="G562" s="6"/>
      <c r="H562" s="85">
        <v>847500</v>
      </c>
      <c r="I562" s="103">
        <f>IFERROR(VLOOKUP(B562,'July 2026-Recived'!$B$2:$H$1300,7,0),0)</f>
        <v>0</v>
      </c>
      <c r="J562" s="103">
        <f>IFERROR(VLOOKUP(B562,'July 2026- Dispatch'!$B$2:$H$1300,7,0),0)</f>
        <v>79500</v>
      </c>
      <c r="K562" s="61">
        <f t="shared" si="8"/>
        <v>768000</v>
      </c>
      <c r="L562" s="123">
        <v>0</v>
      </c>
    </row>
    <row r="563" spans="1:12" hidden="1" x14ac:dyDescent="0.25">
      <c r="A563" s="7">
        <v>562</v>
      </c>
      <c r="B563" s="152" t="s">
        <v>727</v>
      </c>
      <c r="C563" s="153" t="s">
        <v>3488</v>
      </c>
      <c r="D563" s="153" t="s">
        <v>3489</v>
      </c>
      <c r="E563" s="153" t="s">
        <v>2086</v>
      </c>
      <c r="F563" s="6"/>
      <c r="G563" s="6"/>
      <c r="H563" s="85">
        <v>30600</v>
      </c>
      <c r="I563" s="103">
        <f>IFERROR(VLOOKUP(B563,'July 2026-Recived'!$B$2:$H$1300,7,0),0)</f>
        <v>0</v>
      </c>
      <c r="J563" s="103">
        <f>IFERROR(VLOOKUP(B563,'July 2026- Dispatch'!$B$2:$H$1300,7,0),0)</f>
        <v>2400</v>
      </c>
      <c r="K563" s="61">
        <f t="shared" si="8"/>
        <v>28200</v>
      </c>
      <c r="L563" s="123">
        <v>0</v>
      </c>
    </row>
    <row r="564" spans="1:12" hidden="1" x14ac:dyDescent="0.25">
      <c r="A564" s="7">
        <v>563</v>
      </c>
      <c r="B564" s="152" t="s">
        <v>1446</v>
      </c>
      <c r="C564" s="153" t="s">
        <v>3490</v>
      </c>
      <c r="D564" s="153" t="s">
        <v>3491</v>
      </c>
      <c r="E564" s="153" t="s">
        <v>2086</v>
      </c>
      <c r="F564" s="6"/>
      <c r="G564" s="6"/>
      <c r="H564" s="85">
        <v>420</v>
      </c>
      <c r="I564" s="103">
        <f>IFERROR(VLOOKUP(B564,'July 2026-Recived'!$B$2:$H$1300,7,0),0)</f>
        <v>0</v>
      </c>
      <c r="J564" s="103">
        <f>IFERROR(VLOOKUP(B564,'July 2026- Dispatch'!$B$2:$H$1300,7,0),0)</f>
        <v>0</v>
      </c>
      <c r="K564" s="61">
        <f t="shared" si="8"/>
        <v>420</v>
      </c>
      <c r="L564" s="123">
        <v>0</v>
      </c>
    </row>
    <row r="565" spans="1:12" hidden="1" x14ac:dyDescent="0.25">
      <c r="A565" s="7">
        <v>564</v>
      </c>
      <c r="B565" s="152" t="s">
        <v>1343</v>
      </c>
      <c r="C565" s="153" t="s">
        <v>3492</v>
      </c>
      <c r="D565" s="153" t="s">
        <v>3493</v>
      </c>
      <c r="E565" s="153" t="s">
        <v>2086</v>
      </c>
      <c r="F565" s="6"/>
      <c r="G565" s="6"/>
      <c r="H565" s="85">
        <v>338</v>
      </c>
      <c r="I565" s="103">
        <f>IFERROR(VLOOKUP(B565,'July 2026-Recived'!$B$2:$H$1300,7,0),0)</f>
        <v>0</v>
      </c>
      <c r="J565" s="103">
        <f>IFERROR(VLOOKUP(B565,'July 2026- Dispatch'!$B$2:$H$1300,7,0),0)</f>
        <v>0</v>
      </c>
      <c r="K565" s="61">
        <f t="shared" si="8"/>
        <v>338</v>
      </c>
      <c r="L565" s="123">
        <v>0</v>
      </c>
    </row>
    <row r="566" spans="1:12" hidden="1" x14ac:dyDescent="0.25">
      <c r="A566" s="7">
        <v>565</v>
      </c>
      <c r="B566" s="152" t="s">
        <v>1297</v>
      </c>
      <c r="C566" s="153" t="s">
        <v>3494</v>
      </c>
      <c r="D566" s="153" t="s">
        <v>3495</v>
      </c>
      <c r="E566" s="153" t="s">
        <v>2086</v>
      </c>
      <c r="F566" s="6"/>
      <c r="G566" s="6"/>
      <c r="H566" s="85">
        <v>22</v>
      </c>
      <c r="I566" s="103">
        <f>IFERROR(VLOOKUP(B566,'July 2026-Recived'!$B$2:$H$1300,7,0),0)</f>
        <v>0</v>
      </c>
      <c r="J566" s="103">
        <f>IFERROR(VLOOKUP(B566,'July 2026- Dispatch'!$B$2:$H$1300,7,0),0)</f>
        <v>0</v>
      </c>
      <c r="K566" s="61">
        <f t="shared" si="8"/>
        <v>22</v>
      </c>
      <c r="L566" s="123">
        <v>0</v>
      </c>
    </row>
    <row r="567" spans="1:12" hidden="1" x14ac:dyDescent="0.25">
      <c r="A567" s="7">
        <v>566</v>
      </c>
      <c r="B567" s="152" t="s">
        <v>1500</v>
      </c>
      <c r="C567" s="153" t="s">
        <v>3496</v>
      </c>
      <c r="D567" s="153" t="s">
        <v>3497</v>
      </c>
      <c r="E567" s="153" t="s">
        <v>2086</v>
      </c>
      <c r="F567" s="6"/>
      <c r="G567" s="6"/>
      <c r="H567" s="85">
        <v>789</v>
      </c>
      <c r="I567" s="103">
        <f>IFERROR(VLOOKUP(B567,'July 2026-Recived'!$B$2:$H$1300,7,0),0)</f>
        <v>0</v>
      </c>
      <c r="J567" s="103">
        <f>IFERROR(VLOOKUP(B567,'July 2026- Dispatch'!$B$2:$H$1300,7,0),0)</f>
        <v>0</v>
      </c>
      <c r="K567" s="61">
        <f t="shared" si="8"/>
        <v>789</v>
      </c>
      <c r="L567" s="123">
        <v>0</v>
      </c>
    </row>
    <row r="568" spans="1:12" hidden="1" x14ac:dyDescent="0.25">
      <c r="A568" s="7">
        <v>567</v>
      </c>
      <c r="B568" s="152" t="s">
        <v>1458</v>
      </c>
      <c r="C568" s="153" t="s">
        <v>3498</v>
      </c>
      <c r="D568" s="153" t="s">
        <v>3499</v>
      </c>
      <c r="E568" s="153" t="s">
        <v>2086</v>
      </c>
      <c r="F568" s="6"/>
      <c r="G568" s="6"/>
      <c r="H568" s="85">
        <v>8</v>
      </c>
      <c r="I568" s="103">
        <f>IFERROR(VLOOKUP(B568,'July 2026-Recived'!$B$2:$H$1300,7,0),0)</f>
        <v>0</v>
      </c>
      <c r="J568" s="103">
        <f>IFERROR(VLOOKUP(B568,'July 2026- Dispatch'!$B$2:$H$1300,7,0),0)</f>
        <v>0</v>
      </c>
      <c r="K568" s="61">
        <f t="shared" si="8"/>
        <v>8</v>
      </c>
      <c r="L568" s="123">
        <v>0</v>
      </c>
    </row>
    <row r="569" spans="1:12" x14ac:dyDescent="0.25">
      <c r="A569" s="7">
        <v>568</v>
      </c>
      <c r="B569" s="152" t="s">
        <v>1303</v>
      </c>
      <c r="C569" s="153" t="s">
        <v>3500</v>
      </c>
      <c r="D569" s="153" t="s">
        <v>3501</v>
      </c>
      <c r="E569" s="153" t="s">
        <v>2086</v>
      </c>
      <c r="F569" s="6"/>
      <c r="G569" s="6"/>
      <c r="H569" s="85">
        <v>66840</v>
      </c>
      <c r="I569" s="103">
        <f>IFERROR(VLOOKUP(B569,'July 2026-Recived'!$B$2:$H$1300,7,0),0)</f>
        <v>0</v>
      </c>
      <c r="J569" s="103">
        <f>IFERROR(VLOOKUP(B569,'July 2026- Dispatch'!$B$2:$H$1300,7,0),0)</f>
        <v>6000</v>
      </c>
      <c r="K569" s="61">
        <f t="shared" si="8"/>
        <v>60840</v>
      </c>
      <c r="L569" s="123">
        <v>0</v>
      </c>
    </row>
    <row r="570" spans="1:12" hidden="1" x14ac:dyDescent="0.25">
      <c r="A570" s="7">
        <v>569</v>
      </c>
      <c r="B570" s="152" t="s">
        <v>3502</v>
      </c>
      <c r="C570" s="153" t="s">
        <v>3503</v>
      </c>
      <c r="D570" s="153" t="s">
        <v>3504</v>
      </c>
      <c r="E570" s="153" t="s">
        <v>2086</v>
      </c>
      <c r="F570" s="6"/>
      <c r="G570" s="6"/>
      <c r="H570" s="85">
        <v>123450</v>
      </c>
      <c r="I570" s="103">
        <f>IFERROR(VLOOKUP(B570,'July 2026-Recived'!$B$2:$H$1300,7,0),0)</f>
        <v>0</v>
      </c>
      <c r="J570" s="103">
        <f>IFERROR(VLOOKUP(B570,'July 2026- Dispatch'!$B$2:$H$1300,7,0),0)</f>
        <v>240</v>
      </c>
      <c r="K570" s="61">
        <f t="shared" si="8"/>
        <v>123210</v>
      </c>
      <c r="L570" s="123">
        <v>0</v>
      </c>
    </row>
    <row r="571" spans="1:12" hidden="1" x14ac:dyDescent="0.25">
      <c r="A571" s="7">
        <v>570</v>
      </c>
      <c r="B571" s="152" t="s">
        <v>3505</v>
      </c>
      <c r="C571" s="153" t="s">
        <v>3506</v>
      </c>
      <c r="D571" s="153" t="s">
        <v>3507</v>
      </c>
      <c r="E571" s="153" t="s">
        <v>2083</v>
      </c>
      <c r="F571" s="6"/>
      <c r="G571" s="6"/>
      <c r="H571" s="85">
        <v>0</v>
      </c>
      <c r="I571" s="103">
        <f>IFERROR(VLOOKUP(B571,'July 2026-Recived'!$B$2:$H$1300,7,0),0)</f>
        <v>0</v>
      </c>
      <c r="J571" s="103">
        <f>IFERROR(VLOOKUP(B571,'July 2026- Dispatch'!$B$2:$H$1300,7,0),0)</f>
        <v>0</v>
      </c>
      <c r="K571" s="61">
        <f t="shared" si="8"/>
        <v>0</v>
      </c>
      <c r="L571" s="123">
        <v>0</v>
      </c>
    </row>
    <row r="572" spans="1:12" hidden="1" x14ac:dyDescent="0.25">
      <c r="A572" s="7">
        <v>571</v>
      </c>
      <c r="B572" s="152" t="s">
        <v>3508</v>
      </c>
      <c r="C572" s="153" t="s">
        <v>3509</v>
      </c>
      <c r="D572" s="153" t="s">
        <v>3510</v>
      </c>
      <c r="E572" s="153" t="s">
        <v>2083</v>
      </c>
      <c r="F572" s="6"/>
      <c r="G572" s="6"/>
      <c r="H572" s="85">
        <v>0</v>
      </c>
      <c r="I572" s="103">
        <f>IFERROR(VLOOKUP(B572,'July 2026-Recived'!$B$2:$H$1300,7,0),0)</f>
        <v>0</v>
      </c>
      <c r="J572" s="103">
        <f>IFERROR(VLOOKUP(B572,'July 2026- Dispatch'!$B$2:$H$1300,7,0),0)</f>
        <v>0</v>
      </c>
      <c r="K572" s="61">
        <f t="shared" si="8"/>
        <v>0</v>
      </c>
      <c r="L572" s="123">
        <v>0</v>
      </c>
    </row>
    <row r="573" spans="1:12" hidden="1" x14ac:dyDescent="0.25">
      <c r="A573" s="7">
        <v>572</v>
      </c>
      <c r="B573" s="152" t="s">
        <v>990</v>
      </c>
      <c r="C573" s="153" t="s">
        <v>3511</v>
      </c>
      <c r="D573" s="153" t="s">
        <v>3512</v>
      </c>
      <c r="E573" s="153" t="s">
        <v>2086</v>
      </c>
      <c r="F573" s="6"/>
      <c r="G573" s="6"/>
      <c r="H573" s="85">
        <v>17900</v>
      </c>
      <c r="I573" s="103">
        <f>IFERROR(VLOOKUP(B573,'July 2026-Recived'!$B$2:$H$1300,7,0),0)</f>
        <v>0</v>
      </c>
      <c r="J573" s="103">
        <f>IFERROR(VLOOKUP(B573,'July 2026- Dispatch'!$B$2:$H$1300,7,0),0)</f>
        <v>3100</v>
      </c>
      <c r="K573" s="61">
        <f t="shared" si="8"/>
        <v>14800</v>
      </c>
      <c r="L573" s="123">
        <v>0</v>
      </c>
    </row>
    <row r="574" spans="1:12" hidden="1" x14ac:dyDescent="0.25">
      <c r="A574" s="7">
        <v>573</v>
      </c>
      <c r="B574" s="152" t="s">
        <v>2027</v>
      </c>
      <c r="C574" s="153" t="s">
        <v>3513</v>
      </c>
      <c r="D574" s="153" t="s">
        <v>3514</v>
      </c>
      <c r="E574" s="153" t="s">
        <v>2083</v>
      </c>
      <c r="F574" s="6"/>
      <c r="G574" s="6"/>
      <c r="H574" s="85">
        <v>0</v>
      </c>
      <c r="I574" s="103">
        <f>IFERROR(VLOOKUP(B574,'July 2026-Recived'!$B$2:$H$1300,7,0),0)</f>
        <v>0</v>
      </c>
      <c r="J574" s="103">
        <f>IFERROR(VLOOKUP(B574,'July 2026- Dispatch'!$B$2:$H$1300,7,0),0)</f>
        <v>0</v>
      </c>
      <c r="K574" s="61">
        <f>H574+I574-J574</f>
        <v>0</v>
      </c>
      <c r="L574" s="123">
        <v>0</v>
      </c>
    </row>
    <row r="575" spans="1:12" hidden="1" x14ac:dyDescent="0.25">
      <c r="A575" s="7">
        <v>574</v>
      </c>
      <c r="B575" s="152" t="s">
        <v>1892</v>
      </c>
      <c r="C575" s="153" t="s">
        <v>3515</v>
      </c>
      <c r="D575" s="153" t="s">
        <v>3516</v>
      </c>
      <c r="E575" s="153" t="s">
        <v>2083</v>
      </c>
      <c r="F575" s="6"/>
      <c r="G575" s="6"/>
      <c r="H575" s="85">
        <v>0</v>
      </c>
      <c r="I575" s="103">
        <f>IFERROR(VLOOKUP(B575,'July 2026-Recived'!$B$2:$H$1300,7,0),0)</f>
        <v>0</v>
      </c>
      <c r="J575" s="103">
        <f>IFERROR(VLOOKUP(B575,'July 2026- Dispatch'!$B$2:$H$1300,7,0),0)</f>
        <v>0</v>
      </c>
      <c r="K575" s="61">
        <f>H575+I575-J575</f>
        <v>0</v>
      </c>
      <c r="L575" s="123">
        <v>0</v>
      </c>
    </row>
    <row r="576" spans="1:12" hidden="1" x14ac:dyDescent="0.25">
      <c r="A576" s="7">
        <v>575</v>
      </c>
      <c r="B576" s="152" t="s">
        <v>1188</v>
      </c>
      <c r="C576" s="153" t="s">
        <v>3517</v>
      </c>
      <c r="D576" s="153" t="s">
        <v>3518</v>
      </c>
      <c r="E576" s="153" t="s">
        <v>2086</v>
      </c>
      <c r="F576" s="6"/>
      <c r="G576" s="6"/>
      <c r="H576" s="85">
        <v>37100</v>
      </c>
      <c r="I576" s="103">
        <f>IFERROR(VLOOKUP(B576,'July 2026-Recived'!$B$2:$H$1300,7,0),0)</f>
        <v>25600</v>
      </c>
      <c r="J576" s="103">
        <f>IFERROR(VLOOKUP(B576,'July 2026- Dispatch'!$B$2:$H$1300,7,0),0)</f>
        <v>700</v>
      </c>
      <c r="K576" s="61">
        <f t="shared" si="8"/>
        <v>62000</v>
      </c>
      <c r="L576" s="123">
        <v>0</v>
      </c>
    </row>
    <row r="577" spans="1:12" hidden="1" x14ac:dyDescent="0.25">
      <c r="A577" s="7">
        <v>576</v>
      </c>
      <c r="B577" s="152" t="s">
        <v>894</v>
      </c>
      <c r="C577" s="153" t="s">
        <v>3519</v>
      </c>
      <c r="D577" s="153" t="s">
        <v>3520</v>
      </c>
      <c r="E577" s="153" t="s">
        <v>2086</v>
      </c>
      <c r="F577" s="6"/>
      <c r="G577" s="6"/>
      <c r="H577" s="85">
        <v>72100</v>
      </c>
      <c r="I577" s="103">
        <f>IFERROR(VLOOKUP(B577,'July 2026-Recived'!$B$2:$H$1300,7,0),0)</f>
        <v>0</v>
      </c>
      <c r="J577" s="103">
        <f>IFERROR(VLOOKUP(B577,'July 2026- Dispatch'!$B$2:$H$1300,7,0),0)</f>
        <v>550</v>
      </c>
      <c r="K577" s="61">
        <f t="shared" si="8"/>
        <v>71550</v>
      </c>
      <c r="L577" s="123">
        <v>0</v>
      </c>
    </row>
    <row r="578" spans="1:12" hidden="1" x14ac:dyDescent="0.25">
      <c r="A578" s="7">
        <v>577</v>
      </c>
      <c r="B578" s="152" t="s">
        <v>2024</v>
      </c>
      <c r="C578" s="153" t="s">
        <v>3521</v>
      </c>
      <c r="D578" s="153" t="s">
        <v>3522</v>
      </c>
      <c r="E578" s="153" t="s">
        <v>2086</v>
      </c>
      <c r="F578" s="6"/>
      <c r="G578" s="6"/>
      <c r="H578" s="85">
        <v>111000</v>
      </c>
      <c r="I578" s="103">
        <f>IFERROR(VLOOKUP(B578,'July 2026-Recived'!$B$2:$H$1300,7,0),0)</f>
        <v>0</v>
      </c>
      <c r="J578" s="103">
        <f>IFERROR(VLOOKUP(B578,'July 2026- Dispatch'!$B$2:$H$1300,7,0),0)</f>
        <v>15000</v>
      </c>
      <c r="K578" s="61">
        <f t="shared" ref="K578:K641" si="9">H578+I578-J578</f>
        <v>96000</v>
      </c>
      <c r="L578" s="123">
        <v>0</v>
      </c>
    </row>
    <row r="579" spans="1:12" hidden="1" x14ac:dyDescent="0.25">
      <c r="A579" s="7">
        <v>578</v>
      </c>
      <c r="B579" s="152" t="s">
        <v>1368</v>
      </c>
      <c r="C579" s="153" t="s">
        <v>3523</v>
      </c>
      <c r="D579" s="153" t="s">
        <v>3524</v>
      </c>
      <c r="E579" s="153" t="s">
        <v>2086</v>
      </c>
      <c r="F579" s="6"/>
      <c r="G579" s="6"/>
      <c r="H579" s="85">
        <v>73500</v>
      </c>
      <c r="I579" s="103">
        <f>IFERROR(VLOOKUP(B579,'July 2026-Recived'!$B$2:$H$1300,7,0),0)</f>
        <v>20700</v>
      </c>
      <c r="J579" s="103">
        <f>IFERROR(VLOOKUP(B579,'July 2026- Dispatch'!$B$2:$H$1300,7,0),0)</f>
        <v>12000</v>
      </c>
      <c r="K579" s="61">
        <f t="shared" si="9"/>
        <v>82200</v>
      </c>
      <c r="L579" s="123">
        <v>0</v>
      </c>
    </row>
    <row r="580" spans="1:12" hidden="1" x14ac:dyDescent="0.25">
      <c r="A580" s="7">
        <v>579</v>
      </c>
      <c r="B580" s="152" t="s">
        <v>3525</v>
      </c>
      <c r="C580" s="153" t="s">
        <v>3526</v>
      </c>
      <c r="D580" s="153" t="s">
        <v>3527</v>
      </c>
      <c r="E580" s="153" t="s">
        <v>2086</v>
      </c>
      <c r="F580" s="6"/>
      <c r="G580" s="6"/>
      <c r="H580" s="85">
        <v>48500</v>
      </c>
      <c r="I580" s="103">
        <f>IFERROR(VLOOKUP(B580,'July 2026-Recived'!$B$2:$H$1300,7,0),0)</f>
        <v>0</v>
      </c>
      <c r="J580" s="103">
        <f>IFERROR(VLOOKUP(B580,'July 2026- Dispatch'!$B$2:$H$1300,7,0),0)</f>
        <v>0</v>
      </c>
      <c r="K580" s="61">
        <f t="shared" si="9"/>
        <v>48500</v>
      </c>
      <c r="L580" s="123">
        <v>0</v>
      </c>
    </row>
    <row r="581" spans="1:12" hidden="1" x14ac:dyDescent="0.25">
      <c r="A581" s="7">
        <v>580</v>
      </c>
      <c r="B581" s="152" t="s">
        <v>3528</v>
      </c>
      <c r="C581" s="153" t="s">
        <v>3529</v>
      </c>
      <c r="D581" s="153" t="s">
        <v>3530</v>
      </c>
      <c r="E581" s="153" t="s">
        <v>2086</v>
      </c>
      <c r="F581" s="6"/>
      <c r="G581" s="6"/>
      <c r="H581" s="85">
        <v>2500</v>
      </c>
      <c r="I581" s="103">
        <f>IFERROR(VLOOKUP(B581,'July 2026-Recived'!$B$2:$H$1300,7,0),0)</f>
        <v>0</v>
      </c>
      <c r="J581" s="103">
        <f>IFERROR(VLOOKUP(B581,'July 2026- Dispatch'!$B$2:$H$1300,7,0),0)</f>
        <v>0</v>
      </c>
      <c r="K581" s="61">
        <f t="shared" si="9"/>
        <v>2500</v>
      </c>
      <c r="L581" s="123">
        <v>0</v>
      </c>
    </row>
    <row r="582" spans="1:12" hidden="1" x14ac:dyDescent="0.25">
      <c r="A582" s="7">
        <v>581</v>
      </c>
      <c r="B582" s="152" t="s">
        <v>3531</v>
      </c>
      <c r="C582" s="153" t="s">
        <v>3532</v>
      </c>
      <c r="D582" s="153" t="s">
        <v>3533</v>
      </c>
      <c r="E582" s="153" t="s">
        <v>2083</v>
      </c>
      <c r="F582" s="6"/>
      <c r="G582" s="6"/>
      <c r="H582" s="85">
        <v>0</v>
      </c>
      <c r="I582" s="103">
        <f>IFERROR(VLOOKUP(B582,'July 2026-Recived'!$B$2:$H$1300,7,0),0)</f>
        <v>0</v>
      </c>
      <c r="J582" s="103">
        <f>IFERROR(VLOOKUP(B582,'July 2026- Dispatch'!$B$2:$H$1300,7,0),0)</f>
        <v>0</v>
      </c>
      <c r="K582" s="61">
        <f t="shared" si="9"/>
        <v>0</v>
      </c>
      <c r="L582" s="123">
        <v>0</v>
      </c>
    </row>
    <row r="583" spans="1:12" hidden="1" x14ac:dyDescent="0.25">
      <c r="A583" s="7">
        <v>582</v>
      </c>
      <c r="B583" s="152" t="s">
        <v>729</v>
      </c>
      <c r="C583" s="153" t="s">
        <v>3534</v>
      </c>
      <c r="D583" s="153" t="s">
        <v>3535</v>
      </c>
      <c r="E583" s="153" t="s">
        <v>2083</v>
      </c>
      <c r="F583" s="6"/>
      <c r="G583" s="6"/>
      <c r="H583" s="85">
        <v>0</v>
      </c>
      <c r="I583" s="103">
        <f>IFERROR(VLOOKUP(B583,'July 2026-Recived'!$B$2:$H$1300,7,0),0)</f>
        <v>0</v>
      </c>
      <c r="J583" s="103">
        <f>IFERROR(VLOOKUP(B583,'July 2026- Dispatch'!$B$2:$H$1300,7,0),0)</f>
        <v>0</v>
      </c>
      <c r="K583" s="61">
        <f t="shared" si="9"/>
        <v>0</v>
      </c>
      <c r="L583" s="123">
        <v>0</v>
      </c>
    </row>
    <row r="584" spans="1:12" hidden="1" x14ac:dyDescent="0.25">
      <c r="A584" s="7">
        <v>583</v>
      </c>
      <c r="B584" s="152" t="s">
        <v>731</v>
      </c>
      <c r="C584" s="153" t="s">
        <v>3536</v>
      </c>
      <c r="D584" s="153" t="s">
        <v>3537</v>
      </c>
      <c r="E584" s="153" t="s">
        <v>2083</v>
      </c>
      <c r="F584" s="6"/>
      <c r="G584" s="6"/>
      <c r="H584" s="85">
        <v>0</v>
      </c>
      <c r="I584" s="103">
        <f>IFERROR(VLOOKUP(B584,'July 2026-Recived'!$B$2:$H$1300,7,0),0)</f>
        <v>0</v>
      </c>
      <c r="J584" s="103">
        <f>IFERROR(VLOOKUP(B584,'July 2026- Dispatch'!$B$2:$H$1300,7,0),0)</f>
        <v>0</v>
      </c>
      <c r="K584" s="61">
        <f t="shared" si="9"/>
        <v>0</v>
      </c>
      <c r="L584" s="123">
        <v>0</v>
      </c>
    </row>
    <row r="585" spans="1:12" hidden="1" x14ac:dyDescent="0.25">
      <c r="A585" s="7">
        <v>584</v>
      </c>
      <c r="B585" s="152" t="s">
        <v>3538</v>
      </c>
      <c r="C585" s="153" t="s">
        <v>3539</v>
      </c>
      <c r="D585" s="153" t="s">
        <v>3540</v>
      </c>
      <c r="E585" s="153" t="s">
        <v>2083</v>
      </c>
      <c r="F585" s="6"/>
      <c r="G585" s="6"/>
      <c r="H585" s="85">
        <v>0</v>
      </c>
      <c r="I585" s="103">
        <f>IFERROR(VLOOKUP(B585,'July 2026-Recived'!$B$2:$H$1300,7,0),0)</f>
        <v>0</v>
      </c>
      <c r="J585" s="103">
        <f>IFERROR(VLOOKUP(B585,'July 2026- Dispatch'!$B$2:$H$1300,7,0),0)</f>
        <v>0</v>
      </c>
      <c r="K585" s="61">
        <f t="shared" si="9"/>
        <v>0</v>
      </c>
      <c r="L585" s="123">
        <v>0</v>
      </c>
    </row>
    <row r="586" spans="1:12" hidden="1" x14ac:dyDescent="0.25">
      <c r="A586" s="7">
        <v>585</v>
      </c>
      <c r="B586" s="152" t="s">
        <v>3541</v>
      </c>
      <c r="C586" s="153" t="s">
        <v>3542</v>
      </c>
      <c r="D586" s="153" t="s">
        <v>3543</v>
      </c>
      <c r="E586" s="153" t="s">
        <v>2083</v>
      </c>
      <c r="F586" s="6"/>
      <c r="G586" s="6"/>
      <c r="H586" s="85">
        <v>0</v>
      </c>
      <c r="I586" s="103">
        <f>IFERROR(VLOOKUP(B586,'July 2026-Recived'!$B$2:$H$1300,7,0),0)</f>
        <v>0</v>
      </c>
      <c r="J586" s="103">
        <f>IFERROR(VLOOKUP(B586,'July 2026- Dispatch'!$B$2:$H$1300,7,0),0)</f>
        <v>0</v>
      </c>
      <c r="K586" s="61">
        <f t="shared" si="9"/>
        <v>0</v>
      </c>
      <c r="L586" s="123">
        <v>0</v>
      </c>
    </row>
    <row r="587" spans="1:12" hidden="1" x14ac:dyDescent="0.25">
      <c r="A587" s="7">
        <v>586</v>
      </c>
      <c r="B587" s="152" t="s">
        <v>3544</v>
      </c>
      <c r="C587" s="153" t="s">
        <v>3545</v>
      </c>
      <c r="D587" s="153" t="s">
        <v>3546</v>
      </c>
      <c r="E587" s="153" t="s">
        <v>2086</v>
      </c>
      <c r="F587" s="6"/>
      <c r="G587" s="6"/>
      <c r="H587" s="85">
        <v>133500</v>
      </c>
      <c r="I587" s="103">
        <f>IFERROR(VLOOKUP(B587,'July 2026-Recived'!$B$2:$H$1300,7,0),0)</f>
        <v>0</v>
      </c>
      <c r="J587" s="103">
        <f>IFERROR(VLOOKUP(B587,'July 2026- Dispatch'!$B$2:$H$1300,7,0),0)</f>
        <v>0</v>
      </c>
      <c r="K587" s="61">
        <f t="shared" si="9"/>
        <v>133500</v>
      </c>
      <c r="L587" s="123">
        <v>0</v>
      </c>
    </row>
    <row r="588" spans="1:12" hidden="1" x14ac:dyDescent="0.25">
      <c r="A588" s="7">
        <v>587</v>
      </c>
      <c r="B588" s="152" t="s">
        <v>3547</v>
      </c>
      <c r="C588" s="153" t="s">
        <v>3548</v>
      </c>
      <c r="D588" s="153" t="s">
        <v>3549</v>
      </c>
      <c r="E588" s="153" t="s">
        <v>2083</v>
      </c>
      <c r="F588" s="6"/>
      <c r="G588" s="6"/>
      <c r="H588" s="85">
        <v>0</v>
      </c>
      <c r="I588" s="103">
        <f>IFERROR(VLOOKUP(B588,'July 2026-Recived'!$B$2:$H$1300,7,0),0)</f>
        <v>0</v>
      </c>
      <c r="J588" s="103">
        <f>IFERROR(VLOOKUP(B588,'July 2026- Dispatch'!$B$2:$H$1300,7,0),0)</f>
        <v>0</v>
      </c>
      <c r="K588" s="61">
        <f t="shared" si="9"/>
        <v>0</v>
      </c>
      <c r="L588" s="123">
        <v>0</v>
      </c>
    </row>
    <row r="589" spans="1:12" hidden="1" x14ac:dyDescent="0.25">
      <c r="A589" s="7">
        <v>588</v>
      </c>
      <c r="B589" s="152" t="s">
        <v>3550</v>
      </c>
      <c r="C589" s="153" t="s">
        <v>3551</v>
      </c>
      <c r="D589" s="153" t="s">
        <v>3552</v>
      </c>
      <c r="E589" s="153" t="s">
        <v>2086</v>
      </c>
      <c r="F589" s="6"/>
      <c r="G589" s="6"/>
      <c r="H589" s="85">
        <v>8000</v>
      </c>
      <c r="I589" s="103">
        <f>IFERROR(VLOOKUP(B589,'July 2026-Recived'!$B$2:$H$1300,7,0),0)</f>
        <v>0</v>
      </c>
      <c r="J589" s="103">
        <f>IFERROR(VLOOKUP(B589,'July 2026- Dispatch'!$B$2:$H$1300,7,0),0)</f>
        <v>0</v>
      </c>
      <c r="K589" s="61">
        <f t="shared" si="9"/>
        <v>8000</v>
      </c>
      <c r="L589" s="123">
        <v>0</v>
      </c>
    </row>
    <row r="590" spans="1:12" hidden="1" x14ac:dyDescent="0.25">
      <c r="A590" s="7">
        <v>589</v>
      </c>
      <c r="B590" s="152" t="s">
        <v>1531</v>
      </c>
      <c r="C590" s="153" t="s">
        <v>3553</v>
      </c>
      <c r="D590" s="153" t="s">
        <v>3554</v>
      </c>
      <c r="E590" s="153" t="s">
        <v>2086</v>
      </c>
      <c r="F590" s="6"/>
      <c r="G590" s="6"/>
      <c r="H590" s="85">
        <v>1500</v>
      </c>
      <c r="I590" s="103">
        <f>IFERROR(VLOOKUP(B590,'July 2026-Recived'!$B$2:$H$1300,7,0),0)</f>
        <v>0</v>
      </c>
      <c r="J590" s="103">
        <f>IFERROR(VLOOKUP(B590,'July 2026- Dispatch'!$B$2:$H$1300,7,0),0)</f>
        <v>1500</v>
      </c>
      <c r="K590" s="61">
        <f t="shared" si="9"/>
        <v>0</v>
      </c>
      <c r="L590" s="123">
        <v>0</v>
      </c>
    </row>
    <row r="591" spans="1:12" hidden="1" x14ac:dyDescent="0.25">
      <c r="A591" s="7">
        <v>590</v>
      </c>
      <c r="B591" s="152" t="s">
        <v>19</v>
      </c>
      <c r="C591" s="153" t="s">
        <v>3555</v>
      </c>
      <c r="D591" s="153" t="s">
        <v>3556</v>
      </c>
      <c r="E591" s="153" t="s">
        <v>2086</v>
      </c>
      <c r="F591" s="6"/>
      <c r="G591" s="6"/>
      <c r="H591" s="85">
        <v>26500</v>
      </c>
      <c r="I591" s="103">
        <f>IFERROR(VLOOKUP(B591,'July 2026-Recived'!$B$2:$H$1300,7,0),0)</f>
        <v>0</v>
      </c>
      <c r="J591" s="103">
        <f>IFERROR(VLOOKUP(B591,'July 2026- Dispatch'!$B$2:$H$1300,7,0),0)</f>
        <v>0</v>
      </c>
      <c r="K591" s="61">
        <f t="shared" si="9"/>
        <v>26500</v>
      </c>
      <c r="L591" s="123">
        <v>0</v>
      </c>
    </row>
    <row r="592" spans="1:12" hidden="1" x14ac:dyDescent="0.25">
      <c r="A592" s="7">
        <v>591</v>
      </c>
      <c r="B592" s="152" t="s">
        <v>805</v>
      </c>
      <c r="C592" s="153" t="s">
        <v>3557</v>
      </c>
      <c r="D592" s="153" t="s">
        <v>3558</v>
      </c>
      <c r="E592" s="153" t="s">
        <v>2086</v>
      </c>
      <c r="F592" s="6"/>
      <c r="G592" s="6"/>
      <c r="H592" s="85">
        <v>21880</v>
      </c>
      <c r="I592" s="103">
        <f>IFERROR(VLOOKUP(B592,'July 2026-Recived'!$B$2:$H$1300,7,0),0)</f>
        <v>0</v>
      </c>
      <c r="J592" s="103">
        <f>IFERROR(VLOOKUP(B592,'July 2026- Dispatch'!$B$2:$H$1300,7,0),0)</f>
        <v>0</v>
      </c>
      <c r="K592" s="61">
        <f t="shared" si="9"/>
        <v>21880</v>
      </c>
      <c r="L592" s="123">
        <v>0</v>
      </c>
    </row>
    <row r="593" spans="1:15" hidden="1" x14ac:dyDescent="0.25">
      <c r="A593" s="7">
        <v>592</v>
      </c>
      <c r="B593" s="152" t="s">
        <v>3559</v>
      </c>
      <c r="C593" s="153" t="s">
        <v>3560</v>
      </c>
      <c r="D593" s="153" t="s">
        <v>3561</v>
      </c>
      <c r="E593" s="153" t="s">
        <v>2083</v>
      </c>
      <c r="F593" s="6"/>
      <c r="G593" s="6"/>
      <c r="H593" s="85">
        <v>0</v>
      </c>
      <c r="I593" s="103">
        <f>IFERROR(VLOOKUP(B593,'July 2026-Recived'!$B$2:$H$1300,7,0),0)</f>
        <v>0</v>
      </c>
      <c r="J593" s="103">
        <f>IFERROR(VLOOKUP(B593,'July 2026- Dispatch'!$B$2:$H$1300,7,0),0)</f>
        <v>0</v>
      </c>
      <c r="K593" s="61">
        <f t="shared" si="9"/>
        <v>0</v>
      </c>
      <c r="L593" s="123">
        <v>0</v>
      </c>
    </row>
    <row r="594" spans="1:15" hidden="1" x14ac:dyDescent="0.25">
      <c r="A594" s="7">
        <v>593</v>
      </c>
      <c r="B594" s="152" t="s">
        <v>725</v>
      </c>
      <c r="C594" s="153" t="s">
        <v>3562</v>
      </c>
      <c r="D594" s="153" t="s">
        <v>3563</v>
      </c>
      <c r="E594" s="153" t="s">
        <v>2086</v>
      </c>
      <c r="F594" s="6"/>
      <c r="G594" s="6"/>
      <c r="H594" s="85">
        <v>18000</v>
      </c>
      <c r="I594" s="103">
        <f>IFERROR(VLOOKUP(B594,'July 2026-Recived'!$B$2:$H$1300,7,0),0)</f>
        <v>0</v>
      </c>
      <c r="J594" s="103">
        <f>IFERROR(VLOOKUP(B594,'July 2026- Dispatch'!$B$2:$H$1300,7,0),0)</f>
        <v>0</v>
      </c>
      <c r="K594" s="61">
        <f t="shared" si="9"/>
        <v>18000</v>
      </c>
      <c r="L594" s="123">
        <v>0</v>
      </c>
    </row>
    <row r="595" spans="1:15" hidden="1" x14ac:dyDescent="0.25">
      <c r="A595" s="7">
        <v>594</v>
      </c>
      <c r="B595" s="155" t="s">
        <v>1877</v>
      </c>
      <c r="C595" s="156" t="s">
        <v>3564</v>
      </c>
      <c r="D595" s="156" t="s">
        <v>3565</v>
      </c>
      <c r="E595" s="153" t="s">
        <v>2086</v>
      </c>
      <c r="F595" s="6"/>
      <c r="G595" s="6"/>
      <c r="H595" s="85">
        <v>1200</v>
      </c>
      <c r="I595" s="103">
        <f>IFERROR(VLOOKUP(B595,'July 2026-Recived'!$B$2:$H$1300,7,0),0)</f>
        <v>0</v>
      </c>
      <c r="J595" s="103">
        <f>IFERROR(VLOOKUP(B595,'July 2026- Dispatch'!$B$2:$H$1300,7,0),0)</f>
        <v>1200</v>
      </c>
      <c r="K595" s="61">
        <f t="shared" si="9"/>
        <v>0</v>
      </c>
      <c r="L595" s="123">
        <v>0</v>
      </c>
    </row>
    <row r="596" spans="1:15" hidden="1" x14ac:dyDescent="0.25">
      <c r="A596" s="7">
        <v>595</v>
      </c>
      <c r="B596" s="155" t="s">
        <v>3566</v>
      </c>
      <c r="C596" s="156" t="s">
        <v>3567</v>
      </c>
      <c r="D596" s="156" t="s">
        <v>3568</v>
      </c>
      <c r="E596" s="153" t="s">
        <v>2086</v>
      </c>
      <c r="F596" s="6"/>
      <c r="G596" s="6"/>
      <c r="H596" s="85">
        <v>3105</v>
      </c>
      <c r="I596" s="103">
        <f>IFERROR(VLOOKUP(B596,'July 2026-Recived'!$B$2:$H$1300,7,0),0)</f>
        <v>0</v>
      </c>
      <c r="J596" s="103">
        <f>IFERROR(VLOOKUP(B596,'July 2026- Dispatch'!$B$2:$H$1300,7,0),0)</f>
        <v>0</v>
      </c>
      <c r="K596" s="61">
        <f t="shared" si="9"/>
        <v>3105</v>
      </c>
      <c r="L596" s="123">
        <v>0</v>
      </c>
    </row>
    <row r="597" spans="1:15" hidden="1" x14ac:dyDescent="0.25">
      <c r="A597" s="7">
        <v>596</v>
      </c>
      <c r="B597" s="152" t="s">
        <v>3569</v>
      </c>
      <c r="C597" s="153" t="s">
        <v>3570</v>
      </c>
      <c r="D597" s="153" t="s">
        <v>3571</v>
      </c>
      <c r="E597" s="153" t="s">
        <v>2083</v>
      </c>
      <c r="F597" s="6"/>
      <c r="G597" s="6"/>
      <c r="H597" s="85">
        <v>0</v>
      </c>
      <c r="I597" s="103">
        <f>IFERROR(VLOOKUP(B597,'July 2026-Recived'!$B$2:$H$1300,7,0),0)</f>
        <v>0</v>
      </c>
      <c r="J597" s="103">
        <f>IFERROR(VLOOKUP(B597,'July 2026- Dispatch'!$B$2:$H$1300,7,0),0)</f>
        <v>0</v>
      </c>
      <c r="K597" s="61">
        <f t="shared" si="9"/>
        <v>0</v>
      </c>
      <c r="L597" s="123">
        <v>0</v>
      </c>
    </row>
    <row r="598" spans="1:15" hidden="1" x14ac:dyDescent="0.25">
      <c r="A598" s="7">
        <v>597</v>
      </c>
      <c r="B598" s="152" t="s">
        <v>3572</v>
      </c>
      <c r="C598" s="153" t="s">
        <v>3573</v>
      </c>
      <c r="D598" s="153" t="s">
        <v>3574</v>
      </c>
      <c r="E598" s="153" t="s">
        <v>2083</v>
      </c>
      <c r="F598" s="6"/>
      <c r="G598" s="6"/>
      <c r="H598" s="85">
        <v>0</v>
      </c>
      <c r="I598" s="103">
        <f>IFERROR(VLOOKUP(B598,'July 2026-Recived'!$B$2:$H$1300,7,0),0)</f>
        <v>0</v>
      </c>
      <c r="J598" s="103">
        <f>IFERROR(VLOOKUP(B598,'July 2026- Dispatch'!$B$2:$H$1300,7,0),0)</f>
        <v>0</v>
      </c>
      <c r="K598" s="61">
        <f t="shared" si="9"/>
        <v>0</v>
      </c>
      <c r="L598" s="123">
        <v>0</v>
      </c>
    </row>
    <row r="599" spans="1:15" hidden="1" x14ac:dyDescent="0.25">
      <c r="A599" s="7">
        <v>598</v>
      </c>
      <c r="B599" s="152" t="s">
        <v>3575</v>
      </c>
      <c r="C599" s="153" t="s">
        <v>3576</v>
      </c>
      <c r="D599" s="153" t="s">
        <v>3577</v>
      </c>
      <c r="E599" s="153" t="s">
        <v>2083</v>
      </c>
      <c r="F599" s="6"/>
      <c r="G599" s="6"/>
      <c r="H599" s="85">
        <v>0</v>
      </c>
      <c r="I599" s="103">
        <f>IFERROR(VLOOKUP(B599,'July 2026-Recived'!$B$2:$H$1300,7,0),0)</f>
        <v>0</v>
      </c>
      <c r="J599" s="103">
        <f>IFERROR(VLOOKUP(B599,'July 2026- Dispatch'!$B$2:$H$1300,7,0),0)</f>
        <v>0</v>
      </c>
      <c r="K599" s="61">
        <f t="shared" si="9"/>
        <v>0</v>
      </c>
      <c r="L599" s="123">
        <v>0</v>
      </c>
    </row>
    <row r="600" spans="1:15" hidden="1" x14ac:dyDescent="0.25">
      <c r="A600" s="7">
        <v>599</v>
      </c>
      <c r="B600" s="152" t="s">
        <v>3578</v>
      </c>
      <c r="C600" s="153" t="s">
        <v>3579</v>
      </c>
      <c r="D600" s="153" t="s">
        <v>3580</v>
      </c>
      <c r="E600" s="153" t="s">
        <v>2086</v>
      </c>
      <c r="F600" s="6"/>
      <c r="G600" s="6"/>
      <c r="H600" s="85">
        <v>35040</v>
      </c>
      <c r="I600" s="103">
        <f>IFERROR(VLOOKUP(B600,'July 2026-Recived'!$B$2:$H$1300,7,0),0)</f>
        <v>0</v>
      </c>
      <c r="J600" s="103">
        <f>IFERROR(VLOOKUP(B600,'July 2026- Dispatch'!$B$2:$H$1300,7,0),0)</f>
        <v>0</v>
      </c>
      <c r="K600" s="61">
        <f t="shared" si="9"/>
        <v>35040</v>
      </c>
      <c r="L600" s="123">
        <v>0</v>
      </c>
    </row>
    <row r="601" spans="1:15" hidden="1" x14ac:dyDescent="0.25">
      <c r="A601" s="7">
        <v>600</v>
      </c>
      <c r="B601" s="152" t="s">
        <v>33</v>
      </c>
      <c r="C601" s="153" t="s">
        <v>3581</v>
      </c>
      <c r="D601" s="153" t="s">
        <v>3582</v>
      </c>
      <c r="E601" s="153" t="s">
        <v>2086</v>
      </c>
      <c r="F601" s="6"/>
      <c r="G601" s="6"/>
      <c r="H601" s="85">
        <v>95000</v>
      </c>
      <c r="I601" s="103">
        <f>IFERROR(VLOOKUP(B601,'July 2026-Recived'!$B$2:$H$1300,7,0),0)</f>
        <v>0</v>
      </c>
      <c r="J601" s="103">
        <f>IFERROR(VLOOKUP(B601,'July 2026- Dispatch'!$B$2:$H$1300,7,0),0)</f>
        <v>0</v>
      </c>
      <c r="K601" s="61">
        <f t="shared" si="9"/>
        <v>95000</v>
      </c>
      <c r="L601" s="123">
        <v>0</v>
      </c>
    </row>
    <row r="602" spans="1:15" hidden="1" x14ac:dyDescent="0.25">
      <c r="A602" s="7">
        <v>601</v>
      </c>
      <c r="B602" s="152" t="s">
        <v>3583</v>
      </c>
      <c r="C602" s="153" t="s">
        <v>3584</v>
      </c>
      <c r="D602" s="153" t="s">
        <v>3585</v>
      </c>
      <c r="E602" s="153" t="s">
        <v>2083</v>
      </c>
      <c r="F602" s="6"/>
      <c r="G602" s="6"/>
      <c r="H602" s="85">
        <v>0</v>
      </c>
      <c r="I602" s="103">
        <f>IFERROR(VLOOKUP(B602,'July 2026-Recived'!$B$2:$H$1300,7,0),0)</f>
        <v>0</v>
      </c>
      <c r="J602" s="103">
        <f>IFERROR(VLOOKUP(B602,'July 2026- Dispatch'!$B$2:$H$1300,7,0),0)</f>
        <v>0</v>
      </c>
      <c r="K602" s="61">
        <f t="shared" si="9"/>
        <v>0</v>
      </c>
      <c r="L602" s="123">
        <v>0</v>
      </c>
    </row>
    <row r="603" spans="1:15" hidden="1" x14ac:dyDescent="0.25">
      <c r="A603" s="7">
        <v>602</v>
      </c>
      <c r="B603" s="152" t="s">
        <v>1455</v>
      </c>
      <c r="C603" s="153" t="s">
        <v>3586</v>
      </c>
      <c r="D603" s="153" t="s">
        <v>3587</v>
      </c>
      <c r="E603" s="153" t="s">
        <v>2083</v>
      </c>
      <c r="F603" s="6"/>
      <c r="G603" s="6"/>
      <c r="H603" s="85">
        <v>0</v>
      </c>
      <c r="I603" s="103">
        <f>IFERROR(VLOOKUP(B603,'July 2026-Recived'!$B$2:$H$1300,7,0),0)</f>
        <v>0</v>
      </c>
      <c r="J603" s="103">
        <f>IFERROR(VLOOKUP(B603,'July 2026- Dispatch'!$B$2:$H$1300,7,0),0)</f>
        <v>0</v>
      </c>
      <c r="K603" s="61">
        <f t="shared" si="9"/>
        <v>0</v>
      </c>
      <c r="L603" s="123">
        <v>0</v>
      </c>
      <c r="N603">
        <f>12*12</f>
        <v>144</v>
      </c>
      <c r="O603">
        <f>N603*28</f>
        <v>4032</v>
      </c>
    </row>
    <row r="604" spans="1:15" hidden="1" x14ac:dyDescent="0.25">
      <c r="A604" s="7">
        <v>603</v>
      </c>
      <c r="B604" s="152" t="s">
        <v>914</v>
      </c>
      <c r="C604" s="153" t="s">
        <v>3588</v>
      </c>
      <c r="D604" s="153" t="s">
        <v>3589</v>
      </c>
      <c r="E604" s="153" t="s">
        <v>2086</v>
      </c>
      <c r="F604" s="6"/>
      <c r="G604" s="6"/>
      <c r="H604" s="85">
        <v>1000</v>
      </c>
      <c r="I604" s="103">
        <f>IFERROR(VLOOKUP(B604,'July 2026-Recived'!$B$2:$H$1300,7,0),0)</f>
        <v>0</v>
      </c>
      <c r="J604" s="103">
        <f>IFERROR(VLOOKUP(B604,'July 2026- Dispatch'!$B$2:$H$1300,7,0),0)</f>
        <v>0</v>
      </c>
      <c r="K604" s="61">
        <f t="shared" si="9"/>
        <v>1000</v>
      </c>
      <c r="L604" s="123">
        <v>0</v>
      </c>
    </row>
    <row r="605" spans="1:15" hidden="1" x14ac:dyDescent="0.25">
      <c r="A605" s="7">
        <v>604</v>
      </c>
      <c r="B605" s="152" t="s">
        <v>854</v>
      </c>
      <c r="C605" s="153" t="s">
        <v>3590</v>
      </c>
      <c r="D605" s="153" t="s">
        <v>3591</v>
      </c>
      <c r="E605" s="153" t="s">
        <v>2083</v>
      </c>
      <c r="F605" s="6"/>
      <c r="G605" s="6"/>
      <c r="H605" s="85">
        <v>0</v>
      </c>
      <c r="I605" s="103">
        <f>IFERROR(VLOOKUP(B605,'July 2026-Recived'!$B$2:$H$1300,7,0),0)</f>
        <v>0</v>
      </c>
      <c r="J605" s="103">
        <f>IFERROR(VLOOKUP(B605,'July 2026- Dispatch'!$B$2:$H$1300,7,0),0)</f>
        <v>0</v>
      </c>
      <c r="K605" s="61">
        <f t="shared" si="9"/>
        <v>0</v>
      </c>
      <c r="L605" s="123">
        <v>0</v>
      </c>
    </row>
    <row r="606" spans="1:15" hidden="1" x14ac:dyDescent="0.25">
      <c r="A606" s="7">
        <v>605</v>
      </c>
      <c r="B606" s="152" t="s">
        <v>948</v>
      </c>
      <c r="C606" s="153" t="s">
        <v>3592</v>
      </c>
      <c r="D606" s="153" t="s">
        <v>3593</v>
      </c>
      <c r="E606" s="153" t="s">
        <v>2083</v>
      </c>
      <c r="F606" s="6"/>
      <c r="G606" s="6"/>
      <c r="H606" s="85">
        <v>0</v>
      </c>
      <c r="I606" s="103">
        <f>IFERROR(VLOOKUP(B606,'July 2026-Recived'!$B$2:$H$1300,7,0),0)</f>
        <v>0</v>
      </c>
      <c r="J606" s="103">
        <f>IFERROR(VLOOKUP(B606,'July 2026- Dispatch'!$B$2:$H$1300,7,0),0)</f>
        <v>0</v>
      </c>
      <c r="K606" s="61">
        <f t="shared" si="9"/>
        <v>0</v>
      </c>
      <c r="L606" s="123">
        <v>0</v>
      </c>
    </row>
    <row r="607" spans="1:15" hidden="1" x14ac:dyDescent="0.25">
      <c r="A607" s="7">
        <v>606</v>
      </c>
      <c r="B607" s="152" t="s">
        <v>838</v>
      </c>
      <c r="C607" s="153" t="s">
        <v>3594</v>
      </c>
      <c r="D607" s="153" t="s">
        <v>3595</v>
      </c>
      <c r="E607" s="153" t="s">
        <v>2086</v>
      </c>
      <c r="F607" s="6"/>
      <c r="G607" s="6"/>
      <c r="H607" s="85">
        <v>32000</v>
      </c>
      <c r="I607" s="103">
        <f>IFERROR(VLOOKUP(B607,'July 2026-Recived'!$B$2:$H$1300,7,0),0)</f>
        <v>112000</v>
      </c>
      <c r="J607" s="103">
        <f>IFERROR(VLOOKUP(B607,'July 2026- Dispatch'!$B$2:$H$1300,7,0),0)</f>
        <v>76000</v>
      </c>
      <c r="K607" s="61">
        <f t="shared" si="9"/>
        <v>68000</v>
      </c>
      <c r="L607" s="123">
        <v>0</v>
      </c>
    </row>
    <row r="608" spans="1:15" hidden="1" x14ac:dyDescent="0.25">
      <c r="A608" s="7">
        <v>607</v>
      </c>
      <c r="B608" s="152" t="s">
        <v>3596</v>
      </c>
      <c r="C608" s="153" t="s">
        <v>3597</v>
      </c>
      <c r="D608" s="153" t="s">
        <v>3598</v>
      </c>
      <c r="E608" s="153" t="s">
        <v>2083</v>
      </c>
      <c r="F608" s="6"/>
      <c r="G608" s="6"/>
      <c r="H608" s="85">
        <v>0</v>
      </c>
      <c r="I608" s="103">
        <f>IFERROR(VLOOKUP(B608,'July 2026-Recived'!$B$2:$H$1300,7,0),0)</f>
        <v>0</v>
      </c>
      <c r="J608" s="103">
        <f>IFERROR(VLOOKUP(B608,'July 2026- Dispatch'!$B$2:$H$1300,7,0),0)</f>
        <v>0</v>
      </c>
      <c r="K608" s="61">
        <f t="shared" si="9"/>
        <v>0</v>
      </c>
      <c r="L608" s="123">
        <v>0</v>
      </c>
    </row>
    <row r="609" spans="1:12" hidden="1" x14ac:dyDescent="0.25">
      <c r="A609" s="7">
        <v>608</v>
      </c>
      <c r="B609" s="152" t="s">
        <v>1178</v>
      </c>
      <c r="C609" s="153" t="s">
        <v>3599</v>
      </c>
      <c r="D609" s="153" t="s">
        <v>3600</v>
      </c>
      <c r="E609" s="153" t="s">
        <v>2086</v>
      </c>
      <c r="F609" s="6"/>
      <c r="G609" s="6"/>
      <c r="H609" s="85">
        <v>9000</v>
      </c>
      <c r="I609" s="103">
        <f>IFERROR(VLOOKUP(B609,'July 2026-Recived'!$B$2:$H$1300,7,0),0)</f>
        <v>0</v>
      </c>
      <c r="J609" s="103">
        <f>IFERROR(VLOOKUP(B609,'July 2026- Dispatch'!$B$2:$H$1300,7,0),0)</f>
        <v>9000</v>
      </c>
      <c r="K609" s="61">
        <f>H609+I609-J609</f>
        <v>0</v>
      </c>
      <c r="L609" s="123">
        <v>0</v>
      </c>
    </row>
    <row r="610" spans="1:12" hidden="1" x14ac:dyDescent="0.25">
      <c r="A610" s="7">
        <v>609</v>
      </c>
      <c r="B610" s="152" t="s">
        <v>1158</v>
      </c>
      <c r="C610" s="153" t="s">
        <v>3601</v>
      </c>
      <c r="D610" s="153" t="s">
        <v>3602</v>
      </c>
      <c r="E610" s="153" t="s">
        <v>2086</v>
      </c>
      <c r="F610" s="6"/>
      <c r="G610" s="6"/>
      <c r="H610" s="85">
        <v>11500</v>
      </c>
      <c r="I610" s="103">
        <f>IFERROR(VLOOKUP(B610,'July 2026-Recived'!$B$2:$H$1300,7,0),0)</f>
        <v>0</v>
      </c>
      <c r="J610" s="103">
        <f>IFERROR(VLOOKUP(B610,'July 2026- Dispatch'!$B$2:$H$1300,7,0),0)</f>
        <v>5</v>
      </c>
      <c r="K610" s="61">
        <f>H610+I610-J610</f>
        <v>11495</v>
      </c>
      <c r="L610" s="123">
        <v>0</v>
      </c>
    </row>
    <row r="611" spans="1:12" hidden="1" x14ac:dyDescent="0.25">
      <c r="A611" s="7">
        <v>610</v>
      </c>
      <c r="B611" s="152" t="s">
        <v>1587</v>
      </c>
      <c r="C611" s="153" t="s">
        <v>3603</v>
      </c>
      <c r="D611" s="153" t="s">
        <v>3604</v>
      </c>
      <c r="E611" s="153" t="s">
        <v>2086</v>
      </c>
      <c r="F611" s="6"/>
      <c r="G611" s="6"/>
      <c r="H611" s="85">
        <v>4000</v>
      </c>
      <c r="I611" s="103">
        <f>IFERROR(VLOOKUP(B611,'July 2026-Recived'!$B$2:$H$1300,7,0),0)</f>
        <v>5000</v>
      </c>
      <c r="J611" s="103">
        <f>IFERROR(VLOOKUP(B611,'July 2026- Dispatch'!$B$2:$H$1300,7,0),0)</f>
        <v>5</v>
      </c>
      <c r="K611" s="61">
        <f t="shared" si="9"/>
        <v>8995</v>
      </c>
      <c r="L611" s="123">
        <v>0</v>
      </c>
    </row>
    <row r="612" spans="1:12" hidden="1" x14ac:dyDescent="0.25">
      <c r="A612" s="7">
        <v>611</v>
      </c>
      <c r="B612" s="152" t="s">
        <v>3605</v>
      </c>
      <c r="C612" s="153" t="s">
        <v>3606</v>
      </c>
      <c r="D612" s="153" t="s">
        <v>3607</v>
      </c>
      <c r="E612" s="153" t="s">
        <v>2086</v>
      </c>
      <c r="F612" s="6"/>
      <c r="G612" s="6"/>
      <c r="H612" s="85">
        <v>26000</v>
      </c>
      <c r="I612" s="103">
        <f>IFERROR(VLOOKUP(B612,'July 2026-Recived'!$B$2:$H$1300,7,0),0)</f>
        <v>0</v>
      </c>
      <c r="J612" s="103">
        <f>IFERROR(VLOOKUP(B612,'July 2026- Dispatch'!$B$2:$H$1300,7,0),0)</f>
        <v>1000</v>
      </c>
      <c r="K612" s="61">
        <f t="shared" si="9"/>
        <v>25000</v>
      </c>
      <c r="L612" s="123">
        <v>0</v>
      </c>
    </row>
    <row r="613" spans="1:12" hidden="1" x14ac:dyDescent="0.25">
      <c r="A613" s="7">
        <v>612</v>
      </c>
      <c r="B613" s="152" t="s">
        <v>3608</v>
      </c>
      <c r="C613" s="153" t="s">
        <v>3609</v>
      </c>
      <c r="D613" s="153" t="s">
        <v>3610</v>
      </c>
      <c r="E613" s="153" t="s">
        <v>2086</v>
      </c>
      <c r="F613" s="6"/>
      <c r="G613" s="6"/>
      <c r="H613" s="85">
        <v>81000</v>
      </c>
      <c r="I613" s="103">
        <f>IFERROR(VLOOKUP(B613,'July 2026-Recived'!$B$2:$H$1300,7,0),0)</f>
        <v>0</v>
      </c>
      <c r="J613" s="103">
        <f>IFERROR(VLOOKUP(B613,'July 2026- Dispatch'!$B$2:$H$1300,7,0),0)</f>
        <v>0</v>
      </c>
      <c r="K613" s="61">
        <f t="shared" si="9"/>
        <v>81000</v>
      </c>
      <c r="L613" s="123">
        <v>0</v>
      </c>
    </row>
    <row r="614" spans="1:12" hidden="1" x14ac:dyDescent="0.25">
      <c r="A614" s="7">
        <v>613</v>
      </c>
      <c r="B614" s="152" t="s">
        <v>3611</v>
      </c>
      <c r="C614" s="153" t="s">
        <v>3612</v>
      </c>
      <c r="D614" s="153" t="s">
        <v>3613</v>
      </c>
      <c r="E614" s="153" t="s">
        <v>2086</v>
      </c>
      <c r="F614" s="6"/>
      <c r="G614" s="6"/>
      <c r="H614" s="85">
        <v>500</v>
      </c>
      <c r="I614" s="103">
        <f>IFERROR(VLOOKUP(B614,'July 2026-Recived'!$B$2:$H$1300,7,0),0)</f>
        <v>0</v>
      </c>
      <c r="J614" s="103">
        <f>IFERROR(VLOOKUP(B614,'July 2026- Dispatch'!$B$2:$H$1300,7,0),0)</f>
        <v>0</v>
      </c>
      <c r="K614" s="61">
        <f t="shared" si="9"/>
        <v>500</v>
      </c>
      <c r="L614" s="123">
        <v>0</v>
      </c>
    </row>
    <row r="615" spans="1:12" hidden="1" x14ac:dyDescent="0.25">
      <c r="A615" s="7">
        <v>614</v>
      </c>
      <c r="B615" s="152" t="s">
        <v>3614</v>
      </c>
      <c r="C615" s="153" t="s">
        <v>3615</v>
      </c>
      <c r="D615" s="153" t="s">
        <v>3616</v>
      </c>
      <c r="E615" s="153" t="s">
        <v>2086</v>
      </c>
      <c r="F615" s="6"/>
      <c r="G615" s="6"/>
      <c r="H615" s="85">
        <v>6500</v>
      </c>
      <c r="I615" s="103">
        <f>IFERROR(VLOOKUP(B615,'July 2026-Recived'!$B$2:$H$1300,7,0),0)</f>
        <v>0</v>
      </c>
      <c r="J615" s="103">
        <f>IFERROR(VLOOKUP(B615,'July 2026- Dispatch'!$B$2:$H$1300,7,0),0)</f>
        <v>0</v>
      </c>
      <c r="K615" s="61">
        <f t="shared" si="9"/>
        <v>6500</v>
      </c>
      <c r="L615" s="123">
        <v>0</v>
      </c>
    </row>
    <row r="616" spans="1:12" hidden="1" x14ac:dyDescent="0.25">
      <c r="A616" s="7">
        <v>615</v>
      </c>
      <c r="B616" s="152" t="s">
        <v>3617</v>
      </c>
      <c r="C616" s="153" t="s">
        <v>3618</v>
      </c>
      <c r="D616" s="153" t="s">
        <v>3619</v>
      </c>
      <c r="E616" s="153" t="s">
        <v>2083</v>
      </c>
      <c r="F616" s="6"/>
      <c r="G616" s="6"/>
      <c r="H616" s="85">
        <v>0</v>
      </c>
      <c r="I616" s="103">
        <f>IFERROR(VLOOKUP(B616,'July 2026-Recived'!$B$2:$H$1300,7,0),0)</f>
        <v>0</v>
      </c>
      <c r="J616" s="103">
        <f>IFERROR(VLOOKUP(B616,'July 2026- Dispatch'!$B$2:$H$1300,7,0),0)</f>
        <v>0</v>
      </c>
      <c r="K616" s="61">
        <f t="shared" si="9"/>
        <v>0</v>
      </c>
      <c r="L616" s="123">
        <v>0</v>
      </c>
    </row>
    <row r="617" spans="1:12" hidden="1" x14ac:dyDescent="0.25">
      <c r="A617" s="7">
        <v>616</v>
      </c>
      <c r="B617" s="152" t="s">
        <v>3620</v>
      </c>
      <c r="C617" s="153" t="s">
        <v>3621</v>
      </c>
      <c r="D617" s="153" t="s">
        <v>3622</v>
      </c>
      <c r="E617" s="153" t="s">
        <v>2083</v>
      </c>
      <c r="F617" s="6"/>
      <c r="G617" s="6"/>
      <c r="H617" s="85">
        <v>0</v>
      </c>
      <c r="I617" s="103">
        <f>IFERROR(VLOOKUP(B617,'July 2026-Recived'!$B$2:$H$1300,7,0),0)</f>
        <v>0</v>
      </c>
      <c r="J617" s="103">
        <f>IFERROR(VLOOKUP(B617,'July 2026- Dispatch'!$B$2:$H$1300,7,0),0)</f>
        <v>0</v>
      </c>
      <c r="K617" s="61">
        <f t="shared" si="9"/>
        <v>0</v>
      </c>
      <c r="L617" s="123">
        <v>0</v>
      </c>
    </row>
    <row r="618" spans="1:12" hidden="1" x14ac:dyDescent="0.25">
      <c r="A618" s="7">
        <v>617</v>
      </c>
      <c r="B618" s="152" t="s">
        <v>3623</v>
      </c>
      <c r="C618" s="153" t="s">
        <v>3624</v>
      </c>
      <c r="D618" s="153" t="s">
        <v>3625</v>
      </c>
      <c r="E618" s="153" t="s">
        <v>2083</v>
      </c>
      <c r="F618" s="6"/>
      <c r="G618" s="6"/>
      <c r="H618" s="85">
        <v>0</v>
      </c>
      <c r="I618" s="103">
        <f>IFERROR(VLOOKUP(B618,'July 2026-Recived'!$B$2:$H$1300,7,0),0)</f>
        <v>0</v>
      </c>
      <c r="J618" s="103">
        <f>IFERROR(VLOOKUP(B618,'July 2026- Dispatch'!$B$2:$H$1300,7,0),0)</f>
        <v>0</v>
      </c>
      <c r="K618" s="61">
        <f t="shared" si="9"/>
        <v>0</v>
      </c>
      <c r="L618" s="123">
        <v>0</v>
      </c>
    </row>
    <row r="619" spans="1:12" hidden="1" x14ac:dyDescent="0.25">
      <c r="A619" s="7">
        <v>618</v>
      </c>
      <c r="B619" s="155" t="s">
        <v>3626</v>
      </c>
      <c r="C619" s="156" t="s">
        <v>3627</v>
      </c>
      <c r="D619" s="156" t="s">
        <v>3628</v>
      </c>
      <c r="E619" s="153" t="s">
        <v>2083</v>
      </c>
      <c r="F619" s="6"/>
      <c r="G619" s="6"/>
      <c r="H619" s="85">
        <v>0</v>
      </c>
      <c r="I619" s="103">
        <f>IFERROR(VLOOKUP(B619,'July 2026-Recived'!$B$2:$H$1300,7,0),0)</f>
        <v>0</v>
      </c>
      <c r="J619" s="103">
        <f>IFERROR(VLOOKUP(B619,'July 2026- Dispatch'!$B$2:$H$1300,7,0),0)</f>
        <v>0</v>
      </c>
      <c r="K619" s="61">
        <f t="shared" si="9"/>
        <v>0</v>
      </c>
      <c r="L619" s="123">
        <v>0</v>
      </c>
    </row>
    <row r="620" spans="1:12" hidden="1" x14ac:dyDescent="0.25">
      <c r="A620" s="7">
        <v>619</v>
      </c>
      <c r="B620" s="152" t="s">
        <v>3629</v>
      </c>
      <c r="C620" s="153" t="s">
        <v>3630</v>
      </c>
      <c r="D620" s="153" t="s">
        <v>3631</v>
      </c>
      <c r="E620" s="153" t="s">
        <v>2083</v>
      </c>
      <c r="F620" s="6"/>
      <c r="G620" s="6"/>
      <c r="H620" s="85">
        <v>0</v>
      </c>
      <c r="I620" s="103">
        <f>IFERROR(VLOOKUP(B620,'July 2026-Recived'!$B$2:$H$1300,7,0),0)</f>
        <v>0</v>
      </c>
      <c r="J620" s="103">
        <f>IFERROR(VLOOKUP(B620,'July 2026- Dispatch'!$B$2:$H$1300,7,0),0)</f>
        <v>0</v>
      </c>
      <c r="K620" s="61">
        <f t="shared" si="9"/>
        <v>0</v>
      </c>
      <c r="L620" s="123">
        <v>0</v>
      </c>
    </row>
    <row r="621" spans="1:12" hidden="1" x14ac:dyDescent="0.25">
      <c r="A621" s="7">
        <v>620</v>
      </c>
      <c r="B621" s="152" t="s">
        <v>3632</v>
      </c>
      <c r="C621" s="153" t="s">
        <v>3633</v>
      </c>
      <c r="D621" s="153" t="s">
        <v>3634</v>
      </c>
      <c r="E621" s="153" t="s">
        <v>2083</v>
      </c>
      <c r="F621" s="6"/>
      <c r="G621" s="6"/>
      <c r="H621" s="85">
        <v>0</v>
      </c>
      <c r="I621" s="103">
        <f>IFERROR(VLOOKUP(B621,'July 2026-Recived'!$B$2:$H$1300,7,0),0)</f>
        <v>0</v>
      </c>
      <c r="J621" s="103">
        <f>IFERROR(VLOOKUP(B621,'July 2026- Dispatch'!$B$2:$H$1300,7,0),0)</f>
        <v>0</v>
      </c>
      <c r="K621" s="61">
        <f t="shared" si="9"/>
        <v>0</v>
      </c>
      <c r="L621" s="123">
        <v>0</v>
      </c>
    </row>
    <row r="622" spans="1:12" hidden="1" x14ac:dyDescent="0.25">
      <c r="A622" s="7">
        <v>621</v>
      </c>
      <c r="B622" s="152" t="s">
        <v>1234</v>
      </c>
      <c r="C622" s="153" t="s">
        <v>3635</v>
      </c>
      <c r="D622" s="153" t="s">
        <v>3636</v>
      </c>
      <c r="E622" s="153" t="s">
        <v>2086</v>
      </c>
      <c r="F622" s="6"/>
      <c r="G622" s="6"/>
      <c r="H622" s="85">
        <v>9000</v>
      </c>
      <c r="I622" s="103">
        <f>IFERROR(VLOOKUP(B622,'July 2026-Recived'!$B$2:$H$1300,7,0),0)</f>
        <v>0</v>
      </c>
      <c r="J622" s="103">
        <f>IFERROR(VLOOKUP(B622,'July 2026- Dispatch'!$B$2:$H$1300,7,0),0)</f>
        <v>0</v>
      </c>
      <c r="K622" s="61">
        <f t="shared" si="9"/>
        <v>9000</v>
      </c>
      <c r="L622" s="123">
        <v>0</v>
      </c>
    </row>
    <row r="623" spans="1:12" hidden="1" x14ac:dyDescent="0.25">
      <c r="A623" s="7">
        <v>622</v>
      </c>
      <c r="B623" s="152" t="s">
        <v>204</v>
      </c>
      <c r="C623" s="153" t="s">
        <v>3637</v>
      </c>
      <c r="D623" s="153" t="s">
        <v>3638</v>
      </c>
      <c r="E623" s="153" t="s">
        <v>2083</v>
      </c>
      <c r="F623" s="6"/>
      <c r="G623" s="6"/>
      <c r="H623" s="85">
        <v>0</v>
      </c>
      <c r="I623" s="103">
        <f>IFERROR(VLOOKUP(B623,'July 2026-Recived'!$B$2:$H$1300,7,0),0)</f>
        <v>0</v>
      </c>
      <c r="J623" s="103">
        <f>IFERROR(VLOOKUP(B623,'July 2026- Dispatch'!$B$2:$H$1300,7,0),0)</f>
        <v>0</v>
      </c>
      <c r="K623" s="61">
        <f t="shared" si="9"/>
        <v>0</v>
      </c>
      <c r="L623" s="123">
        <v>0</v>
      </c>
    </row>
    <row r="624" spans="1:12" hidden="1" x14ac:dyDescent="0.25">
      <c r="A624" s="7">
        <v>623</v>
      </c>
      <c r="B624" s="152" t="s">
        <v>202</v>
      </c>
      <c r="C624" s="153" t="s">
        <v>3639</v>
      </c>
      <c r="D624" s="153" t="s">
        <v>3640</v>
      </c>
      <c r="E624" s="153" t="s">
        <v>2086</v>
      </c>
      <c r="F624" s="6"/>
      <c r="G624" s="6"/>
      <c r="H624" s="85">
        <v>13000</v>
      </c>
      <c r="I624" s="103">
        <f>IFERROR(VLOOKUP(B624,'July 2026-Recived'!$B$2:$H$1300,7,0),0)</f>
        <v>0</v>
      </c>
      <c r="J624" s="103">
        <f>IFERROR(VLOOKUP(B624,'July 2026- Dispatch'!$B$2:$H$1300,7,0),0)</f>
        <v>0</v>
      </c>
      <c r="K624" s="61">
        <f t="shared" si="9"/>
        <v>13000</v>
      </c>
      <c r="L624" s="123">
        <v>0</v>
      </c>
    </row>
    <row r="625" spans="1:12" hidden="1" x14ac:dyDescent="0.25">
      <c r="A625" s="7">
        <v>624</v>
      </c>
      <c r="B625" s="152" t="s">
        <v>723</v>
      </c>
      <c r="C625" s="153" t="s">
        <v>3641</v>
      </c>
      <c r="D625" s="153" t="s">
        <v>3642</v>
      </c>
      <c r="E625" s="153" t="s">
        <v>49</v>
      </c>
      <c r="F625" s="6"/>
      <c r="G625" s="6"/>
      <c r="H625" s="85">
        <v>5000</v>
      </c>
      <c r="I625" s="103">
        <f>IFERROR(VLOOKUP(B625,'July 2026-Recived'!$B$2:$H$1300,7,0),0)</f>
        <v>0</v>
      </c>
      <c r="J625" s="103">
        <f>IFERROR(VLOOKUP(B625,'July 2026- Dispatch'!$B$2:$H$1300,7,0),0)</f>
        <v>5</v>
      </c>
      <c r="K625" s="61">
        <f t="shared" si="9"/>
        <v>4995</v>
      </c>
      <c r="L625" s="123">
        <v>0</v>
      </c>
    </row>
    <row r="626" spans="1:12" hidden="1" x14ac:dyDescent="0.25">
      <c r="A626" s="7">
        <v>625</v>
      </c>
      <c r="B626" s="152" t="s">
        <v>3643</v>
      </c>
      <c r="C626" s="153" t="s">
        <v>3644</v>
      </c>
      <c r="D626" s="153" t="s">
        <v>3645</v>
      </c>
      <c r="E626" s="153" t="s">
        <v>2083</v>
      </c>
      <c r="F626" s="6"/>
      <c r="G626" s="6"/>
      <c r="H626" s="85">
        <v>0</v>
      </c>
      <c r="I626" s="103">
        <f>IFERROR(VLOOKUP(B626,'July 2026-Recived'!$B$2:$H$1300,7,0),0)</f>
        <v>0</v>
      </c>
      <c r="J626" s="103">
        <f>IFERROR(VLOOKUP(B626,'July 2026- Dispatch'!$B$2:$H$1300,7,0),0)</f>
        <v>0</v>
      </c>
      <c r="K626" s="61">
        <f t="shared" si="9"/>
        <v>0</v>
      </c>
      <c r="L626" s="123">
        <v>0</v>
      </c>
    </row>
    <row r="627" spans="1:12" hidden="1" x14ac:dyDescent="0.25">
      <c r="A627" s="7">
        <v>626</v>
      </c>
      <c r="B627" s="152" t="s">
        <v>3646</v>
      </c>
      <c r="C627" s="153" t="s">
        <v>3647</v>
      </c>
      <c r="D627" s="153" t="s">
        <v>3648</v>
      </c>
      <c r="E627" s="153" t="s">
        <v>2083</v>
      </c>
      <c r="F627" s="6"/>
      <c r="G627" s="6"/>
      <c r="H627" s="85">
        <v>0</v>
      </c>
      <c r="I627" s="103">
        <f>IFERROR(VLOOKUP(B627,'July 2026-Recived'!$B$2:$H$1300,7,0),0)</f>
        <v>0</v>
      </c>
      <c r="J627" s="103">
        <f>IFERROR(VLOOKUP(B627,'July 2026- Dispatch'!$B$2:$H$1300,7,0),0)</f>
        <v>0</v>
      </c>
      <c r="K627" s="61">
        <f t="shared" si="9"/>
        <v>0</v>
      </c>
      <c r="L627" s="123">
        <v>0</v>
      </c>
    </row>
    <row r="628" spans="1:12" hidden="1" x14ac:dyDescent="0.25">
      <c r="A628" s="7">
        <v>627</v>
      </c>
      <c r="B628" s="152" t="s">
        <v>3649</v>
      </c>
      <c r="C628" s="153" t="s">
        <v>3650</v>
      </c>
      <c r="D628" s="153" t="s">
        <v>3651</v>
      </c>
      <c r="E628" s="153" t="s">
        <v>2083</v>
      </c>
      <c r="F628" s="6"/>
      <c r="G628" s="6"/>
      <c r="H628" s="85">
        <v>0</v>
      </c>
      <c r="I628" s="103">
        <f>IFERROR(VLOOKUP(B628,'July 2026-Recived'!$B$2:$H$1300,7,0),0)</f>
        <v>0</v>
      </c>
      <c r="J628" s="103">
        <f>IFERROR(VLOOKUP(B628,'July 2026- Dispatch'!$B$2:$H$1300,7,0),0)</f>
        <v>0</v>
      </c>
      <c r="K628" s="61">
        <f t="shared" si="9"/>
        <v>0</v>
      </c>
      <c r="L628" s="123">
        <v>0</v>
      </c>
    </row>
    <row r="629" spans="1:12" hidden="1" x14ac:dyDescent="0.25">
      <c r="A629" s="7">
        <v>628</v>
      </c>
      <c r="B629" s="152" t="s">
        <v>1944</v>
      </c>
      <c r="C629" s="153" t="s">
        <v>3652</v>
      </c>
      <c r="D629" s="153" t="s">
        <v>3653</v>
      </c>
      <c r="E629" s="153" t="s">
        <v>2083</v>
      </c>
      <c r="F629" s="6"/>
      <c r="G629" s="6"/>
      <c r="H629" s="85">
        <v>0</v>
      </c>
      <c r="I629" s="103">
        <f>IFERROR(VLOOKUP(B629,'July 2026-Recived'!$B$2:$H$1300,7,0),0)</f>
        <v>0</v>
      </c>
      <c r="J629" s="103">
        <f>IFERROR(VLOOKUP(B629,'July 2026- Dispatch'!$B$2:$H$1300,7,0),0)</f>
        <v>0</v>
      </c>
      <c r="K629" s="61">
        <f t="shared" si="9"/>
        <v>0</v>
      </c>
      <c r="L629" s="123">
        <v>0</v>
      </c>
    </row>
    <row r="630" spans="1:12" hidden="1" x14ac:dyDescent="0.25">
      <c r="A630" s="7">
        <v>629</v>
      </c>
      <c r="B630" s="152" t="s">
        <v>228</v>
      </c>
      <c r="C630" s="153" t="s">
        <v>3654</v>
      </c>
      <c r="D630" s="153" t="s">
        <v>3655</v>
      </c>
      <c r="E630" s="153" t="s">
        <v>2086</v>
      </c>
      <c r="F630" s="6"/>
      <c r="G630" s="6"/>
      <c r="H630" s="85">
        <v>15000</v>
      </c>
      <c r="I630" s="103">
        <f>IFERROR(VLOOKUP(B630,'July 2026-Recived'!$B$2:$H$1300,7,0),0)</f>
        <v>0</v>
      </c>
      <c r="J630" s="103">
        <f>IFERROR(VLOOKUP(B630,'July 2026- Dispatch'!$B$2:$H$1300,7,0),0)</f>
        <v>0</v>
      </c>
      <c r="K630" s="61">
        <f t="shared" si="9"/>
        <v>15000</v>
      </c>
      <c r="L630" s="123">
        <v>0</v>
      </c>
    </row>
    <row r="631" spans="1:12" hidden="1" x14ac:dyDescent="0.25">
      <c r="A631" s="7">
        <v>630</v>
      </c>
      <c r="B631" s="152" t="s">
        <v>226</v>
      </c>
      <c r="C631" s="153" t="s">
        <v>3656</v>
      </c>
      <c r="D631" s="153" t="s">
        <v>3657</v>
      </c>
      <c r="E631" s="153" t="s">
        <v>2086</v>
      </c>
      <c r="F631" s="6"/>
      <c r="G631" s="6"/>
      <c r="H631" s="85">
        <v>12500</v>
      </c>
      <c r="I631" s="103">
        <f>IFERROR(VLOOKUP(B631,'July 2026-Recived'!$B$2:$H$1300,7,0),0)</f>
        <v>0</v>
      </c>
      <c r="J631" s="103">
        <f>IFERROR(VLOOKUP(B631,'July 2026- Dispatch'!$B$2:$H$1300,7,0),0)</f>
        <v>0</v>
      </c>
      <c r="K631" s="61">
        <f t="shared" si="9"/>
        <v>12500</v>
      </c>
      <c r="L631" s="123">
        <v>0</v>
      </c>
    </row>
    <row r="632" spans="1:12" hidden="1" x14ac:dyDescent="0.25">
      <c r="A632" s="7">
        <v>631</v>
      </c>
      <c r="B632" s="152" t="s">
        <v>3658</v>
      </c>
      <c r="C632" s="153" t="s">
        <v>3659</v>
      </c>
      <c r="D632" s="153" t="s">
        <v>3660</v>
      </c>
      <c r="E632" s="153" t="s">
        <v>2086</v>
      </c>
      <c r="F632" s="6"/>
      <c r="G632" s="6"/>
      <c r="H632" s="85">
        <v>2500</v>
      </c>
      <c r="I632" s="103">
        <f>IFERROR(VLOOKUP(B632,'July 2026-Recived'!$B$2:$H$1300,7,0),0)</f>
        <v>0</v>
      </c>
      <c r="J632" s="103">
        <f>IFERROR(VLOOKUP(B632,'July 2026- Dispatch'!$B$2:$H$1300,7,0),0)</f>
        <v>0</v>
      </c>
      <c r="K632" s="61">
        <f t="shared" si="9"/>
        <v>2500</v>
      </c>
      <c r="L632" s="123">
        <v>0</v>
      </c>
    </row>
    <row r="633" spans="1:12" hidden="1" x14ac:dyDescent="0.25">
      <c r="A633" s="7">
        <v>632</v>
      </c>
      <c r="B633" s="152" t="s">
        <v>3661</v>
      </c>
      <c r="C633" s="153" t="s">
        <v>3662</v>
      </c>
      <c r="D633" s="153" t="s">
        <v>3663</v>
      </c>
      <c r="E633" s="153" t="s">
        <v>2086</v>
      </c>
      <c r="F633" s="6"/>
      <c r="G633" s="6"/>
      <c r="H633" s="85">
        <v>1000</v>
      </c>
      <c r="I633" s="103">
        <f>IFERROR(VLOOKUP(B633,'July 2026-Recived'!$B$2:$H$1300,7,0),0)</f>
        <v>0</v>
      </c>
      <c r="J633" s="103">
        <f>IFERROR(VLOOKUP(B633,'July 2026- Dispatch'!$B$2:$H$1300,7,0),0)</f>
        <v>0</v>
      </c>
      <c r="K633" s="61">
        <f t="shared" si="9"/>
        <v>1000</v>
      </c>
      <c r="L633" s="123">
        <v>0</v>
      </c>
    </row>
    <row r="634" spans="1:12" hidden="1" x14ac:dyDescent="0.25">
      <c r="A634" s="7">
        <v>633</v>
      </c>
      <c r="B634" s="152" t="s">
        <v>1897</v>
      </c>
      <c r="C634" s="153" t="s">
        <v>3664</v>
      </c>
      <c r="D634" s="153" t="s">
        <v>1899</v>
      </c>
      <c r="E634" s="153" t="s">
        <v>2086</v>
      </c>
      <c r="F634" s="6"/>
      <c r="G634" s="6"/>
      <c r="H634" s="85">
        <v>2000</v>
      </c>
      <c r="I634" s="103">
        <f>IFERROR(VLOOKUP(B634,'July 2026-Recived'!$B$2:$H$1300,7,0),0)</f>
        <v>0</v>
      </c>
      <c r="J634" s="103">
        <f>IFERROR(VLOOKUP(B634,'July 2026- Dispatch'!$B$2:$H$1300,7,0),0)</f>
        <v>1900</v>
      </c>
      <c r="K634" s="61">
        <f t="shared" si="9"/>
        <v>100</v>
      </c>
      <c r="L634" s="123">
        <v>0</v>
      </c>
    </row>
    <row r="635" spans="1:12" hidden="1" x14ac:dyDescent="0.25">
      <c r="A635" s="7">
        <v>634</v>
      </c>
      <c r="B635" s="152" t="s">
        <v>3665</v>
      </c>
      <c r="C635" s="153" t="s">
        <v>3666</v>
      </c>
      <c r="D635" s="153" t="s">
        <v>3667</v>
      </c>
      <c r="E635" s="153" t="s">
        <v>2086</v>
      </c>
      <c r="F635" s="6"/>
      <c r="G635" s="6"/>
      <c r="H635" s="85">
        <v>1500</v>
      </c>
      <c r="I635" s="103">
        <f>IFERROR(VLOOKUP(B635,'July 2026-Recived'!$B$2:$H$1300,7,0),0)</f>
        <v>0</v>
      </c>
      <c r="J635" s="103">
        <f>IFERROR(VLOOKUP(B635,'July 2026- Dispatch'!$B$2:$H$1300,7,0),0)</f>
        <v>300</v>
      </c>
      <c r="K635" s="61">
        <f t="shared" si="9"/>
        <v>1200</v>
      </c>
      <c r="L635" s="123">
        <v>0</v>
      </c>
    </row>
    <row r="636" spans="1:12" hidden="1" x14ac:dyDescent="0.25">
      <c r="A636" s="7">
        <v>635</v>
      </c>
      <c r="B636" s="152" t="s">
        <v>3668</v>
      </c>
      <c r="C636" s="153" t="s">
        <v>3669</v>
      </c>
      <c r="D636" s="153" t="s">
        <v>3670</v>
      </c>
      <c r="E636" s="153" t="s">
        <v>2083</v>
      </c>
      <c r="F636" s="6"/>
      <c r="G636" s="6"/>
      <c r="H636" s="85">
        <v>0</v>
      </c>
      <c r="I636" s="103">
        <f>IFERROR(VLOOKUP(B636,'July 2026-Recived'!$B$2:$H$1300,7,0),0)</f>
        <v>0</v>
      </c>
      <c r="J636" s="103">
        <f>IFERROR(VLOOKUP(B636,'July 2026- Dispatch'!$B$2:$H$1300,7,0),0)</f>
        <v>0</v>
      </c>
      <c r="K636" s="61">
        <f t="shared" si="9"/>
        <v>0</v>
      </c>
      <c r="L636" s="123">
        <v>0</v>
      </c>
    </row>
    <row r="637" spans="1:12" hidden="1" x14ac:dyDescent="0.25">
      <c r="A637" s="7">
        <v>636</v>
      </c>
      <c r="B637" s="152" t="s">
        <v>3671</v>
      </c>
      <c r="C637" s="153" t="s">
        <v>3672</v>
      </c>
      <c r="D637" s="153" t="s">
        <v>3673</v>
      </c>
      <c r="E637" s="153" t="s">
        <v>2083</v>
      </c>
      <c r="F637" s="6"/>
      <c r="G637" s="6"/>
      <c r="H637" s="85">
        <v>0</v>
      </c>
      <c r="I637" s="103">
        <f>IFERROR(VLOOKUP(B637,'July 2026-Recived'!$B$2:$H$1300,7,0),0)</f>
        <v>7000</v>
      </c>
      <c r="J637" s="103">
        <f>IFERROR(VLOOKUP(B637,'July 2026- Dispatch'!$B$2:$H$1300,7,0),0)</f>
        <v>0</v>
      </c>
      <c r="K637" s="61">
        <f t="shared" si="9"/>
        <v>7000</v>
      </c>
      <c r="L637" s="123">
        <v>0</v>
      </c>
    </row>
    <row r="638" spans="1:12" hidden="1" x14ac:dyDescent="0.25">
      <c r="A638" s="7">
        <v>637</v>
      </c>
      <c r="B638" s="152" t="s">
        <v>3674</v>
      </c>
      <c r="C638" s="153" t="s">
        <v>3675</v>
      </c>
      <c r="D638" s="153" t="s">
        <v>3676</v>
      </c>
      <c r="E638" s="153" t="s">
        <v>2083</v>
      </c>
      <c r="F638" s="6"/>
      <c r="G638" s="6"/>
      <c r="H638" s="85">
        <v>0</v>
      </c>
      <c r="I638" s="103">
        <f>IFERROR(VLOOKUP(B638,'July 2026-Recived'!$B$2:$H$1300,7,0),0)</f>
        <v>6000</v>
      </c>
      <c r="J638" s="103">
        <f>IFERROR(VLOOKUP(B638,'July 2026- Dispatch'!$B$2:$H$1300,7,0),0)</f>
        <v>0</v>
      </c>
      <c r="K638" s="61">
        <f t="shared" si="9"/>
        <v>6000</v>
      </c>
      <c r="L638" s="123">
        <v>0</v>
      </c>
    </row>
    <row r="639" spans="1:12" hidden="1" x14ac:dyDescent="0.25">
      <c r="A639" s="7">
        <v>638</v>
      </c>
      <c r="B639" s="152" t="s">
        <v>3677</v>
      </c>
      <c r="C639" s="153" t="s">
        <v>3678</v>
      </c>
      <c r="D639" s="153" t="s">
        <v>3679</v>
      </c>
      <c r="E639" s="153" t="s">
        <v>2083</v>
      </c>
      <c r="F639" s="6"/>
      <c r="G639" s="6"/>
      <c r="H639" s="85">
        <v>0</v>
      </c>
      <c r="I639" s="103">
        <f>IFERROR(VLOOKUP(B639,'July 2026-Recived'!$B$2:$H$1300,7,0),0)</f>
        <v>5000</v>
      </c>
      <c r="J639" s="103">
        <f>IFERROR(VLOOKUP(B639,'July 2026- Dispatch'!$B$2:$H$1300,7,0),0)</f>
        <v>0</v>
      </c>
      <c r="K639" s="61">
        <f t="shared" si="9"/>
        <v>5000</v>
      </c>
      <c r="L639" s="123">
        <v>0</v>
      </c>
    </row>
    <row r="640" spans="1:12" hidden="1" x14ac:dyDescent="0.25">
      <c r="A640" s="7">
        <v>639</v>
      </c>
      <c r="B640" s="152" t="s">
        <v>3680</v>
      </c>
      <c r="C640" s="153" t="s">
        <v>3681</v>
      </c>
      <c r="D640" s="153" t="s">
        <v>3682</v>
      </c>
      <c r="E640" s="153" t="s">
        <v>2083</v>
      </c>
      <c r="F640" s="6"/>
      <c r="G640" s="6"/>
      <c r="H640" s="85">
        <v>0</v>
      </c>
      <c r="I640" s="103">
        <f>IFERROR(VLOOKUP(B640,'July 2026-Recived'!$B$2:$H$1300,7,0),0)</f>
        <v>6500</v>
      </c>
      <c r="J640" s="103">
        <f>IFERROR(VLOOKUP(B640,'July 2026- Dispatch'!$B$2:$H$1300,7,0),0)</f>
        <v>0</v>
      </c>
      <c r="K640" s="61">
        <f t="shared" si="9"/>
        <v>6500</v>
      </c>
      <c r="L640" s="123">
        <v>0</v>
      </c>
    </row>
    <row r="641" spans="1:12" hidden="1" x14ac:dyDescent="0.25">
      <c r="A641" s="7">
        <v>640</v>
      </c>
      <c r="B641" s="152" t="s">
        <v>3683</v>
      </c>
      <c r="C641" s="153" t="s">
        <v>3684</v>
      </c>
      <c r="D641" s="153" t="s">
        <v>3685</v>
      </c>
      <c r="E641" s="153" t="s">
        <v>2086</v>
      </c>
      <c r="F641" s="6"/>
      <c r="G641" s="6"/>
      <c r="H641" s="85">
        <v>10000</v>
      </c>
      <c r="I641" s="103">
        <f>IFERROR(VLOOKUP(B641,'July 2026-Recived'!$B$2:$H$1300,7,0),0)</f>
        <v>0</v>
      </c>
      <c r="J641" s="103">
        <f>IFERROR(VLOOKUP(B641,'July 2026- Dispatch'!$B$2:$H$1300,7,0),0)</f>
        <v>0</v>
      </c>
      <c r="K641" s="61">
        <f t="shared" si="9"/>
        <v>10000</v>
      </c>
      <c r="L641" s="123">
        <v>0</v>
      </c>
    </row>
    <row r="642" spans="1:12" hidden="1" x14ac:dyDescent="0.25">
      <c r="A642" s="7">
        <v>641</v>
      </c>
      <c r="B642" s="152" t="s">
        <v>1739</v>
      </c>
      <c r="C642" s="153" t="s">
        <v>3686</v>
      </c>
      <c r="D642" s="153" t="s">
        <v>3687</v>
      </c>
      <c r="E642" s="153" t="s">
        <v>2083</v>
      </c>
      <c r="F642" s="6"/>
      <c r="G642" s="6"/>
      <c r="H642" s="85">
        <v>0</v>
      </c>
      <c r="I642" s="103">
        <f>IFERROR(VLOOKUP(B642,'July 2026-Recived'!$B$2:$H$1300,7,0),0)</f>
        <v>0</v>
      </c>
      <c r="J642" s="103">
        <f>IFERROR(VLOOKUP(B642,'July 2026- Dispatch'!$B$2:$H$1300,7,0),0)</f>
        <v>0</v>
      </c>
      <c r="K642" s="61">
        <f t="shared" ref="K642:K705" si="10">H642+I642-J642</f>
        <v>0</v>
      </c>
      <c r="L642" s="123">
        <v>0</v>
      </c>
    </row>
    <row r="643" spans="1:12" hidden="1" x14ac:dyDescent="0.25">
      <c r="A643" s="7">
        <v>642</v>
      </c>
      <c r="B643" s="152" t="s">
        <v>3688</v>
      </c>
      <c r="C643" s="153" t="s">
        <v>3689</v>
      </c>
      <c r="D643" s="153" t="s">
        <v>3690</v>
      </c>
      <c r="E643" s="153" t="s">
        <v>2083</v>
      </c>
      <c r="F643" s="6"/>
      <c r="G643" s="6"/>
      <c r="H643" s="85">
        <v>0</v>
      </c>
      <c r="I643" s="103">
        <f>IFERROR(VLOOKUP(B643,'July 2026-Recived'!$B$2:$H$1300,7,0),0)</f>
        <v>0</v>
      </c>
      <c r="J643" s="103">
        <f>IFERROR(VLOOKUP(B643,'July 2026- Dispatch'!$B$2:$H$1300,7,0),0)</f>
        <v>0</v>
      </c>
      <c r="K643" s="61">
        <f t="shared" si="10"/>
        <v>0</v>
      </c>
      <c r="L643" s="123">
        <v>0</v>
      </c>
    </row>
    <row r="644" spans="1:12" hidden="1" x14ac:dyDescent="0.25">
      <c r="A644" s="7">
        <v>643</v>
      </c>
      <c r="B644" s="152" t="s">
        <v>3691</v>
      </c>
      <c r="C644" s="153" t="s">
        <v>3692</v>
      </c>
      <c r="D644" s="153" t="s">
        <v>3693</v>
      </c>
      <c r="E644" s="153" t="s">
        <v>2083</v>
      </c>
      <c r="F644" s="6"/>
      <c r="G644" s="6"/>
      <c r="H644" s="85">
        <v>0</v>
      </c>
      <c r="I644" s="103">
        <f>IFERROR(VLOOKUP(B644,'July 2026-Recived'!$B$2:$H$1300,7,0),0)</f>
        <v>0</v>
      </c>
      <c r="J644" s="103">
        <f>IFERROR(VLOOKUP(B644,'July 2026- Dispatch'!$B$2:$H$1300,7,0),0)</f>
        <v>0</v>
      </c>
      <c r="K644" s="61">
        <f t="shared" si="10"/>
        <v>0</v>
      </c>
      <c r="L644" s="123">
        <v>0</v>
      </c>
    </row>
    <row r="645" spans="1:12" hidden="1" x14ac:dyDescent="0.25">
      <c r="A645" s="7">
        <v>644</v>
      </c>
      <c r="B645" s="152" t="s">
        <v>3694</v>
      </c>
      <c r="C645" s="153" t="s">
        <v>3695</v>
      </c>
      <c r="D645" s="153" t="s">
        <v>3696</v>
      </c>
      <c r="E645" s="153" t="s">
        <v>2086</v>
      </c>
      <c r="F645" s="6"/>
      <c r="G645" s="6"/>
      <c r="H645" s="85">
        <v>25000</v>
      </c>
      <c r="I645" s="103">
        <f>IFERROR(VLOOKUP(B645,'July 2026-Recived'!$B$2:$H$1300,7,0),0)</f>
        <v>0</v>
      </c>
      <c r="J645" s="103">
        <f>IFERROR(VLOOKUP(B645,'July 2026- Dispatch'!$B$2:$H$1300,7,0),0)</f>
        <v>0</v>
      </c>
      <c r="K645" s="61">
        <f t="shared" si="10"/>
        <v>25000</v>
      </c>
      <c r="L645" s="123">
        <v>0</v>
      </c>
    </row>
    <row r="646" spans="1:12" hidden="1" x14ac:dyDescent="0.25">
      <c r="A646" s="7">
        <v>645</v>
      </c>
      <c r="B646" s="152" t="s">
        <v>3697</v>
      </c>
      <c r="C646" s="153" t="s">
        <v>3698</v>
      </c>
      <c r="D646" s="153" t="s">
        <v>3699</v>
      </c>
      <c r="E646" s="153" t="s">
        <v>2086</v>
      </c>
      <c r="F646" s="6"/>
      <c r="G646" s="6"/>
      <c r="H646" s="85">
        <v>25000</v>
      </c>
      <c r="I646" s="103">
        <f>IFERROR(VLOOKUP(B646,'July 2026-Recived'!$B$2:$H$1300,7,0),0)</f>
        <v>0</v>
      </c>
      <c r="J646" s="103">
        <f>IFERROR(VLOOKUP(B646,'July 2026- Dispatch'!$B$2:$H$1300,7,0),0)</f>
        <v>0</v>
      </c>
      <c r="K646" s="61">
        <f t="shared" si="10"/>
        <v>25000</v>
      </c>
      <c r="L646" s="123">
        <v>0</v>
      </c>
    </row>
    <row r="647" spans="1:12" hidden="1" x14ac:dyDescent="0.25">
      <c r="A647" s="7">
        <v>646</v>
      </c>
      <c r="B647" s="152" t="s">
        <v>3700</v>
      </c>
      <c r="C647" s="153" t="s">
        <v>3701</v>
      </c>
      <c r="D647" s="153" t="s">
        <v>3702</v>
      </c>
      <c r="E647" s="153" t="s">
        <v>2083</v>
      </c>
      <c r="F647" s="6"/>
      <c r="G647" s="6"/>
      <c r="H647" s="85">
        <v>0</v>
      </c>
      <c r="I647" s="103">
        <f>IFERROR(VLOOKUP(B647,'July 2026-Recived'!$B$2:$H$1300,7,0),0)</f>
        <v>0</v>
      </c>
      <c r="J647" s="103">
        <f>IFERROR(VLOOKUP(B647,'July 2026- Dispatch'!$B$2:$H$1300,7,0),0)</f>
        <v>0</v>
      </c>
      <c r="K647" s="61">
        <f t="shared" si="10"/>
        <v>0</v>
      </c>
      <c r="L647" s="123">
        <v>0</v>
      </c>
    </row>
    <row r="648" spans="1:12" hidden="1" x14ac:dyDescent="0.25">
      <c r="A648" s="7">
        <v>647</v>
      </c>
      <c r="B648" s="152" t="s">
        <v>3703</v>
      </c>
      <c r="C648" s="153" t="s">
        <v>3704</v>
      </c>
      <c r="D648" s="153" t="s">
        <v>3705</v>
      </c>
      <c r="E648" s="153" t="s">
        <v>2083</v>
      </c>
      <c r="F648" s="6"/>
      <c r="G648" s="6"/>
      <c r="H648" s="85">
        <v>0</v>
      </c>
      <c r="I648" s="103">
        <f>IFERROR(VLOOKUP(B648,'July 2026-Recived'!$B$2:$H$1300,7,0),0)</f>
        <v>0</v>
      </c>
      <c r="J648" s="103">
        <f>IFERROR(VLOOKUP(B648,'July 2026- Dispatch'!$B$2:$H$1300,7,0),0)</f>
        <v>0</v>
      </c>
      <c r="K648" s="61">
        <f t="shared" si="10"/>
        <v>0</v>
      </c>
      <c r="L648" s="123">
        <v>0</v>
      </c>
    </row>
    <row r="649" spans="1:12" hidden="1" x14ac:dyDescent="0.25">
      <c r="A649" s="7">
        <v>648</v>
      </c>
      <c r="B649" s="152" t="s">
        <v>2067</v>
      </c>
      <c r="C649" s="153" t="s">
        <v>3706</v>
      </c>
      <c r="D649" s="153" t="s">
        <v>3707</v>
      </c>
      <c r="E649" s="153" t="s">
        <v>2086</v>
      </c>
      <c r="F649" s="6"/>
      <c r="G649" s="6"/>
      <c r="H649" s="85">
        <v>9000</v>
      </c>
      <c r="I649" s="103">
        <f>IFERROR(VLOOKUP(B649,'July 2026-Recived'!$B$2:$H$1300,7,0),0)</f>
        <v>0</v>
      </c>
      <c r="J649" s="103">
        <f>IFERROR(VLOOKUP(B649,'July 2026- Dispatch'!$B$2:$H$1300,7,0),0)</f>
        <v>9000</v>
      </c>
      <c r="K649" s="61">
        <f t="shared" si="10"/>
        <v>0</v>
      </c>
      <c r="L649" s="123">
        <v>0</v>
      </c>
    </row>
    <row r="650" spans="1:12" hidden="1" x14ac:dyDescent="0.25">
      <c r="A650" s="7">
        <v>649</v>
      </c>
      <c r="B650" s="152" t="s">
        <v>3708</v>
      </c>
      <c r="C650" s="153" t="s">
        <v>3709</v>
      </c>
      <c r="D650" s="153" t="s">
        <v>3710</v>
      </c>
      <c r="E650" s="153" t="s">
        <v>2086</v>
      </c>
      <c r="F650" s="6"/>
      <c r="G650" s="6"/>
      <c r="H650" s="85">
        <v>2500</v>
      </c>
      <c r="I650" s="103">
        <f>IFERROR(VLOOKUP(B650,'July 2026-Recived'!$B$2:$H$1300,7,0),0)</f>
        <v>1700</v>
      </c>
      <c r="J650" s="103">
        <f>IFERROR(VLOOKUP(B650,'July 2026- Dispatch'!$B$2:$H$1300,7,0),0)</f>
        <v>0</v>
      </c>
      <c r="K650" s="61">
        <f t="shared" si="10"/>
        <v>4200</v>
      </c>
      <c r="L650" s="123">
        <v>0</v>
      </c>
    </row>
    <row r="651" spans="1:12" hidden="1" x14ac:dyDescent="0.25">
      <c r="A651" s="7">
        <v>650</v>
      </c>
      <c r="B651" s="152" t="s">
        <v>1684</v>
      </c>
      <c r="C651" s="153" t="s">
        <v>3711</v>
      </c>
      <c r="D651" s="153" t="s">
        <v>3712</v>
      </c>
      <c r="E651" s="153" t="s">
        <v>2086</v>
      </c>
      <c r="F651" s="6"/>
      <c r="G651" s="6"/>
      <c r="H651" s="85">
        <v>20000</v>
      </c>
      <c r="I651" s="103">
        <f>IFERROR(VLOOKUP(B651,'July 2026-Recived'!$B$2:$H$1300,7,0),0)</f>
        <v>0</v>
      </c>
      <c r="J651" s="103">
        <f>IFERROR(VLOOKUP(B651,'July 2026- Dispatch'!$B$2:$H$1300,7,0),0)</f>
        <v>0</v>
      </c>
      <c r="K651" s="61">
        <f t="shared" si="10"/>
        <v>20000</v>
      </c>
      <c r="L651" s="123">
        <v>0</v>
      </c>
    </row>
    <row r="652" spans="1:12" hidden="1" x14ac:dyDescent="0.25">
      <c r="A652" s="7">
        <v>651</v>
      </c>
      <c r="B652" s="152" t="s">
        <v>2065</v>
      </c>
      <c r="C652" s="153" t="s">
        <v>3713</v>
      </c>
      <c r="D652" s="153" t="s">
        <v>3714</v>
      </c>
      <c r="E652" s="153" t="s">
        <v>2083</v>
      </c>
      <c r="F652" s="6"/>
      <c r="G652" s="6"/>
      <c r="H652" s="85">
        <v>0</v>
      </c>
      <c r="I652" s="103">
        <f>IFERROR(VLOOKUP(B652,'July 2026-Recived'!$B$2:$H$1300,7,0),0)</f>
        <v>60000</v>
      </c>
      <c r="J652" s="103">
        <f>IFERROR(VLOOKUP(B652,'July 2026- Dispatch'!$B$2:$H$1300,7,0),0)</f>
        <v>0</v>
      </c>
      <c r="K652" s="61">
        <f t="shared" si="10"/>
        <v>60000</v>
      </c>
      <c r="L652" s="123">
        <v>0</v>
      </c>
    </row>
    <row r="653" spans="1:12" hidden="1" x14ac:dyDescent="0.25">
      <c r="A653" s="7">
        <v>652</v>
      </c>
      <c r="B653" s="152" t="s">
        <v>3715</v>
      </c>
      <c r="C653" s="153" t="s">
        <v>3716</v>
      </c>
      <c r="D653" s="153" t="s">
        <v>3717</v>
      </c>
      <c r="E653" s="153" t="s">
        <v>2083</v>
      </c>
      <c r="F653" s="6"/>
      <c r="G653" s="6"/>
      <c r="H653" s="85">
        <v>0</v>
      </c>
      <c r="I653" s="103">
        <f>IFERROR(VLOOKUP(B653,'July 2026-Recived'!$B$2:$H$1300,7,0),0)</f>
        <v>0</v>
      </c>
      <c r="J653" s="103">
        <f>IFERROR(VLOOKUP(B653,'July 2026- Dispatch'!$B$2:$H$1300,7,0),0)</f>
        <v>0</v>
      </c>
      <c r="K653" s="61">
        <f t="shared" si="10"/>
        <v>0</v>
      </c>
      <c r="L653" s="123">
        <v>0</v>
      </c>
    </row>
    <row r="654" spans="1:12" hidden="1" x14ac:dyDescent="0.25">
      <c r="A654" s="7">
        <v>653</v>
      </c>
      <c r="B654" s="152" t="s">
        <v>3718</v>
      </c>
      <c r="C654" s="153" t="s">
        <v>3719</v>
      </c>
      <c r="D654" s="153" t="s">
        <v>3720</v>
      </c>
      <c r="E654" s="153" t="s">
        <v>2086</v>
      </c>
      <c r="F654" s="6"/>
      <c r="G654" s="6"/>
      <c r="H654" s="85">
        <v>4000</v>
      </c>
      <c r="I654" s="103">
        <f>IFERROR(VLOOKUP(B654,'July 2026-Recived'!$B$2:$H$1300,7,0),0)</f>
        <v>0</v>
      </c>
      <c r="J654" s="103">
        <f>IFERROR(VLOOKUP(B654,'July 2026- Dispatch'!$B$2:$H$1300,7,0),0)</f>
        <v>0</v>
      </c>
      <c r="K654" s="61">
        <f t="shared" si="10"/>
        <v>4000</v>
      </c>
      <c r="L654" s="123">
        <v>0</v>
      </c>
    </row>
    <row r="655" spans="1:12" hidden="1" x14ac:dyDescent="0.25">
      <c r="A655" s="7">
        <v>654</v>
      </c>
      <c r="B655" s="152" t="s">
        <v>3721</v>
      </c>
      <c r="C655" s="153" t="s">
        <v>3722</v>
      </c>
      <c r="D655" s="153" t="s">
        <v>3723</v>
      </c>
      <c r="E655" s="153" t="s">
        <v>2083</v>
      </c>
      <c r="F655" s="6"/>
      <c r="G655" s="6"/>
      <c r="H655" s="85">
        <v>0</v>
      </c>
      <c r="I655" s="103">
        <f>IFERROR(VLOOKUP(B655,'July 2026-Recived'!$B$2:$H$1300,7,0),0)</f>
        <v>0</v>
      </c>
      <c r="J655" s="103">
        <f>IFERROR(VLOOKUP(B655,'July 2026- Dispatch'!$B$2:$H$1300,7,0),0)</f>
        <v>0</v>
      </c>
      <c r="K655" s="61">
        <f t="shared" si="10"/>
        <v>0</v>
      </c>
      <c r="L655" s="123">
        <v>0</v>
      </c>
    </row>
    <row r="656" spans="1:12" hidden="1" x14ac:dyDescent="0.25">
      <c r="A656" s="7">
        <v>655</v>
      </c>
      <c r="B656" s="152" t="s">
        <v>3724</v>
      </c>
      <c r="C656" s="153" t="s">
        <v>3725</v>
      </c>
      <c r="D656" s="153" t="s">
        <v>3726</v>
      </c>
      <c r="E656" s="153" t="s">
        <v>2083</v>
      </c>
      <c r="F656" s="6"/>
      <c r="G656" s="6"/>
      <c r="H656" s="85">
        <v>0</v>
      </c>
      <c r="I656" s="103">
        <f>IFERROR(VLOOKUP(B656,'July 2026-Recived'!$B$2:$H$1300,7,0),0)</f>
        <v>0</v>
      </c>
      <c r="J656" s="103">
        <f>IFERROR(VLOOKUP(B656,'July 2026- Dispatch'!$B$2:$H$1300,7,0),0)</f>
        <v>0</v>
      </c>
      <c r="K656" s="61">
        <f t="shared" si="10"/>
        <v>0</v>
      </c>
      <c r="L656" s="123">
        <v>0</v>
      </c>
    </row>
    <row r="657" spans="1:12" hidden="1" x14ac:dyDescent="0.25">
      <c r="A657" s="7">
        <v>656</v>
      </c>
      <c r="B657" s="152" t="s">
        <v>1935</v>
      </c>
      <c r="C657" s="153" t="s">
        <v>3727</v>
      </c>
      <c r="D657" s="153" t="s">
        <v>3728</v>
      </c>
      <c r="E657" s="153" t="s">
        <v>2083</v>
      </c>
      <c r="F657" s="6"/>
      <c r="G657" s="6"/>
      <c r="H657" s="85">
        <v>0</v>
      </c>
      <c r="I657" s="103">
        <f>IFERROR(VLOOKUP(B657,'July 2026-Recived'!$B$2:$H$1300,7,0),0)</f>
        <v>0</v>
      </c>
      <c r="J657" s="103">
        <f>IFERROR(VLOOKUP(B657,'July 2026- Dispatch'!$B$2:$H$1300,7,0),0)</f>
        <v>0</v>
      </c>
      <c r="K657" s="61">
        <f t="shared" si="10"/>
        <v>0</v>
      </c>
      <c r="L657" s="123">
        <v>0</v>
      </c>
    </row>
    <row r="658" spans="1:12" hidden="1" x14ac:dyDescent="0.25">
      <c r="A658" s="7">
        <v>657</v>
      </c>
      <c r="B658" s="152" t="s">
        <v>1938</v>
      </c>
      <c r="C658" s="153" t="s">
        <v>3729</v>
      </c>
      <c r="D658" s="153" t="s">
        <v>3730</v>
      </c>
      <c r="E658" s="153" t="s">
        <v>2083</v>
      </c>
      <c r="F658" s="6"/>
      <c r="G658" s="6"/>
      <c r="H658" s="85">
        <v>0</v>
      </c>
      <c r="I658" s="103">
        <f>IFERROR(VLOOKUP(B658,'July 2026-Recived'!$B$2:$H$1300,7,0),0)</f>
        <v>0</v>
      </c>
      <c r="J658" s="103">
        <f>IFERROR(VLOOKUP(B658,'July 2026- Dispatch'!$B$2:$H$1300,7,0),0)</f>
        <v>0</v>
      </c>
      <c r="K658" s="61">
        <f t="shared" si="10"/>
        <v>0</v>
      </c>
      <c r="L658" s="123">
        <v>0</v>
      </c>
    </row>
    <row r="659" spans="1:12" hidden="1" x14ac:dyDescent="0.25">
      <c r="A659" s="7">
        <v>658</v>
      </c>
      <c r="B659" s="152" t="s">
        <v>3731</v>
      </c>
      <c r="C659" s="153" t="s">
        <v>3732</v>
      </c>
      <c r="D659" s="153" t="s">
        <v>3733</v>
      </c>
      <c r="E659" s="153" t="s">
        <v>2083</v>
      </c>
      <c r="F659" s="6"/>
      <c r="G659" s="6"/>
      <c r="H659" s="85">
        <v>0</v>
      </c>
      <c r="I659" s="103">
        <f>IFERROR(VLOOKUP(B659,'July 2026-Recived'!$B$2:$H$1300,7,0),0)</f>
        <v>0</v>
      </c>
      <c r="J659" s="103">
        <f>IFERROR(VLOOKUP(B659,'July 2026- Dispatch'!$B$2:$H$1300,7,0),0)</f>
        <v>0</v>
      </c>
      <c r="K659" s="61">
        <f t="shared" si="10"/>
        <v>0</v>
      </c>
      <c r="L659" s="123">
        <v>0</v>
      </c>
    </row>
    <row r="660" spans="1:12" hidden="1" x14ac:dyDescent="0.25">
      <c r="A660" s="7">
        <v>659</v>
      </c>
      <c r="B660" s="152" t="s">
        <v>3734</v>
      </c>
      <c r="C660" s="153" t="s">
        <v>3735</v>
      </c>
      <c r="D660" s="153" t="s">
        <v>3736</v>
      </c>
      <c r="E660" s="153" t="s">
        <v>2083</v>
      </c>
      <c r="F660" s="6"/>
      <c r="G660" s="6"/>
      <c r="H660" s="85">
        <v>0</v>
      </c>
      <c r="I660" s="103">
        <f>IFERROR(VLOOKUP(B660,'July 2026-Recived'!$B$2:$H$1300,7,0),0)</f>
        <v>0</v>
      </c>
      <c r="J660" s="103">
        <f>IFERROR(VLOOKUP(B660,'July 2026- Dispatch'!$B$2:$H$1300,7,0),0)</f>
        <v>0</v>
      </c>
      <c r="K660" s="61">
        <f t="shared" si="10"/>
        <v>0</v>
      </c>
      <c r="L660" s="123">
        <v>0</v>
      </c>
    </row>
    <row r="661" spans="1:12" hidden="1" x14ac:dyDescent="0.25">
      <c r="A661" s="7">
        <v>660</v>
      </c>
      <c r="B661" s="152" t="s">
        <v>3737</v>
      </c>
      <c r="C661" s="153" t="s">
        <v>3738</v>
      </c>
      <c r="D661" s="153" t="s">
        <v>3739</v>
      </c>
      <c r="E661" s="153" t="s">
        <v>2083</v>
      </c>
      <c r="F661" s="6"/>
      <c r="G661" s="6"/>
      <c r="H661" s="85">
        <v>0</v>
      </c>
      <c r="I661" s="103">
        <f>IFERROR(VLOOKUP(B661,'July 2026-Recived'!$B$2:$H$1300,7,0),0)</f>
        <v>0</v>
      </c>
      <c r="J661" s="103">
        <f>IFERROR(VLOOKUP(B661,'July 2026- Dispatch'!$B$2:$H$1300,7,0),0)</f>
        <v>0</v>
      </c>
      <c r="K661" s="61">
        <f t="shared" si="10"/>
        <v>0</v>
      </c>
      <c r="L661" s="123">
        <v>0</v>
      </c>
    </row>
    <row r="662" spans="1:12" hidden="1" x14ac:dyDescent="0.25">
      <c r="A662" s="7">
        <v>661</v>
      </c>
      <c r="B662" s="152" t="s">
        <v>2047</v>
      </c>
      <c r="C662" s="153" t="s">
        <v>3740</v>
      </c>
      <c r="D662" s="153" t="s">
        <v>3741</v>
      </c>
      <c r="E662" s="153" t="s">
        <v>2083</v>
      </c>
      <c r="F662" s="6"/>
      <c r="G662" s="6"/>
      <c r="H662" s="85">
        <v>0</v>
      </c>
      <c r="I662" s="103">
        <f>IFERROR(VLOOKUP(B662,'July 2026-Recived'!$B$2:$H$1300,7,0),0)</f>
        <v>0</v>
      </c>
      <c r="J662" s="103">
        <f>IFERROR(VLOOKUP(B662,'July 2026- Dispatch'!$B$2:$H$1300,7,0),0)</f>
        <v>0</v>
      </c>
      <c r="K662" s="61">
        <f t="shared" si="10"/>
        <v>0</v>
      </c>
      <c r="L662" s="123">
        <v>0</v>
      </c>
    </row>
    <row r="663" spans="1:12" hidden="1" x14ac:dyDescent="0.25">
      <c r="A663" s="7">
        <v>662</v>
      </c>
      <c r="B663" s="152" t="s">
        <v>3742</v>
      </c>
      <c r="C663" s="153" t="s">
        <v>3743</v>
      </c>
      <c r="D663" s="153" t="s">
        <v>3744</v>
      </c>
      <c r="E663" s="153" t="s">
        <v>2083</v>
      </c>
      <c r="F663" s="6"/>
      <c r="G663" s="6"/>
      <c r="H663" s="85">
        <v>0</v>
      </c>
      <c r="I663" s="103">
        <f>IFERROR(VLOOKUP(B663,'July 2026-Recived'!$B$2:$H$1300,7,0),0)</f>
        <v>0</v>
      </c>
      <c r="J663" s="103">
        <f>IFERROR(VLOOKUP(B663,'July 2026- Dispatch'!$B$2:$H$1300,7,0),0)</f>
        <v>0</v>
      </c>
      <c r="K663" s="61">
        <f t="shared" si="10"/>
        <v>0</v>
      </c>
      <c r="L663" s="123">
        <v>0</v>
      </c>
    </row>
    <row r="664" spans="1:12" hidden="1" x14ac:dyDescent="0.25">
      <c r="A664" s="7">
        <v>663</v>
      </c>
      <c r="B664" s="152" t="s">
        <v>3745</v>
      </c>
      <c r="C664" s="153" t="s">
        <v>3746</v>
      </c>
      <c r="D664" s="153" t="s">
        <v>3747</v>
      </c>
      <c r="E664" s="153" t="s">
        <v>2083</v>
      </c>
      <c r="F664" s="6"/>
      <c r="G664" s="6"/>
      <c r="H664" s="85">
        <v>0</v>
      </c>
      <c r="I664" s="103">
        <f>IFERROR(VLOOKUP(B664,'July 2026-Recived'!$B$2:$H$1300,7,0),0)</f>
        <v>0</v>
      </c>
      <c r="J664" s="103">
        <f>IFERROR(VLOOKUP(B664,'July 2026- Dispatch'!$B$2:$H$1300,7,0),0)</f>
        <v>0</v>
      </c>
      <c r="K664" s="61">
        <f t="shared" si="10"/>
        <v>0</v>
      </c>
      <c r="L664" s="123">
        <v>0</v>
      </c>
    </row>
    <row r="665" spans="1:12" hidden="1" x14ac:dyDescent="0.25">
      <c r="A665" s="7">
        <v>664</v>
      </c>
      <c r="B665" s="152" t="s">
        <v>3748</v>
      </c>
      <c r="C665" s="153" t="s">
        <v>3749</v>
      </c>
      <c r="D665" s="153" t="s">
        <v>3750</v>
      </c>
      <c r="E665" s="153" t="s">
        <v>2086</v>
      </c>
      <c r="F665" s="6"/>
      <c r="G665" s="6"/>
      <c r="H665" s="85">
        <v>18000</v>
      </c>
      <c r="I665" s="103">
        <f>IFERROR(VLOOKUP(B665,'July 2026-Recived'!$B$2:$H$1300,7,0),0)</f>
        <v>0</v>
      </c>
      <c r="J665" s="103">
        <f>IFERROR(VLOOKUP(B665,'July 2026- Dispatch'!$B$2:$H$1300,7,0),0)</f>
        <v>10000</v>
      </c>
      <c r="K665" s="61">
        <f t="shared" si="10"/>
        <v>8000</v>
      </c>
      <c r="L665" s="123">
        <v>0</v>
      </c>
    </row>
    <row r="666" spans="1:12" hidden="1" x14ac:dyDescent="0.25">
      <c r="A666" s="7">
        <v>665</v>
      </c>
      <c r="B666" s="152" t="s">
        <v>3751</v>
      </c>
      <c r="C666" s="153" t="s">
        <v>3752</v>
      </c>
      <c r="D666" s="153" t="s">
        <v>3753</v>
      </c>
      <c r="E666" s="153" t="s">
        <v>2086</v>
      </c>
      <c r="F666" s="6"/>
      <c r="G666" s="6"/>
      <c r="H666" s="85">
        <v>5000</v>
      </c>
      <c r="I666" s="103">
        <f>IFERROR(VLOOKUP(B666,'July 2026-Recived'!$B$2:$H$1300,7,0),0)</f>
        <v>0</v>
      </c>
      <c r="J666" s="103">
        <f>IFERROR(VLOOKUP(B666,'July 2026- Dispatch'!$B$2:$H$1300,7,0),0)</f>
        <v>0</v>
      </c>
      <c r="K666" s="61">
        <f t="shared" si="10"/>
        <v>5000</v>
      </c>
      <c r="L666" s="123">
        <v>0</v>
      </c>
    </row>
    <row r="667" spans="1:12" hidden="1" x14ac:dyDescent="0.25">
      <c r="A667" s="7">
        <v>666</v>
      </c>
      <c r="B667" s="152" t="s">
        <v>2069</v>
      </c>
      <c r="C667" s="153" t="s">
        <v>3754</v>
      </c>
      <c r="D667" s="153" t="s">
        <v>3755</v>
      </c>
      <c r="E667" s="153" t="s">
        <v>2083</v>
      </c>
      <c r="F667" s="6"/>
      <c r="G667" s="6"/>
      <c r="H667" s="85">
        <v>0</v>
      </c>
      <c r="I667" s="103">
        <f>IFERROR(VLOOKUP(B667,'July 2026-Recived'!$B$2:$H$1300,7,0),0)</f>
        <v>0</v>
      </c>
      <c r="J667" s="103">
        <f>IFERROR(VLOOKUP(B667,'July 2026- Dispatch'!$B$2:$H$1300,7,0),0)</f>
        <v>0</v>
      </c>
      <c r="K667" s="61">
        <f t="shared" si="10"/>
        <v>0</v>
      </c>
      <c r="L667" s="123">
        <v>0</v>
      </c>
    </row>
    <row r="668" spans="1:12" hidden="1" x14ac:dyDescent="0.25">
      <c r="A668" s="7">
        <v>667</v>
      </c>
      <c r="B668" s="152" t="s">
        <v>3756</v>
      </c>
      <c r="C668" s="153" t="s">
        <v>3757</v>
      </c>
      <c r="D668" s="153" t="s">
        <v>3758</v>
      </c>
      <c r="E668" s="153" t="s">
        <v>2083</v>
      </c>
      <c r="F668" s="6"/>
      <c r="G668" s="6"/>
      <c r="H668" s="85">
        <v>0</v>
      </c>
      <c r="I668" s="103">
        <f>IFERROR(VLOOKUP(B668,'July 2026-Recived'!$B$2:$H$1300,7,0),0)</f>
        <v>0</v>
      </c>
      <c r="J668" s="103">
        <f>IFERROR(VLOOKUP(B668,'July 2026- Dispatch'!$B$2:$H$1300,7,0),0)</f>
        <v>0</v>
      </c>
      <c r="K668" s="61">
        <f t="shared" si="10"/>
        <v>0</v>
      </c>
      <c r="L668" s="123">
        <v>0</v>
      </c>
    </row>
    <row r="669" spans="1:12" hidden="1" x14ac:dyDescent="0.25">
      <c r="A669" s="7">
        <v>668</v>
      </c>
      <c r="B669" s="152" t="s">
        <v>3759</v>
      </c>
      <c r="C669" s="153" t="s">
        <v>3760</v>
      </c>
      <c r="D669" s="153" t="s">
        <v>3761</v>
      </c>
      <c r="E669" s="153" t="s">
        <v>2083</v>
      </c>
      <c r="F669" s="6"/>
      <c r="G669" s="6"/>
      <c r="H669" s="85">
        <v>0</v>
      </c>
      <c r="I669" s="103">
        <f>IFERROR(VLOOKUP(B669,'July 2026-Recived'!$B$2:$H$1300,7,0),0)</f>
        <v>0</v>
      </c>
      <c r="J669" s="103">
        <f>IFERROR(VLOOKUP(B669,'July 2026- Dispatch'!$B$2:$H$1300,7,0),0)</f>
        <v>0</v>
      </c>
      <c r="K669" s="61">
        <f t="shared" si="10"/>
        <v>0</v>
      </c>
      <c r="L669" s="123">
        <v>0</v>
      </c>
    </row>
    <row r="670" spans="1:12" hidden="1" x14ac:dyDescent="0.25">
      <c r="A670" s="7">
        <v>669</v>
      </c>
      <c r="B670" s="152" t="s">
        <v>3762</v>
      </c>
      <c r="C670" s="153" t="s">
        <v>3763</v>
      </c>
      <c r="D670" s="153" t="s">
        <v>3764</v>
      </c>
      <c r="E670" s="153" t="s">
        <v>2083</v>
      </c>
      <c r="F670" s="6"/>
      <c r="G670" s="6"/>
      <c r="H670" s="85">
        <v>0</v>
      </c>
      <c r="I670" s="103">
        <f>IFERROR(VLOOKUP(B670,'July 2026-Recived'!$B$2:$H$1300,7,0),0)</f>
        <v>0</v>
      </c>
      <c r="J670" s="103">
        <f>IFERROR(VLOOKUP(B670,'July 2026- Dispatch'!$B$2:$H$1300,7,0),0)</f>
        <v>0</v>
      </c>
      <c r="K670" s="61">
        <f t="shared" si="10"/>
        <v>0</v>
      </c>
      <c r="L670" s="123">
        <v>0</v>
      </c>
    </row>
    <row r="671" spans="1:12" hidden="1" x14ac:dyDescent="0.25">
      <c r="A671" s="7">
        <v>670</v>
      </c>
      <c r="B671" s="152" t="s">
        <v>3765</v>
      </c>
      <c r="C671" s="153" t="s">
        <v>3766</v>
      </c>
      <c r="D671" s="153" t="s">
        <v>3767</v>
      </c>
      <c r="E671" s="153" t="s">
        <v>2083</v>
      </c>
      <c r="F671" s="6"/>
      <c r="G671" s="6"/>
      <c r="H671" s="85">
        <v>0</v>
      </c>
      <c r="I671" s="103">
        <f>IFERROR(VLOOKUP(B671,'July 2026-Recived'!$B$2:$H$1300,7,0),0)</f>
        <v>0</v>
      </c>
      <c r="J671" s="103">
        <f>IFERROR(VLOOKUP(B671,'July 2026- Dispatch'!$B$2:$H$1300,7,0),0)</f>
        <v>0</v>
      </c>
      <c r="K671" s="61">
        <f t="shared" si="10"/>
        <v>0</v>
      </c>
      <c r="L671" s="123">
        <v>0</v>
      </c>
    </row>
    <row r="672" spans="1:12" hidden="1" x14ac:dyDescent="0.25">
      <c r="A672" s="7">
        <v>671</v>
      </c>
      <c r="B672" s="152" t="s">
        <v>3768</v>
      </c>
      <c r="C672" s="153" t="s">
        <v>3769</v>
      </c>
      <c r="D672" s="153" t="s">
        <v>3770</v>
      </c>
      <c r="E672" s="153" t="s">
        <v>2083</v>
      </c>
      <c r="F672" s="6"/>
      <c r="G672" s="6"/>
      <c r="H672" s="85">
        <v>0</v>
      </c>
      <c r="I672" s="103">
        <f>IFERROR(VLOOKUP(B672,'July 2026-Recived'!$B$2:$H$1300,7,0),0)</f>
        <v>0</v>
      </c>
      <c r="J672" s="103">
        <f>IFERROR(VLOOKUP(B672,'July 2026- Dispatch'!$B$2:$H$1300,7,0),0)</f>
        <v>0</v>
      </c>
      <c r="K672" s="61">
        <f t="shared" si="10"/>
        <v>0</v>
      </c>
      <c r="L672" s="123">
        <v>0</v>
      </c>
    </row>
    <row r="673" spans="1:12" hidden="1" x14ac:dyDescent="0.25">
      <c r="A673" s="7">
        <v>672</v>
      </c>
      <c r="B673" s="152" t="s">
        <v>3771</v>
      </c>
      <c r="C673" s="153" t="s">
        <v>3772</v>
      </c>
      <c r="D673" s="153" t="s">
        <v>3773</v>
      </c>
      <c r="E673" s="153" t="s">
        <v>2086</v>
      </c>
      <c r="F673" s="6"/>
      <c r="G673" s="6"/>
      <c r="H673" s="85">
        <v>12000</v>
      </c>
      <c r="I673" s="103">
        <f>IFERROR(VLOOKUP(B673,'July 2026-Recived'!$B$2:$H$1300,7,0),0)</f>
        <v>0</v>
      </c>
      <c r="J673" s="103">
        <f>IFERROR(VLOOKUP(B673,'July 2026- Dispatch'!$B$2:$H$1300,7,0),0)</f>
        <v>0</v>
      </c>
      <c r="K673" s="61">
        <f t="shared" si="10"/>
        <v>12000</v>
      </c>
      <c r="L673" s="123">
        <v>0</v>
      </c>
    </row>
    <row r="674" spans="1:12" hidden="1" x14ac:dyDescent="0.25">
      <c r="A674" s="7">
        <v>673</v>
      </c>
      <c r="B674" s="152" t="s">
        <v>3774</v>
      </c>
      <c r="C674" s="153" t="s">
        <v>3775</v>
      </c>
      <c r="D674" s="153" t="s">
        <v>3776</v>
      </c>
      <c r="E674" s="153" t="s">
        <v>2086</v>
      </c>
      <c r="F674" s="6"/>
      <c r="G674" s="6"/>
      <c r="H674" s="85">
        <v>2800</v>
      </c>
      <c r="I674" s="103">
        <f>IFERROR(VLOOKUP(B674,'July 2026-Recived'!$B$2:$H$1300,7,0),0)</f>
        <v>0</v>
      </c>
      <c r="J674" s="103">
        <f>IFERROR(VLOOKUP(B674,'July 2026- Dispatch'!$B$2:$H$1300,7,0),0)</f>
        <v>0</v>
      </c>
      <c r="K674" s="61">
        <f t="shared" si="10"/>
        <v>2800</v>
      </c>
      <c r="L674" s="123">
        <v>0</v>
      </c>
    </row>
    <row r="675" spans="1:12" hidden="1" x14ac:dyDescent="0.25">
      <c r="A675" s="7">
        <v>674</v>
      </c>
      <c r="B675" s="152" t="s">
        <v>3777</v>
      </c>
      <c r="C675" s="153" t="s">
        <v>3778</v>
      </c>
      <c r="D675" s="153" t="s">
        <v>3779</v>
      </c>
      <c r="E675" s="153" t="s">
        <v>2083</v>
      </c>
      <c r="F675" s="6"/>
      <c r="G675" s="6"/>
      <c r="H675" s="85">
        <v>0</v>
      </c>
      <c r="I675" s="103">
        <f>IFERROR(VLOOKUP(B675,'July 2026-Recived'!$B$2:$H$1300,7,0),0)</f>
        <v>0</v>
      </c>
      <c r="J675" s="103">
        <f>IFERROR(VLOOKUP(B675,'July 2026- Dispatch'!$B$2:$H$1300,7,0),0)</f>
        <v>0</v>
      </c>
      <c r="K675" s="61">
        <f t="shared" si="10"/>
        <v>0</v>
      </c>
      <c r="L675" s="123">
        <v>0</v>
      </c>
    </row>
    <row r="676" spans="1:12" hidden="1" x14ac:dyDescent="0.25">
      <c r="A676" s="7">
        <v>675</v>
      </c>
      <c r="B676" s="152" t="s">
        <v>3780</v>
      </c>
      <c r="C676" s="153" t="s">
        <v>3781</v>
      </c>
      <c r="D676" s="153" t="s">
        <v>3782</v>
      </c>
      <c r="E676" s="153" t="s">
        <v>2083</v>
      </c>
      <c r="F676" s="6"/>
      <c r="G676" s="6"/>
      <c r="H676" s="85">
        <v>0</v>
      </c>
      <c r="I676" s="103">
        <f>IFERROR(VLOOKUP(B676,'July 2026-Recived'!$B$2:$H$1300,7,0),0)</f>
        <v>0</v>
      </c>
      <c r="J676" s="103">
        <f>IFERROR(VLOOKUP(B676,'July 2026- Dispatch'!$B$2:$H$1300,7,0),0)</f>
        <v>0</v>
      </c>
      <c r="K676" s="61">
        <f t="shared" si="10"/>
        <v>0</v>
      </c>
      <c r="L676" s="123">
        <v>0</v>
      </c>
    </row>
    <row r="677" spans="1:12" hidden="1" x14ac:dyDescent="0.25">
      <c r="A677" s="7">
        <v>676</v>
      </c>
      <c r="B677" s="152" t="s">
        <v>1686</v>
      </c>
      <c r="C677" s="153" t="s">
        <v>3783</v>
      </c>
      <c r="D677" s="153" t="s">
        <v>3784</v>
      </c>
      <c r="E677" s="153" t="s">
        <v>2083</v>
      </c>
      <c r="F677" s="6"/>
      <c r="G677" s="6"/>
      <c r="H677" s="85">
        <v>0</v>
      </c>
      <c r="I677" s="103">
        <f>IFERROR(VLOOKUP(B677,'July 2026-Recived'!$B$2:$H$1300,7,0),0)</f>
        <v>0</v>
      </c>
      <c r="J677" s="103">
        <f>IFERROR(VLOOKUP(B677,'July 2026- Dispatch'!$B$2:$H$1300,7,0),0)</f>
        <v>0</v>
      </c>
      <c r="K677" s="61">
        <f t="shared" si="10"/>
        <v>0</v>
      </c>
      <c r="L677" s="123">
        <v>0</v>
      </c>
    </row>
    <row r="678" spans="1:12" hidden="1" x14ac:dyDescent="0.25">
      <c r="A678" s="7">
        <v>677</v>
      </c>
      <c r="B678" s="152" t="s">
        <v>1689</v>
      </c>
      <c r="C678" s="153" t="s">
        <v>3785</v>
      </c>
      <c r="D678" s="153" t="s">
        <v>3786</v>
      </c>
      <c r="E678" s="153" t="s">
        <v>2086</v>
      </c>
      <c r="F678" s="6"/>
      <c r="G678" s="6"/>
      <c r="H678" s="85">
        <v>12250</v>
      </c>
      <c r="I678" s="103">
        <f>IFERROR(VLOOKUP(B678,'July 2026-Recived'!$B$2:$H$1300,7,0),0)</f>
        <v>0</v>
      </c>
      <c r="J678" s="103">
        <f>IFERROR(VLOOKUP(B678,'July 2026- Dispatch'!$B$2:$H$1300,7,0),0)</f>
        <v>12250</v>
      </c>
      <c r="K678" s="61">
        <f t="shared" si="10"/>
        <v>0</v>
      </c>
      <c r="L678" s="123">
        <v>0</v>
      </c>
    </row>
    <row r="679" spans="1:12" hidden="1" x14ac:dyDescent="0.25">
      <c r="A679" s="7">
        <v>678</v>
      </c>
      <c r="B679" s="152" t="s">
        <v>1692</v>
      </c>
      <c r="C679" s="153" t="s">
        <v>3787</v>
      </c>
      <c r="D679" s="153" t="s">
        <v>3788</v>
      </c>
      <c r="E679" s="153" t="s">
        <v>2086</v>
      </c>
      <c r="F679" s="6"/>
      <c r="G679" s="6"/>
      <c r="H679" s="85">
        <v>14500</v>
      </c>
      <c r="I679" s="103">
        <f>IFERROR(VLOOKUP(B679,'July 2026-Recived'!$B$2:$H$1300,7,0),0)</f>
        <v>0</v>
      </c>
      <c r="J679" s="103">
        <f>IFERROR(VLOOKUP(B679,'July 2026- Dispatch'!$B$2:$H$1300,7,0),0)</f>
        <v>11450</v>
      </c>
      <c r="K679" s="61">
        <f t="shared" si="10"/>
        <v>3050</v>
      </c>
      <c r="L679" s="123">
        <v>0</v>
      </c>
    </row>
    <row r="680" spans="1:12" hidden="1" x14ac:dyDescent="0.25">
      <c r="A680" s="7">
        <v>679</v>
      </c>
      <c r="B680" s="152" t="s">
        <v>3789</v>
      </c>
      <c r="C680" s="153" t="s">
        <v>3790</v>
      </c>
      <c r="D680" s="153" t="s">
        <v>3791</v>
      </c>
      <c r="E680" s="153" t="s">
        <v>2083</v>
      </c>
      <c r="F680" s="6"/>
      <c r="G680" s="6"/>
      <c r="H680" s="85">
        <v>0</v>
      </c>
      <c r="I680" s="103">
        <f>IFERROR(VLOOKUP(B680,'July 2026-Recived'!$B$2:$H$1300,7,0),0)</f>
        <v>0</v>
      </c>
      <c r="J680" s="103">
        <f>IFERROR(VLOOKUP(B680,'July 2026- Dispatch'!$B$2:$H$1300,7,0),0)</f>
        <v>0</v>
      </c>
      <c r="K680" s="61">
        <f t="shared" si="10"/>
        <v>0</v>
      </c>
      <c r="L680" s="123">
        <v>0</v>
      </c>
    </row>
    <row r="681" spans="1:12" hidden="1" x14ac:dyDescent="0.25">
      <c r="A681" s="7">
        <v>680</v>
      </c>
      <c r="B681" s="152" t="s">
        <v>3792</v>
      </c>
      <c r="C681" s="153" t="s">
        <v>3793</v>
      </c>
      <c r="D681" s="153" t="s">
        <v>3794</v>
      </c>
      <c r="E681" s="153" t="s">
        <v>2083</v>
      </c>
      <c r="F681" s="6"/>
      <c r="G681" s="6"/>
      <c r="H681" s="85">
        <v>0</v>
      </c>
      <c r="I681" s="103">
        <f>IFERROR(VLOOKUP(B681,'July 2026-Recived'!$B$2:$H$1300,7,0),0)</f>
        <v>45</v>
      </c>
      <c r="J681" s="103">
        <f>IFERROR(VLOOKUP(B681,'July 2026- Dispatch'!$B$2:$H$1300,7,0),0)</f>
        <v>13</v>
      </c>
      <c r="K681" s="61">
        <f t="shared" si="10"/>
        <v>32</v>
      </c>
      <c r="L681" s="123">
        <v>0</v>
      </c>
    </row>
    <row r="682" spans="1:12" hidden="1" x14ac:dyDescent="0.25">
      <c r="A682" s="7">
        <v>681</v>
      </c>
      <c r="B682" s="152" t="s">
        <v>3795</v>
      </c>
      <c r="C682" s="153" t="s">
        <v>3796</v>
      </c>
      <c r="D682" s="153" t="s">
        <v>3797</v>
      </c>
      <c r="E682" s="153" t="s">
        <v>2086</v>
      </c>
      <c r="F682" s="6"/>
      <c r="G682" s="6"/>
      <c r="H682" s="85">
        <v>12000</v>
      </c>
      <c r="I682" s="103">
        <f>IFERROR(VLOOKUP(B682,'July 2026-Recived'!$B$2:$H$1300,7,0),0)</f>
        <v>0</v>
      </c>
      <c r="J682" s="103">
        <f>IFERROR(VLOOKUP(B682,'July 2026- Dispatch'!$B$2:$H$1300,7,0),0)</f>
        <v>0</v>
      </c>
      <c r="K682" s="61">
        <f t="shared" si="10"/>
        <v>12000</v>
      </c>
      <c r="L682" s="123">
        <v>0</v>
      </c>
    </row>
    <row r="683" spans="1:12" hidden="1" x14ac:dyDescent="0.25">
      <c r="A683" s="7">
        <v>682</v>
      </c>
      <c r="B683" s="152" t="s">
        <v>3798</v>
      </c>
      <c r="C683" s="153" t="s">
        <v>3799</v>
      </c>
      <c r="D683" s="153" t="s">
        <v>3800</v>
      </c>
      <c r="E683" s="153" t="s">
        <v>2083</v>
      </c>
      <c r="F683" s="6"/>
      <c r="G683" s="6"/>
      <c r="H683" s="85">
        <v>0</v>
      </c>
      <c r="I683" s="103">
        <f>IFERROR(VLOOKUP(B683,'July 2026-Recived'!$B$2:$H$1300,7,0),0)</f>
        <v>0</v>
      </c>
      <c r="J683" s="103">
        <f>IFERROR(VLOOKUP(B683,'July 2026- Dispatch'!$B$2:$H$1300,7,0),0)</f>
        <v>0</v>
      </c>
      <c r="K683" s="61">
        <f t="shared" si="10"/>
        <v>0</v>
      </c>
      <c r="L683" s="123">
        <v>0</v>
      </c>
    </row>
    <row r="684" spans="1:12" hidden="1" x14ac:dyDescent="0.25">
      <c r="A684" s="7">
        <v>683</v>
      </c>
      <c r="B684" s="152" t="s">
        <v>3801</v>
      </c>
      <c r="C684" s="153" t="s">
        <v>3802</v>
      </c>
      <c r="D684" s="153" t="s">
        <v>3803</v>
      </c>
      <c r="E684" s="153" t="s">
        <v>2083</v>
      </c>
      <c r="F684" s="6"/>
      <c r="G684" s="6"/>
      <c r="H684" s="85">
        <v>0</v>
      </c>
      <c r="I684" s="103">
        <f>IFERROR(VLOOKUP(B684,'July 2026-Recived'!$B$2:$H$1300,7,0),0)</f>
        <v>0</v>
      </c>
      <c r="J684" s="103">
        <f>IFERROR(VLOOKUP(B684,'July 2026- Dispatch'!$B$2:$H$1300,7,0),0)</f>
        <v>0</v>
      </c>
      <c r="K684" s="61">
        <f t="shared" si="10"/>
        <v>0</v>
      </c>
      <c r="L684" s="123">
        <v>0</v>
      </c>
    </row>
    <row r="685" spans="1:12" hidden="1" x14ac:dyDescent="0.25">
      <c r="A685" s="7">
        <v>684</v>
      </c>
      <c r="B685" s="152" t="s">
        <v>3804</v>
      </c>
      <c r="C685" s="153" t="s">
        <v>3805</v>
      </c>
      <c r="D685" s="153" t="s">
        <v>3806</v>
      </c>
      <c r="E685" s="153" t="s">
        <v>2086</v>
      </c>
      <c r="F685" s="6"/>
      <c r="G685" s="6"/>
      <c r="H685" s="85">
        <v>8000</v>
      </c>
      <c r="I685" s="103">
        <f>IFERROR(VLOOKUP(B685,'July 2026-Recived'!$B$2:$H$1300,7,0),0)</f>
        <v>0</v>
      </c>
      <c r="J685" s="103">
        <f>IFERROR(VLOOKUP(B685,'July 2026- Dispatch'!$B$2:$H$1300,7,0),0)</f>
        <v>0</v>
      </c>
      <c r="K685" s="61">
        <f t="shared" si="10"/>
        <v>8000</v>
      </c>
      <c r="L685" s="123">
        <v>0</v>
      </c>
    </row>
    <row r="686" spans="1:12" hidden="1" x14ac:dyDescent="0.25">
      <c r="A686" s="7">
        <v>685</v>
      </c>
      <c r="B686" s="152" t="s">
        <v>3807</v>
      </c>
      <c r="C686" s="153" t="s">
        <v>3808</v>
      </c>
      <c r="D686" s="153" t="s">
        <v>3809</v>
      </c>
      <c r="E686" s="153" t="s">
        <v>2083</v>
      </c>
      <c r="F686" s="6"/>
      <c r="G686" s="6"/>
      <c r="H686" s="85">
        <v>0</v>
      </c>
      <c r="I686" s="103">
        <f>IFERROR(VLOOKUP(B686,'July 2026-Recived'!$B$2:$H$1300,7,0),0)</f>
        <v>0</v>
      </c>
      <c r="J686" s="103">
        <f>IFERROR(VLOOKUP(B686,'July 2026- Dispatch'!$B$2:$H$1300,7,0),0)</f>
        <v>0</v>
      </c>
      <c r="K686" s="61">
        <f t="shared" si="10"/>
        <v>0</v>
      </c>
      <c r="L686" s="123">
        <v>0</v>
      </c>
    </row>
    <row r="687" spans="1:12" hidden="1" x14ac:dyDescent="0.25">
      <c r="A687" s="7">
        <v>686</v>
      </c>
      <c r="B687" s="152" t="s">
        <v>3810</v>
      </c>
      <c r="C687" s="153" t="s">
        <v>3811</v>
      </c>
      <c r="D687" s="153" t="s">
        <v>3812</v>
      </c>
      <c r="E687" s="153" t="s">
        <v>2083</v>
      </c>
      <c r="F687" s="6"/>
      <c r="G687" s="6"/>
      <c r="H687" s="85">
        <v>0</v>
      </c>
      <c r="I687" s="103">
        <f>IFERROR(VLOOKUP(B687,'July 2026-Recived'!$B$2:$H$1300,7,0),0)</f>
        <v>0</v>
      </c>
      <c r="J687" s="103">
        <f>IFERROR(VLOOKUP(B687,'July 2026- Dispatch'!$B$2:$H$1300,7,0),0)</f>
        <v>0</v>
      </c>
      <c r="K687" s="61">
        <f t="shared" si="10"/>
        <v>0</v>
      </c>
      <c r="L687" s="123">
        <v>0</v>
      </c>
    </row>
    <row r="688" spans="1:12" hidden="1" x14ac:dyDescent="0.25">
      <c r="A688" s="7">
        <v>687</v>
      </c>
      <c r="B688" s="152" t="s">
        <v>3813</v>
      </c>
      <c r="C688" s="153" t="s">
        <v>3814</v>
      </c>
      <c r="D688" s="153" t="s">
        <v>3815</v>
      </c>
      <c r="E688" s="153" t="s">
        <v>2083</v>
      </c>
      <c r="F688" s="6"/>
      <c r="G688" s="6"/>
      <c r="H688" s="85">
        <v>0</v>
      </c>
      <c r="I688" s="103">
        <f>IFERROR(VLOOKUP(B688,'July 2026-Recived'!$B$2:$H$1300,7,0),0)</f>
        <v>0</v>
      </c>
      <c r="J688" s="103">
        <f>IFERROR(VLOOKUP(B688,'July 2026- Dispatch'!$B$2:$H$1300,7,0),0)</f>
        <v>0</v>
      </c>
      <c r="K688" s="61">
        <f t="shared" si="10"/>
        <v>0</v>
      </c>
      <c r="L688" s="123">
        <v>0</v>
      </c>
    </row>
    <row r="689" spans="1:12" hidden="1" x14ac:dyDescent="0.25">
      <c r="A689" s="7">
        <v>688</v>
      </c>
      <c r="B689" s="152" t="s">
        <v>3816</v>
      </c>
      <c r="C689" s="153" t="s">
        <v>3817</v>
      </c>
      <c r="D689" s="153" t="s">
        <v>3818</v>
      </c>
      <c r="E689" s="153" t="s">
        <v>2083</v>
      </c>
      <c r="F689" s="6"/>
      <c r="G689" s="6"/>
      <c r="H689" s="85">
        <v>0</v>
      </c>
      <c r="I689" s="103">
        <f>IFERROR(VLOOKUP(B689,'July 2026-Recived'!$B$2:$H$1300,7,0),0)</f>
        <v>0</v>
      </c>
      <c r="J689" s="103">
        <f>IFERROR(VLOOKUP(B689,'July 2026- Dispatch'!$B$2:$H$1300,7,0),0)</f>
        <v>0</v>
      </c>
      <c r="K689" s="61">
        <f t="shared" si="10"/>
        <v>0</v>
      </c>
      <c r="L689" s="123">
        <v>0</v>
      </c>
    </row>
    <row r="690" spans="1:12" hidden="1" x14ac:dyDescent="0.25">
      <c r="A690" s="7">
        <v>689</v>
      </c>
      <c r="B690" s="152" t="s">
        <v>3819</v>
      </c>
      <c r="C690" s="153" t="s">
        <v>3820</v>
      </c>
      <c r="D690" s="153" t="s">
        <v>3821</v>
      </c>
      <c r="E690" s="153" t="s">
        <v>2083</v>
      </c>
      <c r="F690" s="6"/>
      <c r="G690" s="6"/>
      <c r="H690" s="85">
        <v>0</v>
      </c>
      <c r="I690" s="103">
        <f>IFERROR(VLOOKUP(B690,'July 2026-Recived'!$B$2:$H$1300,7,0),0)</f>
        <v>0</v>
      </c>
      <c r="J690" s="103">
        <f>IFERROR(VLOOKUP(B690,'July 2026- Dispatch'!$B$2:$H$1300,7,0),0)</f>
        <v>0</v>
      </c>
      <c r="K690" s="61">
        <f t="shared" si="10"/>
        <v>0</v>
      </c>
      <c r="L690" s="123">
        <v>0</v>
      </c>
    </row>
    <row r="691" spans="1:12" hidden="1" x14ac:dyDescent="0.25">
      <c r="A691" s="7">
        <v>690</v>
      </c>
      <c r="B691" s="152" t="s">
        <v>3822</v>
      </c>
      <c r="C691" s="153" t="s">
        <v>3823</v>
      </c>
      <c r="D691" s="153" t="s">
        <v>3824</v>
      </c>
      <c r="E691" s="153" t="s">
        <v>2083</v>
      </c>
      <c r="F691" s="6"/>
      <c r="G691" s="6"/>
      <c r="H691" s="85">
        <v>0</v>
      </c>
      <c r="I691" s="103">
        <f>IFERROR(VLOOKUP(B691,'July 2026-Recived'!$B$2:$H$1300,7,0),0)</f>
        <v>0</v>
      </c>
      <c r="J691" s="103">
        <f>IFERROR(VLOOKUP(B691,'July 2026- Dispatch'!$B$2:$H$1300,7,0),0)</f>
        <v>0</v>
      </c>
      <c r="K691" s="61">
        <f>H691+I691-J691</f>
        <v>0</v>
      </c>
      <c r="L691" s="123">
        <v>0</v>
      </c>
    </row>
    <row r="692" spans="1:12" hidden="1" x14ac:dyDescent="0.25">
      <c r="A692" s="7">
        <v>691</v>
      </c>
      <c r="B692" s="152" t="s">
        <v>3825</v>
      </c>
      <c r="C692" s="153" t="s">
        <v>3826</v>
      </c>
      <c r="D692" s="153" t="s">
        <v>3827</v>
      </c>
      <c r="E692" s="153" t="s">
        <v>2083</v>
      </c>
      <c r="F692" s="6"/>
      <c r="G692" s="6"/>
      <c r="H692" s="85">
        <v>0</v>
      </c>
      <c r="I692" s="103">
        <f>IFERROR(VLOOKUP(B692,'July 2026-Recived'!$B$2:$H$1300,7,0),0)</f>
        <v>0</v>
      </c>
      <c r="J692" s="103">
        <f>IFERROR(VLOOKUP(B692,'July 2026- Dispatch'!$B$2:$H$1300,7,0),0)</f>
        <v>0</v>
      </c>
      <c r="K692" s="61">
        <f>H692+I692-J692</f>
        <v>0</v>
      </c>
      <c r="L692" s="123">
        <v>0</v>
      </c>
    </row>
    <row r="693" spans="1:12" hidden="1" x14ac:dyDescent="0.25">
      <c r="A693" s="7">
        <v>692</v>
      </c>
      <c r="B693" s="152" t="s">
        <v>3828</v>
      </c>
      <c r="C693" s="153" t="s">
        <v>3829</v>
      </c>
      <c r="D693" s="153" t="s">
        <v>3830</v>
      </c>
      <c r="E693" s="153" t="s">
        <v>2083</v>
      </c>
      <c r="F693" s="6"/>
      <c r="G693" s="6"/>
      <c r="H693" s="85">
        <v>0</v>
      </c>
      <c r="I693" s="103">
        <f>IFERROR(VLOOKUP(B693,'July 2026-Recived'!$B$2:$H$1300,7,0),0)</f>
        <v>0</v>
      </c>
      <c r="J693" s="103">
        <f>IFERROR(VLOOKUP(B693,'July 2026- Dispatch'!$B$2:$H$1300,7,0),0)</f>
        <v>0</v>
      </c>
      <c r="K693" s="61">
        <f t="shared" si="10"/>
        <v>0</v>
      </c>
      <c r="L693" s="123">
        <v>0</v>
      </c>
    </row>
    <row r="694" spans="1:12" hidden="1" x14ac:dyDescent="0.25">
      <c r="A694" s="7">
        <v>693</v>
      </c>
      <c r="B694" s="152" t="s">
        <v>3831</v>
      </c>
      <c r="C694" s="153" t="s">
        <v>3832</v>
      </c>
      <c r="D694" s="153" t="s">
        <v>3833</v>
      </c>
      <c r="E694" s="153" t="s">
        <v>2083</v>
      </c>
      <c r="F694" s="6"/>
      <c r="G694" s="6"/>
      <c r="H694" s="85">
        <v>0</v>
      </c>
      <c r="I694" s="103">
        <f>IFERROR(VLOOKUP(B694,'July 2026-Recived'!$B$2:$H$1300,7,0),0)</f>
        <v>0</v>
      </c>
      <c r="J694" s="103">
        <f>IFERROR(VLOOKUP(B694,'July 2026- Dispatch'!$B$2:$H$1300,7,0),0)</f>
        <v>0</v>
      </c>
      <c r="K694" s="61">
        <f t="shared" si="10"/>
        <v>0</v>
      </c>
      <c r="L694" s="123">
        <v>0</v>
      </c>
    </row>
    <row r="695" spans="1:12" hidden="1" x14ac:dyDescent="0.25">
      <c r="A695" s="7">
        <v>694</v>
      </c>
      <c r="B695" s="152" t="s">
        <v>3834</v>
      </c>
      <c r="C695" s="153" t="s">
        <v>3835</v>
      </c>
      <c r="D695" s="153" t="s">
        <v>3836</v>
      </c>
      <c r="E695" s="153" t="s">
        <v>2086</v>
      </c>
      <c r="F695" s="6"/>
      <c r="G695" s="6"/>
      <c r="H695" s="85">
        <v>20000</v>
      </c>
      <c r="I695" s="103">
        <f>IFERROR(VLOOKUP(B695,'July 2026-Recived'!$B$2:$H$1300,7,0),0)</f>
        <v>0</v>
      </c>
      <c r="J695" s="103">
        <f>IFERROR(VLOOKUP(B695,'July 2026- Dispatch'!$B$2:$H$1300,7,0),0)</f>
        <v>0</v>
      </c>
      <c r="K695" s="61">
        <f t="shared" si="10"/>
        <v>20000</v>
      </c>
      <c r="L695" s="123">
        <v>0</v>
      </c>
    </row>
    <row r="696" spans="1:12" hidden="1" x14ac:dyDescent="0.25">
      <c r="A696" s="7">
        <v>695</v>
      </c>
      <c r="B696" s="152" t="s">
        <v>3837</v>
      </c>
      <c r="C696" s="153" t="s">
        <v>3838</v>
      </c>
      <c r="D696" s="153" t="s">
        <v>3839</v>
      </c>
      <c r="E696" s="153" t="s">
        <v>2086</v>
      </c>
      <c r="F696" s="6"/>
      <c r="G696" s="6"/>
      <c r="H696" s="85">
        <v>13050</v>
      </c>
      <c r="I696" s="103">
        <f>IFERROR(VLOOKUP(B696,'July 2026-Recived'!$B$2:$H$1300,7,0),0)</f>
        <v>0</v>
      </c>
      <c r="J696" s="103">
        <f>IFERROR(VLOOKUP(B696,'July 2026- Dispatch'!$B$2:$H$1300,7,0),0)</f>
        <v>0</v>
      </c>
      <c r="K696" s="61">
        <f t="shared" si="10"/>
        <v>13050</v>
      </c>
      <c r="L696" s="123">
        <v>0</v>
      </c>
    </row>
    <row r="697" spans="1:12" hidden="1" x14ac:dyDescent="0.25">
      <c r="A697" s="7">
        <v>696</v>
      </c>
      <c r="B697" s="152" t="s">
        <v>3840</v>
      </c>
      <c r="C697" s="153" t="s">
        <v>3841</v>
      </c>
      <c r="D697" s="153" t="s">
        <v>3842</v>
      </c>
      <c r="E697" s="153" t="s">
        <v>2083</v>
      </c>
      <c r="F697" s="6"/>
      <c r="G697" s="6"/>
      <c r="H697" s="85">
        <v>0</v>
      </c>
      <c r="I697" s="103">
        <f>IFERROR(VLOOKUP(B697,'July 2026-Recived'!$B$2:$H$1300,7,0),0)</f>
        <v>0</v>
      </c>
      <c r="J697" s="103">
        <f>IFERROR(VLOOKUP(B697,'July 2026- Dispatch'!$B$2:$H$1300,7,0),0)</f>
        <v>0</v>
      </c>
      <c r="K697" s="61">
        <f t="shared" si="10"/>
        <v>0</v>
      </c>
      <c r="L697" s="123">
        <v>0</v>
      </c>
    </row>
    <row r="698" spans="1:12" hidden="1" x14ac:dyDescent="0.25">
      <c r="A698" s="7">
        <v>697</v>
      </c>
      <c r="B698" s="152" t="s">
        <v>3843</v>
      </c>
      <c r="C698" s="153" t="s">
        <v>3844</v>
      </c>
      <c r="D698" s="153" t="s">
        <v>3845</v>
      </c>
      <c r="E698" s="153" t="s">
        <v>2083</v>
      </c>
      <c r="F698" s="6"/>
      <c r="G698" s="6"/>
      <c r="H698" s="85">
        <v>0</v>
      </c>
      <c r="I698" s="103">
        <f>IFERROR(VLOOKUP(B698,'July 2026-Recived'!$B$2:$H$1300,7,0),0)</f>
        <v>0</v>
      </c>
      <c r="J698" s="103">
        <f>IFERROR(VLOOKUP(B698,'July 2026- Dispatch'!$B$2:$H$1300,7,0),0)</f>
        <v>0</v>
      </c>
      <c r="K698" s="61">
        <f t="shared" si="10"/>
        <v>0</v>
      </c>
      <c r="L698" s="123">
        <v>0</v>
      </c>
    </row>
    <row r="699" spans="1:12" hidden="1" x14ac:dyDescent="0.25">
      <c r="A699" s="7">
        <v>698</v>
      </c>
      <c r="B699" s="152" t="s">
        <v>3846</v>
      </c>
      <c r="C699" s="153" t="s">
        <v>3847</v>
      </c>
      <c r="D699" s="153" t="s">
        <v>3848</v>
      </c>
      <c r="E699" s="153" t="s">
        <v>2083</v>
      </c>
      <c r="F699" s="6"/>
      <c r="G699" s="6"/>
      <c r="H699" s="85">
        <v>0</v>
      </c>
      <c r="I699" s="103">
        <f>IFERROR(VLOOKUP(B699,'July 2026-Recived'!$B$2:$H$1300,7,0),0)</f>
        <v>0</v>
      </c>
      <c r="J699" s="103">
        <f>IFERROR(VLOOKUP(B699,'July 2026- Dispatch'!$B$2:$H$1300,7,0),0)</f>
        <v>0</v>
      </c>
      <c r="K699" s="61">
        <f t="shared" si="10"/>
        <v>0</v>
      </c>
      <c r="L699" s="123">
        <v>0</v>
      </c>
    </row>
    <row r="700" spans="1:12" hidden="1" x14ac:dyDescent="0.25">
      <c r="A700" s="7">
        <v>699</v>
      </c>
      <c r="B700" s="152" t="s">
        <v>3849</v>
      </c>
      <c r="C700" s="153" t="s">
        <v>3850</v>
      </c>
      <c r="D700" s="153" t="s">
        <v>3851</v>
      </c>
      <c r="E700" s="153" t="s">
        <v>2083</v>
      </c>
      <c r="F700" s="6"/>
      <c r="G700" s="6"/>
      <c r="H700" s="85">
        <v>0</v>
      </c>
      <c r="I700" s="103">
        <f>IFERROR(VLOOKUP(B700,'July 2026-Recived'!$B$2:$H$1300,7,0),0)</f>
        <v>0</v>
      </c>
      <c r="J700" s="103">
        <f>IFERROR(VLOOKUP(B700,'July 2026- Dispatch'!$B$2:$H$1300,7,0),0)</f>
        <v>0</v>
      </c>
      <c r="K700" s="61">
        <f t="shared" si="10"/>
        <v>0</v>
      </c>
      <c r="L700" s="123">
        <v>0</v>
      </c>
    </row>
    <row r="701" spans="1:12" hidden="1" x14ac:dyDescent="0.25">
      <c r="A701" s="7">
        <v>700</v>
      </c>
      <c r="B701" s="152" t="s">
        <v>3852</v>
      </c>
      <c r="C701" s="153" t="s">
        <v>3853</v>
      </c>
      <c r="D701" s="153" t="s">
        <v>3854</v>
      </c>
      <c r="E701" s="153" t="s">
        <v>2083</v>
      </c>
      <c r="F701" s="6"/>
      <c r="G701" s="6"/>
      <c r="H701" s="85">
        <v>0</v>
      </c>
      <c r="I701" s="103">
        <f>IFERROR(VLOOKUP(B701,'July 2026-Recived'!$B$2:$H$1300,7,0),0)</f>
        <v>0</v>
      </c>
      <c r="J701" s="103">
        <f>IFERROR(VLOOKUP(B701,'July 2026- Dispatch'!$B$2:$H$1300,7,0),0)</f>
        <v>0</v>
      </c>
      <c r="K701" s="61">
        <f t="shared" si="10"/>
        <v>0</v>
      </c>
      <c r="L701" s="123">
        <v>0</v>
      </c>
    </row>
    <row r="702" spans="1:12" hidden="1" x14ac:dyDescent="0.25">
      <c r="A702" s="7">
        <v>701</v>
      </c>
      <c r="B702" s="152" t="s">
        <v>3855</v>
      </c>
      <c r="C702" s="153" t="s">
        <v>3856</v>
      </c>
      <c r="D702" s="153" t="s">
        <v>3857</v>
      </c>
      <c r="E702" s="153" t="s">
        <v>2083</v>
      </c>
      <c r="F702" s="6"/>
      <c r="G702" s="6"/>
      <c r="H702" s="85">
        <v>0</v>
      </c>
      <c r="I702" s="103">
        <f>IFERROR(VLOOKUP(B702,'July 2026-Recived'!$B$2:$H$1300,7,0),0)</f>
        <v>0</v>
      </c>
      <c r="J702" s="103">
        <f>IFERROR(VLOOKUP(B702,'July 2026- Dispatch'!$B$2:$H$1300,7,0),0)</f>
        <v>0</v>
      </c>
      <c r="K702" s="61">
        <f t="shared" si="10"/>
        <v>0</v>
      </c>
      <c r="L702" s="123">
        <v>0</v>
      </c>
    </row>
    <row r="703" spans="1:12" hidden="1" x14ac:dyDescent="0.25">
      <c r="A703" s="7">
        <v>702</v>
      </c>
      <c r="B703" s="152" t="s">
        <v>3858</v>
      </c>
      <c r="C703" s="153" t="s">
        <v>3859</v>
      </c>
      <c r="D703" s="153" t="s">
        <v>3860</v>
      </c>
      <c r="E703" s="153" t="s">
        <v>2083</v>
      </c>
      <c r="F703" s="6"/>
      <c r="G703" s="6"/>
      <c r="H703" s="85">
        <v>0</v>
      </c>
      <c r="I703" s="103">
        <f>IFERROR(VLOOKUP(B703,'July 2026-Recived'!$B$2:$H$1300,7,0),0)</f>
        <v>0</v>
      </c>
      <c r="J703" s="103">
        <f>IFERROR(VLOOKUP(B703,'July 2026- Dispatch'!$B$2:$H$1300,7,0),0)</f>
        <v>0</v>
      </c>
      <c r="K703" s="61">
        <f t="shared" si="10"/>
        <v>0</v>
      </c>
      <c r="L703" s="123">
        <v>0</v>
      </c>
    </row>
    <row r="704" spans="1:12" hidden="1" x14ac:dyDescent="0.25">
      <c r="A704" s="7">
        <v>703</v>
      </c>
      <c r="B704" s="152" t="s">
        <v>3861</v>
      </c>
      <c r="C704" s="153" t="s">
        <v>3862</v>
      </c>
      <c r="D704" s="153" t="s">
        <v>3863</v>
      </c>
      <c r="E704" s="153" t="s">
        <v>2083</v>
      </c>
      <c r="F704" s="6"/>
      <c r="G704" s="6"/>
      <c r="H704" s="85">
        <v>0</v>
      </c>
      <c r="I704" s="103">
        <f>IFERROR(VLOOKUP(B704,'July 2026-Recived'!$B$2:$H$1300,7,0),0)</f>
        <v>0</v>
      </c>
      <c r="J704" s="103">
        <f>IFERROR(VLOOKUP(B704,'July 2026- Dispatch'!$B$2:$H$1300,7,0),0)</f>
        <v>0</v>
      </c>
      <c r="K704" s="61">
        <f t="shared" si="10"/>
        <v>0</v>
      </c>
      <c r="L704" s="123">
        <v>0</v>
      </c>
    </row>
    <row r="705" spans="1:12" hidden="1" x14ac:dyDescent="0.25">
      <c r="A705" s="7">
        <v>704</v>
      </c>
      <c r="B705" s="152" t="s">
        <v>3864</v>
      </c>
      <c r="C705" s="153" t="s">
        <v>3865</v>
      </c>
      <c r="D705" s="153" t="s">
        <v>3866</v>
      </c>
      <c r="E705" s="153" t="s">
        <v>2083</v>
      </c>
      <c r="F705" s="6"/>
      <c r="G705" s="6"/>
      <c r="H705" s="85">
        <v>0</v>
      </c>
      <c r="I705" s="103">
        <f>IFERROR(VLOOKUP(B705,'July 2026-Recived'!$B$2:$H$1300,7,0),0)</f>
        <v>0</v>
      </c>
      <c r="J705" s="103">
        <f>IFERROR(VLOOKUP(B705,'July 2026- Dispatch'!$B$2:$H$1300,7,0),0)</f>
        <v>0</v>
      </c>
      <c r="K705" s="61">
        <f t="shared" si="10"/>
        <v>0</v>
      </c>
      <c r="L705" s="123">
        <v>0</v>
      </c>
    </row>
    <row r="706" spans="1:12" hidden="1" x14ac:dyDescent="0.25">
      <c r="A706" s="7">
        <v>705</v>
      </c>
      <c r="B706" s="152" t="s">
        <v>3867</v>
      </c>
      <c r="C706" s="153" t="s">
        <v>3868</v>
      </c>
      <c r="D706" s="153" t="s">
        <v>3869</v>
      </c>
      <c r="E706" s="153" t="s">
        <v>2083</v>
      </c>
      <c r="F706" s="6"/>
      <c r="G706" s="6"/>
      <c r="H706" s="85">
        <v>0</v>
      </c>
      <c r="I706" s="103">
        <f>IFERROR(VLOOKUP(B706,'July 2026-Recived'!$B$2:$H$1300,7,0),0)</f>
        <v>0</v>
      </c>
      <c r="J706" s="103">
        <f>IFERROR(VLOOKUP(B706,'July 2026- Dispatch'!$B$2:$H$1300,7,0),0)</f>
        <v>0</v>
      </c>
      <c r="K706" s="61">
        <f t="shared" ref="K706:K769" si="11">H706+I706-J706</f>
        <v>0</v>
      </c>
      <c r="L706" s="123">
        <v>0</v>
      </c>
    </row>
    <row r="707" spans="1:12" hidden="1" x14ac:dyDescent="0.25">
      <c r="A707" s="7">
        <v>706</v>
      </c>
      <c r="B707" s="152" t="s">
        <v>3870</v>
      </c>
      <c r="C707" s="153" t="s">
        <v>3871</v>
      </c>
      <c r="D707" s="153" t="s">
        <v>3872</v>
      </c>
      <c r="E707" s="153" t="s">
        <v>2083</v>
      </c>
      <c r="F707" s="6"/>
      <c r="G707" s="6"/>
      <c r="H707" s="85">
        <v>0</v>
      </c>
      <c r="I707" s="103">
        <f>IFERROR(VLOOKUP(B707,'July 2026-Recived'!$B$2:$H$1300,7,0),0)</f>
        <v>0</v>
      </c>
      <c r="J707" s="103">
        <f>IFERROR(VLOOKUP(B707,'July 2026- Dispatch'!$B$2:$H$1300,7,0),0)</f>
        <v>0</v>
      </c>
      <c r="K707" s="61">
        <f t="shared" si="11"/>
        <v>0</v>
      </c>
      <c r="L707" s="123">
        <v>0</v>
      </c>
    </row>
    <row r="708" spans="1:12" hidden="1" x14ac:dyDescent="0.25">
      <c r="A708" s="7">
        <v>707</v>
      </c>
      <c r="B708" s="152" t="s">
        <v>1671</v>
      </c>
      <c r="C708" s="153" t="s">
        <v>3873</v>
      </c>
      <c r="D708" s="153" t="s">
        <v>3874</v>
      </c>
      <c r="E708" s="153" t="s">
        <v>2083</v>
      </c>
      <c r="F708" s="6"/>
      <c r="G708" s="6"/>
      <c r="H708" s="85">
        <v>0</v>
      </c>
      <c r="I708" s="103">
        <f>IFERROR(VLOOKUP(B708,'July 2026-Recived'!$B$2:$H$1300,7,0),0)</f>
        <v>0</v>
      </c>
      <c r="J708" s="103">
        <f>IFERROR(VLOOKUP(B708,'July 2026- Dispatch'!$B$2:$H$1300,7,0),0)</f>
        <v>0</v>
      </c>
      <c r="K708" s="61">
        <f t="shared" si="11"/>
        <v>0</v>
      </c>
      <c r="L708" s="123">
        <v>0</v>
      </c>
    </row>
    <row r="709" spans="1:12" hidden="1" x14ac:dyDescent="0.25">
      <c r="A709" s="7">
        <v>708</v>
      </c>
      <c r="B709" s="152" t="s">
        <v>3875</v>
      </c>
      <c r="C709" s="153" t="s">
        <v>3876</v>
      </c>
      <c r="D709" s="153" t="s">
        <v>3877</v>
      </c>
      <c r="E709" s="153" t="s">
        <v>2083</v>
      </c>
      <c r="F709" s="6"/>
      <c r="G709" s="6"/>
      <c r="H709" s="85">
        <v>0</v>
      </c>
      <c r="I709" s="103">
        <f>IFERROR(VLOOKUP(B709,'July 2026-Recived'!$B$2:$H$1300,7,0),0)</f>
        <v>0</v>
      </c>
      <c r="J709" s="103">
        <f>IFERROR(VLOOKUP(B709,'July 2026- Dispatch'!$B$2:$H$1300,7,0),0)</f>
        <v>0</v>
      </c>
      <c r="K709" s="61">
        <f t="shared" si="11"/>
        <v>0</v>
      </c>
      <c r="L709" s="123">
        <v>0</v>
      </c>
    </row>
    <row r="710" spans="1:12" hidden="1" x14ac:dyDescent="0.25">
      <c r="A710" s="7">
        <v>709</v>
      </c>
      <c r="B710" s="152" t="s">
        <v>3878</v>
      </c>
      <c r="C710" s="153" t="s">
        <v>3879</v>
      </c>
      <c r="D710" s="153" t="s">
        <v>3880</v>
      </c>
      <c r="E710" s="153" t="s">
        <v>2083</v>
      </c>
      <c r="F710" s="6"/>
      <c r="G710" s="6"/>
      <c r="H710" s="85">
        <v>0</v>
      </c>
      <c r="I710" s="103">
        <f>IFERROR(VLOOKUP(B710,'July 2026-Recived'!$B$2:$H$1300,7,0),0)</f>
        <v>0</v>
      </c>
      <c r="J710" s="103">
        <f>IFERROR(VLOOKUP(B710,'July 2026- Dispatch'!$B$2:$H$1300,7,0),0)</f>
        <v>0</v>
      </c>
      <c r="K710" s="61">
        <f t="shared" si="11"/>
        <v>0</v>
      </c>
      <c r="L710" s="123">
        <v>0</v>
      </c>
    </row>
    <row r="711" spans="1:12" hidden="1" x14ac:dyDescent="0.25">
      <c r="A711" s="7">
        <v>710</v>
      </c>
      <c r="B711" s="152" t="s">
        <v>3881</v>
      </c>
      <c r="C711" s="153" t="s">
        <v>3882</v>
      </c>
      <c r="D711" s="153" t="s">
        <v>3883</v>
      </c>
      <c r="E711" s="153" t="s">
        <v>2083</v>
      </c>
      <c r="F711" s="6"/>
      <c r="G711" s="6"/>
      <c r="H711" s="85">
        <v>0</v>
      </c>
      <c r="I711" s="103">
        <f>IFERROR(VLOOKUP(B711,'July 2026-Recived'!$B$2:$H$1300,7,0),0)</f>
        <v>0</v>
      </c>
      <c r="J711" s="103">
        <f>IFERROR(VLOOKUP(B711,'July 2026- Dispatch'!$B$2:$H$1300,7,0),0)</f>
        <v>0</v>
      </c>
      <c r="K711" s="61">
        <f t="shared" si="11"/>
        <v>0</v>
      </c>
      <c r="L711" s="123">
        <v>0</v>
      </c>
    </row>
    <row r="712" spans="1:12" hidden="1" x14ac:dyDescent="0.25">
      <c r="A712" s="7">
        <v>711</v>
      </c>
      <c r="B712" s="152" t="s">
        <v>3884</v>
      </c>
      <c r="C712" s="153" t="s">
        <v>3885</v>
      </c>
      <c r="D712" s="153" t="s">
        <v>3886</v>
      </c>
      <c r="E712" s="153" t="s">
        <v>2083</v>
      </c>
      <c r="F712" s="6"/>
      <c r="G712" s="6"/>
      <c r="H712" s="85">
        <v>0</v>
      </c>
      <c r="I712" s="103">
        <f>IFERROR(VLOOKUP(B712,'July 2026-Recived'!$B$2:$H$1300,7,0),0)</f>
        <v>0</v>
      </c>
      <c r="J712" s="103">
        <f>IFERROR(VLOOKUP(B712,'July 2026- Dispatch'!$B$2:$H$1300,7,0),0)</f>
        <v>0</v>
      </c>
      <c r="K712" s="61">
        <f t="shared" si="11"/>
        <v>0</v>
      </c>
      <c r="L712" s="123">
        <v>0</v>
      </c>
    </row>
    <row r="713" spans="1:12" hidden="1" x14ac:dyDescent="0.25">
      <c r="A713" s="7">
        <v>712</v>
      </c>
      <c r="B713" s="152" t="s">
        <v>3887</v>
      </c>
      <c r="C713" s="153" t="s">
        <v>3888</v>
      </c>
      <c r="D713" s="153" t="s">
        <v>3889</v>
      </c>
      <c r="E713" s="153" t="s">
        <v>2083</v>
      </c>
      <c r="F713" s="6"/>
      <c r="G713" s="6"/>
      <c r="H713" s="85">
        <v>0</v>
      </c>
      <c r="I713" s="103">
        <f>IFERROR(VLOOKUP(B713,'July 2026-Recived'!$B$2:$H$1300,7,0),0)</f>
        <v>0</v>
      </c>
      <c r="J713" s="103">
        <f>IFERROR(VLOOKUP(B713,'July 2026- Dispatch'!$B$2:$H$1300,7,0),0)</f>
        <v>0</v>
      </c>
      <c r="K713" s="61">
        <f t="shared" si="11"/>
        <v>0</v>
      </c>
      <c r="L713" s="123">
        <v>0</v>
      </c>
    </row>
    <row r="714" spans="1:12" hidden="1" x14ac:dyDescent="0.25">
      <c r="A714" s="7">
        <v>713</v>
      </c>
      <c r="B714" s="152" t="s">
        <v>3890</v>
      </c>
      <c r="C714" s="153" t="s">
        <v>3891</v>
      </c>
      <c r="D714" s="153" t="s">
        <v>3892</v>
      </c>
      <c r="E714" s="153" t="s">
        <v>2083</v>
      </c>
      <c r="F714" s="6"/>
      <c r="G714" s="6"/>
      <c r="H714" s="85">
        <v>0</v>
      </c>
      <c r="I714" s="103">
        <f>IFERROR(VLOOKUP(B714,'July 2026-Recived'!$B$2:$H$1300,7,0),0)</f>
        <v>0</v>
      </c>
      <c r="J714" s="103">
        <f>IFERROR(VLOOKUP(B714,'July 2026- Dispatch'!$B$2:$H$1300,7,0),0)</f>
        <v>0</v>
      </c>
      <c r="K714" s="61">
        <f t="shared" si="11"/>
        <v>0</v>
      </c>
      <c r="L714" s="123">
        <v>0</v>
      </c>
    </row>
    <row r="715" spans="1:12" hidden="1" x14ac:dyDescent="0.25">
      <c r="A715" s="7">
        <v>714</v>
      </c>
      <c r="B715" s="152" t="s">
        <v>3893</v>
      </c>
      <c r="C715" s="153" t="s">
        <v>3894</v>
      </c>
      <c r="D715" s="153" t="s">
        <v>3895</v>
      </c>
      <c r="E715" s="153" t="s">
        <v>2083</v>
      </c>
      <c r="F715" s="6"/>
      <c r="G715" s="6"/>
      <c r="H715" s="85">
        <v>0</v>
      </c>
      <c r="I715" s="103">
        <f>IFERROR(VLOOKUP(B715,'July 2026-Recived'!$B$2:$H$1300,7,0),0)</f>
        <v>0</v>
      </c>
      <c r="J715" s="103">
        <f>IFERROR(VLOOKUP(B715,'July 2026- Dispatch'!$B$2:$H$1300,7,0),0)</f>
        <v>0</v>
      </c>
      <c r="K715" s="61">
        <f t="shared" si="11"/>
        <v>0</v>
      </c>
      <c r="L715" s="123">
        <v>0</v>
      </c>
    </row>
    <row r="716" spans="1:12" hidden="1" x14ac:dyDescent="0.25">
      <c r="A716" s="7">
        <v>715</v>
      </c>
      <c r="B716" s="152" t="s">
        <v>3896</v>
      </c>
      <c r="C716" s="153" t="s">
        <v>3897</v>
      </c>
      <c r="D716" s="153" t="s">
        <v>3898</v>
      </c>
      <c r="E716" s="153" t="s">
        <v>2083</v>
      </c>
      <c r="F716" s="6"/>
      <c r="G716" s="6"/>
      <c r="H716" s="85">
        <v>0</v>
      </c>
      <c r="I716" s="103">
        <f>IFERROR(VLOOKUP(B716,'July 2026-Recived'!$B$2:$H$1300,7,0),0)</f>
        <v>0</v>
      </c>
      <c r="J716" s="103">
        <f>IFERROR(VLOOKUP(B716,'July 2026- Dispatch'!$B$2:$H$1300,7,0),0)</f>
        <v>0</v>
      </c>
      <c r="K716" s="61">
        <f t="shared" si="11"/>
        <v>0</v>
      </c>
      <c r="L716" s="123">
        <v>0</v>
      </c>
    </row>
    <row r="717" spans="1:12" hidden="1" x14ac:dyDescent="0.25">
      <c r="A717" s="7">
        <v>716</v>
      </c>
      <c r="B717" s="152" t="s">
        <v>3899</v>
      </c>
      <c r="C717" s="153" t="s">
        <v>3900</v>
      </c>
      <c r="D717" s="153" t="s">
        <v>3901</v>
      </c>
      <c r="E717" s="153" t="s">
        <v>2083</v>
      </c>
      <c r="F717" s="6"/>
      <c r="G717" s="6"/>
      <c r="H717" s="85">
        <v>0</v>
      </c>
      <c r="I717" s="103">
        <f>IFERROR(VLOOKUP(B717,'July 2026-Recived'!$B$2:$H$1300,7,0),0)</f>
        <v>0</v>
      </c>
      <c r="J717" s="103">
        <f>IFERROR(VLOOKUP(B717,'July 2026- Dispatch'!$B$2:$H$1300,7,0),0)</f>
        <v>0</v>
      </c>
      <c r="K717" s="61">
        <f t="shared" si="11"/>
        <v>0</v>
      </c>
      <c r="L717" s="123">
        <v>0</v>
      </c>
    </row>
    <row r="718" spans="1:12" hidden="1" x14ac:dyDescent="0.25">
      <c r="A718" s="7">
        <v>717</v>
      </c>
      <c r="B718" s="152" t="s">
        <v>3902</v>
      </c>
      <c r="C718" s="153" t="s">
        <v>3903</v>
      </c>
      <c r="D718" s="153" t="s">
        <v>3904</v>
      </c>
      <c r="E718" s="153" t="s">
        <v>2083</v>
      </c>
      <c r="F718" s="6"/>
      <c r="G718" s="6"/>
      <c r="H718" s="85">
        <v>0</v>
      </c>
      <c r="I718" s="103">
        <f>IFERROR(VLOOKUP(B718,'July 2026-Recived'!$B$2:$H$1300,7,0),0)</f>
        <v>0</v>
      </c>
      <c r="J718" s="103">
        <f>IFERROR(VLOOKUP(B718,'July 2026- Dispatch'!$B$2:$H$1300,7,0),0)</f>
        <v>0</v>
      </c>
      <c r="K718" s="61">
        <f t="shared" si="11"/>
        <v>0</v>
      </c>
      <c r="L718" s="123">
        <v>0</v>
      </c>
    </row>
    <row r="719" spans="1:12" hidden="1" x14ac:dyDescent="0.25">
      <c r="A719" s="7">
        <v>718</v>
      </c>
      <c r="B719" s="152" t="s">
        <v>3905</v>
      </c>
      <c r="C719" s="153" t="s">
        <v>3906</v>
      </c>
      <c r="D719" s="153" t="s">
        <v>3907</v>
      </c>
      <c r="E719" s="153" t="s">
        <v>2083</v>
      </c>
      <c r="F719" s="6"/>
      <c r="G719" s="6"/>
      <c r="H719" s="85">
        <v>0</v>
      </c>
      <c r="I719" s="103">
        <f>IFERROR(VLOOKUP(B719,'July 2026-Recived'!$B$2:$H$1300,7,0),0)</f>
        <v>0</v>
      </c>
      <c r="J719" s="103">
        <f>IFERROR(VLOOKUP(B719,'July 2026- Dispatch'!$B$2:$H$1300,7,0),0)</f>
        <v>0</v>
      </c>
      <c r="K719" s="61">
        <f t="shared" si="11"/>
        <v>0</v>
      </c>
      <c r="L719" s="123">
        <v>0</v>
      </c>
    </row>
    <row r="720" spans="1:12" hidden="1" x14ac:dyDescent="0.25">
      <c r="A720" s="7">
        <v>719</v>
      </c>
      <c r="B720" s="152" t="s">
        <v>3908</v>
      </c>
      <c r="C720" s="153" t="s">
        <v>3909</v>
      </c>
      <c r="D720" s="153" t="s">
        <v>3910</v>
      </c>
      <c r="E720" s="153" t="s">
        <v>2083</v>
      </c>
      <c r="F720" s="6"/>
      <c r="G720" s="6"/>
      <c r="H720" s="85">
        <v>0</v>
      </c>
      <c r="I720" s="103">
        <f>IFERROR(VLOOKUP(B720,'July 2026-Recived'!$B$2:$H$1300,7,0),0)</f>
        <v>0</v>
      </c>
      <c r="J720" s="103">
        <f>IFERROR(VLOOKUP(B720,'July 2026- Dispatch'!$B$2:$H$1300,7,0),0)</f>
        <v>0</v>
      </c>
      <c r="K720" s="61">
        <f t="shared" si="11"/>
        <v>0</v>
      </c>
      <c r="L720" s="123">
        <v>0</v>
      </c>
    </row>
    <row r="721" spans="1:13" hidden="1" x14ac:dyDescent="0.25">
      <c r="A721" s="7">
        <v>720</v>
      </c>
      <c r="B721" s="152" t="s">
        <v>3911</v>
      </c>
      <c r="C721" s="153" t="s">
        <v>3912</v>
      </c>
      <c r="D721" s="153" t="s">
        <v>3913</v>
      </c>
      <c r="E721" s="153" t="s">
        <v>2083</v>
      </c>
      <c r="F721" s="6"/>
      <c r="G721" s="6"/>
      <c r="H721" s="85">
        <v>0</v>
      </c>
      <c r="I721" s="103">
        <f>IFERROR(VLOOKUP(B721,'July 2026-Recived'!$B$2:$H$1300,7,0),0)</f>
        <v>0</v>
      </c>
      <c r="J721" s="103">
        <f>IFERROR(VLOOKUP(B721,'July 2026- Dispatch'!$B$2:$H$1300,7,0),0)</f>
        <v>0</v>
      </c>
      <c r="K721" s="61">
        <f t="shared" si="11"/>
        <v>0</v>
      </c>
      <c r="L721" s="123">
        <v>0</v>
      </c>
    </row>
    <row r="722" spans="1:13" hidden="1" x14ac:dyDescent="0.25">
      <c r="A722" s="7">
        <v>721</v>
      </c>
      <c r="B722" s="152" t="s">
        <v>3914</v>
      </c>
      <c r="C722" s="153" t="s">
        <v>3915</v>
      </c>
      <c r="D722" s="153" t="s">
        <v>3916</v>
      </c>
      <c r="E722" s="153" t="s">
        <v>2086</v>
      </c>
      <c r="F722" s="6"/>
      <c r="G722" s="6"/>
      <c r="H722" s="85">
        <v>2700</v>
      </c>
      <c r="I722" s="103">
        <f>IFERROR(VLOOKUP(B722,'July 2026-Recived'!$B$2:$H$1300,7,0),0)</f>
        <v>0</v>
      </c>
      <c r="J722" s="103">
        <f>IFERROR(VLOOKUP(B722,'July 2026- Dispatch'!$B$2:$H$1300,7,0),0)</f>
        <v>1000</v>
      </c>
      <c r="K722" s="61">
        <f t="shared" si="11"/>
        <v>1700</v>
      </c>
      <c r="L722" s="123">
        <v>0</v>
      </c>
    </row>
    <row r="723" spans="1:13" hidden="1" x14ac:dyDescent="0.25">
      <c r="A723" s="7">
        <v>722</v>
      </c>
      <c r="B723" s="152" t="s">
        <v>3917</v>
      </c>
      <c r="C723" s="153" t="s">
        <v>3918</v>
      </c>
      <c r="D723" s="153" t="s">
        <v>3919</v>
      </c>
      <c r="E723" s="153" t="s">
        <v>2083</v>
      </c>
      <c r="F723" s="6"/>
      <c r="G723" s="6"/>
      <c r="H723" s="85">
        <v>0</v>
      </c>
      <c r="I723" s="103">
        <f>IFERROR(VLOOKUP(B723,'July 2026-Recived'!$B$2:$H$1300,7,0),0)</f>
        <v>0</v>
      </c>
      <c r="J723" s="103">
        <f>IFERROR(VLOOKUP(B723,'July 2026- Dispatch'!$B$2:$H$1300,7,0),0)</f>
        <v>0</v>
      </c>
      <c r="K723" s="61">
        <f t="shared" si="11"/>
        <v>0</v>
      </c>
      <c r="L723" s="123">
        <v>0</v>
      </c>
    </row>
    <row r="724" spans="1:13" hidden="1" x14ac:dyDescent="0.25">
      <c r="A724" s="7">
        <v>723</v>
      </c>
      <c r="B724" s="152" t="s">
        <v>3920</v>
      </c>
      <c r="C724" s="153" t="s">
        <v>3921</v>
      </c>
      <c r="D724" s="153" t="s">
        <v>3922</v>
      </c>
      <c r="E724" s="153" t="s">
        <v>2086</v>
      </c>
      <c r="F724" s="6"/>
      <c r="G724" s="6"/>
      <c r="H724" s="85">
        <v>26040</v>
      </c>
      <c r="I724" s="103">
        <f>IFERROR(VLOOKUP(B724,'July 2026-Recived'!$B$2:$H$1300,7,0),0)</f>
        <v>0</v>
      </c>
      <c r="J724" s="103">
        <f>IFERROR(VLOOKUP(B724,'July 2026- Dispatch'!$B$2:$H$1300,7,0),0)</f>
        <v>0</v>
      </c>
      <c r="K724" s="61">
        <f t="shared" si="11"/>
        <v>26040</v>
      </c>
      <c r="L724" s="123">
        <v>0</v>
      </c>
    </row>
    <row r="725" spans="1:13" hidden="1" x14ac:dyDescent="0.25">
      <c r="A725" s="7">
        <v>724</v>
      </c>
      <c r="B725" s="152" t="s">
        <v>3923</v>
      </c>
      <c r="C725" s="153" t="s">
        <v>3924</v>
      </c>
      <c r="D725" s="153" t="s">
        <v>3925</v>
      </c>
      <c r="E725" s="153" t="s">
        <v>2083</v>
      </c>
      <c r="F725" s="6"/>
      <c r="G725" s="6"/>
      <c r="H725" s="85">
        <v>0</v>
      </c>
      <c r="I725" s="103">
        <f>IFERROR(VLOOKUP(B725,'July 2026-Recived'!$B$2:$H$1300,7,0),0)</f>
        <v>0</v>
      </c>
      <c r="J725" s="103">
        <f>IFERROR(VLOOKUP(B725,'July 2026- Dispatch'!$B$2:$H$1300,7,0),0)</f>
        <v>0</v>
      </c>
      <c r="K725" s="61">
        <f t="shared" si="11"/>
        <v>0</v>
      </c>
      <c r="L725" s="123">
        <v>0</v>
      </c>
      <c r="M725" t="s">
        <v>3926</v>
      </c>
    </row>
    <row r="726" spans="1:13" hidden="1" x14ac:dyDescent="0.25">
      <c r="A726" s="7">
        <v>725</v>
      </c>
      <c r="B726" s="152" t="s">
        <v>3927</v>
      </c>
      <c r="C726" s="153" t="s">
        <v>3928</v>
      </c>
      <c r="D726" s="153" t="s">
        <v>3929</v>
      </c>
      <c r="E726" s="153" t="s">
        <v>2086</v>
      </c>
      <c r="F726" s="6"/>
      <c r="G726" s="6"/>
      <c r="H726" s="85">
        <v>252</v>
      </c>
      <c r="I726" s="103">
        <f>IFERROR(VLOOKUP(B726,'July 2026-Recived'!$B$2:$H$1300,7,0),0)</f>
        <v>0</v>
      </c>
      <c r="J726" s="103">
        <f>IFERROR(VLOOKUP(B726,'July 2026- Dispatch'!$B$2:$H$1300,7,0),0)</f>
        <v>0</v>
      </c>
      <c r="K726" s="61">
        <f t="shared" si="11"/>
        <v>252</v>
      </c>
      <c r="L726" s="123">
        <v>0</v>
      </c>
    </row>
    <row r="727" spans="1:13" hidden="1" x14ac:dyDescent="0.25">
      <c r="A727" s="7">
        <v>726</v>
      </c>
      <c r="B727" s="152" t="s">
        <v>3930</v>
      </c>
      <c r="C727" s="153" t="s">
        <v>3931</v>
      </c>
      <c r="D727" s="153" t="s">
        <v>3932</v>
      </c>
      <c r="E727" s="153" t="s">
        <v>2083</v>
      </c>
      <c r="F727" s="6"/>
      <c r="G727" s="6"/>
      <c r="H727" s="85">
        <v>0</v>
      </c>
      <c r="I727" s="103">
        <f>IFERROR(VLOOKUP(B727,'July 2026-Recived'!$B$2:$H$1300,7,0),0)</f>
        <v>0</v>
      </c>
      <c r="J727" s="103">
        <f>IFERROR(VLOOKUP(B727,'July 2026- Dispatch'!$B$2:$H$1300,7,0),0)</f>
        <v>0</v>
      </c>
      <c r="K727" s="61">
        <f t="shared" si="11"/>
        <v>0</v>
      </c>
      <c r="L727" s="123">
        <v>0</v>
      </c>
    </row>
    <row r="728" spans="1:13" hidden="1" x14ac:dyDescent="0.25">
      <c r="A728" s="7">
        <v>727</v>
      </c>
      <c r="B728" s="152" t="s">
        <v>3933</v>
      </c>
      <c r="C728" s="153" t="s">
        <v>3934</v>
      </c>
      <c r="D728" s="153" t="s">
        <v>3935</v>
      </c>
      <c r="E728" s="153" t="s">
        <v>2083</v>
      </c>
      <c r="F728" s="6"/>
      <c r="G728" s="6"/>
      <c r="H728" s="85">
        <v>0</v>
      </c>
      <c r="I728" s="103">
        <f>IFERROR(VLOOKUP(B728,'July 2026-Recived'!$B$2:$H$1300,7,0),0)</f>
        <v>0</v>
      </c>
      <c r="J728" s="103">
        <f>IFERROR(VLOOKUP(B728,'July 2026- Dispatch'!$B$2:$H$1300,7,0),0)</f>
        <v>0</v>
      </c>
      <c r="K728" s="61">
        <f t="shared" si="11"/>
        <v>0</v>
      </c>
      <c r="L728" s="123">
        <v>0</v>
      </c>
    </row>
    <row r="729" spans="1:13" hidden="1" x14ac:dyDescent="0.25">
      <c r="A729" s="7">
        <v>728</v>
      </c>
      <c r="B729" s="152" t="s">
        <v>3936</v>
      </c>
      <c r="C729" s="153" t="s">
        <v>3937</v>
      </c>
      <c r="D729" s="153" t="s">
        <v>3938</v>
      </c>
      <c r="E729" s="153" t="s">
        <v>2083</v>
      </c>
      <c r="F729" s="6"/>
      <c r="G729" s="6"/>
      <c r="H729" s="85">
        <v>0</v>
      </c>
      <c r="I729" s="103">
        <f>IFERROR(VLOOKUP(B729,'July 2026-Recived'!$B$2:$H$1300,7,0),0)</f>
        <v>0</v>
      </c>
      <c r="J729" s="103">
        <f>IFERROR(VLOOKUP(B729,'July 2026- Dispatch'!$B$2:$H$1300,7,0),0)</f>
        <v>0</v>
      </c>
      <c r="K729" s="61">
        <f t="shared" si="11"/>
        <v>0</v>
      </c>
      <c r="L729" s="123">
        <v>0</v>
      </c>
    </row>
    <row r="730" spans="1:13" hidden="1" x14ac:dyDescent="0.25">
      <c r="A730" s="7">
        <v>729</v>
      </c>
      <c r="B730" s="152" t="s">
        <v>3939</v>
      </c>
      <c r="C730" s="153" t="s">
        <v>3940</v>
      </c>
      <c r="D730" s="153" t="s">
        <v>3941</v>
      </c>
      <c r="E730" s="153" t="s">
        <v>2086</v>
      </c>
      <c r="F730" s="6"/>
      <c r="G730" s="6"/>
      <c r="H730" s="85">
        <v>5000</v>
      </c>
      <c r="I730" s="103">
        <f>IFERROR(VLOOKUP(B730,'July 2026-Recived'!$B$2:$H$1300,7,0),0)</f>
        <v>0</v>
      </c>
      <c r="J730" s="103">
        <f>IFERROR(VLOOKUP(B730,'July 2026- Dispatch'!$B$2:$H$1300,7,0),0)</f>
        <v>0</v>
      </c>
      <c r="K730" s="61">
        <f t="shared" si="11"/>
        <v>5000</v>
      </c>
      <c r="L730" s="123">
        <v>0</v>
      </c>
    </row>
    <row r="731" spans="1:13" hidden="1" x14ac:dyDescent="0.25">
      <c r="A731" s="7">
        <v>730</v>
      </c>
      <c r="B731" s="152" t="s">
        <v>3942</v>
      </c>
      <c r="C731" s="153" t="s">
        <v>3943</v>
      </c>
      <c r="D731" s="153" t="s">
        <v>3944</v>
      </c>
      <c r="E731" s="153" t="s">
        <v>2083</v>
      </c>
      <c r="F731" s="6"/>
      <c r="G731" s="6"/>
      <c r="H731" s="85">
        <v>0</v>
      </c>
      <c r="I731" s="103">
        <f>IFERROR(VLOOKUP(B731,'July 2026-Recived'!$B$2:$H$1300,7,0),0)</f>
        <v>0</v>
      </c>
      <c r="J731" s="103">
        <f>IFERROR(VLOOKUP(B731,'July 2026- Dispatch'!$B$2:$H$1300,7,0),0)</f>
        <v>0</v>
      </c>
      <c r="K731" s="61">
        <f t="shared" si="11"/>
        <v>0</v>
      </c>
      <c r="L731" s="123">
        <v>0</v>
      </c>
    </row>
    <row r="732" spans="1:13" hidden="1" x14ac:dyDescent="0.25">
      <c r="A732" s="7">
        <v>731</v>
      </c>
      <c r="B732" s="152" t="s">
        <v>3945</v>
      </c>
      <c r="C732" s="153" t="s">
        <v>3946</v>
      </c>
      <c r="D732" s="153" t="s">
        <v>3947</v>
      </c>
      <c r="E732" s="153" t="s">
        <v>2083</v>
      </c>
      <c r="F732" s="6"/>
      <c r="G732" s="6"/>
      <c r="H732" s="85">
        <v>0</v>
      </c>
      <c r="I732" s="103">
        <f>IFERROR(VLOOKUP(B732,'July 2026-Recived'!$B$2:$H$1300,7,0),0)</f>
        <v>0</v>
      </c>
      <c r="J732" s="103">
        <f>IFERROR(VLOOKUP(B732,'July 2026- Dispatch'!$B$2:$H$1300,7,0),0)</f>
        <v>0</v>
      </c>
      <c r="K732" s="61">
        <f t="shared" si="11"/>
        <v>0</v>
      </c>
      <c r="L732" s="123">
        <v>0</v>
      </c>
    </row>
    <row r="733" spans="1:13" hidden="1" x14ac:dyDescent="0.25">
      <c r="A733" s="7">
        <v>732</v>
      </c>
      <c r="B733" s="152" t="s">
        <v>3948</v>
      </c>
      <c r="C733" s="153" t="s">
        <v>3949</v>
      </c>
      <c r="D733" s="153" t="s">
        <v>3950</v>
      </c>
      <c r="E733" s="153" t="s">
        <v>2083</v>
      </c>
      <c r="F733" s="6"/>
      <c r="G733" s="6"/>
      <c r="H733" s="85">
        <v>0</v>
      </c>
      <c r="I733" s="103">
        <f>IFERROR(VLOOKUP(B733,'July 2026-Recived'!$B$2:$H$1300,7,0),0)</f>
        <v>0</v>
      </c>
      <c r="J733" s="103">
        <f>IFERROR(VLOOKUP(B733,'July 2026- Dispatch'!$B$2:$H$1300,7,0),0)</f>
        <v>0</v>
      </c>
      <c r="K733" s="61">
        <f t="shared" si="11"/>
        <v>0</v>
      </c>
      <c r="L733" s="123">
        <v>0</v>
      </c>
    </row>
    <row r="734" spans="1:13" hidden="1" x14ac:dyDescent="0.25">
      <c r="A734" s="7">
        <v>733</v>
      </c>
      <c r="B734" s="152" t="s">
        <v>3951</v>
      </c>
      <c r="C734" s="153" t="s">
        <v>3952</v>
      </c>
      <c r="D734" s="153" t="s">
        <v>3953</v>
      </c>
      <c r="E734" s="153" t="s">
        <v>2083</v>
      </c>
      <c r="F734" s="6"/>
      <c r="G734" s="6"/>
      <c r="H734" s="85">
        <v>0</v>
      </c>
      <c r="I734" s="103">
        <f>IFERROR(VLOOKUP(B734,'July 2026-Recived'!$B$2:$H$1300,7,0),0)</f>
        <v>0</v>
      </c>
      <c r="J734" s="103">
        <f>IFERROR(VLOOKUP(B734,'July 2026- Dispatch'!$B$2:$H$1300,7,0),0)</f>
        <v>0</v>
      </c>
      <c r="K734" s="61">
        <f t="shared" si="11"/>
        <v>0</v>
      </c>
      <c r="L734" s="123">
        <v>0</v>
      </c>
    </row>
    <row r="735" spans="1:13" hidden="1" x14ac:dyDescent="0.25">
      <c r="A735" s="7">
        <v>734</v>
      </c>
      <c r="B735" s="152" t="s">
        <v>3954</v>
      </c>
      <c r="C735" s="153" t="s">
        <v>3955</v>
      </c>
      <c r="D735" s="153" t="s">
        <v>3956</v>
      </c>
      <c r="E735" s="153" t="s">
        <v>2083</v>
      </c>
      <c r="F735" s="6"/>
      <c r="G735" s="6"/>
      <c r="H735" s="85">
        <v>0</v>
      </c>
      <c r="I735" s="103">
        <f>IFERROR(VLOOKUP(B735,'July 2026-Recived'!$B$2:$H$1300,7,0),0)</f>
        <v>0</v>
      </c>
      <c r="J735" s="103">
        <f>IFERROR(VLOOKUP(B735,'July 2026- Dispatch'!$B$2:$H$1300,7,0),0)</f>
        <v>0</v>
      </c>
      <c r="K735" s="61">
        <f t="shared" si="11"/>
        <v>0</v>
      </c>
      <c r="L735" s="123">
        <v>0</v>
      </c>
    </row>
    <row r="736" spans="1:13" hidden="1" x14ac:dyDescent="0.25">
      <c r="A736" s="7">
        <v>735</v>
      </c>
      <c r="B736" s="152" t="s">
        <v>3957</v>
      </c>
      <c r="C736" s="153" t="s">
        <v>3958</v>
      </c>
      <c r="D736" s="153" t="s">
        <v>3959</v>
      </c>
      <c r="E736" s="153" t="s">
        <v>2083</v>
      </c>
      <c r="F736" s="6"/>
      <c r="G736" s="6"/>
      <c r="H736" s="85">
        <v>0</v>
      </c>
      <c r="I736" s="103">
        <f>IFERROR(VLOOKUP(B736,'July 2026-Recived'!$B$2:$H$1300,7,0),0)</f>
        <v>0</v>
      </c>
      <c r="J736" s="103">
        <f>IFERROR(VLOOKUP(B736,'July 2026- Dispatch'!$B$2:$H$1300,7,0),0)</f>
        <v>0</v>
      </c>
      <c r="K736" s="61">
        <f t="shared" si="11"/>
        <v>0</v>
      </c>
      <c r="L736" s="123">
        <v>0</v>
      </c>
    </row>
    <row r="737" spans="1:12" hidden="1" x14ac:dyDescent="0.25">
      <c r="A737" s="7">
        <v>736</v>
      </c>
      <c r="B737" s="152" t="s">
        <v>3960</v>
      </c>
      <c r="C737" s="153" t="s">
        <v>3961</v>
      </c>
      <c r="D737" s="153" t="s">
        <v>3962</v>
      </c>
      <c r="E737" s="153" t="s">
        <v>2083</v>
      </c>
      <c r="F737" s="6"/>
      <c r="G737" s="6"/>
      <c r="H737" s="85">
        <v>0</v>
      </c>
      <c r="I737" s="103">
        <f>IFERROR(VLOOKUP(B737,'July 2026-Recived'!$B$2:$H$1300,7,0),0)</f>
        <v>0</v>
      </c>
      <c r="J737" s="103">
        <f>IFERROR(VLOOKUP(B737,'July 2026- Dispatch'!$B$2:$H$1300,7,0),0)</f>
        <v>0</v>
      </c>
      <c r="K737" s="61">
        <f t="shared" si="11"/>
        <v>0</v>
      </c>
      <c r="L737" s="123">
        <v>0</v>
      </c>
    </row>
    <row r="738" spans="1:12" hidden="1" x14ac:dyDescent="0.25">
      <c r="A738" s="7">
        <v>737</v>
      </c>
      <c r="B738" s="152" t="s">
        <v>3963</v>
      </c>
      <c r="C738" s="153" t="s">
        <v>3964</v>
      </c>
      <c r="D738" s="153" t="s">
        <v>3965</v>
      </c>
      <c r="E738" s="153" t="s">
        <v>2086</v>
      </c>
      <c r="F738" s="6"/>
      <c r="G738" s="6"/>
      <c r="H738" s="85">
        <v>12000</v>
      </c>
      <c r="I738" s="103">
        <f>IFERROR(VLOOKUP(B738,'July 2026-Recived'!$B$2:$H$1300,7,0),0)</f>
        <v>0</v>
      </c>
      <c r="J738" s="103">
        <f>IFERROR(VLOOKUP(B738,'July 2026- Dispatch'!$B$2:$H$1300,7,0),0)</f>
        <v>0</v>
      </c>
      <c r="K738" s="61">
        <f t="shared" si="11"/>
        <v>12000</v>
      </c>
      <c r="L738" s="123">
        <v>0</v>
      </c>
    </row>
    <row r="739" spans="1:12" hidden="1" x14ac:dyDescent="0.25">
      <c r="A739" s="7">
        <v>738</v>
      </c>
      <c r="B739" s="152" t="s">
        <v>3966</v>
      </c>
      <c r="C739" s="153" t="s">
        <v>3967</v>
      </c>
      <c r="D739" s="153" t="s">
        <v>3968</v>
      </c>
      <c r="E739" s="153" t="s">
        <v>2086</v>
      </c>
      <c r="F739" s="6"/>
      <c r="G739" s="6"/>
      <c r="H739" s="85">
        <v>8832</v>
      </c>
      <c r="I739" s="103">
        <f>IFERROR(VLOOKUP(B739,'July 2026-Recived'!$B$2:$H$1300,7,0),0)</f>
        <v>0</v>
      </c>
      <c r="J739" s="103">
        <f>IFERROR(VLOOKUP(B739,'July 2026- Dispatch'!$B$2:$H$1300,7,0),0)</f>
        <v>5280</v>
      </c>
      <c r="K739" s="61">
        <f t="shared" si="11"/>
        <v>3552</v>
      </c>
      <c r="L739" s="123">
        <v>0</v>
      </c>
    </row>
    <row r="740" spans="1:12" hidden="1" x14ac:dyDescent="0.25">
      <c r="A740" s="7">
        <v>739</v>
      </c>
      <c r="B740" s="152" t="s">
        <v>3969</v>
      </c>
      <c r="C740" s="153" t="s">
        <v>3970</v>
      </c>
      <c r="D740" s="153" t="s">
        <v>3971</v>
      </c>
      <c r="E740" s="153" t="s">
        <v>2083</v>
      </c>
      <c r="F740" s="6"/>
      <c r="G740" s="6"/>
      <c r="H740" s="85">
        <v>0</v>
      </c>
      <c r="I740" s="103">
        <f>IFERROR(VLOOKUP(B740,'July 2026-Recived'!$B$2:$H$1300,7,0),0)</f>
        <v>0</v>
      </c>
      <c r="J740" s="103">
        <f>IFERROR(VLOOKUP(B740,'July 2026- Dispatch'!$B$2:$H$1300,7,0),0)</f>
        <v>0</v>
      </c>
      <c r="K740" s="61">
        <f t="shared" si="11"/>
        <v>0</v>
      </c>
      <c r="L740" s="123">
        <v>0</v>
      </c>
    </row>
    <row r="741" spans="1:12" hidden="1" x14ac:dyDescent="0.25">
      <c r="A741" s="7">
        <v>740</v>
      </c>
      <c r="B741" s="152" t="s">
        <v>3972</v>
      </c>
      <c r="C741" s="153" t="s">
        <v>3973</v>
      </c>
      <c r="D741" s="153" t="s">
        <v>3974</v>
      </c>
      <c r="E741" s="153" t="s">
        <v>2086</v>
      </c>
      <c r="F741" s="6"/>
      <c r="G741" s="6"/>
      <c r="H741" s="85">
        <v>631000</v>
      </c>
      <c r="I741" s="103">
        <f>IFERROR(VLOOKUP(B741,'July 2026-Recived'!$B$2:$H$1300,7,0),0)</f>
        <v>519000</v>
      </c>
      <c r="J741" s="103">
        <f>IFERROR(VLOOKUP(B741,'July 2026- Dispatch'!$B$2:$H$1300,7,0),0)</f>
        <v>162000</v>
      </c>
      <c r="K741" s="61">
        <f t="shared" si="11"/>
        <v>988000</v>
      </c>
      <c r="L741" s="123">
        <v>0</v>
      </c>
    </row>
    <row r="742" spans="1:12" hidden="1" x14ac:dyDescent="0.25">
      <c r="A742" s="7">
        <v>741</v>
      </c>
      <c r="B742" s="152" t="s">
        <v>3975</v>
      </c>
      <c r="C742" s="153" t="s">
        <v>3976</v>
      </c>
      <c r="D742" s="153" t="s">
        <v>3977</v>
      </c>
      <c r="E742" s="153" t="s">
        <v>2083</v>
      </c>
      <c r="F742" s="6"/>
      <c r="G742" s="6"/>
      <c r="H742" s="85">
        <v>0</v>
      </c>
      <c r="I742" s="103">
        <f>IFERROR(VLOOKUP(B742,'July 2026-Recived'!$B$2:$H$1300,7,0),0)</f>
        <v>315000</v>
      </c>
      <c r="J742" s="103">
        <f>IFERROR(VLOOKUP(B742,'July 2026- Dispatch'!$B$2:$H$1300,7,0),0)</f>
        <v>164004</v>
      </c>
      <c r="K742" s="61">
        <f t="shared" si="11"/>
        <v>150996</v>
      </c>
      <c r="L742" s="123">
        <v>0</v>
      </c>
    </row>
    <row r="743" spans="1:12" hidden="1" x14ac:dyDescent="0.25">
      <c r="A743" s="7">
        <v>742</v>
      </c>
      <c r="B743" s="152" t="s">
        <v>3978</v>
      </c>
      <c r="C743" s="153" t="s">
        <v>3979</v>
      </c>
      <c r="D743" s="153" t="s">
        <v>3980</v>
      </c>
      <c r="E743" s="153" t="s">
        <v>2083</v>
      </c>
      <c r="F743" s="6"/>
      <c r="G743" s="6"/>
      <c r="H743" s="85">
        <v>0</v>
      </c>
      <c r="I743" s="103">
        <f>IFERROR(VLOOKUP(B743,'July 2026-Recived'!$B$2:$H$1300,7,0),0)</f>
        <v>0</v>
      </c>
      <c r="J743" s="103">
        <f>IFERROR(VLOOKUP(B743,'July 2026- Dispatch'!$B$2:$H$1300,7,0),0)</f>
        <v>0</v>
      </c>
      <c r="K743" s="61">
        <f t="shared" si="11"/>
        <v>0</v>
      </c>
      <c r="L743" s="123">
        <v>0</v>
      </c>
    </row>
    <row r="744" spans="1:12" hidden="1" x14ac:dyDescent="0.25">
      <c r="A744" s="7">
        <v>743</v>
      </c>
      <c r="B744" s="152" t="s">
        <v>3981</v>
      </c>
      <c r="C744" s="153" t="s">
        <v>3982</v>
      </c>
      <c r="D744" s="153" t="s">
        <v>3983</v>
      </c>
      <c r="E744" s="153" t="s">
        <v>2086</v>
      </c>
      <c r="F744" s="6"/>
      <c r="G744" s="6"/>
      <c r="H744" s="85">
        <v>11350</v>
      </c>
      <c r="I744" s="103">
        <f>IFERROR(VLOOKUP(B744,'July 2026-Recived'!$B$2:$H$1300,7,0),0)</f>
        <v>16000</v>
      </c>
      <c r="J744" s="103">
        <f>IFERROR(VLOOKUP(B744,'July 2026- Dispatch'!$B$2:$H$1300,7,0),0)</f>
        <v>23000</v>
      </c>
      <c r="K744" s="61">
        <f t="shared" si="11"/>
        <v>4350</v>
      </c>
      <c r="L744" s="123">
        <v>0</v>
      </c>
    </row>
    <row r="745" spans="1:12" hidden="1" x14ac:dyDescent="0.25">
      <c r="A745" s="7">
        <v>744</v>
      </c>
      <c r="B745" s="152" t="s">
        <v>3984</v>
      </c>
      <c r="C745" s="153" t="s">
        <v>3985</v>
      </c>
      <c r="D745" s="153" t="s">
        <v>3986</v>
      </c>
      <c r="E745" s="153" t="s">
        <v>2083</v>
      </c>
      <c r="F745" s="6"/>
      <c r="G745" s="6"/>
      <c r="H745" s="85">
        <v>0</v>
      </c>
      <c r="I745" s="103">
        <f>IFERROR(VLOOKUP(B745,'July 2026-Recived'!$B$2:$H$1300,7,0),0)</f>
        <v>0</v>
      </c>
      <c r="J745" s="103">
        <f>IFERROR(VLOOKUP(B745,'July 2026- Dispatch'!$B$2:$H$1300,7,0),0)</f>
        <v>0</v>
      </c>
      <c r="K745" s="61">
        <f t="shared" si="11"/>
        <v>0</v>
      </c>
      <c r="L745" s="123">
        <v>0</v>
      </c>
    </row>
    <row r="746" spans="1:12" hidden="1" x14ac:dyDescent="0.25">
      <c r="A746" s="7">
        <v>745</v>
      </c>
      <c r="B746" s="152" t="s">
        <v>3987</v>
      </c>
      <c r="C746" s="153" t="s">
        <v>3988</v>
      </c>
      <c r="D746" s="153" t="s">
        <v>3989</v>
      </c>
      <c r="E746" s="153" t="s">
        <v>2086</v>
      </c>
      <c r="F746" s="6"/>
      <c r="G746" s="6"/>
      <c r="H746" s="85">
        <v>10400</v>
      </c>
      <c r="I746" s="103">
        <f>IFERROR(VLOOKUP(B746,'July 2026-Recived'!$B$2:$H$1300,7,0),0)</f>
        <v>5000</v>
      </c>
      <c r="J746" s="103">
        <f>IFERROR(VLOOKUP(B746,'July 2026- Dispatch'!$B$2:$H$1300,7,0),0)</f>
        <v>15400</v>
      </c>
      <c r="K746" s="61">
        <f t="shared" si="11"/>
        <v>0</v>
      </c>
      <c r="L746" s="123">
        <v>0</v>
      </c>
    </row>
    <row r="747" spans="1:12" hidden="1" x14ac:dyDescent="0.25">
      <c r="A747" s="7">
        <v>746</v>
      </c>
      <c r="B747" s="152" t="s">
        <v>3990</v>
      </c>
      <c r="C747" s="153" t="s">
        <v>3991</v>
      </c>
      <c r="D747" s="153" t="s">
        <v>3992</v>
      </c>
      <c r="E747" s="153" t="s">
        <v>2083</v>
      </c>
      <c r="F747" s="6"/>
      <c r="G747" s="6"/>
      <c r="H747" s="85">
        <v>0</v>
      </c>
      <c r="I747" s="103">
        <f>IFERROR(VLOOKUP(B747,'July 2026-Recived'!$B$2:$H$1300,7,0),0)</f>
        <v>0</v>
      </c>
      <c r="J747" s="103">
        <f>IFERROR(VLOOKUP(B747,'July 2026- Dispatch'!$B$2:$H$1300,7,0),0)</f>
        <v>0</v>
      </c>
      <c r="K747" s="61">
        <f t="shared" si="11"/>
        <v>0</v>
      </c>
      <c r="L747" s="123">
        <v>0</v>
      </c>
    </row>
    <row r="748" spans="1:12" hidden="1" x14ac:dyDescent="0.25">
      <c r="A748" s="7">
        <v>747</v>
      </c>
      <c r="B748" s="152" t="s">
        <v>3993</v>
      </c>
      <c r="C748" s="153" t="s">
        <v>3994</v>
      </c>
      <c r="D748" s="153" t="s">
        <v>3995</v>
      </c>
      <c r="E748" s="153" t="s">
        <v>2083</v>
      </c>
      <c r="F748" s="6"/>
      <c r="G748" s="6"/>
      <c r="H748" s="85">
        <v>0</v>
      </c>
      <c r="I748" s="103">
        <f>IFERROR(VLOOKUP(B748,'July 2026-Recived'!$B$2:$H$1300,7,0),0)</f>
        <v>0</v>
      </c>
      <c r="J748" s="103">
        <f>IFERROR(VLOOKUP(B748,'July 2026- Dispatch'!$B$2:$H$1300,7,0),0)</f>
        <v>0</v>
      </c>
      <c r="K748" s="61">
        <f t="shared" si="11"/>
        <v>0</v>
      </c>
      <c r="L748" s="123">
        <v>0</v>
      </c>
    </row>
    <row r="749" spans="1:12" hidden="1" x14ac:dyDescent="0.25">
      <c r="A749" s="7">
        <v>748</v>
      </c>
      <c r="B749" s="152" t="s">
        <v>3996</v>
      </c>
      <c r="C749" s="153" t="s">
        <v>3997</v>
      </c>
      <c r="D749" s="153" t="s">
        <v>3998</v>
      </c>
      <c r="E749" s="153" t="s">
        <v>2083</v>
      </c>
      <c r="F749" s="6"/>
      <c r="G749" s="6"/>
      <c r="H749" s="85">
        <v>0</v>
      </c>
      <c r="I749" s="103">
        <f>IFERROR(VLOOKUP(B749,'July 2026-Recived'!$B$2:$H$1300,7,0),0)</f>
        <v>0</v>
      </c>
      <c r="J749" s="103">
        <f>IFERROR(VLOOKUP(B749,'July 2026- Dispatch'!$B$2:$H$1300,7,0),0)</f>
        <v>0</v>
      </c>
      <c r="K749" s="61">
        <f t="shared" si="11"/>
        <v>0</v>
      </c>
      <c r="L749" s="123">
        <v>0</v>
      </c>
    </row>
    <row r="750" spans="1:12" hidden="1" x14ac:dyDescent="0.25">
      <c r="A750" s="7">
        <v>749</v>
      </c>
      <c r="B750" s="152" t="s">
        <v>3999</v>
      </c>
      <c r="C750" s="153" t="s">
        <v>4000</v>
      </c>
      <c r="D750" s="153" t="s">
        <v>4001</v>
      </c>
      <c r="E750" s="153" t="s">
        <v>2083</v>
      </c>
      <c r="F750" s="6"/>
      <c r="G750" s="6"/>
      <c r="H750" s="85">
        <v>0</v>
      </c>
      <c r="I750" s="103">
        <f>IFERROR(VLOOKUP(B750,'July 2026-Recived'!$B$2:$H$1300,7,0),0)</f>
        <v>0</v>
      </c>
      <c r="J750" s="103">
        <f>IFERROR(VLOOKUP(B750,'July 2026- Dispatch'!$B$2:$H$1300,7,0),0)</f>
        <v>0</v>
      </c>
      <c r="K750" s="61">
        <f t="shared" si="11"/>
        <v>0</v>
      </c>
      <c r="L750" s="123">
        <v>0</v>
      </c>
    </row>
    <row r="751" spans="1:12" hidden="1" x14ac:dyDescent="0.25">
      <c r="A751" s="7">
        <v>750</v>
      </c>
      <c r="B751" s="152" t="s">
        <v>4002</v>
      </c>
      <c r="C751" s="153" t="s">
        <v>4003</v>
      </c>
      <c r="D751" s="153" t="s">
        <v>4004</v>
      </c>
      <c r="E751" s="153" t="s">
        <v>2086</v>
      </c>
      <c r="F751" s="6"/>
      <c r="G751" s="6"/>
      <c r="H751" s="85">
        <v>3450</v>
      </c>
      <c r="I751" s="103">
        <f>IFERROR(VLOOKUP(B751,'July 2026-Recived'!$B$2:$H$1300,7,0),0)</f>
        <v>0</v>
      </c>
      <c r="J751" s="103">
        <f>IFERROR(VLOOKUP(B751,'July 2026- Dispatch'!$B$2:$H$1300,7,0),0)</f>
        <v>2450</v>
      </c>
      <c r="K751" s="61">
        <f t="shared" si="11"/>
        <v>1000</v>
      </c>
      <c r="L751" s="123">
        <v>0</v>
      </c>
    </row>
    <row r="752" spans="1:12" hidden="1" x14ac:dyDescent="0.25">
      <c r="A752" s="7">
        <v>751</v>
      </c>
      <c r="B752" s="152" t="s">
        <v>4005</v>
      </c>
      <c r="C752" s="153" t="s">
        <v>4006</v>
      </c>
      <c r="D752" s="153" t="s">
        <v>4007</v>
      </c>
      <c r="E752" s="153" t="s">
        <v>2083</v>
      </c>
      <c r="F752" s="6"/>
      <c r="G752" s="6"/>
      <c r="H752" s="85">
        <v>0</v>
      </c>
      <c r="I752" s="103">
        <f>IFERROR(VLOOKUP(B752,'July 2026-Recived'!$B$2:$H$1300,7,0),0)</f>
        <v>0</v>
      </c>
      <c r="J752" s="103">
        <f>IFERROR(VLOOKUP(B752,'July 2026- Dispatch'!$B$2:$H$1300,7,0),0)</f>
        <v>0</v>
      </c>
      <c r="K752" s="61">
        <f t="shared" si="11"/>
        <v>0</v>
      </c>
      <c r="L752" s="123">
        <v>0</v>
      </c>
    </row>
    <row r="753" spans="1:12" hidden="1" x14ac:dyDescent="0.25">
      <c r="A753" s="7">
        <v>752</v>
      </c>
      <c r="B753" s="152" t="s">
        <v>4008</v>
      </c>
      <c r="C753" s="153" t="s">
        <v>4009</v>
      </c>
      <c r="D753" s="153" t="s">
        <v>4010</v>
      </c>
      <c r="E753" s="153" t="s">
        <v>2083</v>
      </c>
      <c r="F753" s="6"/>
      <c r="G753" s="6"/>
      <c r="H753" s="85">
        <v>0</v>
      </c>
      <c r="I753" s="103">
        <f>IFERROR(VLOOKUP(B753,'July 2026-Recived'!$B$2:$H$1300,7,0),0)</f>
        <v>0</v>
      </c>
      <c r="J753" s="103">
        <f>IFERROR(VLOOKUP(B753,'July 2026- Dispatch'!$B$2:$H$1300,7,0),0)</f>
        <v>0</v>
      </c>
      <c r="K753" s="61">
        <f t="shared" si="11"/>
        <v>0</v>
      </c>
      <c r="L753" s="123">
        <v>0</v>
      </c>
    </row>
    <row r="754" spans="1:12" hidden="1" x14ac:dyDescent="0.25">
      <c r="A754" s="7">
        <v>753</v>
      </c>
      <c r="B754" s="152" t="s">
        <v>4011</v>
      </c>
      <c r="C754" s="153" t="s">
        <v>4012</v>
      </c>
      <c r="D754" s="153" t="s">
        <v>4013</v>
      </c>
      <c r="E754" s="153" t="s">
        <v>2083</v>
      </c>
      <c r="F754" s="6"/>
      <c r="G754" s="6"/>
      <c r="H754" s="85">
        <v>0</v>
      </c>
      <c r="I754" s="103">
        <f>IFERROR(VLOOKUP(B754,'July 2026-Recived'!$B$2:$H$1300,7,0),0)</f>
        <v>0</v>
      </c>
      <c r="J754" s="103">
        <f>IFERROR(VLOOKUP(B754,'July 2026- Dispatch'!$B$2:$H$1300,7,0),0)</f>
        <v>0</v>
      </c>
      <c r="K754" s="61">
        <f t="shared" si="11"/>
        <v>0</v>
      </c>
      <c r="L754" s="123">
        <v>0</v>
      </c>
    </row>
    <row r="755" spans="1:12" hidden="1" x14ac:dyDescent="0.25">
      <c r="A755" s="7">
        <v>754</v>
      </c>
      <c r="B755" s="152" t="s">
        <v>4014</v>
      </c>
      <c r="C755" s="153" t="s">
        <v>4015</v>
      </c>
      <c r="D755" s="153" t="s">
        <v>4016</v>
      </c>
      <c r="E755" s="153" t="s">
        <v>2083</v>
      </c>
      <c r="F755" s="6"/>
      <c r="G755" s="6"/>
      <c r="H755" s="85">
        <v>0</v>
      </c>
      <c r="I755" s="103">
        <f>IFERROR(VLOOKUP(B755,'July 2026-Recived'!$B$2:$H$1300,7,0),0)</f>
        <v>0</v>
      </c>
      <c r="J755" s="103">
        <f>IFERROR(VLOOKUP(B755,'July 2026- Dispatch'!$B$2:$H$1300,7,0),0)</f>
        <v>0</v>
      </c>
      <c r="K755" s="61">
        <f t="shared" si="11"/>
        <v>0</v>
      </c>
      <c r="L755" s="123">
        <v>0</v>
      </c>
    </row>
    <row r="756" spans="1:12" hidden="1" x14ac:dyDescent="0.25">
      <c r="A756" s="7">
        <v>755</v>
      </c>
      <c r="B756" s="152" t="s">
        <v>4017</v>
      </c>
      <c r="C756" s="153" t="s">
        <v>4018</v>
      </c>
      <c r="D756" s="153" t="s">
        <v>4019</v>
      </c>
      <c r="E756" s="153" t="s">
        <v>2083</v>
      </c>
      <c r="F756" s="6"/>
      <c r="G756" s="6"/>
      <c r="H756" s="85">
        <v>0</v>
      </c>
      <c r="I756" s="103">
        <f>IFERROR(VLOOKUP(B756,'July 2026-Recived'!$B$2:$H$1300,7,0),0)</f>
        <v>0</v>
      </c>
      <c r="J756" s="103">
        <f>IFERROR(VLOOKUP(B756,'July 2026- Dispatch'!$B$2:$H$1300,7,0),0)</f>
        <v>0</v>
      </c>
      <c r="K756" s="61">
        <f t="shared" si="11"/>
        <v>0</v>
      </c>
      <c r="L756" s="123">
        <v>0</v>
      </c>
    </row>
    <row r="757" spans="1:12" hidden="1" x14ac:dyDescent="0.25">
      <c r="A757" s="7">
        <v>756</v>
      </c>
      <c r="B757" s="152" t="s">
        <v>4020</v>
      </c>
      <c r="C757" s="153" t="s">
        <v>4021</v>
      </c>
      <c r="D757" s="153" t="s">
        <v>4022</v>
      </c>
      <c r="E757" s="153" t="s">
        <v>2083</v>
      </c>
      <c r="F757" s="6"/>
      <c r="G757" s="6"/>
      <c r="H757" s="85">
        <v>0</v>
      </c>
      <c r="I757" s="103">
        <f>IFERROR(VLOOKUP(B757,'July 2026-Recived'!$B$2:$H$1300,7,0),0)</f>
        <v>0</v>
      </c>
      <c r="J757" s="103">
        <f>IFERROR(VLOOKUP(B757,'July 2026- Dispatch'!$B$2:$H$1300,7,0),0)</f>
        <v>0</v>
      </c>
      <c r="K757" s="61">
        <f t="shared" si="11"/>
        <v>0</v>
      </c>
      <c r="L757" s="123">
        <v>0</v>
      </c>
    </row>
    <row r="758" spans="1:12" hidden="1" x14ac:dyDescent="0.25">
      <c r="A758" s="7">
        <v>757</v>
      </c>
      <c r="B758" s="152" t="s">
        <v>4023</v>
      </c>
      <c r="C758" s="153" t="s">
        <v>4024</v>
      </c>
      <c r="D758" s="153" t="s">
        <v>4025</v>
      </c>
      <c r="E758" s="153" t="s">
        <v>2083</v>
      </c>
      <c r="F758" s="6"/>
      <c r="G758" s="6"/>
      <c r="H758" s="85">
        <v>0</v>
      </c>
      <c r="I758" s="103">
        <f>IFERROR(VLOOKUP(B758,'July 2026-Recived'!$B$2:$H$1300,7,0),0)</f>
        <v>0</v>
      </c>
      <c r="J758" s="103">
        <f>IFERROR(VLOOKUP(B758,'July 2026- Dispatch'!$B$2:$H$1300,7,0),0)</f>
        <v>0</v>
      </c>
      <c r="K758" s="61">
        <f t="shared" si="11"/>
        <v>0</v>
      </c>
      <c r="L758" s="123">
        <v>0</v>
      </c>
    </row>
    <row r="759" spans="1:12" hidden="1" x14ac:dyDescent="0.25">
      <c r="A759" s="7">
        <v>758</v>
      </c>
      <c r="B759" s="152" t="s">
        <v>1906</v>
      </c>
      <c r="C759" s="153" t="s">
        <v>4026</v>
      </c>
      <c r="D759" s="153" t="s">
        <v>4027</v>
      </c>
      <c r="E759" s="153" t="s">
        <v>2083</v>
      </c>
      <c r="F759" s="6"/>
      <c r="G759" s="6"/>
      <c r="H759" s="85">
        <v>0</v>
      </c>
      <c r="I759" s="103">
        <f>IFERROR(VLOOKUP(B759,'July 2026-Recived'!$B$2:$H$1300,7,0),0)</f>
        <v>0</v>
      </c>
      <c r="J759" s="103">
        <f>IFERROR(VLOOKUP(B759,'July 2026- Dispatch'!$B$2:$H$1300,7,0),0)</f>
        <v>0</v>
      </c>
      <c r="K759" s="61">
        <f t="shared" si="11"/>
        <v>0</v>
      </c>
      <c r="L759" s="123">
        <v>0</v>
      </c>
    </row>
    <row r="760" spans="1:12" hidden="1" x14ac:dyDescent="0.25">
      <c r="A760" s="7">
        <v>759</v>
      </c>
      <c r="B760" s="152" t="s">
        <v>4028</v>
      </c>
      <c r="C760" s="153" t="s">
        <v>4029</v>
      </c>
      <c r="D760" s="153" t="s">
        <v>4030</v>
      </c>
      <c r="E760" s="153" t="s">
        <v>2746</v>
      </c>
      <c r="F760" s="6"/>
      <c r="G760" s="6"/>
      <c r="H760" s="85">
        <v>0</v>
      </c>
      <c r="I760" s="103">
        <f>IFERROR(VLOOKUP(B760,'July 2026-Recived'!$B$2:$H$1300,7,0),0)</f>
        <v>0</v>
      </c>
      <c r="J760" s="103">
        <f>IFERROR(VLOOKUP(B760,'July 2026- Dispatch'!$B$2:$H$1300,7,0),0)</f>
        <v>0</v>
      </c>
      <c r="K760" s="61">
        <f t="shared" si="11"/>
        <v>0</v>
      </c>
      <c r="L760" s="123">
        <v>0</v>
      </c>
    </row>
    <row r="761" spans="1:12" hidden="1" x14ac:dyDescent="0.25">
      <c r="A761" s="7">
        <v>760</v>
      </c>
      <c r="B761" s="152" t="s">
        <v>4031</v>
      </c>
      <c r="C761" s="153" t="s">
        <v>4032</v>
      </c>
      <c r="D761" s="153" t="s">
        <v>4033</v>
      </c>
      <c r="E761" s="153" t="s">
        <v>49</v>
      </c>
      <c r="F761" s="6"/>
      <c r="G761" s="6"/>
      <c r="H761" s="85">
        <v>1000</v>
      </c>
      <c r="I761" s="103">
        <f>IFERROR(VLOOKUP(B761,'July 2026-Recived'!$B$2:$H$1300,7,0),0)</f>
        <v>0</v>
      </c>
      <c r="J761" s="103">
        <f>IFERROR(VLOOKUP(B761,'July 2026- Dispatch'!$B$2:$H$1300,7,0),0)</f>
        <v>0</v>
      </c>
      <c r="K761" s="61">
        <f t="shared" si="11"/>
        <v>1000</v>
      </c>
      <c r="L761" s="123">
        <v>0</v>
      </c>
    </row>
    <row r="762" spans="1:12" hidden="1" x14ac:dyDescent="0.25">
      <c r="A762" s="7">
        <v>761</v>
      </c>
      <c r="B762" s="152" t="s">
        <v>4034</v>
      </c>
      <c r="C762" s="153" t="s">
        <v>4035</v>
      </c>
      <c r="D762" s="153" t="s">
        <v>4036</v>
      </c>
      <c r="E762" s="153" t="s">
        <v>49</v>
      </c>
      <c r="F762" s="6"/>
      <c r="G762" s="6"/>
      <c r="H762" s="85">
        <v>1000</v>
      </c>
      <c r="I762" s="103">
        <f>IFERROR(VLOOKUP(B762,'July 2026-Recived'!$B$2:$H$1300,7,0),0)</f>
        <v>0</v>
      </c>
      <c r="J762" s="103">
        <f>IFERROR(VLOOKUP(B762,'July 2026- Dispatch'!$B$2:$H$1300,7,0),0)</f>
        <v>0</v>
      </c>
      <c r="K762" s="61">
        <f t="shared" si="11"/>
        <v>1000</v>
      </c>
      <c r="L762" s="123">
        <v>0</v>
      </c>
    </row>
    <row r="763" spans="1:12" hidden="1" x14ac:dyDescent="0.25">
      <c r="A763" s="7">
        <v>762</v>
      </c>
      <c r="B763" s="152" t="s">
        <v>4037</v>
      </c>
      <c r="C763" s="153" t="s">
        <v>4038</v>
      </c>
      <c r="D763" s="153" t="s">
        <v>4039</v>
      </c>
      <c r="E763" s="153" t="s">
        <v>49</v>
      </c>
      <c r="F763" s="6"/>
      <c r="G763" s="6"/>
      <c r="H763" s="85">
        <v>1000</v>
      </c>
      <c r="I763" s="103">
        <f>IFERROR(VLOOKUP(B763,'July 2026-Recived'!$B$2:$H$1300,7,0),0)</f>
        <v>0</v>
      </c>
      <c r="J763" s="103">
        <f>IFERROR(VLOOKUP(B763,'July 2026- Dispatch'!$B$2:$H$1300,7,0),0)</f>
        <v>0</v>
      </c>
      <c r="K763" s="61">
        <f t="shared" si="11"/>
        <v>1000</v>
      </c>
      <c r="L763" s="123">
        <v>0</v>
      </c>
    </row>
    <row r="764" spans="1:12" hidden="1" x14ac:dyDescent="0.25">
      <c r="A764" s="7">
        <v>763</v>
      </c>
      <c r="B764" s="152" t="s">
        <v>4040</v>
      </c>
      <c r="C764" s="153" t="s">
        <v>4041</v>
      </c>
      <c r="D764" s="153" t="s">
        <v>4042</v>
      </c>
      <c r="E764" s="153" t="s">
        <v>49</v>
      </c>
      <c r="F764" s="6"/>
      <c r="G764" s="6"/>
      <c r="H764" s="85">
        <v>1000</v>
      </c>
      <c r="I764" s="103">
        <f>IFERROR(VLOOKUP(B764,'July 2026-Recived'!$B$2:$H$1300,7,0),0)</f>
        <v>0</v>
      </c>
      <c r="J764" s="103">
        <f>IFERROR(VLOOKUP(B764,'July 2026- Dispatch'!$B$2:$H$1300,7,0),0)</f>
        <v>0</v>
      </c>
      <c r="K764" s="61">
        <f t="shared" si="11"/>
        <v>1000</v>
      </c>
      <c r="L764" s="123">
        <v>0</v>
      </c>
    </row>
    <row r="765" spans="1:12" hidden="1" x14ac:dyDescent="0.25">
      <c r="A765" s="7">
        <v>764</v>
      </c>
      <c r="B765" s="152" t="s">
        <v>4043</v>
      </c>
      <c r="C765" s="153" t="s">
        <v>4044</v>
      </c>
      <c r="D765" s="153" t="s">
        <v>4045</v>
      </c>
      <c r="E765" s="153" t="s">
        <v>49</v>
      </c>
      <c r="F765" s="6"/>
      <c r="G765" s="6"/>
      <c r="H765" s="85">
        <v>1000</v>
      </c>
      <c r="I765" s="103">
        <f>IFERROR(VLOOKUP(B765,'July 2026-Recived'!$B$2:$H$1300,7,0),0)</f>
        <v>0</v>
      </c>
      <c r="J765" s="103">
        <f>IFERROR(VLOOKUP(B765,'July 2026- Dispatch'!$B$2:$H$1300,7,0),0)</f>
        <v>0</v>
      </c>
      <c r="K765" s="61">
        <f t="shared" si="11"/>
        <v>1000</v>
      </c>
      <c r="L765" s="123">
        <v>0</v>
      </c>
    </row>
    <row r="766" spans="1:12" hidden="1" x14ac:dyDescent="0.25">
      <c r="A766" s="7">
        <v>765</v>
      </c>
      <c r="B766" s="152" t="s">
        <v>4046</v>
      </c>
      <c r="C766" s="153" t="s">
        <v>4047</v>
      </c>
      <c r="D766" s="153" t="s">
        <v>4048</v>
      </c>
      <c r="E766" s="153" t="s">
        <v>49</v>
      </c>
      <c r="F766" s="6"/>
      <c r="G766" s="6"/>
      <c r="H766" s="85">
        <v>1000</v>
      </c>
      <c r="I766" s="103">
        <f>IFERROR(VLOOKUP(B766,'July 2026-Recived'!$B$2:$H$1300,7,0),0)</f>
        <v>0</v>
      </c>
      <c r="J766" s="103">
        <f>IFERROR(VLOOKUP(B766,'July 2026- Dispatch'!$B$2:$H$1300,7,0),0)</f>
        <v>0</v>
      </c>
      <c r="K766" s="61">
        <f t="shared" si="11"/>
        <v>1000</v>
      </c>
      <c r="L766" s="123">
        <v>0</v>
      </c>
    </row>
    <row r="767" spans="1:12" hidden="1" x14ac:dyDescent="0.25">
      <c r="A767" s="7">
        <v>766</v>
      </c>
      <c r="B767" s="152" t="s">
        <v>4049</v>
      </c>
      <c r="C767" s="153" t="s">
        <v>4050</v>
      </c>
      <c r="D767" s="153" t="s">
        <v>4051</v>
      </c>
      <c r="E767" s="153" t="s">
        <v>49</v>
      </c>
      <c r="F767" s="6"/>
      <c r="G767" s="6"/>
      <c r="H767" s="85">
        <v>1000</v>
      </c>
      <c r="I767" s="103">
        <f>IFERROR(VLOOKUP(B767,'July 2026-Recived'!$B$2:$H$1300,7,0),0)</f>
        <v>0</v>
      </c>
      <c r="J767" s="103">
        <f>IFERROR(VLOOKUP(B767,'July 2026- Dispatch'!$B$2:$H$1300,7,0),0)</f>
        <v>0</v>
      </c>
      <c r="K767" s="61">
        <f t="shared" si="11"/>
        <v>1000</v>
      </c>
      <c r="L767" s="123">
        <v>0</v>
      </c>
    </row>
    <row r="768" spans="1:12" hidden="1" x14ac:dyDescent="0.25">
      <c r="A768" s="7">
        <v>767</v>
      </c>
      <c r="B768" s="152" t="s">
        <v>4052</v>
      </c>
      <c r="C768" s="153" t="s">
        <v>4053</v>
      </c>
      <c r="D768" s="153" t="s">
        <v>4054</v>
      </c>
      <c r="E768" s="153" t="s">
        <v>49</v>
      </c>
      <c r="F768" s="6"/>
      <c r="G768" s="6"/>
      <c r="H768" s="85">
        <v>1000</v>
      </c>
      <c r="I768" s="103">
        <f>IFERROR(VLOOKUP(B768,'July 2026-Recived'!$B$2:$H$1300,7,0),0)</f>
        <v>0</v>
      </c>
      <c r="J768" s="103">
        <f>IFERROR(VLOOKUP(B768,'July 2026- Dispatch'!$B$2:$H$1300,7,0),0)</f>
        <v>0</v>
      </c>
      <c r="K768" s="61">
        <f t="shared" si="11"/>
        <v>1000</v>
      </c>
      <c r="L768" s="123">
        <v>0</v>
      </c>
    </row>
    <row r="769" spans="1:12" hidden="1" x14ac:dyDescent="0.25">
      <c r="A769" s="7">
        <v>768</v>
      </c>
      <c r="B769" s="152" t="s">
        <v>1278</v>
      </c>
      <c r="C769" s="153" t="s">
        <v>4055</v>
      </c>
      <c r="D769" s="153" t="s">
        <v>4056</v>
      </c>
      <c r="E769" s="153" t="s">
        <v>2126</v>
      </c>
      <c r="F769" s="6"/>
      <c r="G769" s="6"/>
      <c r="H769" s="85">
        <v>0</v>
      </c>
      <c r="I769" s="103">
        <f>IFERROR(VLOOKUP(B769,'July 2026-Recived'!$B$2:$H$1300,7,0),0)</f>
        <v>0</v>
      </c>
      <c r="J769" s="103">
        <f>IFERROR(VLOOKUP(B769,'July 2026- Dispatch'!$B$2:$H$1300,7,0),0)</f>
        <v>0</v>
      </c>
      <c r="K769" s="61">
        <f t="shared" si="11"/>
        <v>0</v>
      </c>
      <c r="L769" s="123">
        <v>0</v>
      </c>
    </row>
    <row r="770" spans="1:12" hidden="1" x14ac:dyDescent="0.25">
      <c r="A770" s="7">
        <v>769</v>
      </c>
      <c r="B770" s="152" t="s">
        <v>1719</v>
      </c>
      <c r="C770" s="153" t="s">
        <v>4057</v>
      </c>
      <c r="D770" s="153" t="s">
        <v>4058</v>
      </c>
      <c r="E770" s="153" t="s">
        <v>2126</v>
      </c>
      <c r="F770" s="6"/>
      <c r="G770" s="6"/>
      <c r="H770" s="85">
        <v>0</v>
      </c>
      <c r="I770" s="103">
        <f>IFERROR(VLOOKUP(B770,'July 2026-Recived'!$B$2:$H$1300,7,0),0)</f>
        <v>0</v>
      </c>
      <c r="J770" s="103">
        <f>IFERROR(VLOOKUP(B770,'July 2026- Dispatch'!$B$2:$H$1300,7,0),0)</f>
        <v>0</v>
      </c>
      <c r="K770" s="61">
        <f>H770+I770-J770</f>
        <v>0</v>
      </c>
      <c r="L770" s="123">
        <v>0</v>
      </c>
    </row>
    <row r="771" spans="1:12" hidden="1" x14ac:dyDescent="0.25">
      <c r="A771" s="7">
        <v>770</v>
      </c>
      <c r="B771" s="152" t="s">
        <v>79</v>
      </c>
      <c r="C771" s="153" t="s">
        <v>4059</v>
      </c>
      <c r="D771" s="153" t="s">
        <v>4060</v>
      </c>
      <c r="E771" s="153" t="s">
        <v>64</v>
      </c>
      <c r="F771" s="6"/>
      <c r="G771" s="6"/>
      <c r="H771" s="85">
        <v>1052</v>
      </c>
      <c r="I771" s="103">
        <f>IFERROR(VLOOKUP(B771,'July 2026-Recived'!$B$2:$H$1300,7,0),0)</f>
        <v>0</v>
      </c>
      <c r="J771" s="103">
        <f>IFERROR(VLOOKUP(B771,'July 2026- Dispatch'!$B$2:$H$1300,7,0),0)</f>
        <v>6.1999999999999993</v>
      </c>
      <c r="K771" s="61">
        <f>H771+I771-J771</f>
        <v>1045.8</v>
      </c>
      <c r="L771" s="123">
        <v>0</v>
      </c>
    </row>
    <row r="772" spans="1:12" hidden="1" x14ac:dyDescent="0.25">
      <c r="A772" s="7">
        <v>771</v>
      </c>
      <c r="B772" s="152" t="s">
        <v>1725</v>
      </c>
      <c r="C772" s="153" t="s">
        <v>4061</v>
      </c>
      <c r="D772" s="153" t="s">
        <v>4062</v>
      </c>
      <c r="E772" s="153" t="s">
        <v>2126</v>
      </c>
      <c r="F772" s="6"/>
      <c r="G772" s="6"/>
      <c r="H772" s="85">
        <v>0</v>
      </c>
      <c r="I772" s="103">
        <f>IFERROR(VLOOKUP(B772,'July 2026-Recived'!$B$2:$H$1300,7,0),0)</f>
        <v>0</v>
      </c>
      <c r="J772" s="103">
        <f>IFERROR(VLOOKUP(B772,'July 2026- Dispatch'!$B$2:$H$1300,7,0),0)</f>
        <v>0</v>
      </c>
      <c r="K772" s="61">
        <f t="shared" ref="K772:K833" si="12">H772+I772-J772</f>
        <v>0</v>
      </c>
      <c r="L772" s="123">
        <v>0</v>
      </c>
    </row>
    <row r="773" spans="1:12" hidden="1" x14ac:dyDescent="0.25">
      <c r="A773" s="7">
        <v>772</v>
      </c>
      <c r="B773" s="152" t="s">
        <v>419</v>
      </c>
      <c r="C773" s="153" t="s">
        <v>4063</v>
      </c>
      <c r="D773" s="153" t="s">
        <v>4064</v>
      </c>
      <c r="E773" s="153" t="s">
        <v>2126</v>
      </c>
      <c r="F773" s="6"/>
      <c r="G773" s="6"/>
      <c r="H773" s="85">
        <v>0</v>
      </c>
      <c r="I773" s="103">
        <f>IFERROR(VLOOKUP(B773,'July 2026-Recived'!$B$2:$H$1300,7,0),0)</f>
        <v>0</v>
      </c>
      <c r="J773" s="103">
        <f>IFERROR(VLOOKUP(B773,'July 2026- Dispatch'!$B$2:$H$1300,7,0),0)</f>
        <v>0</v>
      </c>
      <c r="K773" s="61">
        <f>H773+I773-J773</f>
        <v>0</v>
      </c>
      <c r="L773" s="123">
        <v>0</v>
      </c>
    </row>
    <row r="774" spans="1:12" hidden="1" x14ac:dyDescent="0.25">
      <c r="A774" s="7">
        <v>773</v>
      </c>
      <c r="B774" s="152" t="s">
        <v>897</v>
      </c>
      <c r="C774" s="153" t="s">
        <v>4065</v>
      </c>
      <c r="D774" s="153" t="s">
        <v>4066</v>
      </c>
      <c r="E774" s="153" t="s">
        <v>64</v>
      </c>
      <c r="F774" s="6"/>
      <c r="G774" s="6"/>
      <c r="H774" s="85">
        <v>10315</v>
      </c>
      <c r="I774" s="103">
        <f>IFERROR(VLOOKUP(B774,'July 2026-Recived'!$B$2:$H$1300,7,0),0)</f>
        <v>0</v>
      </c>
      <c r="J774" s="103">
        <f>IFERROR(VLOOKUP(B774,'July 2026- Dispatch'!$B$2:$H$1300,7,0),0)</f>
        <v>3320</v>
      </c>
      <c r="K774" s="61">
        <f>H774+I774-J774</f>
        <v>6995</v>
      </c>
      <c r="L774" s="123">
        <v>0</v>
      </c>
    </row>
    <row r="775" spans="1:12" hidden="1" x14ac:dyDescent="0.25">
      <c r="A775" s="7">
        <v>774</v>
      </c>
      <c r="B775" s="152" t="s">
        <v>4067</v>
      </c>
      <c r="C775" s="153" t="s">
        <v>4068</v>
      </c>
      <c r="D775" s="153" t="s">
        <v>4069</v>
      </c>
      <c r="E775" s="153" t="s">
        <v>2126</v>
      </c>
      <c r="F775" s="6"/>
      <c r="G775" s="6"/>
      <c r="H775" s="85">
        <v>0</v>
      </c>
      <c r="I775" s="103">
        <f>IFERROR(VLOOKUP(B775,'July 2026-Recived'!$B$2:$H$1300,7,0),0)</f>
        <v>0</v>
      </c>
      <c r="J775" s="103">
        <f>IFERROR(VLOOKUP(B775,'July 2026- Dispatch'!$B$2:$H$1300,7,0),0)</f>
        <v>0</v>
      </c>
      <c r="K775" s="61">
        <f>H775+I775-J775</f>
        <v>0</v>
      </c>
      <c r="L775" s="123">
        <v>0</v>
      </c>
    </row>
    <row r="776" spans="1:12" hidden="1" x14ac:dyDescent="0.25">
      <c r="A776" s="7">
        <v>775</v>
      </c>
      <c r="B776" s="152" t="s">
        <v>1156</v>
      </c>
      <c r="C776" s="153" t="s">
        <v>4070</v>
      </c>
      <c r="D776" s="153" t="s">
        <v>4071</v>
      </c>
      <c r="E776" s="153" t="s">
        <v>2126</v>
      </c>
      <c r="F776" s="6"/>
      <c r="G776" s="6"/>
      <c r="H776" s="85">
        <v>0</v>
      </c>
      <c r="I776" s="103">
        <f>IFERROR(VLOOKUP(B776,'July 2026-Recived'!$B$2:$H$1300,7,0),0)</f>
        <v>23.88</v>
      </c>
      <c r="J776" s="103">
        <f>IFERROR(VLOOKUP(B776,'July 2026- Dispatch'!$B$2:$H$1300,7,0),0)</f>
        <v>5</v>
      </c>
      <c r="K776" s="61">
        <f t="shared" si="12"/>
        <v>18.88</v>
      </c>
      <c r="L776" s="123">
        <v>0</v>
      </c>
    </row>
    <row r="777" spans="1:12" hidden="1" x14ac:dyDescent="0.25">
      <c r="A777" s="7">
        <v>776</v>
      </c>
      <c r="B777" s="152" t="s">
        <v>62</v>
      </c>
      <c r="C777" s="153" t="s">
        <v>4072</v>
      </c>
      <c r="D777" s="153" t="s">
        <v>4073</v>
      </c>
      <c r="E777" s="153" t="s">
        <v>2126</v>
      </c>
      <c r="F777" s="6"/>
      <c r="G777" s="6"/>
      <c r="H777" s="85">
        <v>0</v>
      </c>
      <c r="I777" s="103">
        <f>IFERROR(VLOOKUP(B777,'July 2026-Recived'!$B$2:$H$1300,7,0),0)</f>
        <v>0</v>
      </c>
      <c r="J777" s="103">
        <f>IFERROR(VLOOKUP(B777,'July 2026- Dispatch'!$B$2:$H$1300,7,0),0)</f>
        <v>0</v>
      </c>
      <c r="K777" s="61">
        <f t="shared" si="12"/>
        <v>0</v>
      </c>
      <c r="L777" s="123">
        <v>0</v>
      </c>
    </row>
    <row r="778" spans="1:12" hidden="1" x14ac:dyDescent="0.25">
      <c r="A778" s="7">
        <v>777</v>
      </c>
      <c r="B778" s="152" t="s">
        <v>520</v>
      </c>
      <c r="C778" s="153" t="s">
        <v>4074</v>
      </c>
      <c r="D778" s="153" t="s">
        <v>4075</v>
      </c>
      <c r="E778" s="153" t="s">
        <v>2126</v>
      </c>
      <c r="F778" s="6"/>
      <c r="G778" s="6"/>
      <c r="H778" s="85">
        <v>0</v>
      </c>
      <c r="I778" s="103">
        <f>IFERROR(VLOOKUP(B778,'July 2026-Recived'!$B$2:$H$1300,7,0),0)</f>
        <v>0</v>
      </c>
      <c r="J778" s="103">
        <f>IFERROR(VLOOKUP(B778,'July 2026- Dispatch'!$B$2:$H$1300,7,0),0)</f>
        <v>0</v>
      </c>
      <c r="K778" s="61">
        <f t="shared" si="12"/>
        <v>0</v>
      </c>
      <c r="L778" s="123">
        <v>0</v>
      </c>
    </row>
    <row r="779" spans="1:12" hidden="1" x14ac:dyDescent="0.25">
      <c r="A779" s="7">
        <v>778</v>
      </c>
      <c r="B779" s="152" t="s">
        <v>985</v>
      </c>
      <c r="C779" s="153" t="s">
        <v>4076</v>
      </c>
      <c r="D779" s="153" t="s">
        <v>4077</v>
      </c>
      <c r="E779" s="153" t="s">
        <v>2126</v>
      </c>
      <c r="F779" s="6"/>
      <c r="G779" s="6"/>
      <c r="H779" s="85">
        <v>0</v>
      </c>
      <c r="I779" s="103">
        <f>IFERROR(VLOOKUP(B779,'July 2026-Recived'!$B$2:$H$1300,7,0),0)</f>
        <v>9.93</v>
      </c>
      <c r="J779" s="103">
        <f>IFERROR(VLOOKUP(B779,'July 2026- Dispatch'!$B$2:$H$1300,7,0),0)</f>
        <v>0</v>
      </c>
      <c r="K779" s="61">
        <f t="shared" si="12"/>
        <v>9.93</v>
      </c>
      <c r="L779" s="123">
        <v>0</v>
      </c>
    </row>
    <row r="780" spans="1:12" hidden="1" x14ac:dyDescent="0.25">
      <c r="A780" s="7">
        <v>779</v>
      </c>
      <c r="B780" s="152" t="s">
        <v>430</v>
      </c>
      <c r="C780" s="153" t="s">
        <v>4078</v>
      </c>
      <c r="D780" s="153" t="s">
        <v>4079</v>
      </c>
      <c r="E780" s="153" t="s">
        <v>64</v>
      </c>
      <c r="F780" s="6"/>
      <c r="G780" s="6"/>
      <c r="H780" s="85">
        <v>13446</v>
      </c>
      <c r="I780" s="103">
        <f>IFERROR(VLOOKUP(B780,'July 2026-Recived'!$B$2:$H$1300,7,0),0)</f>
        <v>1250</v>
      </c>
      <c r="J780" s="103">
        <f>IFERROR(VLOOKUP(B780,'July 2026- Dispatch'!$B$2:$H$1300,7,0),0)</f>
        <v>600</v>
      </c>
      <c r="K780" s="61">
        <f t="shared" si="12"/>
        <v>14096</v>
      </c>
      <c r="L780" s="123">
        <v>0</v>
      </c>
    </row>
    <row r="781" spans="1:12" hidden="1" x14ac:dyDescent="0.25">
      <c r="A781" s="7">
        <v>780</v>
      </c>
      <c r="B781" s="152" t="s">
        <v>817</v>
      </c>
      <c r="C781" s="153" t="s">
        <v>4080</v>
      </c>
      <c r="D781" s="153" t="s">
        <v>4081</v>
      </c>
      <c r="E781" s="153" t="s">
        <v>2126</v>
      </c>
      <c r="F781" s="6"/>
      <c r="G781" s="6"/>
      <c r="H781" s="85">
        <v>0</v>
      </c>
      <c r="I781" s="103">
        <f>IFERROR(VLOOKUP(B781,'July 2026-Recived'!$B$2:$H$1300,7,0),0)</f>
        <v>0</v>
      </c>
      <c r="J781" s="103">
        <f>IFERROR(VLOOKUP(B781,'July 2026- Dispatch'!$B$2:$H$1300,7,0),0)</f>
        <v>0</v>
      </c>
      <c r="K781" s="61">
        <f t="shared" si="12"/>
        <v>0</v>
      </c>
      <c r="L781" s="123">
        <v>0</v>
      </c>
    </row>
    <row r="782" spans="1:12" hidden="1" x14ac:dyDescent="0.25">
      <c r="A782" s="7">
        <v>781</v>
      </c>
      <c r="B782" s="152" t="s">
        <v>1313</v>
      </c>
      <c r="C782" s="153" t="s">
        <v>4082</v>
      </c>
      <c r="D782" s="153" t="s">
        <v>4083</v>
      </c>
      <c r="E782" s="153" t="s">
        <v>64</v>
      </c>
      <c r="F782" s="6"/>
      <c r="G782" s="6"/>
      <c r="H782" s="85">
        <v>737.99</v>
      </c>
      <c r="I782" s="103">
        <f>IFERROR(VLOOKUP(B782,'July 2026-Recived'!$B$2:$H$1300,7,0),0)</f>
        <v>0</v>
      </c>
      <c r="J782" s="103">
        <f>IFERROR(VLOOKUP(B782,'July 2026- Dispatch'!$B$2:$H$1300,7,0),0)</f>
        <v>28.704000000000001</v>
      </c>
      <c r="K782" s="61">
        <f t="shared" si="12"/>
        <v>709.28600000000006</v>
      </c>
      <c r="L782" s="123">
        <v>0</v>
      </c>
    </row>
    <row r="783" spans="1:12" hidden="1" x14ac:dyDescent="0.25">
      <c r="A783" s="7">
        <v>782</v>
      </c>
      <c r="B783" s="152" t="s">
        <v>1220</v>
      </c>
      <c r="C783" s="153" t="s">
        <v>4084</v>
      </c>
      <c r="D783" s="153" t="s">
        <v>4085</v>
      </c>
      <c r="E783" s="153" t="s">
        <v>2126</v>
      </c>
      <c r="F783" s="6"/>
      <c r="G783" s="6"/>
      <c r="H783" s="85">
        <v>0</v>
      </c>
      <c r="I783" s="103">
        <f>IFERROR(VLOOKUP(B783,'July 2026-Recived'!$B$2:$H$1300,7,0),0)</f>
        <v>0</v>
      </c>
      <c r="J783" s="103">
        <f>IFERROR(VLOOKUP(B783,'July 2026- Dispatch'!$B$2:$H$1300,7,0),0)</f>
        <v>0</v>
      </c>
      <c r="K783" s="61">
        <f t="shared" si="12"/>
        <v>0</v>
      </c>
      <c r="L783" s="123">
        <v>0</v>
      </c>
    </row>
    <row r="784" spans="1:12" hidden="1" x14ac:dyDescent="0.25">
      <c r="A784" s="7">
        <v>783</v>
      </c>
      <c r="B784" s="152" t="s">
        <v>470</v>
      </c>
      <c r="C784" s="153" t="s">
        <v>4086</v>
      </c>
      <c r="D784" s="153" t="s">
        <v>4087</v>
      </c>
      <c r="E784" s="153" t="s">
        <v>2126</v>
      </c>
      <c r="F784" s="6"/>
      <c r="G784" s="6"/>
      <c r="H784" s="85">
        <v>0</v>
      </c>
      <c r="I784" s="103">
        <f>IFERROR(VLOOKUP(B784,'July 2026-Recived'!$B$2:$H$1300,7,0),0)</f>
        <v>2850</v>
      </c>
      <c r="J784" s="103">
        <f>IFERROR(VLOOKUP(B784,'July 2026- Dispatch'!$B$2:$H$1300,7,0),0)</f>
        <v>750</v>
      </c>
      <c r="K784" s="61">
        <f t="shared" si="12"/>
        <v>2100</v>
      </c>
      <c r="L784" s="123">
        <v>0</v>
      </c>
    </row>
    <row r="785" spans="1:12" hidden="1" x14ac:dyDescent="0.25">
      <c r="A785" s="7">
        <v>784</v>
      </c>
      <c r="B785" s="157" t="s">
        <v>769</v>
      </c>
      <c r="C785" s="158" t="s">
        <v>4088</v>
      </c>
      <c r="D785" s="158" t="s">
        <v>4089</v>
      </c>
      <c r="E785" s="153" t="s">
        <v>64</v>
      </c>
      <c r="F785" s="6"/>
      <c r="G785" s="6"/>
      <c r="H785" s="85">
        <v>10</v>
      </c>
      <c r="I785" s="103">
        <f>IFERROR(VLOOKUP(B785,'July 2026-Recived'!$B$2:$H$1300,7,0),0)</f>
        <v>0</v>
      </c>
      <c r="J785" s="103">
        <f>IFERROR(VLOOKUP(B785,'July 2026- Dispatch'!$B$2:$H$1300,7,0),0)</f>
        <v>10</v>
      </c>
      <c r="K785" s="61">
        <f t="shared" si="12"/>
        <v>0</v>
      </c>
      <c r="L785" s="123">
        <v>0</v>
      </c>
    </row>
    <row r="786" spans="1:12" hidden="1" x14ac:dyDescent="0.25">
      <c r="A786" s="7">
        <v>785</v>
      </c>
      <c r="B786" s="152" t="s">
        <v>1052</v>
      </c>
      <c r="C786" s="153" t="s">
        <v>4090</v>
      </c>
      <c r="D786" s="153" t="s">
        <v>4091</v>
      </c>
      <c r="E786" s="153" t="s">
        <v>64</v>
      </c>
      <c r="F786" s="6"/>
      <c r="G786" s="6"/>
      <c r="H786" s="85">
        <v>913.32</v>
      </c>
      <c r="I786" s="103">
        <f>IFERROR(VLOOKUP(B786,'July 2026-Recived'!$B$2:$H$1300,7,0),0)</f>
        <v>0</v>
      </c>
      <c r="J786" s="103">
        <f>IFERROR(VLOOKUP(B786,'July 2026- Dispatch'!$B$2:$H$1300,7,0),0)</f>
        <v>913</v>
      </c>
      <c r="K786" s="61">
        <f t="shared" si="12"/>
        <v>0.32000000000005002</v>
      </c>
      <c r="L786" s="123">
        <v>0</v>
      </c>
    </row>
    <row r="787" spans="1:12" hidden="1" x14ac:dyDescent="0.25">
      <c r="A787" s="7">
        <v>786</v>
      </c>
      <c r="B787" s="152" t="s">
        <v>1103</v>
      </c>
      <c r="C787" s="153" t="s">
        <v>4092</v>
      </c>
      <c r="D787" s="153" t="s">
        <v>4093</v>
      </c>
      <c r="E787" s="153" t="s">
        <v>64</v>
      </c>
      <c r="F787" s="6"/>
      <c r="G787" s="6"/>
      <c r="H787" s="85">
        <v>41412</v>
      </c>
      <c r="I787" s="103">
        <f>IFERROR(VLOOKUP(B787,'July 2026-Recived'!$B$2:$H$1300,7,0),0)</f>
        <v>0</v>
      </c>
      <c r="J787" s="103">
        <f>IFERROR(VLOOKUP(B787,'July 2026- Dispatch'!$B$2:$H$1300,7,0),0)</f>
        <v>4088</v>
      </c>
      <c r="K787" s="61">
        <f t="shared" si="12"/>
        <v>37324</v>
      </c>
      <c r="L787" s="123">
        <v>0</v>
      </c>
    </row>
    <row r="788" spans="1:12" hidden="1" x14ac:dyDescent="0.25">
      <c r="A788" s="7">
        <v>787</v>
      </c>
      <c r="B788" s="152" t="s">
        <v>1015</v>
      </c>
      <c r="C788" s="153" t="s">
        <v>4094</v>
      </c>
      <c r="D788" s="153" t="s">
        <v>4095</v>
      </c>
      <c r="E788" s="153" t="s">
        <v>64</v>
      </c>
      <c r="F788" s="6"/>
      <c r="G788" s="6"/>
      <c r="H788" s="85">
        <v>195</v>
      </c>
      <c r="I788" s="103">
        <f>IFERROR(VLOOKUP(B788,'July 2026-Recived'!$B$2:$H$1300,7,0),0)</f>
        <v>0</v>
      </c>
      <c r="J788" s="103">
        <f>IFERROR(VLOOKUP(B788,'July 2026- Dispatch'!$B$2:$H$1300,7,0),0)</f>
        <v>0</v>
      </c>
      <c r="K788" s="61">
        <f t="shared" si="12"/>
        <v>195</v>
      </c>
      <c r="L788" s="123">
        <v>0</v>
      </c>
    </row>
    <row r="789" spans="1:12" hidden="1" x14ac:dyDescent="0.25">
      <c r="A789" s="7">
        <v>788</v>
      </c>
      <c r="B789" s="152" t="s">
        <v>936</v>
      </c>
      <c r="C789" s="153" t="s">
        <v>4096</v>
      </c>
      <c r="D789" s="153" t="s">
        <v>4097</v>
      </c>
      <c r="E789" s="153" t="s">
        <v>2086</v>
      </c>
      <c r="F789" s="6"/>
      <c r="G789" s="6"/>
      <c r="H789" s="85">
        <v>8976</v>
      </c>
      <c r="I789" s="103">
        <f>IFERROR(VLOOKUP(B789,'July 2026-Recived'!$B$2:$H$1300,7,0),0)</f>
        <v>0</v>
      </c>
      <c r="J789" s="103">
        <f>IFERROR(VLOOKUP(B789,'July 2026- Dispatch'!$B$2:$H$1300,7,0),0)</f>
        <v>1014</v>
      </c>
      <c r="K789" s="61">
        <f>H789+I789-J789</f>
        <v>7962</v>
      </c>
      <c r="L789" s="123">
        <v>0</v>
      </c>
    </row>
    <row r="790" spans="1:12" hidden="1" x14ac:dyDescent="0.25">
      <c r="A790" s="7">
        <v>789</v>
      </c>
      <c r="B790" s="152" t="s">
        <v>961</v>
      </c>
      <c r="C790" s="153" t="s">
        <v>4098</v>
      </c>
      <c r="D790" s="153" t="s">
        <v>4099</v>
      </c>
      <c r="E790" s="153" t="s">
        <v>2126</v>
      </c>
      <c r="F790" s="6"/>
      <c r="G790" s="6"/>
      <c r="H790" s="85">
        <v>0</v>
      </c>
      <c r="I790" s="103">
        <f>IFERROR(VLOOKUP(B790,'July 2026-Recived'!$B$2:$H$1300,7,0),0)</f>
        <v>0</v>
      </c>
      <c r="J790" s="103">
        <f>IFERROR(VLOOKUP(B790,'July 2026- Dispatch'!$B$2:$H$1300,7,0),0)</f>
        <v>0</v>
      </c>
      <c r="K790" s="61">
        <f>H790+I790-J790</f>
        <v>0</v>
      </c>
      <c r="L790" s="123">
        <v>0</v>
      </c>
    </row>
    <row r="791" spans="1:12" hidden="1" x14ac:dyDescent="0.25">
      <c r="A791" s="7">
        <v>790</v>
      </c>
      <c r="B791" s="152" t="s">
        <v>1096</v>
      </c>
      <c r="C791" s="153" t="s">
        <v>4100</v>
      </c>
      <c r="D791" s="153" t="s">
        <v>4101</v>
      </c>
      <c r="E791" s="153" t="s">
        <v>64</v>
      </c>
      <c r="F791" s="6"/>
      <c r="G791" s="6"/>
      <c r="H791" s="85">
        <v>750</v>
      </c>
      <c r="I791" s="103">
        <f>IFERROR(VLOOKUP(B791,'July 2026-Recived'!$B$2:$H$1300,7,0),0)</f>
        <v>0</v>
      </c>
      <c r="J791" s="103">
        <f>IFERROR(VLOOKUP(B791,'July 2026- Dispatch'!$B$2:$H$1300,7,0),0)</f>
        <v>0</v>
      </c>
      <c r="K791" s="61">
        <f>H791+I791-J791</f>
        <v>750</v>
      </c>
      <c r="L791" s="123">
        <v>0</v>
      </c>
    </row>
    <row r="792" spans="1:12" hidden="1" x14ac:dyDescent="0.25">
      <c r="A792" s="7">
        <v>791</v>
      </c>
      <c r="B792" s="152" t="s">
        <v>905</v>
      </c>
      <c r="C792" s="153" t="s">
        <v>4102</v>
      </c>
      <c r="D792" s="153" t="s">
        <v>4103</v>
      </c>
      <c r="E792" s="153" t="s">
        <v>64</v>
      </c>
      <c r="F792" s="6"/>
      <c r="G792" s="6"/>
      <c r="H792" s="85">
        <v>71556</v>
      </c>
      <c r="I792" s="103">
        <f>IFERROR(VLOOKUP(B792,'July 2026-Recived'!$B$2:$H$1300,7,0),0)</f>
        <v>0</v>
      </c>
      <c r="J792" s="103">
        <f>IFERROR(VLOOKUP(B792,'July 2026- Dispatch'!$B$2:$H$1300,7,0),0)</f>
        <v>9168</v>
      </c>
      <c r="K792" s="61">
        <f t="shared" si="12"/>
        <v>62388</v>
      </c>
      <c r="L792" s="123">
        <v>0</v>
      </c>
    </row>
    <row r="793" spans="1:12" hidden="1" x14ac:dyDescent="0.25">
      <c r="A793" s="7">
        <v>792</v>
      </c>
      <c r="B793" s="152" t="s">
        <v>458</v>
      </c>
      <c r="C793" s="153" t="s">
        <v>4104</v>
      </c>
      <c r="D793" s="153" t="s">
        <v>4105</v>
      </c>
      <c r="E793" s="153" t="s">
        <v>64</v>
      </c>
      <c r="F793" s="6"/>
      <c r="G793" s="6"/>
      <c r="H793" s="85">
        <v>345</v>
      </c>
      <c r="I793" s="103">
        <f>IFERROR(VLOOKUP(B793,'July 2026-Recived'!$B$2:$H$1300,7,0),0)</f>
        <v>0</v>
      </c>
      <c r="J793" s="103">
        <f>IFERROR(VLOOKUP(B793,'July 2026- Dispatch'!$B$2:$H$1300,7,0),0)</f>
        <v>0</v>
      </c>
      <c r="K793" s="61">
        <f>H793+I793-J793</f>
        <v>345</v>
      </c>
      <c r="L793" s="123">
        <v>0</v>
      </c>
    </row>
    <row r="794" spans="1:12" hidden="1" x14ac:dyDescent="0.25">
      <c r="A794" s="7">
        <v>793</v>
      </c>
      <c r="B794" s="152" t="s">
        <v>807</v>
      </c>
      <c r="C794" s="153" t="s">
        <v>4106</v>
      </c>
      <c r="D794" s="153" t="s">
        <v>4107</v>
      </c>
      <c r="E794" s="153" t="s">
        <v>64</v>
      </c>
      <c r="F794" s="6"/>
      <c r="G794" s="6"/>
      <c r="H794" s="85">
        <v>1530</v>
      </c>
      <c r="I794" s="103">
        <f>IFERROR(VLOOKUP(B794,'July 2026-Recived'!$B$2:$H$1300,7,0),0)</f>
        <v>900</v>
      </c>
      <c r="J794" s="103">
        <f>IFERROR(VLOOKUP(B794,'July 2026- Dispatch'!$B$2:$H$1300,7,0),0)</f>
        <v>102</v>
      </c>
      <c r="K794" s="61">
        <f>H794+I794-J794</f>
        <v>2328</v>
      </c>
      <c r="L794" s="123">
        <v>0</v>
      </c>
    </row>
    <row r="795" spans="1:12" hidden="1" x14ac:dyDescent="0.25">
      <c r="A795" s="7">
        <v>794</v>
      </c>
      <c r="B795" s="157" t="s">
        <v>1138</v>
      </c>
      <c r="C795" s="158" t="s">
        <v>4108</v>
      </c>
      <c r="D795" s="158" t="s">
        <v>4109</v>
      </c>
      <c r="E795" s="153" t="s">
        <v>64</v>
      </c>
      <c r="F795" s="6"/>
      <c r="G795" s="6"/>
      <c r="H795" s="85">
        <v>1250</v>
      </c>
      <c r="I795" s="103">
        <f>IFERROR(VLOOKUP(B795,'July 2026-Recived'!$B$2:$H$1300,7,0),0)</f>
        <v>0</v>
      </c>
      <c r="J795" s="103">
        <f>IFERROR(VLOOKUP(B795,'July 2026- Dispatch'!$B$2:$H$1300,7,0),0)</f>
        <v>0</v>
      </c>
      <c r="K795" s="61">
        <f>H795+I795-J795</f>
        <v>1250</v>
      </c>
      <c r="L795" s="123">
        <v>0</v>
      </c>
    </row>
    <row r="796" spans="1:12" hidden="1" x14ac:dyDescent="0.25">
      <c r="A796" s="7">
        <v>795</v>
      </c>
      <c r="B796" s="157" t="s">
        <v>464</v>
      </c>
      <c r="C796" s="158" t="s">
        <v>4110</v>
      </c>
      <c r="D796" s="158" t="s">
        <v>4111</v>
      </c>
      <c r="E796" s="153" t="s">
        <v>64</v>
      </c>
      <c r="F796" s="6"/>
      <c r="G796" s="6"/>
      <c r="H796" s="85">
        <v>575</v>
      </c>
      <c r="I796" s="103">
        <f>IFERROR(VLOOKUP(B796,'July 2026-Recived'!$B$2:$H$1300,7,0),0)</f>
        <v>0</v>
      </c>
      <c r="J796" s="103">
        <f>IFERROR(VLOOKUP(B796,'July 2026- Dispatch'!$B$2:$H$1300,7,0),0)</f>
        <v>0</v>
      </c>
      <c r="K796" s="61">
        <f t="shared" si="12"/>
        <v>575</v>
      </c>
      <c r="L796" s="123">
        <v>0</v>
      </c>
    </row>
    <row r="797" spans="1:12" hidden="1" x14ac:dyDescent="0.25">
      <c r="A797" s="7">
        <v>796</v>
      </c>
      <c r="B797" s="152" t="s">
        <v>530</v>
      </c>
      <c r="C797" s="153" t="s">
        <v>4112</v>
      </c>
      <c r="D797" s="153" t="s">
        <v>4113</v>
      </c>
      <c r="E797" s="153" t="s">
        <v>2126</v>
      </c>
      <c r="F797" s="6"/>
      <c r="G797" s="6"/>
      <c r="H797" s="85">
        <v>0</v>
      </c>
      <c r="I797" s="103">
        <f>IFERROR(VLOOKUP(B797,'July 2026-Recived'!$B$2:$H$1300,7,0),0)</f>
        <v>0</v>
      </c>
      <c r="J797" s="103">
        <f>IFERROR(VLOOKUP(B797,'July 2026- Dispatch'!$B$2:$H$1300,7,0),0)</f>
        <v>0</v>
      </c>
      <c r="K797" s="61">
        <f>H797+I797-J797</f>
        <v>0</v>
      </c>
      <c r="L797" s="123">
        <v>0</v>
      </c>
    </row>
    <row r="798" spans="1:12" hidden="1" x14ac:dyDescent="0.25">
      <c r="A798" s="7">
        <v>797</v>
      </c>
      <c r="B798" s="152" t="s">
        <v>416</v>
      </c>
      <c r="C798" s="153" t="s">
        <v>4114</v>
      </c>
      <c r="D798" s="153" t="s">
        <v>4115</v>
      </c>
      <c r="E798" s="153" t="s">
        <v>2126</v>
      </c>
      <c r="F798" s="6"/>
      <c r="G798" s="6"/>
      <c r="H798" s="85">
        <v>0</v>
      </c>
      <c r="I798" s="103">
        <f>IFERROR(VLOOKUP(B798,'July 2026-Recived'!$B$2:$H$1300,7,0),0)</f>
        <v>0</v>
      </c>
      <c r="J798" s="103">
        <f>IFERROR(VLOOKUP(B798,'July 2026- Dispatch'!$B$2:$H$1300,7,0),0)</f>
        <v>0</v>
      </c>
      <c r="K798" s="61">
        <f>H798+I798-J798</f>
        <v>0</v>
      </c>
      <c r="L798" s="123">
        <v>0</v>
      </c>
    </row>
    <row r="799" spans="1:12" hidden="1" x14ac:dyDescent="0.25">
      <c r="A799" s="7">
        <v>798</v>
      </c>
      <c r="B799" s="152" t="s">
        <v>1707</v>
      </c>
      <c r="C799" s="153" t="s">
        <v>4116</v>
      </c>
      <c r="D799" s="153" t="s">
        <v>4117</v>
      </c>
      <c r="E799" s="153" t="s">
        <v>2126</v>
      </c>
      <c r="F799" s="6"/>
      <c r="G799" s="6"/>
      <c r="H799" s="85">
        <v>0</v>
      </c>
      <c r="I799" s="103">
        <f>IFERROR(VLOOKUP(B799,'July 2026-Recived'!$B$2:$H$1300,7,0),0)</f>
        <v>0</v>
      </c>
      <c r="J799" s="103">
        <f>IFERROR(VLOOKUP(B799,'July 2026- Dispatch'!$B$2:$H$1300,7,0),0)</f>
        <v>0</v>
      </c>
      <c r="K799" s="61">
        <f t="shared" si="12"/>
        <v>0</v>
      </c>
      <c r="L799" s="123">
        <v>0</v>
      </c>
    </row>
    <row r="800" spans="1:12" hidden="1" x14ac:dyDescent="0.25">
      <c r="A800" s="7">
        <v>799</v>
      </c>
      <c r="B800" s="152" t="s">
        <v>743</v>
      </c>
      <c r="C800" s="153" t="s">
        <v>4118</v>
      </c>
      <c r="D800" s="153" t="s">
        <v>4119</v>
      </c>
      <c r="E800" s="153" t="s">
        <v>2111</v>
      </c>
      <c r="F800" s="6"/>
      <c r="G800" s="6"/>
      <c r="H800" s="85">
        <v>600</v>
      </c>
      <c r="I800" s="103">
        <f>IFERROR(VLOOKUP(B800,'July 2026-Recived'!$B$2:$H$1300,7,0),0)</f>
        <v>18540</v>
      </c>
      <c r="J800" s="103">
        <f>IFERROR(VLOOKUP(B800,'July 2026- Dispatch'!$B$2:$H$1300,7,0),0)</f>
        <v>2400</v>
      </c>
      <c r="K800" s="61">
        <f t="shared" si="12"/>
        <v>16740</v>
      </c>
      <c r="L800" s="123">
        <v>0</v>
      </c>
    </row>
    <row r="801" spans="1:13" hidden="1" x14ac:dyDescent="0.25">
      <c r="A801" s="7">
        <v>800</v>
      </c>
      <c r="B801" s="152" t="s">
        <v>1308</v>
      </c>
      <c r="C801" s="153" t="s">
        <v>4120</v>
      </c>
      <c r="D801" s="153" t="s">
        <v>4121</v>
      </c>
      <c r="E801" s="153" t="s">
        <v>2111</v>
      </c>
      <c r="F801" s="6"/>
      <c r="G801" s="6"/>
      <c r="H801" s="85">
        <v>744</v>
      </c>
      <c r="I801" s="103">
        <f>IFERROR(VLOOKUP(B801,'July 2026-Recived'!$B$2:$H$1300,7,0),0)</f>
        <v>300</v>
      </c>
      <c r="J801" s="103">
        <f>IFERROR(VLOOKUP(B801,'July 2026- Dispatch'!$B$2:$H$1300,7,0),0)</f>
        <v>36</v>
      </c>
      <c r="K801" s="61">
        <f t="shared" si="12"/>
        <v>1008</v>
      </c>
      <c r="L801" s="123">
        <v>0</v>
      </c>
    </row>
    <row r="802" spans="1:13" hidden="1" x14ac:dyDescent="0.25">
      <c r="A802" s="7">
        <v>801</v>
      </c>
      <c r="B802" s="152" t="s">
        <v>441</v>
      </c>
      <c r="C802" s="153" t="s">
        <v>4122</v>
      </c>
      <c r="D802" s="153" t="s">
        <v>4123</v>
      </c>
      <c r="E802" s="153" t="s">
        <v>2126</v>
      </c>
      <c r="F802" s="6"/>
      <c r="G802" s="6"/>
      <c r="H802" s="85">
        <v>0</v>
      </c>
      <c r="I802" s="103">
        <f>IFERROR(VLOOKUP(B802,'July 2026-Recived'!$B$2:$H$1300,7,0),0)</f>
        <v>0</v>
      </c>
      <c r="J802" s="103">
        <f>IFERROR(VLOOKUP(B802,'July 2026- Dispatch'!$B$2:$H$1300,7,0),0)</f>
        <v>0</v>
      </c>
      <c r="K802" s="61">
        <f t="shared" si="12"/>
        <v>0</v>
      </c>
      <c r="L802" s="123">
        <v>0</v>
      </c>
    </row>
    <row r="803" spans="1:13" hidden="1" x14ac:dyDescent="0.25">
      <c r="A803" s="7">
        <v>802</v>
      </c>
      <c r="B803" s="152" t="s">
        <v>1711</v>
      </c>
      <c r="C803" s="153" t="s">
        <v>4124</v>
      </c>
      <c r="D803" s="153" t="s">
        <v>4125</v>
      </c>
      <c r="E803" s="153" t="s">
        <v>2126</v>
      </c>
      <c r="F803" s="6"/>
      <c r="G803" s="6"/>
      <c r="H803" s="85">
        <v>0</v>
      </c>
      <c r="I803" s="103">
        <f>IFERROR(VLOOKUP(B803,'July 2026-Recived'!$B$2:$H$1300,7,0),0)</f>
        <v>0</v>
      </c>
      <c r="J803" s="103">
        <f>IFERROR(VLOOKUP(B803,'July 2026- Dispatch'!$B$2:$H$1300,7,0),0)</f>
        <v>0</v>
      </c>
      <c r="K803" s="61">
        <f t="shared" si="12"/>
        <v>0</v>
      </c>
      <c r="L803" s="123">
        <v>0</v>
      </c>
    </row>
    <row r="804" spans="1:13" hidden="1" x14ac:dyDescent="0.25">
      <c r="A804" s="7">
        <v>803</v>
      </c>
      <c r="B804" s="152" t="s">
        <v>1592</v>
      </c>
      <c r="C804" s="153" t="s">
        <v>4126</v>
      </c>
      <c r="D804" s="153" t="s">
        <v>4127</v>
      </c>
      <c r="E804" s="153" t="s">
        <v>64</v>
      </c>
      <c r="F804" s="6"/>
      <c r="G804" s="6"/>
      <c r="H804" s="85">
        <v>1396.56</v>
      </c>
      <c r="I804" s="103">
        <f>IFERROR(VLOOKUP(B804,'July 2026-Recived'!$B$2:$H$1300,7,0),0)</f>
        <v>0</v>
      </c>
      <c r="J804" s="103">
        <f>IFERROR(VLOOKUP(B804,'July 2026- Dispatch'!$B$2:$H$1300,7,0),0)</f>
        <v>0</v>
      </c>
      <c r="K804" s="61">
        <f t="shared" si="12"/>
        <v>1396.56</v>
      </c>
      <c r="L804" s="123">
        <v>0</v>
      </c>
    </row>
    <row r="805" spans="1:13" hidden="1" x14ac:dyDescent="0.25">
      <c r="A805" s="7">
        <v>804</v>
      </c>
      <c r="B805" s="152" t="s">
        <v>983</v>
      </c>
      <c r="C805" s="153" t="s">
        <v>4128</v>
      </c>
      <c r="D805" s="153" t="s">
        <v>4129</v>
      </c>
      <c r="E805" s="153" t="s">
        <v>64</v>
      </c>
      <c r="F805" s="6"/>
      <c r="G805" s="6"/>
      <c r="H805" s="85">
        <v>720</v>
      </c>
      <c r="I805" s="103">
        <f>IFERROR(VLOOKUP(B805,'July 2026-Recived'!$B$2:$H$1300,7,0),0)</f>
        <v>0</v>
      </c>
      <c r="J805" s="103">
        <f>IFERROR(VLOOKUP(B805,'July 2026- Dispatch'!$B$2:$H$1300,7,0),0)</f>
        <v>0</v>
      </c>
      <c r="K805" s="61">
        <f t="shared" si="12"/>
        <v>720</v>
      </c>
      <c r="L805" s="123">
        <v>0</v>
      </c>
      <c r="M805" s="104"/>
    </row>
    <row r="806" spans="1:13" hidden="1" x14ac:dyDescent="0.25">
      <c r="A806" s="7">
        <v>805</v>
      </c>
      <c r="B806" s="152" t="s">
        <v>1151</v>
      </c>
      <c r="C806" s="153" t="s">
        <v>4130</v>
      </c>
      <c r="D806" s="153" t="s">
        <v>4131</v>
      </c>
      <c r="E806" s="153" t="s">
        <v>2126</v>
      </c>
      <c r="F806" s="6"/>
      <c r="G806" s="6"/>
      <c r="H806" s="85">
        <v>0</v>
      </c>
      <c r="I806" s="103">
        <f>IFERROR(VLOOKUP(B806,'July 2026-Recived'!$B$2:$H$1300,7,0),0)</f>
        <v>12240</v>
      </c>
      <c r="J806" s="103">
        <f>IFERROR(VLOOKUP(B806,'July 2026- Dispatch'!$B$2:$H$1300,7,0),0)</f>
        <v>4840</v>
      </c>
      <c r="K806" s="61">
        <f t="shared" si="12"/>
        <v>7400</v>
      </c>
      <c r="L806" s="123">
        <v>0</v>
      </c>
    </row>
    <row r="807" spans="1:13" hidden="1" x14ac:dyDescent="0.25">
      <c r="A807" s="7">
        <v>806</v>
      </c>
      <c r="B807" s="152" t="s">
        <v>1341</v>
      </c>
      <c r="C807" s="153" t="s">
        <v>4132</v>
      </c>
      <c r="D807" s="153" t="s">
        <v>4133</v>
      </c>
      <c r="E807" s="153" t="s">
        <v>64</v>
      </c>
      <c r="F807" s="6"/>
      <c r="G807" s="6"/>
      <c r="H807" s="85">
        <v>1300</v>
      </c>
      <c r="I807" s="103">
        <f>IFERROR(VLOOKUP(B807,'July 2026-Recived'!$B$2:$H$1300,7,0),0)</f>
        <v>0</v>
      </c>
      <c r="J807" s="103">
        <f>IFERROR(VLOOKUP(B807,'July 2026- Dispatch'!$B$2:$H$1300,7,0),0)</f>
        <v>0</v>
      </c>
      <c r="K807" s="61">
        <f t="shared" si="12"/>
        <v>1300</v>
      </c>
      <c r="L807" s="123">
        <v>0</v>
      </c>
    </row>
    <row r="808" spans="1:13" hidden="1" x14ac:dyDescent="0.25">
      <c r="A808" s="7">
        <v>807</v>
      </c>
      <c r="B808" s="152" t="s">
        <v>396</v>
      </c>
      <c r="C808" s="153" t="s">
        <v>4134</v>
      </c>
      <c r="D808" s="153" t="s">
        <v>4135</v>
      </c>
      <c r="E808" s="153" t="s">
        <v>2126</v>
      </c>
      <c r="F808" s="6"/>
      <c r="G808" s="6"/>
      <c r="H808" s="85">
        <v>0</v>
      </c>
      <c r="I808" s="103">
        <f>IFERROR(VLOOKUP(B808,'July 2026-Recived'!$B$2:$H$1300,7,0),0)</f>
        <v>4320</v>
      </c>
      <c r="J808" s="103">
        <f>IFERROR(VLOOKUP(B808,'July 2026- Dispatch'!$B$2:$H$1300,7,0),0)</f>
        <v>0</v>
      </c>
      <c r="K808" s="61">
        <f t="shared" si="12"/>
        <v>4320</v>
      </c>
      <c r="L808" s="123">
        <v>0</v>
      </c>
    </row>
    <row r="809" spans="1:13" hidden="1" x14ac:dyDescent="0.25">
      <c r="A809" s="7">
        <v>808</v>
      </c>
      <c r="B809" s="152" t="s">
        <v>399</v>
      </c>
      <c r="C809" s="153" t="s">
        <v>4136</v>
      </c>
      <c r="D809" s="153" t="s">
        <v>4137</v>
      </c>
      <c r="E809" s="153" t="s">
        <v>64</v>
      </c>
      <c r="F809" s="6"/>
      <c r="G809" s="6"/>
      <c r="H809" s="85">
        <v>10</v>
      </c>
      <c r="I809" s="103">
        <f>IFERROR(VLOOKUP(B809,'July 2026-Recived'!$B$2:$H$1300,7,0),0)</f>
        <v>0</v>
      </c>
      <c r="J809" s="103">
        <f>IFERROR(VLOOKUP(B809,'July 2026- Dispatch'!$B$2:$H$1300,7,0),0)</f>
        <v>0</v>
      </c>
      <c r="K809" s="61">
        <f t="shared" si="12"/>
        <v>10</v>
      </c>
      <c r="L809" s="123">
        <v>0</v>
      </c>
    </row>
    <row r="810" spans="1:13" hidden="1" x14ac:dyDescent="0.25">
      <c r="A810" s="7">
        <v>809</v>
      </c>
      <c r="B810" s="152" t="s">
        <v>1057</v>
      </c>
      <c r="C810" s="153" t="s">
        <v>4138</v>
      </c>
      <c r="D810" s="153" t="s">
        <v>4139</v>
      </c>
      <c r="E810" s="153" t="s">
        <v>2126</v>
      </c>
      <c r="F810" s="6"/>
      <c r="G810" s="6"/>
      <c r="H810" s="85">
        <v>0</v>
      </c>
      <c r="I810" s="103">
        <f>IFERROR(VLOOKUP(B810,'July 2026-Recived'!$B$2:$H$1300,7,0),0)</f>
        <v>1250</v>
      </c>
      <c r="J810" s="103">
        <f>IFERROR(VLOOKUP(B810,'July 2026- Dispatch'!$B$2:$H$1300,7,0),0)</f>
        <v>0</v>
      </c>
      <c r="K810" s="61">
        <f t="shared" si="12"/>
        <v>1250</v>
      </c>
      <c r="L810" s="123">
        <v>0</v>
      </c>
    </row>
    <row r="811" spans="1:13" hidden="1" x14ac:dyDescent="0.25">
      <c r="A811" s="7">
        <v>810</v>
      </c>
      <c r="B811" s="152" t="s">
        <v>1252</v>
      </c>
      <c r="C811" s="153" t="s">
        <v>4140</v>
      </c>
      <c r="D811" s="153" t="s">
        <v>4141</v>
      </c>
      <c r="E811" s="153" t="s">
        <v>64</v>
      </c>
      <c r="F811" s="6"/>
      <c r="G811" s="6"/>
      <c r="H811" s="85">
        <v>500</v>
      </c>
      <c r="I811" s="103">
        <f>IFERROR(VLOOKUP(B811,'July 2026-Recived'!$B$2:$H$1300,7,0),0)</f>
        <v>500</v>
      </c>
      <c r="J811" s="103">
        <f>IFERROR(VLOOKUP(B811,'July 2026- Dispatch'!$B$2:$H$1300,7,0),0)</f>
        <v>0</v>
      </c>
      <c r="K811" s="61">
        <f t="shared" si="12"/>
        <v>1000</v>
      </c>
      <c r="L811" s="123">
        <v>0</v>
      </c>
    </row>
    <row r="812" spans="1:13" hidden="1" x14ac:dyDescent="0.25">
      <c r="A812" s="7">
        <v>811</v>
      </c>
      <c r="B812" s="152" t="s">
        <v>1502</v>
      </c>
      <c r="C812" s="153" t="s">
        <v>4142</v>
      </c>
      <c r="D812" s="153" t="s">
        <v>4143</v>
      </c>
      <c r="E812" s="153" t="s">
        <v>2126</v>
      </c>
      <c r="F812" s="6"/>
      <c r="G812" s="6"/>
      <c r="H812" s="85">
        <v>0</v>
      </c>
      <c r="I812" s="103">
        <f>IFERROR(VLOOKUP(B812,'July 2026-Recived'!$B$2:$H$1300,7,0),0)</f>
        <v>100</v>
      </c>
      <c r="J812" s="103">
        <f>IFERROR(VLOOKUP(B812,'July 2026- Dispatch'!$B$2:$H$1300,7,0),0)</f>
        <v>0</v>
      </c>
      <c r="K812" s="61">
        <f t="shared" si="12"/>
        <v>100</v>
      </c>
      <c r="L812" s="123">
        <v>0</v>
      </c>
    </row>
    <row r="813" spans="1:13" hidden="1" x14ac:dyDescent="0.25">
      <c r="A813" s="7">
        <v>812</v>
      </c>
      <c r="B813" s="152" t="s">
        <v>1541</v>
      </c>
      <c r="C813" s="153" t="s">
        <v>4144</v>
      </c>
      <c r="D813" s="153" t="s">
        <v>4145</v>
      </c>
      <c r="E813" s="153" t="s">
        <v>64</v>
      </c>
      <c r="F813" s="6"/>
      <c r="G813" s="6"/>
      <c r="H813" s="85">
        <v>250</v>
      </c>
      <c r="I813" s="103">
        <f>IFERROR(VLOOKUP(B813,'July 2026-Recived'!$B$2:$H$1300,7,0),0)</f>
        <v>0</v>
      </c>
      <c r="J813" s="103">
        <f>IFERROR(VLOOKUP(B813,'July 2026- Dispatch'!$B$2:$H$1300,7,0),0)</f>
        <v>0</v>
      </c>
      <c r="K813" s="61">
        <f t="shared" si="12"/>
        <v>250</v>
      </c>
      <c r="L813" s="123">
        <v>0</v>
      </c>
    </row>
    <row r="814" spans="1:13" hidden="1" x14ac:dyDescent="0.25">
      <c r="A814" s="7">
        <v>813</v>
      </c>
      <c r="B814" s="152" t="s">
        <v>4146</v>
      </c>
      <c r="C814" s="153" t="s">
        <v>4147</v>
      </c>
      <c r="D814" s="153" t="s">
        <v>4148</v>
      </c>
      <c r="E814" s="153" t="s">
        <v>2126</v>
      </c>
      <c r="F814" s="6"/>
      <c r="G814" s="6"/>
      <c r="H814" s="85">
        <v>0</v>
      </c>
      <c r="I814" s="103">
        <f>IFERROR(VLOOKUP(B814,'July 2026-Recived'!$B$2:$H$1300,7,0),0)</f>
        <v>0</v>
      </c>
      <c r="J814" s="103">
        <f>IFERROR(VLOOKUP(B814,'July 2026- Dispatch'!$B$2:$H$1300,7,0),0)</f>
        <v>0</v>
      </c>
      <c r="K814" s="61">
        <f t="shared" si="12"/>
        <v>0</v>
      </c>
      <c r="L814" s="123">
        <v>0</v>
      </c>
    </row>
    <row r="815" spans="1:13" hidden="1" x14ac:dyDescent="0.25">
      <c r="A815" s="7">
        <v>814</v>
      </c>
      <c r="B815" s="152" t="s">
        <v>682</v>
      </c>
      <c r="C815" s="153" t="s">
        <v>4149</v>
      </c>
      <c r="D815" s="153" t="s">
        <v>4150</v>
      </c>
      <c r="E815" s="153" t="s">
        <v>2126</v>
      </c>
      <c r="F815" s="6"/>
      <c r="G815" s="6"/>
      <c r="H815" s="85">
        <v>0</v>
      </c>
      <c r="I815" s="103">
        <f>IFERROR(VLOOKUP(B815,'July 2026-Recived'!$B$2:$H$1300,7,0),0)</f>
        <v>0</v>
      </c>
      <c r="J815" s="103">
        <f>IFERROR(VLOOKUP(B815,'July 2026- Dispatch'!$B$2:$H$1300,7,0),0)</f>
        <v>0</v>
      </c>
      <c r="K815" s="61">
        <f t="shared" si="12"/>
        <v>0</v>
      </c>
      <c r="L815" s="123">
        <v>0</v>
      </c>
    </row>
    <row r="816" spans="1:13" hidden="1" x14ac:dyDescent="0.25">
      <c r="A816" s="7">
        <v>815</v>
      </c>
      <c r="B816" s="152" t="s">
        <v>835</v>
      </c>
      <c r="C816" s="153" t="s">
        <v>4151</v>
      </c>
      <c r="D816" s="153" t="s">
        <v>4152</v>
      </c>
      <c r="E816" s="153" t="s">
        <v>2126</v>
      </c>
      <c r="F816" s="6"/>
      <c r="G816" s="6"/>
      <c r="H816" s="85">
        <v>0</v>
      </c>
      <c r="I816" s="103">
        <f>IFERROR(VLOOKUP(B816,'July 2026-Recived'!$B$2:$H$1300,7,0),0)</f>
        <v>0</v>
      </c>
      <c r="J816" s="103">
        <f>IFERROR(VLOOKUP(B816,'July 2026- Dispatch'!$B$2:$H$1300,7,0),0)</f>
        <v>0</v>
      </c>
      <c r="K816" s="61">
        <f t="shared" si="12"/>
        <v>0</v>
      </c>
      <c r="L816" s="123">
        <v>0</v>
      </c>
    </row>
    <row r="817" spans="1:12" hidden="1" x14ac:dyDescent="0.25">
      <c r="A817" s="7">
        <v>816</v>
      </c>
      <c r="B817" s="152" t="s">
        <v>771</v>
      </c>
      <c r="C817" s="153" t="s">
        <v>4153</v>
      </c>
      <c r="D817" s="153" t="s">
        <v>4154</v>
      </c>
      <c r="E817" s="153" t="s">
        <v>64</v>
      </c>
      <c r="F817" s="6"/>
      <c r="G817" s="6"/>
      <c r="H817" s="85">
        <v>3978</v>
      </c>
      <c r="I817" s="103">
        <f>IFERROR(VLOOKUP(B817,'July 2026-Recived'!$B$2:$H$1300,7,0),0)</f>
        <v>0</v>
      </c>
      <c r="J817" s="103">
        <f>IFERROR(VLOOKUP(B817,'July 2026- Dispatch'!$B$2:$H$1300,7,0),0)</f>
        <v>0</v>
      </c>
      <c r="K817" s="61">
        <f t="shared" si="12"/>
        <v>3978</v>
      </c>
      <c r="L817" s="123">
        <v>0</v>
      </c>
    </row>
    <row r="818" spans="1:12" hidden="1" x14ac:dyDescent="0.25">
      <c r="A818" s="7">
        <v>817</v>
      </c>
      <c r="B818" s="152" t="s">
        <v>1357</v>
      </c>
      <c r="C818" s="153" t="s">
        <v>4155</v>
      </c>
      <c r="D818" s="153" t="s">
        <v>4156</v>
      </c>
      <c r="E818" s="153" t="s">
        <v>64</v>
      </c>
      <c r="F818" s="6"/>
      <c r="G818" s="6"/>
      <c r="H818" s="85">
        <v>864</v>
      </c>
      <c r="I818" s="103">
        <f>IFERROR(VLOOKUP(B818,'July 2026-Recived'!$B$2:$H$1300,7,0),0)</f>
        <v>108</v>
      </c>
      <c r="J818" s="103">
        <f>IFERROR(VLOOKUP(B818,'July 2026- Dispatch'!$B$2:$H$1300,7,0),0)</f>
        <v>0</v>
      </c>
      <c r="K818" s="61">
        <f t="shared" si="12"/>
        <v>972</v>
      </c>
      <c r="L818" s="123">
        <v>0</v>
      </c>
    </row>
    <row r="819" spans="1:12" hidden="1" x14ac:dyDescent="0.25">
      <c r="A819" s="7">
        <v>818</v>
      </c>
      <c r="B819" s="152" t="s">
        <v>1440</v>
      </c>
      <c r="C819" s="153" t="s">
        <v>4157</v>
      </c>
      <c r="D819" s="153" t="s">
        <v>4158</v>
      </c>
      <c r="E819" s="153" t="s">
        <v>2111</v>
      </c>
      <c r="F819" s="6"/>
      <c r="G819" s="6"/>
      <c r="H819" s="85">
        <v>144.84</v>
      </c>
      <c r="I819" s="103">
        <f>IFERROR(VLOOKUP(B819,'July 2026-Recived'!$B$2:$H$1300,7,0),0)</f>
        <v>68.16</v>
      </c>
      <c r="J819" s="103">
        <f>IFERROR(VLOOKUP(B819,'July 2026- Dispatch'!$B$2:$H$1300,7,0),0)</f>
        <v>153.36000000000001</v>
      </c>
      <c r="K819" s="61">
        <f t="shared" si="12"/>
        <v>59.639999999999986</v>
      </c>
      <c r="L819" s="123">
        <v>0</v>
      </c>
    </row>
    <row r="820" spans="1:12" hidden="1" x14ac:dyDescent="0.25">
      <c r="A820" s="7">
        <v>819</v>
      </c>
      <c r="B820" s="152" t="s">
        <v>1555</v>
      </c>
      <c r="C820" s="153" t="s">
        <v>4159</v>
      </c>
      <c r="D820" s="153" t="s">
        <v>4160</v>
      </c>
      <c r="E820" s="153" t="s">
        <v>64</v>
      </c>
      <c r="F820" s="6"/>
      <c r="G820" s="6"/>
      <c r="H820" s="85">
        <v>142</v>
      </c>
      <c r="I820" s="103">
        <f>IFERROR(VLOOKUP(B820,'July 2026-Recived'!$B$2:$H$1300,7,0),0)</f>
        <v>20</v>
      </c>
      <c r="J820" s="103">
        <f>IFERROR(VLOOKUP(B820,'July 2026- Dispatch'!$B$2:$H$1300,7,0),0)</f>
        <v>0</v>
      </c>
      <c r="K820" s="61">
        <f t="shared" si="12"/>
        <v>162</v>
      </c>
      <c r="L820" s="123">
        <v>0</v>
      </c>
    </row>
    <row r="821" spans="1:12" hidden="1" x14ac:dyDescent="0.25">
      <c r="A821" s="7">
        <v>820</v>
      </c>
      <c r="B821" s="152" t="s">
        <v>1165</v>
      </c>
      <c r="C821" s="153" t="s">
        <v>4161</v>
      </c>
      <c r="D821" s="153" t="s">
        <v>4162</v>
      </c>
      <c r="E821" s="153" t="s">
        <v>64</v>
      </c>
      <c r="F821" s="6"/>
      <c r="G821" s="6"/>
      <c r="H821" s="85">
        <v>158.19999999999999</v>
      </c>
      <c r="I821" s="103">
        <f>IFERROR(VLOOKUP(B821,'July 2026-Recived'!$B$2:$H$1300,7,0),0)</f>
        <v>576</v>
      </c>
      <c r="J821" s="103">
        <f>IFERROR(VLOOKUP(B821,'July 2026- Dispatch'!$B$2:$H$1300,7,0),0)</f>
        <v>0</v>
      </c>
      <c r="K821" s="61">
        <f t="shared" si="12"/>
        <v>734.2</v>
      </c>
      <c r="L821" s="123">
        <v>0</v>
      </c>
    </row>
    <row r="822" spans="1:12" hidden="1" x14ac:dyDescent="0.25">
      <c r="A822" s="7">
        <v>821</v>
      </c>
      <c r="B822" s="152" t="s">
        <v>1582</v>
      </c>
      <c r="C822" s="153" t="s">
        <v>4163</v>
      </c>
      <c r="D822" s="153" t="s">
        <v>4164</v>
      </c>
      <c r="E822" s="153" t="s">
        <v>64</v>
      </c>
      <c r="F822" s="6"/>
      <c r="G822" s="6"/>
      <c r="H822" s="85">
        <v>1</v>
      </c>
      <c r="I822" s="103">
        <f>IFERROR(VLOOKUP(B822,'July 2026-Recived'!$B$2:$H$1300,7,0),0)</f>
        <v>5</v>
      </c>
      <c r="J822" s="103">
        <f>IFERROR(VLOOKUP(B822,'July 2026- Dispatch'!$B$2:$H$1300,7,0),0)</f>
        <v>6</v>
      </c>
      <c r="K822" s="61">
        <f t="shared" si="12"/>
        <v>0</v>
      </c>
      <c r="L822" s="123">
        <v>0</v>
      </c>
    </row>
    <row r="823" spans="1:12" hidden="1" x14ac:dyDescent="0.25">
      <c r="A823" s="7">
        <v>822</v>
      </c>
      <c r="B823" s="152" t="s">
        <v>518</v>
      </c>
      <c r="C823" s="153" t="s">
        <v>4165</v>
      </c>
      <c r="D823" s="153" t="s">
        <v>4166</v>
      </c>
      <c r="E823" s="153" t="s">
        <v>2126</v>
      </c>
      <c r="F823" s="6"/>
      <c r="G823" s="6"/>
      <c r="H823" s="85">
        <v>0</v>
      </c>
      <c r="I823" s="103">
        <f>IFERROR(VLOOKUP(B823,'July 2026-Recived'!$B$2:$H$1300,7,0),0)</f>
        <v>10</v>
      </c>
      <c r="J823" s="103">
        <f>IFERROR(VLOOKUP(B823,'July 2026- Dispatch'!$B$2:$H$1300,7,0),0)</f>
        <v>0</v>
      </c>
      <c r="K823" s="61">
        <f t="shared" si="12"/>
        <v>10</v>
      </c>
      <c r="L823" s="123">
        <v>0</v>
      </c>
    </row>
    <row r="824" spans="1:12" hidden="1" x14ac:dyDescent="0.25">
      <c r="A824" s="7">
        <v>823</v>
      </c>
      <c r="B824" s="152" t="s">
        <v>1292</v>
      </c>
      <c r="C824" s="153" t="s">
        <v>4167</v>
      </c>
      <c r="D824" s="153" t="s">
        <v>4168</v>
      </c>
      <c r="E824" s="153" t="s">
        <v>64</v>
      </c>
      <c r="F824" s="6"/>
      <c r="G824" s="6"/>
      <c r="H824" s="85">
        <v>90</v>
      </c>
      <c r="I824" s="103">
        <f>IFERROR(VLOOKUP(B824,'July 2026-Recived'!$B$2:$H$1300,7,0),0)</f>
        <v>0</v>
      </c>
      <c r="J824" s="103">
        <f>IFERROR(VLOOKUP(B824,'July 2026- Dispatch'!$B$2:$H$1300,7,0),0)</f>
        <v>0</v>
      </c>
      <c r="K824" s="61">
        <f t="shared" si="12"/>
        <v>90</v>
      </c>
      <c r="L824" s="123">
        <v>0</v>
      </c>
    </row>
    <row r="825" spans="1:12" hidden="1" x14ac:dyDescent="0.25">
      <c r="A825" s="7">
        <v>824</v>
      </c>
      <c r="B825" s="152" t="s">
        <v>1169</v>
      </c>
      <c r="C825" s="153" t="s">
        <v>4169</v>
      </c>
      <c r="D825" s="153" t="s">
        <v>4170</v>
      </c>
      <c r="E825" s="153" t="s">
        <v>64</v>
      </c>
      <c r="F825" s="6"/>
      <c r="G825" s="6"/>
      <c r="H825" s="85">
        <v>25</v>
      </c>
      <c r="I825" s="103">
        <f>IFERROR(VLOOKUP(B825,'July 2026-Recived'!$B$2:$H$1300,7,0),0)</f>
        <v>80</v>
      </c>
      <c r="J825" s="103">
        <f>IFERROR(VLOOKUP(B825,'July 2026- Dispatch'!$B$2:$H$1300,7,0),0)</f>
        <v>0</v>
      </c>
      <c r="K825" s="61">
        <f t="shared" si="12"/>
        <v>105</v>
      </c>
      <c r="L825" s="123">
        <v>0</v>
      </c>
    </row>
    <row r="826" spans="1:12" hidden="1" x14ac:dyDescent="0.25">
      <c r="A826" s="7">
        <v>825</v>
      </c>
      <c r="B826" s="152" t="s">
        <v>4171</v>
      </c>
      <c r="C826" s="153" t="s">
        <v>4172</v>
      </c>
      <c r="D826" s="153" t="s">
        <v>4173</v>
      </c>
      <c r="E826" s="153" t="s">
        <v>64</v>
      </c>
      <c r="F826" s="6"/>
      <c r="G826" s="6"/>
      <c r="H826" s="85">
        <v>90</v>
      </c>
      <c r="I826" s="103">
        <f>IFERROR(VLOOKUP(B826,'July 2026-Recived'!$B$2:$H$1300,7,0),0)</f>
        <v>0</v>
      </c>
      <c r="J826" s="103">
        <f>IFERROR(VLOOKUP(B826,'July 2026- Dispatch'!$B$2:$H$1300,7,0),0)</f>
        <v>0</v>
      </c>
      <c r="K826" s="61">
        <f t="shared" si="12"/>
        <v>90</v>
      </c>
      <c r="L826" s="123">
        <v>0</v>
      </c>
    </row>
    <row r="827" spans="1:12" hidden="1" x14ac:dyDescent="0.25">
      <c r="A827" s="7">
        <v>826</v>
      </c>
      <c r="B827" s="152" t="s">
        <v>1131</v>
      </c>
      <c r="C827" s="153" t="s">
        <v>4174</v>
      </c>
      <c r="D827" s="153" t="s">
        <v>4175</v>
      </c>
      <c r="E827" s="153" t="s">
        <v>2126</v>
      </c>
      <c r="F827" s="6"/>
      <c r="G827" s="6"/>
      <c r="H827" s="85">
        <v>0</v>
      </c>
      <c r="I827" s="103">
        <f>IFERROR(VLOOKUP(B827,'July 2026-Recived'!$B$2:$H$1300,7,0),0)</f>
        <v>0</v>
      </c>
      <c r="J827" s="103">
        <f>IFERROR(VLOOKUP(B827,'July 2026- Dispatch'!$B$2:$H$1300,7,0),0)</f>
        <v>0</v>
      </c>
      <c r="K827" s="61">
        <f t="shared" si="12"/>
        <v>0</v>
      </c>
      <c r="L827" s="123">
        <v>0</v>
      </c>
    </row>
    <row r="828" spans="1:12" hidden="1" x14ac:dyDescent="0.25">
      <c r="A828" s="7">
        <v>827</v>
      </c>
      <c r="B828" s="152" t="s">
        <v>497</v>
      </c>
      <c r="C828" s="153" t="s">
        <v>4176</v>
      </c>
      <c r="D828" s="153" t="s">
        <v>4177</v>
      </c>
      <c r="E828" s="153" t="s">
        <v>64</v>
      </c>
      <c r="F828" s="6"/>
      <c r="G828" s="6"/>
      <c r="H828" s="85">
        <v>296</v>
      </c>
      <c r="I828" s="103">
        <f>IFERROR(VLOOKUP(B828,'July 2026-Recived'!$B$2:$H$1300,7,0),0)</f>
        <v>0</v>
      </c>
      <c r="J828" s="103">
        <f>IFERROR(VLOOKUP(B828,'July 2026- Dispatch'!$B$2:$H$1300,7,0),0)</f>
        <v>0</v>
      </c>
      <c r="K828" s="61">
        <f t="shared" si="12"/>
        <v>296</v>
      </c>
      <c r="L828" s="123">
        <v>0</v>
      </c>
    </row>
    <row r="829" spans="1:12" hidden="1" x14ac:dyDescent="0.25">
      <c r="A829" s="7">
        <v>828</v>
      </c>
      <c r="B829" s="152" t="s">
        <v>919</v>
      </c>
      <c r="C829" s="153" t="s">
        <v>4178</v>
      </c>
      <c r="D829" s="153" t="s">
        <v>4179</v>
      </c>
      <c r="E829" s="153" t="s">
        <v>64</v>
      </c>
      <c r="F829" s="6"/>
      <c r="G829" s="6"/>
      <c r="H829" s="85">
        <v>600</v>
      </c>
      <c r="I829" s="103">
        <f>IFERROR(VLOOKUP(B829,'July 2026-Recived'!$B$2:$H$1300,7,0),0)</f>
        <v>0</v>
      </c>
      <c r="J829" s="103">
        <f>IFERROR(VLOOKUP(B829,'July 2026- Dispatch'!$B$2:$H$1300,7,0),0)</f>
        <v>2</v>
      </c>
      <c r="K829" s="61">
        <f t="shared" si="12"/>
        <v>598</v>
      </c>
      <c r="L829" s="123">
        <v>0</v>
      </c>
    </row>
    <row r="830" spans="1:12" hidden="1" x14ac:dyDescent="0.25">
      <c r="A830" s="7">
        <v>829</v>
      </c>
      <c r="B830" s="152" t="s">
        <v>1269</v>
      </c>
      <c r="C830" s="153" t="s">
        <v>4180</v>
      </c>
      <c r="D830" s="153" t="s">
        <v>4181</v>
      </c>
      <c r="E830" s="153" t="s">
        <v>64</v>
      </c>
      <c r="F830" s="6"/>
      <c r="G830" s="6"/>
      <c r="H830" s="85">
        <v>62.7</v>
      </c>
      <c r="I830" s="103">
        <f>IFERROR(VLOOKUP(B830,'July 2026-Recived'!$B$2:$H$1300,7,0),0)</f>
        <v>0</v>
      </c>
      <c r="J830" s="103">
        <f>IFERROR(VLOOKUP(B830,'July 2026- Dispatch'!$B$2:$H$1300,7,0),0)</f>
        <v>7.02</v>
      </c>
      <c r="K830" s="61">
        <f t="shared" si="12"/>
        <v>55.680000000000007</v>
      </c>
      <c r="L830" s="123">
        <v>0</v>
      </c>
    </row>
    <row r="831" spans="1:12" hidden="1" x14ac:dyDescent="0.25">
      <c r="A831" s="7">
        <v>830</v>
      </c>
      <c r="B831" s="152" t="s">
        <v>1091</v>
      </c>
      <c r="C831" s="153" t="s">
        <v>4182</v>
      </c>
      <c r="D831" s="153" t="s">
        <v>4183</v>
      </c>
      <c r="E831" s="153" t="s">
        <v>64</v>
      </c>
      <c r="F831" s="6"/>
      <c r="G831" s="6"/>
      <c r="H831" s="85">
        <v>98.76</v>
      </c>
      <c r="I831" s="103">
        <f>IFERROR(VLOOKUP(B831,'July 2026-Recived'!$B$2:$H$1300,7,0),0)</f>
        <v>0</v>
      </c>
      <c r="J831" s="103">
        <f>IFERROR(VLOOKUP(B831,'July 2026- Dispatch'!$B$2:$H$1300,7,0),0)</f>
        <v>0</v>
      </c>
      <c r="K831" s="61">
        <f t="shared" si="12"/>
        <v>98.76</v>
      </c>
      <c r="L831" s="123">
        <v>0</v>
      </c>
    </row>
    <row r="832" spans="1:12" hidden="1" x14ac:dyDescent="0.25">
      <c r="A832" s="7">
        <v>831</v>
      </c>
      <c r="B832" s="152" t="s">
        <v>1126</v>
      </c>
      <c r="C832" s="153" t="s">
        <v>4184</v>
      </c>
      <c r="D832" s="153" t="s">
        <v>4185</v>
      </c>
      <c r="E832" s="153" t="s">
        <v>64</v>
      </c>
      <c r="F832" s="6"/>
      <c r="G832" s="6"/>
      <c r="H832" s="85">
        <v>160.84</v>
      </c>
      <c r="I832" s="103">
        <f>IFERROR(VLOOKUP(B832,'July 2026-Recived'!$B$2:$H$1300,7,0),0)</f>
        <v>0</v>
      </c>
      <c r="J832" s="103">
        <f>IFERROR(VLOOKUP(B832,'July 2026- Dispatch'!$B$2:$H$1300,7,0),0)</f>
        <v>0</v>
      </c>
      <c r="K832" s="61">
        <f t="shared" si="12"/>
        <v>160.84</v>
      </c>
      <c r="L832" s="123">
        <v>0</v>
      </c>
    </row>
    <row r="833" spans="1:12" hidden="1" x14ac:dyDescent="0.25">
      <c r="A833" s="7">
        <v>832</v>
      </c>
      <c r="B833" s="152" t="s">
        <v>4186</v>
      </c>
      <c r="C833" s="153" t="s">
        <v>4187</v>
      </c>
      <c r="D833" s="153" t="s">
        <v>4188</v>
      </c>
      <c r="E833" s="153" t="s">
        <v>2126</v>
      </c>
      <c r="F833" s="6"/>
      <c r="G833" s="6"/>
      <c r="H833" s="85">
        <v>0</v>
      </c>
      <c r="I833" s="103">
        <f>IFERROR(VLOOKUP(B833,'July 2026-Recived'!$B$2:$H$1300,7,0),0)</f>
        <v>0</v>
      </c>
      <c r="J833" s="103">
        <f>IFERROR(VLOOKUP(B833,'July 2026- Dispatch'!$B$2:$H$1300,7,0),0)</f>
        <v>0</v>
      </c>
      <c r="K833" s="61">
        <f t="shared" si="12"/>
        <v>0</v>
      </c>
      <c r="L833" s="123">
        <v>0</v>
      </c>
    </row>
    <row r="834" spans="1:12" hidden="1" x14ac:dyDescent="0.25">
      <c r="A834" s="7">
        <v>833</v>
      </c>
      <c r="B834" s="157" t="s">
        <v>1552</v>
      </c>
      <c r="C834" s="158" t="s">
        <v>4189</v>
      </c>
      <c r="D834" s="158" t="s">
        <v>4190</v>
      </c>
      <c r="E834" s="153" t="s">
        <v>64</v>
      </c>
      <c r="F834" s="6"/>
      <c r="G834" s="6"/>
      <c r="H834" s="85">
        <v>3270</v>
      </c>
      <c r="I834" s="103">
        <f>IFERROR(VLOOKUP(B834,'July 2026-Recived'!$B$2:$H$1300,7,0),0)</f>
        <v>0</v>
      </c>
      <c r="J834" s="103">
        <f>IFERROR(VLOOKUP(B834,'July 2026- Dispatch'!$B$2:$H$1300,7,0),0)</f>
        <v>30</v>
      </c>
      <c r="K834" s="61">
        <f t="shared" ref="K834:K897" si="13">H834+I834-J834</f>
        <v>3240</v>
      </c>
      <c r="L834" s="123">
        <v>0</v>
      </c>
    </row>
    <row r="835" spans="1:12" hidden="1" x14ac:dyDescent="0.25">
      <c r="A835" s="7">
        <v>834</v>
      </c>
      <c r="B835" s="152" t="s">
        <v>82</v>
      </c>
      <c r="C835" s="153" t="s">
        <v>4191</v>
      </c>
      <c r="D835" s="153" t="s">
        <v>4192</v>
      </c>
      <c r="E835" s="153" t="s">
        <v>64</v>
      </c>
      <c r="F835" s="6"/>
      <c r="G835" s="6"/>
      <c r="H835" s="85">
        <v>336.6</v>
      </c>
      <c r="I835" s="103">
        <f>IFERROR(VLOOKUP(B835,'July 2026-Recived'!$B$2:$H$1300,7,0),0)</f>
        <v>0</v>
      </c>
      <c r="J835" s="103">
        <f>IFERROR(VLOOKUP(B835,'July 2026- Dispatch'!$B$2:$H$1300,7,0),0)</f>
        <v>0</v>
      </c>
      <c r="K835" s="61">
        <f t="shared" si="13"/>
        <v>336.6</v>
      </c>
      <c r="L835" s="123">
        <v>0</v>
      </c>
    </row>
    <row r="836" spans="1:12" hidden="1" x14ac:dyDescent="0.25">
      <c r="A836" s="7">
        <v>835</v>
      </c>
      <c r="B836" s="152" t="s">
        <v>58</v>
      </c>
      <c r="C836" s="153" t="s">
        <v>4193</v>
      </c>
      <c r="D836" s="153" t="s">
        <v>4194</v>
      </c>
      <c r="E836" s="153" t="s">
        <v>64</v>
      </c>
      <c r="F836" s="6"/>
      <c r="G836" s="6"/>
      <c r="H836" s="85">
        <v>11.4</v>
      </c>
      <c r="I836" s="103">
        <f>IFERROR(VLOOKUP(B836,'July 2026-Recived'!$B$2:$H$1300,7,0),0)</f>
        <v>45.6</v>
      </c>
      <c r="J836" s="103">
        <f>IFERROR(VLOOKUP(B836,'July 2026- Dispatch'!$B$2:$H$1300,7,0),0)</f>
        <v>23.94</v>
      </c>
      <c r="K836" s="61">
        <f t="shared" si="13"/>
        <v>33.06</v>
      </c>
      <c r="L836" s="123">
        <v>0</v>
      </c>
    </row>
    <row r="837" spans="1:12" hidden="1" x14ac:dyDescent="0.25">
      <c r="A837" s="7">
        <v>836</v>
      </c>
      <c r="B837" s="152" t="s">
        <v>544</v>
      </c>
      <c r="C837" s="153" t="s">
        <v>4195</v>
      </c>
      <c r="D837" s="153" t="s">
        <v>4196</v>
      </c>
      <c r="E837" s="153" t="s">
        <v>2126</v>
      </c>
      <c r="F837" s="6"/>
      <c r="G837" s="6"/>
      <c r="H837" s="85">
        <v>0</v>
      </c>
      <c r="I837" s="103">
        <f>IFERROR(VLOOKUP(B837,'July 2026-Recived'!$B$2:$H$1300,7,0),0)</f>
        <v>0</v>
      </c>
      <c r="J837" s="103">
        <f>IFERROR(VLOOKUP(B837,'July 2026- Dispatch'!$B$2:$H$1300,7,0),0)</f>
        <v>0</v>
      </c>
      <c r="K837" s="61">
        <f t="shared" si="13"/>
        <v>0</v>
      </c>
      <c r="L837" s="123">
        <v>0</v>
      </c>
    </row>
    <row r="838" spans="1:12" hidden="1" x14ac:dyDescent="0.25">
      <c r="A838" s="7">
        <v>837</v>
      </c>
      <c r="B838" s="152" t="s">
        <v>494</v>
      </c>
      <c r="C838" s="153" t="s">
        <v>4197</v>
      </c>
      <c r="D838" s="153" t="s">
        <v>4198</v>
      </c>
      <c r="E838" s="153" t="s">
        <v>2126</v>
      </c>
      <c r="F838" s="6"/>
      <c r="G838" s="6"/>
      <c r="H838" s="85">
        <v>0</v>
      </c>
      <c r="I838" s="103">
        <f>IFERROR(VLOOKUP(B838,'July 2026-Recived'!$B$2:$H$1300,7,0),0)</f>
        <v>8</v>
      </c>
      <c r="J838" s="103">
        <f>IFERROR(VLOOKUP(B838,'July 2026- Dispatch'!$B$2:$H$1300,7,0),0)</f>
        <v>0</v>
      </c>
      <c r="K838" s="61">
        <f t="shared" si="13"/>
        <v>8</v>
      </c>
      <c r="L838" s="123">
        <v>0</v>
      </c>
    </row>
    <row r="839" spans="1:12" hidden="1" x14ac:dyDescent="0.25">
      <c r="A839" s="7">
        <v>838</v>
      </c>
      <c r="B839" s="152" t="s">
        <v>1129</v>
      </c>
      <c r="C839" s="153" t="s">
        <v>4199</v>
      </c>
      <c r="D839" s="153" t="s">
        <v>4200</v>
      </c>
      <c r="E839" s="153" t="s">
        <v>64</v>
      </c>
      <c r="F839" s="6"/>
      <c r="G839" s="6"/>
      <c r="H839" s="85">
        <v>60</v>
      </c>
      <c r="I839" s="103">
        <f>IFERROR(VLOOKUP(B839,'July 2026-Recived'!$B$2:$H$1300,7,0),0)</f>
        <v>0</v>
      </c>
      <c r="J839" s="103">
        <f>IFERROR(VLOOKUP(B839,'July 2026- Dispatch'!$B$2:$H$1300,7,0),0)</f>
        <v>0</v>
      </c>
      <c r="K839" s="61">
        <f t="shared" si="13"/>
        <v>60</v>
      </c>
      <c r="L839" s="123">
        <v>0</v>
      </c>
    </row>
    <row r="840" spans="1:12" hidden="1" x14ac:dyDescent="0.25">
      <c r="A840" s="7">
        <v>839</v>
      </c>
      <c r="B840" s="152" t="s">
        <v>474</v>
      </c>
      <c r="C840" s="153" t="s">
        <v>4201</v>
      </c>
      <c r="D840" s="153" t="s">
        <v>4202</v>
      </c>
      <c r="E840" s="153" t="s">
        <v>64</v>
      </c>
      <c r="F840" s="6"/>
      <c r="G840" s="6"/>
      <c r="H840" s="85">
        <v>262.08</v>
      </c>
      <c r="I840" s="103">
        <f>IFERROR(VLOOKUP(B840,'July 2026-Recived'!$B$2:$H$1300,7,0),0)</f>
        <v>0</v>
      </c>
      <c r="J840" s="103">
        <f>IFERROR(VLOOKUP(B840,'July 2026- Dispatch'!$B$2:$H$1300,7,0),0)</f>
        <v>0</v>
      </c>
      <c r="K840" s="61">
        <f t="shared" si="13"/>
        <v>262.08</v>
      </c>
      <c r="L840" s="123">
        <v>0</v>
      </c>
    </row>
    <row r="841" spans="1:12" hidden="1" x14ac:dyDescent="0.25">
      <c r="A841" s="7">
        <v>840</v>
      </c>
      <c r="B841" s="152" t="s">
        <v>1215</v>
      </c>
      <c r="C841" s="153" t="s">
        <v>4203</v>
      </c>
      <c r="D841" s="153" t="s">
        <v>4204</v>
      </c>
      <c r="E841" s="153" t="s">
        <v>2126</v>
      </c>
      <c r="F841" s="6"/>
      <c r="G841" s="6"/>
      <c r="H841" s="85">
        <v>0</v>
      </c>
      <c r="I841" s="103">
        <f>IFERROR(VLOOKUP(B841,'July 2026-Recived'!$B$2:$H$1300,7,0),0)</f>
        <v>0</v>
      </c>
      <c r="J841" s="103">
        <f>IFERROR(VLOOKUP(B841,'July 2026- Dispatch'!$B$2:$H$1300,7,0),0)</f>
        <v>0</v>
      </c>
      <c r="K841" s="61">
        <f t="shared" si="13"/>
        <v>0</v>
      </c>
      <c r="L841" s="123">
        <v>0</v>
      </c>
    </row>
    <row r="842" spans="1:12" hidden="1" x14ac:dyDescent="0.25">
      <c r="A842" s="7">
        <v>841</v>
      </c>
      <c r="B842" s="152" t="s">
        <v>4205</v>
      </c>
      <c r="C842" s="153" t="s">
        <v>4206</v>
      </c>
      <c r="D842" s="153" t="s">
        <v>4207</v>
      </c>
      <c r="E842" s="153" t="s">
        <v>2160</v>
      </c>
      <c r="F842" s="6"/>
      <c r="G842" s="6"/>
      <c r="H842" s="85">
        <v>0</v>
      </c>
      <c r="I842" s="103">
        <f>IFERROR(VLOOKUP(B842,'July 2026-Recived'!$B$2:$H$1300,7,0),0)</f>
        <v>0</v>
      </c>
      <c r="J842" s="103">
        <f>IFERROR(VLOOKUP(B842,'July 2026- Dispatch'!$B$2:$H$1300,7,0),0)</f>
        <v>0</v>
      </c>
      <c r="K842" s="61">
        <f t="shared" si="13"/>
        <v>0</v>
      </c>
      <c r="L842" s="123">
        <v>0</v>
      </c>
    </row>
    <row r="843" spans="1:12" hidden="1" x14ac:dyDescent="0.25">
      <c r="A843" s="7">
        <v>842</v>
      </c>
      <c r="B843" s="152" t="s">
        <v>1490</v>
      </c>
      <c r="C843" s="153" t="s">
        <v>4208</v>
      </c>
      <c r="D843" s="153" t="s">
        <v>4209</v>
      </c>
      <c r="E843" s="153" t="s">
        <v>64</v>
      </c>
      <c r="F843" s="6"/>
      <c r="G843" s="6"/>
      <c r="H843" s="85">
        <v>45</v>
      </c>
      <c r="I843" s="103">
        <f>IFERROR(VLOOKUP(B843,'July 2026-Recived'!$B$2:$H$1300,7,0),0)</f>
        <v>0</v>
      </c>
      <c r="J843" s="103">
        <f>IFERROR(VLOOKUP(B843,'July 2026- Dispatch'!$B$2:$H$1300,7,0),0)</f>
        <v>0</v>
      </c>
      <c r="K843" s="61">
        <f t="shared" si="13"/>
        <v>45</v>
      </c>
      <c r="L843" s="123">
        <v>0</v>
      </c>
    </row>
    <row r="844" spans="1:12" hidden="1" x14ac:dyDescent="0.25">
      <c r="A844" s="7">
        <v>843</v>
      </c>
      <c r="B844" s="152" t="s">
        <v>1295</v>
      </c>
      <c r="C844" s="153" t="s">
        <v>4210</v>
      </c>
      <c r="D844" s="153" t="s">
        <v>4211</v>
      </c>
      <c r="E844" s="153" t="s">
        <v>64</v>
      </c>
      <c r="F844" s="6"/>
      <c r="G844" s="6"/>
      <c r="H844" s="85">
        <v>250</v>
      </c>
      <c r="I844" s="103">
        <f>IFERROR(VLOOKUP(B844,'July 2026-Recived'!$B$2:$H$1300,7,0),0)</f>
        <v>0</v>
      </c>
      <c r="J844" s="103">
        <f>IFERROR(VLOOKUP(B844,'July 2026- Dispatch'!$B$2:$H$1300,7,0),0)</f>
        <v>0</v>
      </c>
      <c r="K844" s="61">
        <f t="shared" si="13"/>
        <v>250</v>
      </c>
      <c r="L844" s="123">
        <v>0</v>
      </c>
    </row>
    <row r="845" spans="1:12" hidden="1" x14ac:dyDescent="0.25">
      <c r="A845" s="7">
        <v>844</v>
      </c>
      <c r="B845" s="152" t="s">
        <v>1373</v>
      </c>
      <c r="C845" s="153" t="s">
        <v>4212</v>
      </c>
      <c r="D845" s="153" t="s">
        <v>4213</v>
      </c>
      <c r="E845" s="153" t="s">
        <v>2111</v>
      </c>
      <c r="F845" s="6"/>
      <c r="G845" s="6"/>
      <c r="H845" s="85">
        <v>2360</v>
      </c>
      <c r="I845" s="103">
        <f>IFERROR(VLOOKUP(B845,'July 2026-Recived'!$B$2:$H$1300,7,0),0)</f>
        <v>0</v>
      </c>
      <c r="J845" s="103">
        <f>IFERROR(VLOOKUP(B845,'July 2026- Dispatch'!$B$2:$H$1300,7,0),0)</f>
        <v>0</v>
      </c>
      <c r="K845" s="61">
        <f t="shared" si="13"/>
        <v>2360</v>
      </c>
      <c r="L845" s="123">
        <v>0</v>
      </c>
    </row>
    <row r="846" spans="1:12" hidden="1" x14ac:dyDescent="0.25">
      <c r="A846" s="7">
        <v>845</v>
      </c>
      <c r="B846" s="157" t="s">
        <v>1208</v>
      </c>
      <c r="C846" s="158" t="s">
        <v>4214</v>
      </c>
      <c r="D846" s="158" t="s">
        <v>4215</v>
      </c>
      <c r="E846" s="153" t="s">
        <v>64</v>
      </c>
      <c r="F846" s="6"/>
      <c r="G846" s="6"/>
      <c r="H846" s="85">
        <v>32.64</v>
      </c>
      <c r="I846" s="103">
        <f>IFERROR(VLOOKUP(B846,'July 2026-Recived'!$B$2:$H$1300,7,0),0)</f>
        <v>64.8</v>
      </c>
      <c r="J846" s="103">
        <f>IFERROR(VLOOKUP(B846,'July 2026- Dispatch'!$B$2:$H$1300,7,0),0)</f>
        <v>0</v>
      </c>
      <c r="K846" s="61">
        <f t="shared" si="13"/>
        <v>97.44</v>
      </c>
      <c r="L846" s="123">
        <v>0</v>
      </c>
    </row>
    <row r="847" spans="1:12" hidden="1" x14ac:dyDescent="0.25">
      <c r="A847" s="7">
        <v>846</v>
      </c>
      <c r="B847" s="152" t="s">
        <v>1436</v>
      </c>
      <c r="C847" s="153" t="s">
        <v>4216</v>
      </c>
      <c r="D847" s="153" t="s">
        <v>4217</v>
      </c>
      <c r="E847" s="153" t="s">
        <v>64</v>
      </c>
      <c r="F847" s="6"/>
      <c r="G847" s="6"/>
      <c r="H847" s="85">
        <v>4.8</v>
      </c>
      <c r="I847" s="103">
        <f>IFERROR(VLOOKUP(B847,'July 2026-Recived'!$B$2:$H$1300,7,0),0)</f>
        <v>0</v>
      </c>
      <c r="J847" s="103">
        <f>IFERROR(VLOOKUP(B847,'July 2026- Dispatch'!$B$2:$H$1300,7,0),0)</f>
        <v>0</v>
      </c>
      <c r="K847" s="61">
        <f t="shared" si="13"/>
        <v>4.8</v>
      </c>
      <c r="L847" s="123">
        <v>0</v>
      </c>
    </row>
    <row r="848" spans="1:12" hidden="1" x14ac:dyDescent="0.25">
      <c r="A848" s="7">
        <v>847</v>
      </c>
      <c r="B848" s="152" t="s">
        <v>1245</v>
      </c>
      <c r="C848" s="153" t="s">
        <v>4218</v>
      </c>
      <c r="D848" s="153" t="s">
        <v>4219</v>
      </c>
      <c r="E848" s="153" t="s">
        <v>64</v>
      </c>
      <c r="F848" s="6"/>
      <c r="G848" s="6"/>
      <c r="H848" s="85">
        <v>21</v>
      </c>
      <c r="I848" s="103">
        <f>IFERROR(VLOOKUP(B848,'July 2026-Recived'!$B$2:$H$1300,7,0),0)</f>
        <v>0</v>
      </c>
      <c r="J848" s="103">
        <f>IFERROR(VLOOKUP(B848,'July 2026- Dispatch'!$B$2:$H$1300,7,0),0)</f>
        <v>0</v>
      </c>
      <c r="K848" s="61">
        <f t="shared" si="13"/>
        <v>21</v>
      </c>
      <c r="L848" s="123">
        <v>0</v>
      </c>
    </row>
    <row r="849" spans="1:12" hidden="1" x14ac:dyDescent="0.25">
      <c r="A849" s="7">
        <v>848</v>
      </c>
      <c r="B849" s="157" t="s">
        <v>41</v>
      </c>
      <c r="C849" s="158" t="s">
        <v>4220</v>
      </c>
      <c r="D849" s="158" t="s">
        <v>4221</v>
      </c>
      <c r="E849" s="153" t="s">
        <v>64</v>
      </c>
      <c r="F849" s="6"/>
      <c r="G849" s="6"/>
      <c r="H849" s="85">
        <v>28.8</v>
      </c>
      <c r="I849" s="103">
        <f>IFERROR(VLOOKUP(B849,'July 2026-Recived'!$B$2:$H$1300,7,0),0)</f>
        <v>0</v>
      </c>
      <c r="J849" s="103">
        <f>IFERROR(VLOOKUP(B849,'July 2026- Dispatch'!$B$2:$H$1300,7,0),0)</f>
        <v>0</v>
      </c>
      <c r="K849" s="61">
        <f t="shared" si="13"/>
        <v>28.8</v>
      </c>
      <c r="L849" s="123">
        <v>0</v>
      </c>
    </row>
    <row r="850" spans="1:12" hidden="1" x14ac:dyDescent="0.25">
      <c r="A850" s="7">
        <v>849</v>
      </c>
      <c r="B850" s="152" t="s">
        <v>4222</v>
      </c>
      <c r="C850" s="153" t="s">
        <v>4223</v>
      </c>
      <c r="D850" s="153" t="s">
        <v>4224</v>
      </c>
      <c r="E850" s="153" t="s">
        <v>2126</v>
      </c>
      <c r="F850" s="6"/>
      <c r="G850" s="6"/>
      <c r="H850" s="85">
        <v>0</v>
      </c>
      <c r="I850" s="103">
        <f>IFERROR(VLOOKUP(B850,'July 2026-Recived'!$B$2:$H$1300,7,0),0)</f>
        <v>0</v>
      </c>
      <c r="J850" s="103">
        <f>IFERROR(VLOOKUP(B850,'July 2026- Dispatch'!$B$2:$H$1300,7,0),0)</f>
        <v>0</v>
      </c>
      <c r="K850" s="61">
        <f t="shared" si="13"/>
        <v>0</v>
      </c>
      <c r="L850" s="123">
        <v>0</v>
      </c>
    </row>
    <row r="851" spans="1:12" hidden="1" x14ac:dyDescent="0.25">
      <c r="A851" s="7">
        <v>850</v>
      </c>
      <c r="B851" s="152" t="s">
        <v>1345</v>
      </c>
      <c r="C851" s="153" t="s">
        <v>4225</v>
      </c>
      <c r="D851" s="153" t="s">
        <v>4226</v>
      </c>
      <c r="E851" s="153" t="s">
        <v>64</v>
      </c>
      <c r="F851" s="6"/>
      <c r="G851" s="6"/>
      <c r="H851" s="85">
        <v>10</v>
      </c>
      <c r="I851" s="103">
        <f>IFERROR(VLOOKUP(B851,'July 2026-Recived'!$B$2:$H$1300,7,0),0)</f>
        <v>0</v>
      </c>
      <c r="J851" s="103">
        <f>IFERROR(VLOOKUP(B851,'July 2026- Dispatch'!$B$2:$H$1300,7,0),0)</f>
        <v>0</v>
      </c>
      <c r="K851" s="61">
        <f t="shared" si="13"/>
        <v>10</v>
      </c>
      <c r="L851" s="123">
        <v>0</v>
      </c>
    </row>
    <row r="852" spans="1:12" hidden="1" x14ac:dyDescent="0.25">
      <c r="A852" s="7">
        <v>851</v>
      </c>
      <c r="B852" s="152" t="s">
        <v>1526</v>
      </c>
      <c r="C852" s="153" t="s">
        <v>4227</v>
      </c>
      <c r="D852" s="153" t="s">
        <v>4228</v>
      </c>
      <c r="E852" s="153" t="s">
        <v>2126</v>
      </c>
      <c r="F852" s="6"/>
      <c r="G852" s="6"/>
      <c r="H852" s="85">
        <v>0</v>
      </c>
      <c r="I852" s="103">
        <f>IFERROR(VLOOKUP(B852,'July 2026-Recived'!$B$2:$H$1300,7,0),0)</f>
        <v>5</v>
      </c>
      <c r="J852" s="103">
        <f>IFERROR(VLOOKUP(B852,'July 2026- Dispatch'!$B$2:$H$1300,7,0),0)</f>
        <v>0.46700000000000003</v>
      </c>
      <c r="K852" s="61">
        <f t="shared" si="13"/>
        <v>4.5330000000000004</v>
      </c>
      <c r="L852" s="123">
        <v>0</v>
      </c>
    </row>
    <row r="853" spans="1:12" hidden="1" x14ac:dyDescent="0.25">
      <c r="A853" s="7">
        <v>852</v>
      </c>
      <c r="B853" s="152" t="s">
        <v>4229</v>
      </c>
      <c r="C853" s="153" t="s">
        <v>4230</v>
      </c>
      <c r="D853" s="153" t="s">
        <v>4231</v>
      </c>
      <c r="E853" s="153" t="s">
        <v>2111</v>
      </c>
      <c r="F853" s="6"/>
      <c r="G853" s="6"/>
      <c r="H853" s="85">
        <v>7.08</v>
      </c>
      <c r="I853" s="103">
        <f>IFERROR(VLOOKUP(B853,'July 2026-Recived'!$B$2:$H$1300,7,0),0)</f>
        <v>0</v>
      </c>
      <c r="J853" s="103">
        <f>IFERROR(VLOOKUP(B853,'July 2026- Dispatch'!$B$2:$H$1300,7,0),0)</f>
        <v>0</v>
      </c>
      <c r="K853" s="61">
        <f t="shared" si="13"/>
        <v>7.08</v>
      </c>
      <c r="L853" s="123">
        <v>0</v>
      </c>
    </row>
    <row r="854" spans="1:12" hidden="1" x14ac:dyDescent="0.25">
      <c r="A854" s="7">
        <v>853</v>
      </c>
      <c r="B854" s="152" t="s">
        <v>1478</v>
      </c>
      <c r="C854" s="153" t="s">
        <v>4232</v>
      </c>
      <c r="D854" s="153" t="s">
        <v>4233</v>
      </c>
      <c r="E854" s="153" t="s">
        <v>2126</v>
      </c>
      <c r="F854" s="6"/>
      <c r="G854" s="6"/>
      <c r="H854" s="85">
        <v>0</v>
      </c>
      <c r="I854" s="103">
        <f>IFERROR(VLOOKUP(B854,'July 2026-Recived'!$B$2:$H$1300,7,0),0)</f>
        <v>0</v>
      </c>
      <c r="J854" s="103">
        <f>IFERROR(VLOOKUP(B854,'July 2026- Dispatch'!$B$2:$H$1300,7,0),0)</f>
        <v>0</v>
      </c>
      <c r="K854" s="61">
        <f t="shared" si="13"/>
        <v>0</v>
      </c>
      <c r="L854" s="123">
        <v>0</v>
      </c>
    </row>
    <row r="855" spans="1:12" hidden="1" x14ac:dyDescent="0.25">
      <c r="A855" s="7">
        <v>854</v>
      </c>
      <c r="B855" s="152" t="s">
        <v>4234</v>
      </c>
      <c r="C855" s="153" t="s">
        <v>4235</v>
      </c>
      <c r="D855" s="153" t="s">
        <v>4236</v>
      </c>
      <c r="E855" s="153" t="s">
        <v>64</v>
      </c>
      <c r="F855" s="6"/>
      <c r="G855" s="6"/>
      <c r="H855" s="85">
        <v>6</v>
      </c>
      <c r="I855" s="103">
        <f>IFERROR(VLOOKUP(B855,'July 2026-Recived'!$B$2:$H$1300,7,0),0)</f>
        <v>0</v>
      </c>
      <c r="J855" s="103">
        <f>IFERROR(VLOOKUP(B855,'July 2026- Dispatch'!$B$2:$H$1300,7,0),0)</f>
        <v>0</v>
      </c>
      <c r="K855" s="61">
        <f t="shared" si="13"/>
        <v>6</v>
      </c>
      <c r="L855" s="123">
        <v>0</v>
      </c>
    </row>
    <row r="856" spans="1:12" hidden="1" x14ac:dyDescent="0.25">
      <c r="A856" s="7">
        <v>855</v>
      </c>
      <c r="B856" s="152" t="s">
        <v>1134</v>
      </c>
      <c r="C856" s="153" t="s">
        <v>4237</v>
      </c>
      <c r="D856" s="153" t="s">
        <v>4238</v>
      </c>
      <c r="E856" s="153" t="s">
        <v>64</v>
      </c>
      <c r="F856" s="6"/>
      <c r="G856" s="6"/>
      <c r="H856" s="85">
        <v>6</v>
      </c>
      <c r="I856" s="103">
        <f>IFERROR(VLOOKUP(B856,'July 2026-Recived'!$B$2:$H$1300,7,0),0)</f>
        <v>9</v>
      </c>
      <c r="J856" s="103">
        <f>IFERROR(VLOOKUP(B856,'July 2026- Dispatch'!$B$2:$H$1300,7,0),0)</f>
        <v>0</v>
      </c>
      <c r="K856" s="61">
        <f t="shared" si="13"/>
        <v>15</v>
      </c>
      <c r="L856" s="123">
        <v>0</v>
      </c>
    </row>
    <row r="857" spans="1:12" hidden="1" x14ac:dyDescent="0.25">
      <c r="A857" s="7">
        <v>856</v>
      </c>
      <c r="B857" s="157" t="s">
        <v>1323</v>
      </c>
      <c r="C857" s="158" t="s">
        <v>4239</v>
      </c>
      <c r="D857" s="158" t="s">
        <v>4240</v>
      </c>
      <c r="E857" s="153" t="s">
        <v>2126</v>
      </c>
      <c r="F857" s="6"/>
      <c r="G857" s="6"/>
      <c r="H857" s="85">
        <v>0</v>
      </c>
      <c r="I857" s="103">
        <f>IFERROR(VLOOKUP(B857,'July 2026-Recived'!$B$2:$H$1300,7,0),0)</f>
        <v>0</v>
      </c>
      <c r="J857" s="103">
        <f>IFERROR(VLOOKUP(B857,'July 2026- Dispatch'!$B$2:$H$1300,7,0),0)</f>
        <v>0</v>
      </c>
      <c r="K857" s="61">
        <f t="shared" si="13"/>
        <v>0</v>
      </c>
      <c r="L857" s="123">
        <v>0</v>
      </c>
    </row>
    <row r="858" spans="1:12" hidden="1" x14ac:dyDescent="0.25">
      <c r="A858" s="7">
        <v>857</v>
      </c>
      <c r="B858" s="152" t="s">
        <v>1285</v>
      </c>
      <c r="C858" s="153" t="s">
        <v>4241</v>
      </c>
      <c r="D858" s="153" t="s">
        <v>4242</v>
      </c>
      <c r="E858" s="153" t="s">
        <v>64</v>
      </c>
      <c r="F858" s="6"/>
      <c r="G858" s="6"/>
      <c r="H858" s="85">
        <v>3</v>
      </c>
      <c r="I858" s="103">
        <f>IFERROR(VLOOKUP(B858,'July 2026-Recived'!$B$2:$H$1300,7,0),0)</f>
        <v>0</v>
      </c>
      <c r="J858" s="103">
        <f>IFERROR(VLOOKUP(B858,'July 2026- Dispatch'!$B$2:$H$1300,7,0),0)</f>
        <v>0</v>
      </c>
      <c r="K858" s="61">
        <f t="shared" si="13"/>
        <v>3</v>
      </c>
      <c r="L858" s="123">
        <v>0</v>
      </c>
    </row>
    <row r="859" spans="1:12" hidden="1" x14ac:dyDescent="0.25">
      <c r="A859" s="7">
        <v>858</v>
      </c>
      <c r="B859" s="152" t="s">
        <v>1287</v>
      </c>
      <c r="C859" s="153" t="s">
        <v>1993</v>
      </c>
      <c r="D859" s="153" t="s">
        <v>4243</v>
      </c>
      <c r="E859" s="153" t="s">
        <v>64</v>
      </c>
      <c r="F859" s="6"/>
      <c r="G859" s="6"/>
      <c r="H859" s="85">
        <v>20</v>
      </c>
      <c r="I859" s="103">
        <f>IFERROR(VLOOKUP(B859,'July 2026-Recived'!$B$2:$H$1300,7,0),0)</f>
        <v>0</v>
      </c>
      <c r="J859" s="103">
        <f>IFERROR(VLOOKUP(B859,'July 2026- Dispatch'!$B$2:$H$1300,7,0),0)</f>
        <v>2</v>
      </c>
      <c r="K859" s="61">
        <f t="shared" si="13"/>
        <v>18</v>
      </c>
      <c r="L859" s="123">
        <v>0</v>
      </c>
    </row>
    <row r="860" spans="1:12" hidden="1" x14ac:dyDescent="0.25">
      <c r="A860" s="7">
        <v>859</v>
      </c>
      <c r="B860" s="152" t="s">
        <v>1386</v>
      </c>
      <c r="C860" s="153" t="s">
        <v>4244</v>
      </c>
      <c r="D860" s="153" t="s">
        <v>4245</v>
      </c>
      <c r="E860" s="153" t="s">
        <v>64</v>
      </c>
      <c r="F860" s="6"/>
      <c r="G860" s="6"/>
      <c r="H860" s="85">
        <v>24</v>
      </c>
      <c r="I860" s="103">
        <f>IFERROR(VLOOKUP(B860,'July 2026-Recived'!$B$2:$H$1300,7,0),0)</f>
        <v>0</v>
      </c>
      <c r="J860" s="103">
        <f>IFERROR(VLOOKUP(B860,'July 2026- Dispatch'!$B$2:$H$1300,7,0),0)</f>
        <v>4.8</v>
      </c>
      <c r="K860" s="61">
        <f t="shared" si="13"/>
        <v>19.2</v>
      </c>
      <c r="L860" s="123">
        <v>0</v>
      </c>
    </row>
    <row r="861" spans="1:12" hidden="1" x14ac:dyDescent="0.25">
      <c r="A861" s="7">
        <v>860</v>
      </c>
      <c r="B861" s="152" t="s">
        <v>1047</v>
      </c>
      <c r="C861" s="153" t="s">
        <v>4246</v>
      </c>
      <c r="D861" s="153" t="s">
        <v>4247</v>
      </c>
      <c r="E861" s="153" t="s">
        <v>64</v>
      </c>
      <c r="F861" s="6"/>
      <c r="G861" s="6"/>
      <c r="H861" s="85">
        <f>144.144</f>
        <v>144.14400000000001</v>
      </c>
      <c r="I861" s="103">
        <f>IFERROR(VLOOKUP(B861,'July 2026-Recived'!$B$2:$H$1300,7,0),0)</f>
        <v>176.4</v>
      </c>
      <c r="J861" s="103">
        <f>IFERROR(VLOOKUP(B861,'July 2026- Dispatch'!$B$2:$H$1300,7,0),0)</f>
        <v>306.04599999999999</v>
      </c>
      <c r="K861" s="61">
        <f t="shared" si="13"/>
        <v>14.49799999999999</v>
      </c>
      <c r="L861" s="123">
        <v>0</v>
      </c>
    </row>
    <row r="862" spans="1:12" hidden="1" x14ac:dyDescent="0.25">
      <c r="A862" s="7">
        <v>861</v>
      </c>
      <c r="B862" s="152" t="s">
        <v>978</v>
      </c>
      <c r="C862" s="153" t="s">
        <v>4248</v>
      </c>
      <c r="D862" s="153" t="s">
        <v>4249</v>
      </c>
      <c r="E862" s="153" t="s">
        <v>2126</v>
      </c>
      <c r="F862" s="6"/>
      <c r="G862" s="6"/>
      <c r="H862" s="85">
        <v>0</v>
      </c>
      <c r="I862" s="103">
        <f>IFERROR(VLOOKUP(B862,'July 2026-Recived'!$B$2:$H$1300,7,0),0)</f>
        <v>0</v>
      </c>
      <c r="J862" s="103">
        <f>IFERROR(VLOOKUP(B862,'July 2026- Dispatch'!$B$2:$H$1300,7,0),0)</f>
        <v>0</v>
      </c>
      <c r="K862" s="61">
        <f t="shared" si="13"/>
        <v>0</v>
      </c>
      <c r="L862" s="123">
        <v>0</v>
      </c>
    </row>
    <row r="863" spans="1:12" hidden="1" x14ac:dyDescent="0.25">
      <c r="A863" s="7">
        <v>862</v>
      </c>
      <c r="B863" s="152" t="s">
        <v>1388</v>
      </c>
      <c r="C863" s="153" t="s">
        <v>4250</v>
      </c>
      <c r="D863" s="153" t="s">
        <v>4251</v>
      </c>
      <c r="E863" s="153" t="s">
        <v>64</v>
      </c>
      <c r="F863" s="6"/>
      <c r="G863" s="6"/>
      <c r="H863" s="85">
        <v>12</v>
      </c>
      <c r="I863" s="103">
        <f>IFERROR(VLOOKUP(B863,'July 2026-Recived'!$B$2:$H$1300,7,0),0)</f>
        <v>0</v>
      </c>
      <c r="J863" s="103">
        <f>IFERROR(VLOOKUP(B863,'July 2026- Dispatch'!$B$2:$H$1300,7,0),0)</f>
        <v>0</v>
      </c>
      <c r="K863" s="61">
        <f t="shared" si="13"/>
        <v>12</v>
      </c>
      <c r="L863" s="123">
        <v>0</v>
      </c>
    </row>
    <row r="864" spans="1:12" hidden="1" x14ac:dyDescent="0.25">
      <c r="A864" s="7">
        <v>863</v>
      </c>
      <c r="B864" s="152" t="s">
        <v>1480</v>
      </c>
      <c r="C864" s="153" t="s">
        <v>4252</v>
      </c>
      <c r="D864" s="153" t="s">
        <v>4253</v>
      </c>
      <c r="E864" s="153" t="s">
        <v>2126</v>
      </c>
      <c r="F864" s="6"/>
      <c r="G864" s="6"/>
      <c r="H864" s="85">
        <v>0</v>
      </c>
      <c r="I864" s="103">
        <f>IFERROR(VLOOKUP(B864,'July 2026-Recived'!$B$2:$H$1300,7,0),0)</f>
        <v>0</v>
      </c>
      <c r="J864" s="103">
        <f>IFERROR(VLOOKUP(B864,'July 2026- Dispatch'!$B$2:$H$1300,7,0),0)</f>
        <v>0</v>
      </c>
      <c r="K864" s="61">
        <f t="shared" si="13"/>
        <v>0</v>
      </c>
      <c r="L864" s="123">
        <v>0</v>
      </c>
    </row>
    <row r="865" spans="1:12" hidden="1" x14ac:dyDescent="0.25">
      <c r="A865" s="7">
        <v>864</v>
      </c>
      <c r="B865" s="152" t="s">
        <v>691</v>
      </c>
      <c r="C865" s="153" t="s">
        <v>4254</v>
      </c>
      <c r="D865" s="153" t="s">
        <v>4255</v>
      </c>
      <c r="E865" s="153" t="s">
        <v>2126</v>
      </c>
      <c r="F865" s="6"/>
      <c r="G865" s="6"/>
      <c r="H865" s="85">
        <v>0</v>
      </c>
      <c r="I865" s="103">
        <f>IFERROR(VLOOKUP(B865,'July 2026-Recived'!$B$2:$H$1300,7,0),0)</f>
        <v>10</v>
      </c>
      <c r="J865" s="103">
        <f>IFERROR(VLOOKUP(B865,'July 2026- Dispatch'!$B$2:$H$1300,7,0),0)</f>
        <v>0</v>
      </c>
      <c r="K865" s="61">
        <f t="shared" si="13"/>
        <v>10</v>
      </c>
      <c r="L865" s="123">
        <v>0</v>
      </c>
    </row>
    <row r="866" spans="1:12" hidden="1" x14ac:dyDescent="0.25">
      <c r="A866" s="7">
        <v>865</v>
      </c>
      <c r="B866" s="152" t="s">
        <v>1354</v>
      </c>
      <c r="C866" s="153" t="s">
        <v>4256</v>
      </c>
      <c r="D866" s="153" t="s">
        <v>4257</v>
      </c>
      <c r="E866" s="153" t="s">
        <v>64</v>
      </c>
      <c r="F866" s="6"/>
      <c r="G866" s="6"/>
      <c r="H866" s="85">
        <v>820</v>
      </c>
      <c r="I866" s="103">
        <f>IFERROR(VLOOKUP(B866,'July 2026-Recived'!$B$2:$H$1300,7,0),0)</f>
        <v>0</v>
      </c>
      <c r="J866" s="103">
        <f>IFERROR(VLOOKUP(B866,'July 2026- Dispatch'!$B$2:$H$1300,7,0),0)</f>
        <v>0</v>
      </c>
      <c r="K866" s="61">
        <f t="shared" si="13"/>
        <v>820</v>
      </c>
      <c r="L866" s="123">
        <v>0</v>
      </c>
    </row>
    <row r="867" spans="1:12" hidden="1" x14ac:dyDescent="0.25">
      <c r="A867" s="7">
        <v>866</v>
      </c>
      <c r="B867" s="152" t="s">
        <v>1167</v>
      </c>
      <c r="C867" s="153" t="s">
        <v>4258</v>
      </c>
      <c r="D867" s="153" t="s">
        <v>4259</v>
      </c>
      <c r="E867" s="153" t="s">
        <v>2126</v>
      </c>
      <c r="F867" s="6"/>
      <c r="G867" s="6"/>
      <c r="H867" s="85">
        <v>0</v>
      </c>
      <c r="I867" s="103">
        <f>IFERROR(VLOOKUP(B867,'July 2026-Recived'!$B$2:$H$1300,7,0),0)</f>
        <v>0</v>
      </c>
      <c r="J867" s="103">
        <f>IFERROR(VLOOKUP(B867,'July 2026- Dispatch'!$B$2:$H$1300,7,0),0)</f>
        <v>0</v>
      </c>
      <c r="K867" s="61">
        <f t="shared" si="13"/>
        <v>0</v>
      </c>
      <c r="L867" s="123">
        <v>0</v>
      </c>
    </row>
    <row r="868" spans="1:12" hidden="1" x14ac:dyDescent="0.25">
      <c r="A868" s="7">
        <v>867</v>
      </c>
      <c r="B868" s="152" t="s">
        <v>1523</v>
      </c>
      <c r="C868" s="153" t="s">
        <v>4260</v>
      </c>
      <c r="D868" s="153" t="s">
        <v>4261</v>
      </c>
      <c r="E868" s="153" t="s">
        <v>64</v>
      </c>
      <c r="F868" s="6"/>
      <c r="G868" s="6"/>
      <c r="H868" s="85">
        <v>19.2</v>
      </c>
      <c r="I868" s="103">
        <f>IFERROR(VLOOKUP(B868,'July 2026-Recived'!$B$2:$H$1300,7,0),0)</f>
        <v>0</v>
      </c>
      <c r="J868" s="103">
        <f>IFERROR(VLOOKUP(B868,'July 2026- Dispatch'!$B$2:$H$1300,7,0),0)</f>
        <v>0</v>
      </c>
      <c r="K868" s="61">
        <f t="shared" si="13"/>
        <v>19.2</v>
      </c>
      <c r="L868" s="123">
        <v>0</v>
      </c>
    </row>
    <row r="869" spans="1:12" hidden="1" x14ac:dyDescent="0.25">
      <c r="A869" s="7">
        <v>868</v>
      </c>
      <c r="B869" s="152" t="s">
        <v>1122</v>
      </c>
      <c r="C869" s="153" t="s">
        <v>4262</v>
      </c>
      <c r="D869" s="153" t="s">
        <v>4263</v>
      </c>
      <c r="E869" s="153" t="s">
        <v>64</v>
      </c>
      <c r="F869" s="6"/>
      <c r="G869" s="6"/>
      <c r="H869" s="85">
        <v>10</v>
      </c>
      <c r="I869" s="103">
        <f>IFERROR(VLOOKUP(B869,'July 2026-Recived'!$B$2:$H$1300,7,0),0)</f>
        <v>0</v>
      </c>
      <c r="J869" s="103">
        <f>IFERROR(VLOOKUP(B869,'July 2026- Dispatch'!$B$2:$H$1300,7,0),0)</f>
        <v>0</v>
      </c>
      <c r="K869" s="61">
        <f t="shared" si="13"/>
        <v>10</v>
      </c>
      <c r="L869" s="123">
        <v>0</v>
      </c>
    </row>
    <row r="870" spans="1:12" hidden="1" x14ac:dyDescent="0.25">
      <c r="A870" s="7">
        <v>869</v>
      </c>
      <c r="B870" s="152" t="s">
        <v>851</v>
      </c>
      <c r="C870" s="153" t="s">
        <v>4264</v>
      </c>
      <c r="D870" s="153" t="s">
        <v>4265</v>
      </c>
      <c r="E870" s="153" t="s">
        <v>2126</v>
      </c>
      <c r="F870" s="6"/>
      <c r="G870" s="6"/>
      <c r="H870" s="85">
        <v>0</v>
      </c>
      <c r="I870" s="103">
        <f>IFERROR(VLOOKUP(B870,'July 2026-Recived'!$B$2:$H$1300,7,0),0)</f>
        <v>0</v>
      </c>
      <c r="J870" s="103">
        <f>IFERROR(VLOOKUP(B870,'July 2026- Dispatch'!$B$2:$H$1300,7,0),0)</f>
        <v>0</v>
      </c>
      <c r="K870" s="61">
        <f t="shared" si="13"/>
        <v>0</v>
      </c>
      <c r="L870" s="123">
        <v>0</v>
      </c>
    </row>
    <row r="871" spans="1:12" hidden="1" x14ac:dyDescent="0.25">
      <c r="A871" s="7">
        <v>870</v>
      </c>
      <c r="B871" s="152" t="s">
        <v>716</v>
      </c>
      <c r="C871" s="153" t="s">
        <v>4266</v>
      </c>
      <c r="D871" s="153" t="s">
        <v>4267</v>
      </c>
      <c r="E871" s="153" t="s">
        <v>2126</v>
      </c>
      <c r="F871" s="6"/>
      <c r="G871" s="6"/>
      <c r="H871" s="85">
        <v>0</v>
      </c>
      <c r="I871" s="103">
        <f>IFERROR(VLOOKUP(B871,'July 2026-Recived'!$B$2:$H$1300,7,0),0)</f>
        <v>1500</v>
      </c>
      <c r="J871" s="103">
        <f>IFERROR(VLOOKUP(B871,'July 2026- Dispatch'!$B$2:$H$1300,7,0),0)</f>
        <v>0</v>
      </c>
      <c r="K871" s="61">
        <f t="shared" si="13"/>
        <v>1500</v>
      </c>
      <c r="L871" s="123">
        <v>0</v>
      </c>
    </row>
    <row r="872" spans="1:12" hidden="1" x14ac:dyDescent="0.25">
      <c r="A872" s="7">
        <v>871</v>
      </c>
      <c r="B872" s="152" t="s">
        <v>1202</v>
      </c>
      <c r="C872" s="153" t="s">
        <v>4268</v>
      </c>
      <c r="D872" s="153" t="s">
        <v>4269</v>
      </c>
      <c r="E872" s="153" t="s">
        <v>64</v>
      </c>
      <c r="F872" s="6"/>
      <c r="G872" s="6"/>
      <c r="H872" s="85">
        <v>115.14</v>
      </c>
      <c r="I872" s="103">
        <f>IFERROR(VLOOKUP(B872,'July 2026-Recived'!$B$2:$H$1300,7,0),0)</f>
        <v>101.46</v>
      </c>
      <c r="J872" s="103">
        <f>IFERROR(VLOOKUP(B872,'July 2026- Dispatch'!$B$2:$H$1300,7,0),0)</f>
        <v>22.8</v>
      </c>
      <c r="K872" s="61">
        <f t="shared" si="13"/>
        <v>193.79999999999998</v>
      </c>
      <c r="L872" s="123">
        <v>0</v>
      </c>
    </row>
    <row r="873" spans="1:12" hidden="1" x14ac:dyDescent="0.25">
      <c r="A873" s="7">
        <v>872</v>
      </c>
      <c r="B873" s="152" t="s">
        <v>1078</v>
      </c>
      <c r="C873" s="153" t="s">
        <v>4270</v>
      </c>
      <c r="D873" s="153" t="s">
        <v>4271</v>
      </c>
      <c r="E873" s="153" t="s">
        <v>64</v>
      </c>
      <c r="F873" s="6"/>
      <c r="G873" s="6"/>
      <c r="H873" s="85">
        <v>70</v>
      </c>
      <c r="I873" s="103">
        <f>IFERROR(VLOOKUP(B873,'July 2026-Recived'!$B$2:$H$1300,7,0),0)</f>
        <v>0</v>
      </c>
      <c r="J873" s="103">
        <f>IFERROR(VLOOKUP(B873,'July 2026- Dispatch'!$B$2:$H$1300,7,0),0)</f>
        <v>0</v>
      </c>
      <c r="K873" s="61">
        <f t="shared" si="13"/>
        <v>70</v>
      </c>
      <c r="L873" s="123">
        <v>0</v>
      </c>
    </row>
    <row r="874" spans="1:12" hidden="1" x14ac:dyDescent="0.25">
      <c r="A874" s="7">
        <v>873</v>
      </c>
      <c r="B874" s="152" t="s">
        <v>402</v>
      </c>
      <c r="C874" s="153" t="s">
        <v>4272</v>
      </c>
      <c r="D874" s="153" t="s">
        <v>4273</v>
      </c>
      <c r="E874" s="153" t="s">
        <v>2126</v>
      </c>
      <c r="F874" s="6"/>
      <c r="G874" s="6"/>
      <c r="H874" s="85">
        <v>0</v>
      </c>
      <c r="I874" s="103">
        <f>IFERROR(VLOOKUP(B874,'July 2026-Recived'!$B$2:$H$1300,7,0),0)</f>
        <v>0</v>
      </c>
      <c r="J874" s="103">
        <f>IFERROR(VLOOKUP(B874,'July 2026- Dispatch'!$B$2:$H$1300,7,0),0)</f>
        <v>0</v>
      </c>
      <c r="K874" s="61">
        <f t="shared" si="13"/>
        <v>0</v>
      </c>
      <c r="L874" s="123">
        <v>0</v>
      </c>
    </row>
    <row r="875" spans="1:12" hidden="1" x14ac:dyDescent="0.25">
      <c r="A875" s="7">
        <v>874</v>
      </c>
      <c r="B875" s="152" t="s">
        <v>635</v>
      </c>
      <c r="C875" s="153" t="s">
        <v>4274</v>
      </c>
      <c r="D875" s="153" t="s">
        <v>4275</v>
      </c>
      <c r="E875" s="153" t="s">
        <v>64</v>
      </c>
      <c r="F875" s="6"/>
      <c r="G875" s="6"/>
      <c r="H875" s="85">
        <v>46.5</v>
      </c>
      <c r="I875" s="103">
        <f>IFERROR(VLOOKUP(B875,'July 2026-Recived'!$B$2:$H$1300,7,0),0)</f>
        <v>0</v>
      </c>
      <c r="J875" s="103">
        <f>IFERROR(VLOOKUP(B875,'July 2026- Dispatch'!$B$2:$H$1300,7,0),0)</f>
        <v>0</v>
      </c>
      <c r="K875" s="61">
        <f t="shared" si="13"/>
        <v>46.5</v>
      </c>
      <c r="L875" s="123">
        <v>0</v>
      </c>
    </row>
    <row r="876" spans="1:12" hidden="1" x14ac:dyDescent="0.25">
      <c r="A876" s="7">
        <v>875</v>
      </c>
      <c r="B876" s="152" t="s">
        <v>1558</v>
      </c>
      <c r="C876" s="153" t="s">
        <v>4276</v>
      </c>
      <c r="D876" s="153" t="s">
        <v>4277</v>
      </c>
      <c r="E876" s="153" t="s">
        <v>64</v>
      </c>
      <c r="F876" s="6"/>
      <c r="G876" s="6"/>
      <c r="H876" s="85">
        <v>180</v>
      </c>
      <c r="I876" s="103">
        <f>IFERROR(VLOOKUP(B876,'July 2026-Recived'!$B$2:$H$1300,7,0),0)</f>
        <v>0</v>
      </c>
      <c r="J876" s="103">
        <f>IFERROR(VLOOKUP(B876,'July 2026- Dispatch'!$B$2:$H$1300,7,0),0)</f>
        <v>0</v>
      </c>
      <c r="K876" s="61">
        <f t="shared" si="13"/>
        <v>180</v>
      </c>
      <c r="L876" s="123">
        <v>0</v>
      </c>
    </row>
    <row r="877" spans="1:12" hidden="1" x14ac:dyDescent="0.25">
      <c r="A877" s="7">
        <v>876</v>
      </c>
      <c r="B877" s="152" t="s">
        <v>1521</v>
      </c>
      <c r="C877" s="153" t="s">
        <v>4278</v>
      </c>
      <c r="D877" s="153" t="s">
        <v>4279</v>
      </c>
      <c r="E877" s="153" t="s">
        <v>2111</v>
      </c>
      <c r="F877" s="6"/>
      <c r="G877" s="6"/>
      <c r="H877" s="85">
        <v>1099.48</v>
      </c>
      <c r="I877" s="103">
        <f>IFERROR(VLOOKUP(B877,'July 2026-Recived'!$B$2:$H$1300,7,0),0)</f>
        <v>0</v>
      </c>
      <c r="J877" s="103">
        <f>IFERROR(VLOOKUP(B877,'July 2026- Dispatch'!$B$2:$H$1300,7,0),0)</f>
        <v>42.6</v>
      </c>
      <c r="K877" s="61">
        <f t="shared" si="13"/>
        <v>1056.8800000000001</v>
      </c>
      <c r="L877" s="123">
        <v>0</v>
      </c>
    </row>
    <row r="878" spans="1:12" hidden="1" x14ac:dyDescent="0.25">
      <c r="A878" s="7">
        <v>877</v>
      </c>
      <c r="B878" s="152" t="s">
        <v>1381</v>
      </c>
      <c r="C878" s="153" t="s">
        <v>4280</v>
      </c>
      <c r="D878" s="153" t="s">
        <v>4281</v>
      </c>
      <c r="E878" s="153" t="s">
        <v>64</v>
      </c>
      <c r="F878" s="6"/>
      <c r="G878" s="6"/>
      <c r="H878" s="85">
        <v>6250</v>
      </c>
      <c r="I878" s="103">
        <f>IFERROR(VLOOKUP(B878,'July 2026-Recived'!$B$2:$H$1300,7,0),0)</f>
        <v>3500</v>
      </c>
      <c r="J878" s="103">
        <f>IFERROR(VLOOKUP(B878,'July 2026- Dispatch'!$B$2:$H$1300,7,0),0)</f>
        <v>950</v>
      </c>
      <c r="K878" s="61">
        <f t="shared" si="13"/>
        <v>8800</v>
      </c>
      <c r="L878" s="123">
        <v>0</v>
      </c>
    </row>
    <row r="879" spans="1:12" hidden="1" x14ac:dyDescent="0.25">
      <c r="A879" s="7">
        <v>878</v>
      </c>
      <c r="B879" s="152" t="s">
        <v>1213</v>
      </c>
      <c r="C879" s="153" t="s">
        <v>4282</v>
      </c>
      <c r="D879" s="153" t="s">
        <v>4283</v>
      </c>
      <c r="E879" s="153" t="s">
        <v>64</v>
      </c>
      <c r="F879" s="6"/>
      <c r="G879" s="6"/>
      <c r="H879" s="85">
        <v>60</v>
      </c>
      <c r="I879" s="103">
        <f>IFERROR(VLOOKUP(B879,'July 2026-Recived'!$B$2:$H$1300,7,0),0)</f>
        <v>5.4480000000000004</v>
      </c>
      <c r="J879" s="103">
        <f>IFERROR(VLOOKUP(B879,'July 2026- Dispatch'!$B$2:$H$1300,7,0),0)</f>
        <v>0</v>
      </c>
      <c r="K879" s="61">
        <f t="shared" si="13"/>
        <v>65.448000000000008</v>
      </c>
      <c r="L879" s="123">
        <v>0</v>
      </c>
    </row>
    <row r="880" spans="1:12" hidden="1" x14ac:dyDescent="0.25">
      <c r="A880" s="7">
        <v>879</v>
      </c>
      <c r="B880" s="152" t="s">
        <v>1282</v>
      </c>
      <c r="C880" s="153" t="s">
        <v>4284</v>
      </c>
      <c r="D880" s="153" t="s">
        <v>4285</v>
      </c>
      <c r="E880" s="153" t="s">
        <v>64</v>
      </c>
      <c r="F880" s="6"/>
      <c r="G880" s="6"/>
      <c r="H880" s="85">
        <v>11.52</v>
      </c>
      <c r="I880" s="103">
        <f>IFERROR(VLOOKUP(B880,'July 2026-Recived'!$B$2:$H$1300,7,0),0)</f>
        <v>0</v>
      </c>
      <c r="J880" s="103">
        <f>IFERROR(VLOOKUP(B880,'July 2026- Dispatch'!$B$2:$H$1300,7,0),0)</f>
        <v>0</v>
      </c>
      <c r="K880" s="61">
        <f t="shared" si="13"/>
        <v>11.52</v>
      </c>
      <c r="L880" s="123">
        <v>0</v>
      </c>
    </row>
    <row r="881" spans="1:12" hidden="1" x14ac:dyDescent="0.25">
      <c r="A881" s="7">
        <v>880</v>
      </c>
      <c r="B881" s="152" t="s">
        <v>1562</v>
      </c>
      <c r="C881" s="153" t="s">
        <v>4286</v>
      </c>
      <c r="D881" s="153" t="s">
        <v>4287</v>
      </c>
      <c r="E881" s="153" t="s">
        <v>2111</v>
      </c>
      <c r="F881" s="6"/>
      <c r="G881" s="6"/>
      <c r="H881" s="85">
        <v>104.3</v>
      </c>
      <c r="I881" s="103">
        <f>IFERROR(VLOOKUP(B881,'July 2026-Recived'!$B$2:$H$1300,7,0),0)</f>
        <v>0</v>
      </c>
      <c r="J881" s="103">
        <f>IFERROR(VLOOKUP(B881,'July 2026- Dispatch'!$B$2:$H$1300,7,0),0)</f>
        <v>0</v>
      </c>
      <c r="K881" s="61">
        <f t="shared" si="13"/>
        <v>104.3</v>
      </c>
      <c r="L881" s="123">
        <v>0</v>
      </c>
    </row>
    <row r="882" spans="1:12" hidden="1" x14ac:dyDescent="0.25">
      <c r="A882" s="7">
        <v>881</v>
      </c>
      <c r="B882" s="152" t="s">
        <v>1584</v>
      </c>
      <c r="C882" s="153" t="s">
        <v>4288</v>
      </c>
      <c r="D882" s="153" t="s">
        <v>4289</v>
      </c>
      <c r="E882" s="153" t="s">
        <v>64</v>
      </c>
      <c r="F882" s="6"/>
      <c r="G882" s="6"/>
      <c r="H882" s="85">
        <v>6897.4</v>
      </c>
      <c r="I882" s="103">
        <f>IFERROR(VLOOKUP(B882,'July 2026-Recived'!$B$2:$H$1300,7,0),0)</f>
        <v>0</v>
      </c>
      <c r="J882" s="103">
        <f>IFERROR(VLOOKUP(B882,'July 2026- Dispatch'!$B$2:$H$1300,7,0),0)</f>
        <v>0</v>
      </c>
      <c r="K882" s="61">
        <f t="shared" si="13"/>
        <v>6897.4</v>
      </c>
      <c r="L882" s="123">
        <v>0</v>
      </c>
    </row>
    <row r="883" spans="1:12" hidden="1" x14ac:dyDescent="0.25">
      <c r="A883" s="7">
        <v>882</v>
      </c>
      <c r="B883" s="152" t="s">
        <v>444</v>
      </c>
      <c r="C883" s="153" t="s">
        <v>4290</v>
      </c>
      <c r="D883" s="153" t="s">
        <v>4291</v>
      </c>
      <c r="E883" s="153" t="s">
        <v>2126</v>
      </c>
      <c r="F883" s="6"/>
      <c r="G883" s="6"/>
      <c r="H883" s="85">
        <v>0</v>
      </c>
      <c r="I883" s="103">
        <f>IFERROR(VLOOKUP(B883,'July 2026-Recived'!$B$2:$H$1300,7,0),0)</f>
        <v>60</v>
      </c>
      <c r="J883" s="103">
        <f>IFERROR(VLOOKUP(B883,'July 2026- Dispatch'!$B$2:$H$1300,7,0),0)</f>
        <v>0</v>
      </c>
      <c r="K883" s="61">
        <f t="shared" si="13"/>
        <v>60</v>
      </c>
      <c r="L883" s="123">
        <v>0</v>
      </c>
    </row>
    <row r="884" spans="1:12" hidden="1" x14ac:dyDescent="0.25">
      <c r="A884" s="7">
        <v>883</v>
      </c>
      <c r="B884" s="157" t="s">
        <v>526</v>
      </c>
      <c r="C884" s="158" t="s">
        <v>4292</v>
      </c>
      <c r="D884" s="158" t="s">
        <v>4293</v>
      </c>
      <c r="E884" s="153" t="s">
        <v>64</v>
      </c>
      <c r="F884" s="6"/>
      <c r="G884" s="6"/>
      <c r="H884" s="85">
        <v>8</v>
      </c>
      <c r="I884" s="103">
        <f>IFERROR(VLOOKUP(B884,'July 2026-Recived'!$B$2:$H$1300,7,0),0)</f>
        <v>0</v>
      </c>
      <c r="J884" s="103">
        <f>IFERROR(VLOOKUP(B884,'July 2026- Dispatch'!$B$2:$H$1300,7,0),0)</f>
        <v>0</v>
      </c>
      <c r="K884" s="61">
        <f t="shared" si="13"/>
        <v>8</v>
      </c>
      <c r="L884" s="123">
        <v>0</v>
      </c>
    </row>
    <row r="885" spans="1:12" hidden="1" x14ac:dyDescent="0.25">
      <c r="A885" s="7">
        <v>884</v>
      </c>
      <c r="B885" s="152" t="s">
        <v>1495</v>
      </c>
      <c r="C885" s="153" t="s">
        <v>4294</v>
      </c>
      <c r="D885" s="153" t="s">
        <v>4295</v>
      </c>
      <c r="E885" s="153" t="s">
        <v>64</v>
      </c>
      <c r="F885" s="6"/>
      <c r="G885" s="6"/>
      <c r="H885" s="85">
        <v>445</v>
      </c>
      <c r="I885" s="103">
        <f>IFERROR(VLOOKUP(B885,'July 2026-Recived'!$B$2:$H$1300,7,0),0)</f>
        <v>0</v>
      </c>
      <c r="J885" s="103">
        <f>IFERROR(VLOOKUP(B885,'July 2026- Dispatch'!$B$2:$H$1300,7,0),0)</f>
        <v>105</v>
      </c>
      <c r="K885" s="61">
        <f t="shared" si="13"/>
        <v>340</v>
      </c>
      <c r="L885" s="123">
        <v>0</v>
      </c>
    </row>
    <row r="886" spans="1:12" hidden="1" x14ac:dyDescent="0.25">
      <c r="A886" s="7">
        <v>885</v>
      </c>
      <c r="B886" s="152" t="s">
        <v>1211</v>
      </c>
      <c r="C886" s="153" t="s">
        <v>4296</v>
      </c>
      <c r="D886" s="153" t="s">
        <v>4297</v>
      </c>
      <c r="E886" s="153" t="s">
        <v>2126</v>
      </c>
      <c r="F886" s="6"/>
      <c r="G886" s="6"/>
      <c r="H886" s="85">
        <v>0</v>
      </c>
      <c r="I886" s="103">
        <f>IFERROR(VLOOKUP(B886,'July 2026-Recived'!$B$2:$H$1300,7,0),0)</f>
        <v>0</v>
      </c>
      <c r="J886" s="103">
        <f>IFERROR(VLOOKUP(B886,'July 2026- Dispatch'!$B$2:$H$1300,7,0),0)</f>
        <v>0</v>
      </c>
      <c r="K886" s="61">
        <f t="shared" si="13"/>
        <v>0</v>
      </c>
      <c r="L886" s="123">
        <v>0</v>
      </c>
    </row>
    <row r="887" spans="1:12" hidden="1" x14ac:dyDescent="0.25">
      <c r="A887" s="7">
        <v>886</v>
      </c>
      <c r="B887" s="152" t="s">
        <v>542</v>
      </c>
      <c r="C887" s="153" t="s">
        <v>4298</v>
      </c>
      <c r="D887" s="153" t="s">
        <v>4299</v>
      </c>
      <c r="E887" s="153" t="s">
        <v>2126</v>
      </c>
      <c r="F887" s="6"/>
      <c r="G887" s="6"/>
      <c r="H887" s="85">
        <v>0</v>
      </c>
      <c r="I887" s="103">
        <f>IFERROR(VLOOKUP(B887,'July 2026-Recived'!$B$2:$H$1300,7,0),0)</f>
        <v>12.96</v>
      </c>
      <c r="J887" s="103">
        <f>IFERROR(VLOOKUP(B887,'July 2026- Dispatch'!$B$2:$H$1300,7,0),0)</f>
        <v>0</v>
      </c>
      <c r="K887" s="61">
        <f t="shared" si="13"/>
        <v>12.96</v>
      </c>
      <c r="L887" s="123">
        <v>0</v>
      </c>
    </row>
    <row r="888" spans="1:12" hidden="1" x14ac:dyDescent="0.25">
      <c r="A888" s="7">
        <v>887</v>
      </c>
      <c r="B888" s="152" t="s">
        <v>480</v>
      </c>
      <c r="C888" s="153" t="s">
        <v>4300</v>
      </c>
      <c r="D888" s="153" t="s">
        <v>4301</v>
      </c>
      <c r="E888" s="153" t="s">
        <v>64</v>
      </c>
      <c r="F888" s="6"/>
      <c r="G888" s="6"/>
      <c r="H888" s="85">
        <v>50</v>
      </c>
      <c r="I888" s="103">
        <f>IFERROR(VLOOKUP(B888,'July 2026-Recived'!$B$2:$H$1300,7,0),0)</f>
        <v>30</v>
      </c>
      <c r="J888" s="103">
        <f>IFERROR(VLOOKUP(B888,'July 2026- Dispatch'!$B$2:$H$1300,7,0),0)</f>
        <v>0</v>
      </c>
      <c r="K888" s="61">
        <f t="shared" si="13"/>
        <v>80</v>
      </c>
      <c r="L888" s="123">
        <v>0</v>
      </c>
    </row>
    <row r="889" spans="1:12" hidden="1" x14ac:dyDescent="0.25">
      <c r="A889" s="7">
        <v>888</v>
      </c>
      <c r="B889" s="152" t="s">
        <v>4302</v>
      </c>
      <c r="C889" s="153" t="s">
        <v>4303</v>
      </c>
      <c r="D889" s="153" t="s">
        <v>4304</v>
      </c>
      <c r="E889" s="153" t="s">
        <v>2126</v>
      </c>
      <c r="F889" s="6"/>
      <c r="G889" s="6"/>
      <c r="H889" s="85">
        <v>0</v>
      </c>
      <c r="I889" s="103">
        <f>IFERROR(VLOOKUP(B889,'July 2026-Recived'!$B$2:$H$1300,7,0),0)</f>
        <v>0</v>
      </c>
      <c r="J889" s="103">
        <f>IFERROR(VLOOKUP(B889,'July 2026- Dispatch'!$B$2:$H$1300,7,0),0)</f>
        <v>0</v>
      </c>
      <c r="K889" s="61">
        <f t="shared" si="13"/>
        <v>0</v>
      </c>
      <c r="L889" s="123">
        <v>0</v>
      </c>
    </row>
    <row r="890" spans="1:12" hidden="1" x14ac:dyDescent="0.25">
      <c r="A890" s="7">
        <v>889</v>
      </c>
      <c r="B890" s="152" t="s">
        <v>1460</v>
      </c>
      <c r="C890" s="153" t="s">
        <v>4305</v>
      </c>
      <c r="D890" s="153" t="s">
        <v>4306</v>
      </c>
      <c r="E890" s="153" t="s">
        <v>64</v>
      </c>
      <c r="F890" s="6"/>
      <c r="G890" s="6"/>
      <c r="H890" s="85">
        <v>40.75</v>
      </c>
      <c r="I890" s="103">
        <f>IFERROR(VLOOKUP(B890,'July 2026-Recived'!$B$2:$H$1300,7,0),0)</f>
        <v>0</v>
      </c>
      <c r="J890" s="103">
        <f>IFERROR(VLOOKUP(B890,'July 2026- Dispatch'!$B$2:$H$1300,7,0),0)</f>
        <v>8.7119999999999997</v>
      </c>
      <c r="K890" s="61">
        <f t="shared" si="13"/>
        <v>32.037999999999997</v>
      </c>
      <c r="L890" s="123">
        <v>0</v>
      </c>
    </row>
    <row r="891" spans="1:12" hidden="1" x14ac:dyDescent="0.25">
      <c r="A891" s="7">
        <v>890</v>
      </c>
      <c r="B891" s="152" t="s">
        <v>1242</v>
      </c>
      <c r="C891" s="153" t="s">
        <v>4307</v>
      </c>
      <c r="D891" s="153" t="s">
        <v>4308</v>
      </c>
      <c r="E891" s="153" t="s">
        <v>64</v>
      </c>
      <c r="F891" s="6"/>
      <c r="G891" s="6"/>
      <c r="H891" s="85">
        <v>55</v>
      </c>
      <c r="I891" s="103">
        <f>IFERROR(VLOOKUP(B891,'July 2026-Recived'!$B$2:$H$1300,7,0),0)</f>
        <v>0</v>
      </c>
      <c r="J891" s="103">
        <f>IFERROR(VLOOKUP(B891,'July 2026- Dispatch'!$B$2:$H$1300,7,0),0)</f>
        <v>50</v>
      </c>
      <c r="K891" s="61">
        <f t="shared" si="13"/>
        <v>5</v>
      </c>
      <c r="L891" s="123">
        <v>0</v>
      </c>
    </row>
    <row r="892" spans="1:12" hidden="1" x14ac:dyDescent="0.25">
      <c r="A892" s="7">
        <v>891</v>
      </c>
      <c r="B892" s="152" t="s">
        <v>1120</v>
      </c>
      <c r="C892" s="153" t="s">
        <v>4309</v>
      </c>
      <c r="D892" s="153" t="s">
        <v>4310</v>
      </c>
      <c r="E892" s="153" t="s">
        <v>64</v>
      </c>
      <c r="F892" s="6"/>
      <c r="G892" s="6"/>
      <c r="H892" s="85">
        <v>2</v>
      </c>
      <c r="I892" s="103">
        <f>IFERROR(VLOOKUP(B892,'July 2026-Recived'!$B$2:$H$1300,7,0),0)</f>
        <v>0</v>
      </c>
      <c r="J892" s="103">
        <f>IFERROR(VLOOKUP(B892,'July 2026- Dispatch'!$B$2:$H$1300,7,0),0)</f>
        <v>0</v>
      </c>
      <c r="K892" s="61">
        <f t="shared" si="13"/>
        <v>2</v>
      </c>
      <c r="L892" s="123">
        <v>0</v>
      </c>
    </row>
    <row r="893" spans="1:12" hidden="1" x14ac:dyDescent="0.25">
      <c r="A893" s="7">
        <v>892</v>
      </c>
      <c r="B893" s="152" t="s">
        <v>1576</v>
      </c>
      <c r="C893" s="153" t="s">
        <v>4311</v>
      </c>
      <c r="D893" s="153" t="s">
        <v>4312</v>
      </c>
      <c r="E893" s="153" t="s">
        <v>2111</v>
      </c>
      <c r="F893" s="6"/>
      <c r="G893" s="6"/>
      <c r="H893" s="85">
        <v>90</v>
      </c>
      <c r="I893" s="103">
        <f>IFERROR(VLOOKUP(B893,'July 2026-Recived'!$B$2:$H$1300,7,0),0)</f>
        <v>0</v>
      </c>
      <c r="J893" s="103">
        <f>IFERROR(VLOOKUP(B893,'July 2026- Dispatch'!$B$2:$H$1300,7,0),0)</f>
        <v>0</v>
      </c>
      <c r="K893" s="61">
        <f t="shared" si="13"/>
        <v>90</v>
      </c>
      <c r="L893" s="123">
        <v>0</v>
      </c>
    </row>
    <row r="894" spans="1:12" hidden="1" x14ac:dyDescent="0.25">
      <c r="A894" s="7">
        <v>893</v>
      </c>
      <c r="B894" s="152" t="s">
        <v>4313</v>
      </c>
      <c r="C894" s="153" t="s">
        <v>4314</v>
      </c>
      <c r="D894" s="153" t="s">
        <v>4315</v>
      </c>
      <c r="E894" s="153" t="s">
        <v>2126</v>
      </c>
      <c r="F894" s="6"/>
      <c r="G894" s="6"/>
      <c r="H894" s="85">
        <v>0</v>
      </c>
      <c r="I894" s="103">
        <f>IFERROR(VLOOKUP(B894,'July 2026-Recived'!$B$2:$H$1300,7,0),0)</f>
        <v>0</v>
      </c>
      <c r="J894" s="103">
        <f>IFERROR(VLOOKUP(B894,'July 2026- Dispatch'!$B$2:$H$1300,7,0),0)</f>
        <v>0</v>
      </c>
      <c r="K894" s="61">
        <f t="shared" si="13"/>
        <v>0</v>
      </c>
      <c r="L894" s="123">
        <v>0</v>
      </c>
    </row>
    <row r="895" spans="1:12" hidden="1" x14ac:dyDescent="0.25">
      <c r="A895" s="7">
        <v>894</v>
      </c>
      <c r="B895" s="152" t="s">
        <v>538</v>
      </c>
      <c r="C895" s="153" t="s">
        <v>4316</v>
      </c>
      <c r="D895" s="153" t="s">
        <v>4317</v>
      </c>
      <c r="E895" s="153" t="s">
        <v>2160</v>
      </c>
      <c r="F895" s="6"/>
      <c r="G895" s="6"/>
      <c r="H895" s="85">
        <v>0</v>
      </c>
      <c r="I895" s="103">
        <f>IFERROR(VLOOKUP(B895,'July 2026-Recived'!$B$2:$H$1300,7,0),0)</f>
        <v>10</v>
      </c>
      <c r="J895" s="103">
        <f>IFERROR(VLOOKUP(B895,'July 2026- Dispatch'!$B$2:$H$1300,7,0),0)</f>
        <v>10</v>
      </c>
      <c r="K895" s="61">
        <f t="shared" si="13"/>
        <v>0</v>
      </c>
      <c r="L895" s="123">
        <v>0</v>
      </c>
    </row>
    <row r="896" spans="1:12" hidden="1" x14ac:dyDescent="0.25">
      <c r="A896" s="7">
        <v>895</v>
      </c>
      <c r="B896" s="152" t="s">
        <v>1136</v>
      </c>
      <c r="C896" s="153" t="s">
        <v>4318</v>
      </c>
      <c r="D896" s="153" t="s">
        <v>4319</v>
      </c>
      <c r="E896" s="153" t="s">
        <v>2126</v>
      </c>
      <c r="F896" s="6"/>
      <c r="G896" s="6"/>
      <c r="H896" s="85">
        <v>0</v>
      </c>
      <c r="I896" s="103">
        <f>IFERROR(VLOOKUP(B896,'July 2026-Recived'!$B$2:$H$1300,7,0),0)</f>
        <v>0</v>
      </c>
      <c r="J896" s="103">
        <f>IFERROR(VLOOKUP(B896,'July 2026- Dispatch'!$B$2:$H$1300,7,0),0)</f>
        <v>0</v>
      </c>
      <c r="K896" s="61">
        <f t="shared" si="13"/>
        <v>0</v>
      </c>
      <c r="L896" s="123">
        <v>0</v>
      </c>
    </row>
    <row r="897" spans="1:12" hidden="1" x14ac:dyDescent="0.25">
      <c r="A897" s="7">
        <v>896</v>
      </c>
      <c r="B897" s="152" t="s">
        <v>488</v>
      </c>
      <c r="C897" s="153" t="s">
        <v>4320</v>
      </c>
      <c r="D897" s="153" t="s">
        <v>4321</v>
      </c>
      <c r="E897" s="153" t="s">
        <v>64</v>
      </c>
      <c r="F897" s="6"/>
      <c r="G897" s="6"/>
      <c r="H897" s="85">
        <v>88</v>
      </c>
      <c r="I897" s="103">
        <f>IFERROR(VLOOKUP(B897,'July 2026-Recived'!$B$2:$H$1300,7,0),0)</f>
        <v>0</v>
      </c>
      <c r="J897" s="103">
        <f>IFERROR(VLOOKUP(B897,'July 2026- Dispatch'!$B$2:$H$1300,7,0),0)</f>
        <v>10</v>
      </c>
      <c r="K897" s="61">
        <f t="shared" si="13"/>
        <v>78</v>
      </c>
      <c r="L897" s="123">
        <v>0</v>
      </c>
    </row>
    <row r="898" spans="1:12" hidden="1" x14ac:dyDescent="0.25">
      <c r="A898" s="7">
        <v>897</v>
      </c>
      <c r="B898" s="152" t="s">
        <v>1272</v>
      </c>
      <c r="C898" s="153" t="s">
        <v>4322</v>
      </c>
      <c r="D898" s="153" t="s">
        <v>4323</v>
      </c>
      <c r="E898" s="153" t="s">
        <v>64</v>
      </c>
      <c r="F898" s="6"/>
      <c r="G898" s="6"/>
      <c r="H898" s="85">
        <v>17.760000000000002</v>
      </c>
      <c r="I898" s="103">
        <f>IFERROR(VLOOKUP(B898,'July 2026-Recived'!$B$2:$H$1300,7,0),0)</f>
        <v>0</v>
      </c>
      <c r="J898" s="103">
        <f>IFERROR(VLOOKUP(B898,'July 2026- Dispatch'!$B$2:$H$1300,7,0),0)</f>
        <v>0</v>
      </c>
      <c r="K898" s="61">
        <f t="shared" ref="K898:K961" si="14">H898+I898-J898</f>
        <v>17.760000000000002</v>
      </c>
      <c r="L898" s="123">
        <v>0</v>
      </c>
    </row>
    <row r="899" spans="1:12" hidden="1" x14ac:dyDescent="0.25">
      <c r="A899" s="7">
        <v>898</v>
      </c>
      <c r="B899" s="152" t="s">
        <v>1236</v>
      </c>
      <c r="C899" s="153" t="s">
        <v>4324</v>
      </c>
      <c r="D899" s="153" t="s">
        <v>4325</v>
      </c>
      <c r="E899" s="153" t="s">
        <v>2126</v>
      </c>
      <c r="F899" s="6"/>
      <c r="G899" s="6"/>
      <c r="H899" s="85">
        <v>0</v>
      </c>
      <c r="I899" s="103">
        <f>IFERROR(VLOOKUP(B899,'July 2026-Recived'!$B$2:$H$1300,7,0),0)</f>
        <v>0</v>
      </c>
      <c r="J899" s="103">
        <f>IFERROR(VLOOKUP(B899,'July 2026- Dispatch'!$B$2:$H$1300,7,0),0)</f>
        <v>0</v>
      </c>
      <c r="K899" s="61">
        <f t="shared" si="14"/>
        <v>0</v>
      </c>
      <c r="L899" s="123">
        <v>0</v>
      </c>
    </row>
    <row r="900" spans="1:12" hidden="1" x14ac:dyDescent="0.25">
      <c r="A900" s="7">
        <v>899</v>
      </c>
      <c r="B900" s="152" t="s">
        <v>1513</v>
      </c>
      <c r="C900" s="153" t="s">
        <v>4326</v>
      </c>
      <c r="D900" s="153" t="s">
        <v>4327</v>
      </c>
      <c r="E900" s="153" t="s">
        <v>64</v>
      </c>
      <c r="F900" s="6"/>
      <c r="G900" s="6"/>
      <c r="H900" s="85">
        <v>84</v>
      </c>
      <c r="I900" s="103">
        <f>IFERROR(VLOOKUP(B900,'July 2026-Recived'!$B$2:$H$1300,7,0),0)</f>
        <v>0</v>
      </c>
      <c r="J900" s="103">
        <f>IFERROR(VLOOKUP(B900,'July 2026- Dispatch'!$B$2:$H$1300,7,0),0)</f>
        <v>0</v>
      </c>
      <c r="K900" s="61">
        <f t="shared" si="14"/>
        <v>84</v>
      </c>
      <c r="L900" s="123">
        <v>0</v>
      </c>
    </row>
    <row r="901" spans="1:12" hidden="1" x14ac:dyDescent="0.25">
      <c r="A901" s="7">
        <v>900</v>
      </c>
      <c r="B901" s="152" t="s">
        <v>136</v>
      </c>
      <c r="C901" s="153" t="s">
        <v>4328</v>
      </c>
      <c r="D901" s="153" t="s">
        <v>4329</v>
      </c>
      <c r="E901" s="153" t="s">
        <v>64</v>
      </c>
      <c r="F901" s="6"/>
      <c r="G901" s="6"/>
      <c r="H901" s="85">
        <v>1565</v>
      </c>
      <c r="I901" s="103">
        <f>IFERROR(VLOOKUP(B901,'July 2026-Recived'!$B$2:$H$1300,7,0),0)</f>
        <v>0</v>
      </c>
      <c r="J901" s="103">
        <f>IFERROR(VLOOKUP(B901,'July 2026- Dispatch'!$B$2:$H$1300,7,0),0)</f>
        <v>0</v>
      </c>
      <c r="K901" s="61">
        <f t="shared" si="14"/>
        <v>1565</v>
      </c>
      <c r="L901" s="123">
        <v>0</v>
      </c>
    </row>
    <row r="902" spans="1:12" hidden="1" x14ac:dyDescent="0.25">
      <c r="A902" s="7">
        <v>901</v>
      </c>
      <c r="B902" s="152" t="s">
        <v>638</v>
      </c>
      <c r="C902" s="153" t="s">
        <v>4330</v>
      </c>
      <c r="D902" s="153" t="s">
        <v>4331</v>
      </c>
      <c r="E902" s="153" t="s">
        <v>64</v>
      </c>
      <c r="F902" s="6"/>
      <c r="G902" s="6"/>
      <c r="H902" s="85">
        <v>1680</v>
      </c>
      <c r="I902" s="103">
        <f>IFERROR(VLOOKUP(B902,'July 2026-Recived'!$B$2:$H$1300,7,0),0)</f>
        <v>40.32</v>
      </c>
      <c r="J902" s="103">
        <f>IFERROR(VLOOKUP(B902,'July 2026- Dispatch'!$B$2:$H$1300,7,0),0)</f>
        <v>0</v>
      </c>
      <c r="K902" s="61">
        <f t="shared" si="14"/>
        <v>1720.32</v>
      </c>
      <c r="L902" s="123">
        <v>0</v>
      </c>
    </row>
    <row r="903" spans="1:12" hidden="1" x14ac:dyDescent="0.25">
      <c r="A903" s="7">
        <v>902</v>
      </c>
      <c r="B903" s="152" t="s">
        <v>1463</v>
      </c>
      <c r="C903" s="153" t="s">
        <v>4332</v>
      </c>
      <c r="D903" s="153" t="s">
        <v>4333</v>
      </c>
      <c r="E903" s="153" t="s">
        <v>2111</v>
      </c>
      <c r="F903" s="6"/>
      <c r="G903" s="6"/>
      <c r="H903" s="85">
        <v>86.94</v>
      </c>
      <c r="I903" s="103">
        <f>IFERROR(VLOOKUP(B903,'July 2026-Recived'!$B$2:$H$1300,7,0),0)</f>
        <v>0</v>
      </c>
      <c r="J903" s="103">
        <f>IFERROR(VLOOKUP(B903,'July 2026- Dispatch'!$B$2:$H$1300,7,0),0)</f>
        <v>19</v>
      </c>
      <c r="K903" s="61">
        <f t="shared" si="14"/>
        <v>67.94</v>
      </c>
      <c r="L903" s="123">
        <v>0</v>
      </c>
    </row>
    <row r="904" spans="1:12" hidden="1" x14ac:dyDescent="0.25">
      <c r="A904" s="7">
        <v>903</v>
      </c>
      <c r="B904" s="152" t="s">
        <v>4334</v>
      </c>
      <c r="C904" s="153" t="s">
        <v>4335</v>
      </c>
      <c r="D904" s="153" t="s">
        <v>4336</v>
      </c>
      <c r="E904" s="153" t="s">
        <v>2126</v>
      </c>
      <c r="F904" s="6"/>
      <c r="G904" s="6"/>
      <c r="H904" s="85">
        <v>0</v>
      </c>
      <c r="I904" s="103">
        <f>IFERROR(VLOOKUP(B904,'July 2026-Recived'!$B$2:$H$1300,7,0),0)</f>
        <v>0</v>
      </c>
      <c r="J904" s="103">
        <f>IFERROR(VLOOKUP(B904,'July 2026- Dispatch'!$B$2:$H$1300,7,0),0)</f>
        <v>0</v>
      </c>
      <c r="K904" s="61">
        <f t="shared" si="14"/>
        <v>0</v>
      </c>
      <c r="L904" s="123">
        <v>0</v>
      </c>
    </row>
    <row r="905" spans="1:12" hidden="1" x14ac:dyDescent="0.25">
      <c r="A905" s="7">
        <v>904</v>
      </c>
      <c r="B905" s="152" t="s">
        <v>514</v>
      </c>
      <c r="C905" s="153" t="s">
        <v>4337</v>
      </c>
      <c r="D905" s="153" t="s">
        <v>4338</v>
      </c>
      <c r="E905" s="153" t="s">
        <v>2086</v>
      </c>
      <c r="F905" s="6"/>
      <c r="G905" s="6"/>
      <c r="H905" s="85">
        <v>1920</v>
      </c>
      <c r="I905" s="103">
        <f>IFERROR(VLOOKUP(B905,'July 2026-Recived'!$B$2:$H$1300,7,0),0)</f>
        <v>0</v>
      </c>
      <c r="J905" s="103">
        <f>IFERROR(VLOOKUP(B905,'July 2026- Dispatch'!$B$2:$H$1300,7,0),0)</f>
        <v>0</v>
      </c>
      <c r="K905" s="61">
        <f t="shared" si="14"/>
        <v>1920</v>
      </c>
      <c r="L905" s="123">
        <v>0</v>
      </c>
    </row>
    <row r="906" spans="1:12" hidden="1" x14ac:dyDescent="0.25">
      <c r="A906" s="7">
        <v>905</v>
      </c>
      <c r="B906" s="152" t="s">
        <v>86</v>
      </c>
      <c r="C906" s="153" t="s">
        <v>4339</v>
      </c>
      <c r="D906" s="153" t="s">
        <v>4340</v>
      </c>
      <c r="E906" s="153" t="s">
        <v>64</v>
      </c>
      <c r="F906" s="6"/>
      <c r="G906" s="6"/>
      <c r="H906" s="85">
        <v>220</v>
      </c>
      <c r="I906" s="103">
        <f>IFERROR(VLOOKUP(B906,'July 2026-Recived'!$B$2:$H$1300,7,0),0)</f>
        <v>1500</v>
      </c>
      <c r="J906" s="103">
        <f>IFERROR(VLOOKUP(B906,'July 2026- Dispatch'!$B$2:$H$1300,7,0),0)</f>
        <v>650</v>
      </c>
      <c r="K906" s="61">
        <f t="shared" si="14"/>
        <v>1070</v>
      </c>
      <c r="L906" s="123">
        <v>0</v>
      </c>
    </row>
    <row r="907" spans="1:12" hidden="1" x14ac:dyDescent="0.25">
      <c r="A907" s="7">
        <v>906</v>
      </c>
      <c r="B907" s="152" t="s">
        <v>449</v>
      </c>
      <c r="C907" s="153" t="s">
        <v>4341</v>
      </c>
      <c r="D907" s="153" t="s">
        <v>4342</v>
      </c>
      <c r="E907" s="153" t="s">
        <v>2126</v>
      </c>
      <c r="F907" s="6"/>
      <c r="G907" s="6"/>
      <c r="H907" s="85">
        <v>0</v>
      </c>
      <c r="I907" s="103">
        <f>IFERROR(VLOOKUP(B907,'July 2026-Recived'!$B$2:$H$1300,7,0),0)</f>
        <v>0</v>
      </c>
      <c r="J907" s="103">
        <f>IFERROR(VLOOKUP(B907,'July 2026- Dispatch'!$B$2:$H$1300,7,0),0)</f>
        <v>0</v>
      </c>
      <c r="K907" s="61">
        <f t="shared" si="14"/>
        <v>0</v>
      </c>
      <c r="L907" s="123">
        <v>0</v>
      </c>
    </row>
    <row r="908" spans="1:12" hidden="1" x14ac:dyDescent="0.25">
      <c r="A908" s="7">
        <v>907</v>
      </c>
      <c r="B908" s="152" t="s">
        <v>1175</v>
      </c>
      <c r="C908" s="153" t="s">
        <v>4343</v>
      </c>
      <c r="D908" s="153" t="s">
        <v>4344</v>
      </c>
      <c r="E908" s="153" t="s">
        <v>64</v>
      </c>
      <c r="F908" s="6"/>
      <c r="G908" s="6"/>
      <c r="H908" s="85">
        <v>585</v>
      </c>
      <c r="I908" s="103">
        <f>IFERROR(VLOOKUP(B908,'July 2026-Recived'!$B$2:$H$1300,7,0),0)</f>
        <v>2250</v>
      </c>
      <c r="J908" s="103">
        <f>IFERROR(VLOOKUP(B908,'July 2026- Dispatch'!$B$2:$H$1300,7,0),0)</f>
        <v>570</v>
      </c>
      <c r="K908" s="61">
        <f t="shared" si="14"/>
        <v>2265</v>
      </c>
      <c r="L908" s="123">
        <v>0</v>
      </c>
    </row>
    <row r="909" spans="1:12" hidden="1" x14ac:dyDescent="0.25">
      <c r="A909" s="7">
        <v>908</v>
      </c>
      <c r="B909" s="157" t="s">
        <v>4345</v>
      </c>
      <c r="C909" s="158" t="s">
        <v>4346</v>
      </c>
      <c r="D909" s="158" t="s">
        <v>4347</v>
      </c>
      <c r="E909" s="153" t="s">
        <v>2126</v>
      </c>
      <c r="F909" s="6"/>
      <c r="G909" s="6"/>
      <c r="H909" s="85">
        <v>0</v>
      </c>
      <c r="I909" s="103">
        <f>IFERROR(VLOOKUP(B909,'July 2026-Recived'!$B$2:$H$1300,7,0),0)</f>
        <v>0</v>
      </c>
      <c r="J909" s="103">
        <f>IFERROR(VLOOKUP(B909,'July 2026- Dispatch'!$B$2:$H$1300,7,0),0)</f>
        <v>0</v>
      </c>
      <c r="K909" s="61">
        <f t="shared" si="14"/>
        <v>0</v>
      </c>
      <c r="L909" s="123">
        <v>0</v>
      </c>
    </row>
    <row r="910" spans="1:12" hidden="1" x14ac:dyDescent="0.25">
      <c r="A910" s="7">
        <v>909</v>
      </c>
      <c r="B910" s="152" t="s">
        <v>4348</v>
      </c>
      <c r="C910" s="153" t="s">
        <v>4349</v>
      </c>
      <c r="D910" s="153" t="s">
        <v>4350</v>
      </c>
      <c r="E910" s="153" t="s">
        <v>64</v>
      </c>
      <c r="F910" s="6"/>
      <c r="G910" s="6"/>
      <c r="H910" s="85">
        <v>283.39</v>
      </c>
      <c r="I910" s="103">
        <f>IFERROR(VLOOKUP(B910,'July 2026-Recived'!$B$2:$H$1300,7,0),0)</f>
        <v>0</v>
      </c>
      <c r="J910" s="103">
        <f>IFERROR(VLOOKUP(B910,'July 2026- Dispatch'!$B$2:$H$1300,7,0),0)</f>
        <v>282.88</v>
      </c>
      <c r="K910" s="61">
        <f t="shared" si="14"/>
        <v>0.50999999999999091</v>
      </c>
      <c r="L910" s="123">
        <v>0</v>
      </c>
    </row>
    <row r="911" spans="1:12" hidden="1" x14ac:dyDescent="0.25">
      <c r="A911" s="7">
        <v>910</v>
      </c>
      <c r="B911" s="152" t="s">
        <v>640</v>
      </c>
      <c r="C911" s="153" t="s">
        <v>4351</v>
      </c>
      <c r="D911" s="153" t="s">
        <v>4352</v>
      </c>
      <c r="E911" s="153" t="s">
        <v>2126</v>
      </c>
      <c r="F911" s="6"/>
      <c r="G911" s="6"/>
      <c r="H911" s="85">
        <v>0</v>
      </c>
      <c r="I911" s="103">
        <f>IFERROR(VLOOKUP(B911,'July 2026-Recived'!$B$2:$H$1300,7,0),0)</f>
        <v>0</v>
      </c>
      <c r="J911" s="103">
        <f>IFERROR(VLOOKUP(B911,'July 2026- Dispatch'!$B$2:$H$1300,7,0),0)</f>
        <v>0</v>
      </c>
      <c r="K911" s="61">
        <f t="shared" si="14"/>
        <v>0</v>
      </c>
      <c r="L911" s="123">
        <v>0</v>
      </c>
    </row>
    <row r="912" spans="1:12" hidden="1" x14ac:dyDescent="0.25">
      <c r="A912" s="7">
        <v>911</v>
      </c>
      <c r="B912" s="152" t="s">
        <v>642</v>
      </c>
      <c r="C912" s="153" t="s">
        <v>4353</v>
      </c>
      <c r="D912" s="153" t="s">
        <v>4354</v>
      </c>
      <c r="E912" s="153" t="s">
        <v>2126</v>
      </c>
      <c r="F912" s="6"/>
      <c r="G912" s="6"/>
      <c r="H912" s="85">
        <v>0</v>
      </c>
      <c r="I912" s="103">
        <f>IFERROR(VLOOKUP(B912,'July 2026-Recived'!$B$2:$H$1300,7,0),0)</f>
        <v>0</v>
      </c>
      <c r="J912" s="103">
        <f>IFERROR(VLOOKUP(B912,'July 2026- Dispatch'!$B$2:$H$1300,7,0),0)</f>
        <v>0</v>
      </c>
      <c r="K912" s="61">
        <f t="shared" si="14"/>
        <v>0</v>
      </c>
      <c r="L912" s="123">
        <v>0</v>
      </c>
    </row>
    <row r="913" spans="1:12" hidden="1" x14ac:dyDescent="0.25">
      <c r="A913" s="7">
        <v>912</v>
      </c>
      <c r="B913" s="152" t="s">
        <v>1330</v>
      </c>
      <c r="C913" s="153" t="s">
        <v>4355</v>
      </c>
      <c r="D913" s="153" t="s">
        <v>4356</v>
      </c>
      <c r="E913" s="153" t="s">
        <v>64</v>
      </c>
      <c r="F913" s="6"/>
      <c r="G913" s="6"/>
      <c r="H913" s="85">
        <v>252</v>
      </c>
      <c r="I913" s="103">
        <f>IFERROR(VLOOKUP(B913,'July 2026-Recived'!$B$2:$H$1300,7,0),0)</f>
        <v>0</v>
      </c>
      <c r="J913" s="103">
        <f>IFERROR(VLOOKUP(B913,'July 2026- Dispatch'!$B$2:$H$1300,7,0),0)</f>
        <v>0</v>
      </c>
      <c r="K913" s="61">
        <f t="shared" si="14"/>
        <v>252</v>
      </c>
      <c r="L913" s="123">
        <v>0</v>
      </c>
    </row>
    <row r="914" spans="1:12" hidden="1" x14ac:dyDescent="0.25">
      <c r="A914" s="7">
        <v>913</v>
      </c>
      <c r="B914" s="152" t="s">
        <v>502</v>
      </c>
      <c r="C914" s="153" t="s">
        <v>4357</v>
      </c>
      <c r="D914" s="153" t="s">
        <v>4358</v>
      </c>
      <c r="E914" s="153" t="s">
        <v>64</v>
      </c>
      <c r="F914" s="6"/>
      <c r="G914" s="6"/>
      <c r="H914" s="85">
        <v>39.200000000000003</v>
      </c>
      <c r="I914" s="103">
        <f>IFERROR(VLOOKUP(B914,'July 2026-Recived'!$B$2:$H$1300,7,0),0)</f>
        <v>0</v>
      </c>
      <c r="J914" s="103">
        <f>IFERROR(VLOOKUP(B914,'July 2026- Dispatch'!$B$2:$H$1300,7,0),0)</f>
        <v>0</v>
      </c>
      <c r="K914" s="61">
        <f t="shared" si="14"/>
        <v>39.200000000000003</v>
      </c>
      <c r="L914" s="123">
        <v>0</v>
      </c>
    </row>
    <row r="915" spans="1:12" hidden="1" x14ac:dyDescent="0.25">
      <c r="A915" s="7">
        <v>914</v>
      </c>
      <c r="B915" s="152" t="s">
        <v>646</v>
      </c>
      <c r="C915" s="153" t="s">
        <v>4359</v>
      </c>
      <c r="D915" s="153" t="s">
        <v>4360</v>
      </c>
      <c r="E915" s="153" t="s">
        <v>2126</v>
      </c>
      <c r="F915" s="6"/>
      <c r="G915" s="6"/>
      <c r="H915" s="85">
        <v>0</v>
      </c>
      <c r="I915" s="103">
        <f>IFERROR(VLOOKUP(B915,'July 2026-Recived'!$B$2:$H$1300,7,0),0)</f>
        <v>0</v>
      </c>
      <c r="J915" s="103">
        <f>IFERROR(VLOOKUP(B915,'July 2026- Dispatch'!$B$2:$H$1300,7,0),0)</f>
        <v>0</v>
      </c>
      <c r="K915" s="61">
        <f t="shared" si="14"/>
        <v>0</v>
      </c>
      <c r="L915" s="123">
        <v>0</v>
      </c>
    </row>
    <row r="916" spans="1:12" hidden="1" x14ac:dyDescent="0.25">
      <c r="A916" s="7">
        <v>915</v>
      </c>
      <c r="B916" s="152" t="s">
        <v>4361</v>
      </c>
      <c r="C916" s="153" t="s">
        <v>4362</v>
      </c>
      <c r="D916" s="153" t="s">
        <v>4363</v>
      </c>
      <c r="E916" s="153" t="s">
        <v>2126</v>
      </c>
      <c r="F916" s="6"/>
      <c r="G916" s="6"/>
      <c r="H916" s="85">
        <v>0</v>
      </c>
      <c r="I916" s="103">
        <f>IFERROR(VLOOKUP(B916,'July 2026-Recived'!$B$2:$H$1300,7,0),0)</f>
        <v>0</v>
      </c>
      <c r="J916" s="103">
        <f>IFERROR(VLOOKUP(B916,'July 2026- Dispatch'!$B$2:$H$1300,7,0),0)</f>
        <v>0</v>
      </c>
      <c r="K916" s="61">
        <f t="shared" si="14"/>
        <v>0</v>
      </c>
      <c r="L916" s="123">
        <v>0</v>
      </c>
    </row>
    <row r="917" spans="1:12" hidden="1" x14ac:dyDescent="0.25">
      <c r="A917" s="7">
        <v>916</v>
      </c>
      <c r="B917" s="152" t="s">
        <v>4364</v>
      </c>
      <c r="C917" s="153" t="s">
        <v>4365</v>
      </c>
      <c r="D917" s="153" t="s">
        <v>4366</v>
      </c>
      <c r="E917" s="153" t="s">
        <v>2126</v>
      </c>
      <c r="F917" s="6"/>
      <c r="G917" s="6"/>
      <c r="H917" s="85">
        <v>0</v>
      </c>
      <c r="I917" s="103">
        <f>IFERROR(VLOOKUP(B917,'July 2026-Recived'!$B$2:$H$1300,7,0),0)</f>
        <v>0</v>
      </c>
      <c r="J917" s="103">
        <f>IFERROR(VLOOKUP(B917,'July 2026- Dispatch'!$B$2:$H$1300,7,0),0)</f>
        <v>0</v>
      </c>
      <c r="K917" s="61">
        <f t="shared" si="14"/>
        <v>0</v>
      </c>
      <c r="L917" s="123">
        <v>0</v>
      </c>
    </row>
    <row r="918" spans="1:12" hidden="1" x14ac:dyDescent="0.25">
      <c r="A918" s="7">
        <v>917</v>
      </c>
      <c r="B918" s="152" t="s">
        <v>4367</v>
      </c>
      <c r="C918" s="153" t="s">
        <v>4368</v>
      </c>
      <c r="D918" s="153" t="e">
        <v>#NAME?</v>
      </c>
      <c r="E918" s="153" t="s">
        <v>2126</v>
      </c>
      <c r="F918" s="6"/>
      <c r="G918" s="6"/>
      <c r="H918" s="85">
        <v>0</v>
      </c>
      <c r="I918" s="103">
        <f>IFERROR(VLOOKUP(B918,'July 2026-Recived'!$B$2:$H$1300,7,0),0)</f>
        <v>0</v>
      </c>
      <c r="J918" s="103">
        <f>IFERROR(VLOOKUP(B918,'July 2026- Dispatch'!$B$2:$H$1300,7,0),0)</f>
        <v>0</v>
      </c>
      <c r="K918" s="61">
        <f t="shared" si="14"/>
        <v>0</v>
      </c>
      <c r="L918" s="123">
        <v>0</v>
      </c>
    </row>
    <row r="919" spans="1:12" hidden="1" x14ac:dyDescent="0.25">
      <c r="A919" s="7">
        <v>918</v>
      </c>
      <c r="B919" s="152" t="s">
        <v>4369</v>
      </c>
      <c r="C919" s="153" t="s">
        <v>4370</v>
      </c>
      <c r="D919" s="153" t="e">
        <v>#NAME?</v>
      </c>
      <c r="E919" s="153" t="s">
        <v>2126</v>
      </c>
      <c r="F919" s="6"/>
      <c r="G919" s="6"/>
      <c r="H919" s="85">
        <v>0</v>
      </c>
      <c r="I919" s="103">
        <f>IFERROR(VLOOKUP(B919,'July 2026-Recived'!$B$2:$H$1300,7,0),0)</f>
        <v>0</v>
      </c>
      <c r="J919" s="103">
        <f>IFERROR(VLOOKUP(B919,'July 2026- Dispatch'!$B$2:$H$1300,7,0),0)</f>
        <v>0</v>
      </c>
      <c r="K919" s="61">
        <f t="shared" si="14"/>
        <v>0</v>
      </c>
      <c r="L919" s="123">
        <v>0</v>
      </c>
    </row>
    <row r="920" spans="1:12" hidden="1" x14ac:dyDescent="0.25">
      <c r="A920" s="7">
        <v>919</v>
      </c>
      <c r="B920" s="152" t="s">
        <v>1713</v>
      </c>
      <c r="C920" s="153" t="s">
        <v>4371</v>
      </c>
      <c r="D920" s="153" t="s">
        <v>4372</v>
      </c>
      <c r="E920" s="153" t="s">
        <v>2126</v>
      </c>
      <c r="F920" s="6"/>
      <c r="G920" s="6"/>
      <c r="H920" s="85">
        <v>0</v>
      </c>
      <c r="I920" s="103">
        <f>IFERROR(VLOOKUP(B920,'July 2026-Recived'!$B$2:$H$1300,7,0),0)</f>
        <v>0</v>
      </c>
      <c r="J920" s="103">
        <f>IFERROR(VLOOKUP(B920,'July 2026- Dispatch'!$B$2:$H$1300,7,0),0)</f>
        <v>0</v>
      </c>
      <c r="K920" s="61">
        <f t="shared" si="14"/>
        <v>0</v>
      </c>
      <c r="L920" s="123">
        <v>0</v>
      </c>
    </row>
    <row r="921" spans="1:12" hidden="1" x14ac:dyDescent="0.25">
      <c r="A921" s="7">
        <v>920</v>
      </c>
      <c r="B921" s="152" t="s">
        <v>4373</v>
      </c>
      <c r="C921" s="153" t="s">
        <v>4374</v>
      </c>
      <c r="D921" s="153" t="s">
        <v>4375</v>
      </c>
      <c r="E921" s="153" t="s">
        <v>2126</v>
      </c>
      <c r="F921" s="6"/>
      <c r="G921" s="6"/>
      <c r="H921" s="85">
        <v>0</v>
      </c>
      <c r="I921" s="103">
        <f>IFERROR(VLOOKUP(B921,'July 2026-Recived'!$B$2:$H$1300,7,0),0)</f>
        <v>0</v>
      </c>
      <c r="J921" s="103">
        <f>IFERROR(VLOOKUP(B921,'July 2026- Dispatch'!$B$2:$H$1300,7,0),0)</f>
        <v>0</v>
      </c>
      <c r="K921" s="61">
        <f t="shared" si="14"/>
        <v>0</v>
      </c>
      <c r="L921" s="123">
        <v>0</v>
      </c>
    </row>
    <row r="922" spans="1:12" hidden="1" x14ac:dyDescent="0.25">
      <c r="A922" s="7">
        <v>921</v>
      </c>
      <c r="B922" s="152" t="s">
        <v>4376</v>
      </c>
      <c r="C922" s="153" t="s">
        <v>4377</v>
      </c>
      <c r="D922" s="153" t="s">
        <v>4378</v>
      </c>
      <c r="E922" s="153" t="s">
        <v>2126</v>
      </c>
      <c r="F922" s="6"/>
      <c r="G922" s="6"/>
      <c r="H922" s="85">
        <v>0</v>
      </c>
      <c r="I922" s="103">
        <f>IFERROR(VLOOKUP(B922,'July 2026-Recived'!$B$2:$H$1300,7,0),0)</f>
        <v>0</v>
      </c>
      <c r="J922" s="103">
        <f>IFERROR(VLOOKUP(B922,'July 2026- Dispatch'!$B$2:$H$1300,7,0),0)</f>
        <v>0</v>
      </c>
      <c r="K922" s="61">
        <f t="shared" si="14"/>
        <v>0</v>
      </c>
      <c r="L922" s="123">
        <v>0</v>
      </c>
    </row>
    <row r="923" spans="1:12" hidden="1" x14ac:dyDescent="0.25">
      <c r="A923" s="7">
        <v>922</v>
      </c>
      <c r="B923" s="152" t="s">
        <v>4379</v>
      </c>
      <c r="C923" s="153" t="s">
        <v>4380</v>
      </c>
      <c r="D923" s="153" t="s">
        <v>4381</v>
      </c>
      <c r="E923" s="153" t="s">
        <v>2126</v>
      </c>
      <c r="F923" s="6"/>
      <c r="G923" s="6"/>
      <c r="H923" s="85">
        <v>0</v>
      </c>
      <c r="I923" s="103">
        <f>IFERROR(VLOOKUP(B923,'July 2026-Recived'!$B$2:$H$1300,7,0),0)</f>
        <v>0</v>
      </c>
      <c r="J923" s="103">
        <f>IFERROR(VLOOKUP(B923,'July 2026- Dispatch'!$B$2:$H$1300,7,0),0)</f>
        <v>0</v>
      </c>
      <c r="K923" s="61">
        <f t="shared" si="14"/>
        <v>0</v>
      </c>
      <c r="L923" s="123">
        <v>0</v>
      </c>
    </row>
    <row r="924" spans="1:12" hidden="1" x14ac:dyDescent="0.25">
      <c r="A924" s="7">
        <v>923</v>
      </c>
      <c r="B924" s="152" t="s">
        <v>4382</v>
      </c>
      <c r="C924" s="153" t="s">
        <v>4383</v>
      </c>
      <c r="D924" s="153" t="s">
        <v>4384</v>
      </c>
      <c r="E924" s="153" t="s">
        <v>2126</v>
      </c>
      <c r="F924" s="6"/>
      <c r="G924" s="6"/>
      <c r="H924" s="85">
        <v>0</v>
      </c>
      <c r="I924" s="103">
        <f>IFERROR(VLOOKUP(B924,'July 2026-Recived'!$B$2:$H$1300,7,0),0)</f>
        <v>0</v>
      </c>
      <c r="J924" s="103">
        <f>IFERROR(VLOOKUP(B924,'July 2026- Dispatch'!$B$2:$H$1300,7,0),0)</f>
        <v>0</v>
      </c>
      <c r="K924" s="61">
        <f t="shared" si="14"/>
        <v>0</v>
      </c>
      <c r="L924" s="123">
        <v>0</v>
      </c>
    </row>
    <row r="925" spans="1:12" hidden="1" x14ac:dyDescent="0.25">
      <c r="A925" s="7">
        <v>924</v>
      </c>
      <c r="B925" s="152" t="s">
        <v>4385</v>
      </c>
      <c r="C925" s="153" t="s">
        <v>4386</v>
      </c>
      <c r="D925" s="153" t="s">
        <v>4387</v>
      </c>
      <c r="E925" s="153" t="s">
        <v>2126</v>
      </c>
      <c r="F925" s="6"/>
      <c r="G925" s="6"/>
      <c r="H925" s="85">
        <v>0</v>
      </c>
      <c r="I925" s="103">
        <f>IFERROR(VLOOKUP(B925,'July 2026-Recived'!$B$2:$H$1300,7,0),0)</f>
        <v>0</v>
      </c>
      <c r="J925" s="103">
        <f>IFERROR(VLOOKUP(B925,'July 2026- Dispatch'!$B$2:$H$1300,7,0),0)</f>
        <v>0</v>
      </c>
      <c r="K925" s="61">
        <f t="shared" si="14"/>
        <v>0</v>
      </c>
      <c r="L925" s="123">
        <v>0</v>
      </c>
    </row>
    <row r="926" spans="1:12" hidden="1" x14ac:dyDescent="0.25">
      <c r="A926" s="7">
        <v>925</v>
      </c>
      <c r="B926" s="152" t="s">
        <v>4388</v>
      </c>
      <c r="C926" s="153" t="s">
        <v>4389</v>
      </c>
      <c r="D926" s="153" t="s">
        <v>4390</v>
      </c>
      <c r="E926" s="153" t="s">
        <v>2126</v>
      </c>
      <c r="F926" s="6"/>
      <c r="G926" s="6"/>
      <c r="H926" s="85">
        <v>0</v>
      </c>
      <c r="I926" s="103">
        <f>IFERROR(VLOOKUP(B926,'July 2026-Recived'!$B$2:$H$1300,7,0),0)</f>
        <v>0</v>
      </c>
      <c r="J926" s="103">
        <f>IFERROR(VLOOKUP(B926,'July 2026- Dispatch'!$B$2:$H$1300,7,0),0)</f>
        <v>0</v>
      </c>
      <c r="K926" s="61">
        <f t="shared" si="14"/>
        <v>0</v>
      </c>
      <c r="L926" s="123">
        <v>0</v>
      </c>
    </row>
    <row r="927" spans="1:12" hidden="1" x14ac:dyDescent="0.25">
      <c r="A927" s="7">
        <v>926</v>
      </c>
      <c r="B927" s="152" t="s">
        <v>4391</v>
      </c>
      <c r="C927" s="153" t="s">
        <v>4392</v>
      </c>
      <c r="D927" s="153" t="s">
        <v>4393</v>
      </c>
      <c r="E927" s="153" t="s">
        <v>2126</v>
      </c>
      <c r="F927" s="6"/>
      <c r="G927" s="6"/>
      <c r="H927" s="85">
        <v>0</v>
      </c>
      <c r="I927" s="103">
        <f>IFERROR(VLOOKUP(B927,'July 2026-Recived'!$B$2:$H$1300,7,0),0)</f>
        <v>0</v>
      </c>
      <c r="J927" s="103">
        <f>IFERROR(VLOOKUP(B927,'July 2026- Dispatch'!$B$2:$H$1300,7,0),0)</f>
        <v>0</v>
      </c>
      <c r="K927" s="61">
        <f t="shared" si="14"/>
        <v>0</v>
      </c>
      <c r="L927" s="123">
        <v>0</v>
      </c>
    </row>
    <row r="928" spans="1:12" hidden="1" x14ac:dyDescent="0.25">
      <c r="A928" s="7">
        <v>927</v>
      </c>
      <c r="B928" s="152" t="s">
        <v>4394</v>
      </c>
      <c r="C928" s="153" t="s">
        <v>4395</v>
      </c>
      <c r="D928" s="153" t="s">
        <v>4396</v>
      </c>
      <c r="E928" s="153" t="s">
        <v>2126</v>
      </c>
      <c r="F928" s="6"/>
      <c r="G928" s="6"/>
      <c r="H928" s="85">
        <v>0</v>
      </c>
      <c r="I928" s="103">
        <f>IFERROR(VLOOKUP(B928,'July 2026-Recived'!$B$2:$H$1300,7,0),0)</f>
        <v>0</v>
      </c>
      <c r="J928" s="103">
        <f>IFERROR(VLOOKUP(B928,'July 2026- Dispatch'!$B$2:$H$1300,7,0),0)</f>
        <v>0</v>
      </c>
      <c r="K928" s="61">
        <f t="shared" si="14"/>
        <v>0</v>
      </c>
      <c r="L928" s="123">
        <v>0</v>
      </c>
    </row>
    <row r="929" spans="1:12" hidden="1" x14ac:dyDescent="0.25">
      <c r="A929" s="7">
        <v>928</v>
      </c>
      <c r="B929" s="152" t="s">
        <v>4397</v>
      </c>
      <c r="C929" s="153" t="s">
        <v>4398</v>
      </c>
      <c r="D929" s="153" t="s">
        <v>4399</v>
      </c>
      <c r="E929" s="153" t="s">
        <v>2126</v>
      </c>
      <c r="F929" s="6"/>
      <c r="G929" s="6"/>
      <c r="H929" s="85">
        <v>0</v>
      </c>
      <c r="I929" s="103">
        <f>IFERROR(VLOOKUP(B929,'July 2026-Recived'!$B$2:$H$1300,7,0),0)</f>
        <v>0</v>
      </c>
      <c r="J929" s="103">
        <f>IFERROR(VLOOKUP(B929,'July 2026- Dispatch'!$B$2:$H$1300,7,0),0)</f>
        <v>0</v>
      </c>
      <c r="K929" s="61">
        <f t="shared" si="14"/>
        <v>0</v>
      </c>
      <c r="L929" s="123">
        <v>0</v>
      </c>
    </row>
    <row r="930" spans="1:12" hidden="1" x14ac:dyDescent="0.25">
      <c r="A930" s="7">
        <v>929</v>
      </c>
      <c r="B930" s="152" t="s">
        <v>4400</v>
      </c>
      <c r="C930" s="153" t="s">
        <v>4401</v>
      </c>
      <c r="D930" s="153" t="s">
        <v>4402</v>
      </c>
      <c r="E930" s="153" t="s">
        <v>2126</v>
      </c>
      <c r="F930" s="6"/>
      <c r="G930" s="6"/>
      <c r="H930" s="85">
        <v>0</v>
      </c>
      <c r="I930" s="103">
        <f>IFERROR(VLOOKUP(B930,'July 2026-Recived'!$B$2:$H$1300,7,0),0)</f>
        <v>0</v>
      </c>
      <c r="J930" s="103">
        <f>IFERROR(VLOOKUP(B930,'July 2026- Dispatch'!$B$2:$H$1300,7,0),0)</f>
        <v>0</v>
      </c>
      <c r="K930" s="61">
        <f t="shared" si="14"/>
        <v>0</v>
      </c>
      <c r="L930" s="123">
        <v>0</v>
      </c>
    </row>
    <row r="931" spans="1:12" hidden="1" x14ac:dyDescent="0.25">
      <c r="A931" s="7">
        <v>930</v>
      </c>
      <c r="B931" s="152" t="s">
        <v>1956</v>
      </c>
      <c r="C931" s="153" t="s">
        <v>4403</v>
      </c>
      <c r="D931" s="153" t="s">
        <v>4404</v>
      </c>
      <c r="E931" s="153" t="s">
        <v>2126</v>
      </c>
      <c r="F931" s="6"/>
      <c r="G931" s="6"/>
      <c r="H931" s="85">
        <v>0</v>
      </c>
      <c r="I931" s="103">
        <f>IFERROR(VLOOKUP(B931,'July 2026-Recived'!$B$2:$H$1300,7,0),0)</f>
        <v>0</v>
      </c>
      <c r="J931" s="103">
        <f>IFERROR(VLOOKUP(B931,'July 2026- Dispatch'!$B$2:$H$1300,7,0),0)</f>
        <v>0</v>
      </c>
      <c r="K931" s="61">
        <f t="shared" si="14"/>
        <v>0</v>
      </c>
      <c r="L931" s="123">
        <v>0</v>
      </c>
    </row>
    <row r="932" spans="1:12" hidden="1" x14ac:dyDescent="0.25">
      <c r="A932" s="7">
        <v>931</v>
      </c>
      <c r="B932" s="152" t="s">
        <v>4405</v>
      </c>
      <c r="C932" s="153" t="s">
        <v>4406</v>
      </c>
      <c r="D932" s="153" t="s">
        <v>4407</v>
      </c>
      <c r="E932" s="153" t="s">
        <v>2126</v>
      </c>
      <c r="F932" s="6"/>
      <c r="G932" s="6"/>
      <c r="H932" s="85">
        <v>0</v>
      </c>
      <c r="I932" s="103">
        <f>IFERROR(VLOOKUP(B932,'July 2026-Recived'!$B$2:$H$1300,7,0),0)</f>
        <v>0</v>
      </c>
      <c r="J932" s="103">
        <f>IFERROR(VLOOKUP(B932,'July 2026- Dispatch'!$B$2:$H$1300,7,0),0)</f>
        <v>0</v>
      </c>
      <c r="K932" s="61">
        <f t="shared" si="14"/>
        <v>0</v>
      </c>
      <c r="L932" s="123">
        <v>0</v>
      </c>
    </row>
    <row r="933" spans="1:12" hidden="1" x14ac:dyDescent="0.25">
      <c r="A933" s="7">
        <v>932</v>
      </c>
      <c r="B933" s="152" t="s">
        <v>4408</v>
      </c>
      <c r="C933" s="153" t="s">
        <v>4409</v>
      </c>
      <c r="D933" s="153" t="e">
        <v>#NAME?</v>
      </c>
      <c r="E933" s="153" t="s">
        <v>2126</v>
      </c>
      <c r="F933" s="6"/>
      <c r="G933" s="6"/>
      <c r="H933" s="85">
        <v>0</v>
      </c>
      <c r="I933" s="103">
        <f>IFERROR(VLOOKUP(B933,'July 2026-Recived'!$B$2:$H$1300,7,0),0)</f>
        <v>0</v>
      </c>
      <c r="J933" s="103">
        <f>IFERROR(VLOOKUP(B933,'July 2026- Dispatch'!$B$2:$H$1300,7,0),0)</f>
        <v>0</v>
      </c>
      <c r="K933" s="61">
        <f t="shared" si="14"/>
        <v>0</v>
      </c>
      <c r="L933" s="123">
        <v>0</v>
      </c>
    </row>
    <row r="934" spans="1:12" hidden="1" x14ac:dyDescent="0.25">
      <c r="A934" s="7">
        <v>933</v>
      </c>
      <c r="B934" s="152" t="s">
        <v>1722</v>
      </c>
      <c r="C934" s="153" t="s">
        <v>4410</v>
      </c>
      <c r="D934" s="153" t="s">
        <v>4411</v>
      </c>
      <c r="E934" s="153" t="s">
        <v>2126</v>
      </c>
      <c r="F934" s="6"/>
      <c r="G934" s="6"/>
      <c r="H934" s="85">
        <v>0</v>
      </c>
      <c r="I934" s="103">
        <f>IFERROR(VLOOKUP(B934,'July 2026-Recived'!$B$2:$H$1300,7,0),0)</f>
        <v>0</v>
      </c>
      <c r="J934" s="103">
        <f>IFERROR(VLOOKUP(B934,'July 2026- Dispatch'!$B$2:$H$1300,7,0),0)</f>
        <v>0</v>
      </c>
      <c r="K934" s="61">
        <f t="shared" si="14"/>
        <v>0</v>
      </c>
      <c r="L934" s="123">
        <v>0</v>
      </c>
    </row>
    <row r="935" spans="1:12" hidden="1" x14ac:dyDescent="0.25">
      <c r="A935" s="7">
        <v>934</v>
      </c>
      <c r="B935" s="152" t="s">
        <v>1443</v>
      </c>
      <c r="C935" s="153" t="s">
        <v>4412</v>
      </c>
      <c r="D935" s="153" t="s">
        <v>4413</v>
      </c>
      <c r="E935" s="153" t="s">
        <v>64</v>
      </c>
      <c r="F935" s="6"/>
      <c r="G935" s="6"/>
      <c r="H935" s="85">
        <v>759</v>
      </c>
      <c r="I935" s="103">
        <f>IFERROR(VLOOKUP(B935,'July 2026-Recived'!$B$2:$H$1300,7,0),0)</f>
        <v>0</v>
      </c>
      <c r="J935" s="103">
        <f>IFERROR(VLOOKUP(B935,'July 2026- Dispatch'!$B$2:$H$1300,7,0),0)</f>
        <v>0</v>
      </c>
      <c r="K935" s="61">
        <f t="shared" si="14"/>
        <v>759</v>
      </c>
      <c r="L935" s="123">
        <v>0</v>
      </c>
    </row>
    <row r="936" spans="1:12" hidden="1" x14ac:dyDescent="0.25">
      <c r="A936" s="7">
        <v>935</v>
      </c>
      <c r="B936" s="152" t="s">
        <v>700</v>
      </c>
      <c r="C936" s="153" t="s">
        <v>4414</v>
      </c>
      <c r="D936" s="153" t="s">
        <v>4415</v>
      </c>
      <c r="E936" s="153" t="s">
        <v>2126</v>
      </c>
      <c r="F936" s="6"/>
      <c r="G936" s="6"/>
      <c r="H936" s="85">
        <v>0</v>
      </c>
      <c r="I936" s="103">
        <f>IFERROR(VLOOKUP(B936,'July 2026-Recived'!$B$2:$H$1300,7,0),0)</f>
        <v>0</v>
      </c>
      <c r="J936" s="103">
        <f>IFERROR(VLOOKUP(B936,'July 2026- Dispatch'!$B$2:$H$1300,7,0),0)</f>
        <v>0</v>
      </c>
      <c r="K936" s="61">
        <f t="shared" si="14"/>
        <v>0</v>
      </c>
      <c r="L936" s="123">
        <v>0</v>
      </c>
    </row>
    <row r="937" spans="1:12" hidden="1" x14ac:dyDescent="0.25">
      <c r="A937" s="7">
        <v>936</v>
      </c>
      <c r="B937" s="152" t="s">
        <v>4416</v>
      </c>
      <c r="C937" s="153" t="s">
        <v>4417</v>
      </c>
      <c r="D937" s="153" t="s">
        <v>4418</v>
      </c>
      <c r="E937" s="153" t="s">
        <v>2126</v>
      </c>
      <c r="F937" s="6"/>
      <c r="G937" s="6"/>
      <c r="H937" s="85">
        <v>0</v>
      </c>
      <c r="I937" s="103">
        <f>IFERROR(VLOOKUP(B937,'July 2026-Recived'!$B$2:$H$1300,7,0),0)</f>
        <v>0</v>
      </c>
      <c r="J937" s="103">
        <f>IFERROR(VLOOKUP(B937,'July 2026- Dispatch'!$B$2:$H$1300,7,0),0)</f>
        <v>0</v>
      </c>
      <c r="K937" s="61">
        <f t="shared" si="14"/>
        <v>0</v>
      </c>
      <c r="L937" s="123">
        <v>0</v>
      </c>
    </row>
    <row r="938" spans="1:12" hidden="1" x14ac:dyDescent="0.25">
      <c r="A938" s="7">
        <v>937</v>
      </c>
      <c r="B938" s="152" t="s">
        <v>390</v>
      </c>
      <c r="C938" s="153" t="s">
        <v>4419</v>
      </c>
      <c r="D938" s="153" t="s">
        <v>4420</v>
      </c>
      <c r="E938" s="153" t="s">
        <v>2126</v>
      </c>
      <c r="F938" s="6"/>
      <c r="G938" s="6"/>
      <c r="H938" s="85">
        <v>0</v>
      </c>
      <c r="I938" s="103">
        <f>IFERROR(VLOOKUP(B938,'July 2026-Recived'!$B$2:$H$1300,7,0),0)</f>
        <v>0</v>
      </c>
      <c r="J938" s="103">
        <f>IFERROR(VLOOKUP(B938,'July 2026- Dispatch'!$B$2:$H$1300,7,0),0)</f>
        <v>0</v>
      </c>
      <c r="K938" s="61">
        <f t="shared" si="14"/>
        <v>0</v>
      </c>
      <c r="L938" s="123">
        <v>0</v>
      </c>
    </row>
    <row r="939" spans="1:12" ht="17.25" hidden="1" customHeight="1" x14ac:dyDescent="0.25">
      <c r="A939" s="7">
        <v>938</v>
      </c>
      <c r="B939" s="152" t="s">
        <v>4421</v>
      </c>
      <c r="C939" s="153" t="s">
        <v>4422</v>
      </c>
      <c r="D939" s="153" t="s">
        <v>4423</v>
      </c>
      <c r="E939" s="153" t="s">
        <v>64</v>
      </c>
      <c r="F939" s="6"/>
      <c r="G939" s="6"/>
      <c r="H939" s="85">
        <v>2040</v>
      </c>
      <c r="I939" s="103">
        <f>IFERROR(VLOOKUP(B939,'July 2026-Recived'!$B$2:$H$1300,7,0),0)</f>
        <v>0</v>
      </c>
      <c r="J939" s="103">
        <f>IFERROR(VLOOKUP(B939,'July 2026- Dispatch'!$B$2:$H$1300,7,0),0)</f>
        <v>260</v>
      </c>
      <c r="K939" s="61">
        <f t="shared" si="14"/>
        <v>1780</v>
      </c>
      <c r="L939" s="123">
        <v>0</v>
      </c>
    </row>
    <row r="940" spans="1:12" hidden="1" x14ac:dyDescent="0.25">
      <c r="A940" s="7">
        <v>939</v>
      </c>
      <c r="B940" s="152" t="s">
        <v>499</v>
      </c>
      <c r="C940" s="153" t="s">
        <v>4424</v>
      </c>
      <c r="D940" s="153" t="s">
        <v>4425</v>
      </c>
      <c r="E940" s="153" t="s">
        <v>2126</v>
      </c>
      <c r="F940" s="6"/>
      <c r="G940" s="6"/>
      <c r="H940" s="85">
        <v>0</v>
      </c>
      <c r="I940" s="103">
        <f>IFERROR(VLOOKUP(B940,'July 2026-Recived'!$B$2:$H$1300,7,0),0)</f>
        <v>0</v>
      </c>
      <c r="J940" s="103">
        <f>IFERROR(VLOOKUP(B940,'July 2026- Dispatch'!$B$2:$H$1300,7,0),0)</f>
        <v>0</v>
      </c>
      <c r="K940" s="61">
        <f t="shared" si="14"/>
        <v>0</v>
      </c>
      <c r="L940" s="123">
        <v>0</v>
      </c>
    </row>
    <row r="941" spans="1:12" hidden="1" x14ac:dyDescent="0.25">
      <c r="A941" s="7">
        <v>940</v>
      </c>
      <c r="B941" s="152" t="s">
        <v>51</v>
      </c>
      <c r="C941" s="153" t="s">
        <v>4426</v>
      </c>
      <c r="D941" s="153" t="s">
        <v>4427</v>
      </c>
      <c r="E941" s="153" t="s">
        <v>64</v>
      </c>
      <c r="F941" s="6"/>
      <c r="G941" s="6"/>
      <c r="H941" s="85">
        <v>613.35</v>
      </c>
      <c r="I941" s="103">
        <f>IFERROR(VLOOKUP(B941,'July 2026-Recived'!$B$2:$H$1300,7,0),0)</f>
        <v>0</v>
      </c>
      <c r="J941" s="103">
        <f>IFERROR(VLOOKUP(B941,'July 2026- Dispatch'!$B$2:$H$1300,7,0),0)</f>
        <v>0</v>
      </c>
      <c r="K941" s="61">
        <f t="shared" si="14"/>
        <v>613.35</v>
      </c>
      <c r="L941" s="123">
        <v>0</v>
      </c>
    </row>
    <row r="942" spans="1:12" hidden="1" x14ac:dyDescent="0.25">
      <c r="A942" s="7">
        <v>941</v>
      </c>
      <c r="B942" s="152" t="s">
        <v>1094</v>
      </c>
      <c r="C942" s="153" t="s">
        <v>4428</v>
      </c>
      <c r="D942" s="153" t="s">
        <v>4429</v>
      </c>
      <c r="E942" s="153" t="s">
        <v>64</v>
      </c>
      <c r="F942" s="6"/>
      <c r="G942" s="6"/>
      <c r="H942" s="85">
        <v>5</v>
      </c>
      <c r="I942" s="103">
        <f>IFERROR(VLOOKUP(B942,'July 2026-Recived'!$B$2:$H$1300,7,0),0)</f>
        <v>20</v>
      </c>
      <c r="J942" s="103">
        <f>IFERROR(VLOOKUP(B942,'July 2026- Dispatch'!$B$2:$H$1300,7,0),0)</f>
        <v>0</v>
      </c>
      <c r="K942" s="61">
        <f t="shared" si="14"/>
        <v>25</v>
      </c>
      <c r="L942" s="123">
        <v>0</v>
      </c>
    </row>
    <row r="943" spans="1:12" hidden="1" x14ac:dyDescent="0.25">
      <c r="A943" s="7">
        <v>942</v>
      </c>
      <c r="B943" s="152" t="s">
        <v>1432</v>
      </c>
      <c r="C943" s="153" t="s">
        <v>4430</v>
      </c>
      <c r="D943" s="153" t="s">
        <v>4431</v>
      </c>
      <c r="E943" s="153" t="s">
        <v>2126</v>
      </c>
      <c r="F943" s="6"/>
      <c r="G943" s="6"/>
      <c r="H943" s="85">
        <v>0</v>
      </c>
      <c r="I943" s="103">
        <f>IFERROR(VLOOKUP(B943,'July 2026-Recived'!$B$2:$H$1300,7,0),0)</f>
        <v>0</v>
      </c>
      <c r="J943" s="103">
        <f>IFERROR(VLOOKUP(B943,'July 2026- Dispatch'!$B$2:$H$1300,7,0),0)</f>
        <v>0</v>
      </c>
      <c r="K943" s="61">
        <f t="shared" si="14"/>
        <v>0</v>
      </c>
      <c r="L943" s="123">
        <v>0</v>
      </c>
    </row>
    <row r="944" spans="1:12" hidden="1" x14ac:dyDescent="0.25">
      <c r="A944" s="7">
        <v>943</v>
      </c>
      <c r="B944" s="152" t="s">
        <v>4432</v>
      </c>
      <c r="C944" s="153" t="s">
        <v>4433</v>
      </c>
      <c r="D944" s="153" t="s">
        <v>4434</v>
      </c>
      <c r="E944" s="153" t="s">
        <v>2126</v>
      </c>
      <c r="F944" s="6"/>
      <c r="G944" s="6"/>
      <c r="H944" s="85">
        <v>0</v>
      </c>
      <c r="I944" s="103">
        <f>IFERROR(VLOOKUP(B944,'July 2026-Recived'!$B$2:$H$1300,7,0),0)</f>
        <v>0</v>
      </c>
      <c r="J944" s="103">
        <f>IFERROR(VLOOKUP(B944,'July 2026- Dispatch'!$B$2:$H$1300,7,0),0)</f>
        <v>0</v>
      </c>
      <c r="K944" s="61">
        <f t="shared" si="14"/>
        <v>0</v>
      </c>
      <c r="L944" s="123">
        <v>0</v>
      </c>
    </row>
    <row r="945" spans="1:12" hidden="1" x14ac:dyDescent="0.25">
      <c r="A945" s="7">
        <v>944</v>
      </c>
      <c r="B945" s="152" t="s">
        <v>68</v>
      </c>
      <c r="C945" s="153" t="s">
        <v>4435</v>
      </c>
      <c r="D945" s="153" t="s">
        <v>4436</v>
      </c>
      <c r="E945" s="153" t="s">
        <v>64</v>
      </c>
      <c r="F945" s="6"/>
      <c r="G945" s="6"/>
      <c r="H945" s="85">
        <v>800</v>
      </c>
      <c r="I945" s="103">
        <f>IFERROR(VLOOKUP(B945,'July 2026-Recived'!$B$2:$H$1300,7,0),0)</f>
        <v>0</v>
      </c>
      <c r="J945" s="103">
        <f>IFERROR(VLOOKUP(B945,'July 2026- Dispatch'!$B$2:$H$1300,7,0),0)</f>
        <v>0</v>
      </c>
      <c r="K945" s="61">
        <f t="shared" si="14"/>
        <v>800</v>
      </c>
      <c r="L945" s="123">
        <v>0</v>
      </c>
    </row>
    <row r="946" spans="1:12" hidden="1" x14ac:dyDescent="0.25">
      <c r="A946" s="7">
        <v>945</v>
      </c>
      <c r="B946" s="152" t="s">
        <v>749</v>
      </c>
      <c r="C946" s="153" t="s">
        <v>4437</v>
      </c>
      <c r="D946" s="153" t="s">
        <v>4438</v>
      </c>
      <c r="E946" s="153" t="s">
        <v>64</v>
      </c>
      <c r="F946" s="6"/>
      <c r="G946" s="6"/>
      <c r="H946" s="85">
        <v>140</v>
      </c>
      <c r="I946" s="103">
        <f>IFERROR(VLOOKUP(B946,'July 2026-Recived'!$B$2:$H$1300,7,0),0)</f>
        <v>0</v>
      </c>
      <c r="J946" s="103">
        <f>IFERROR(VLOOKUP(B946,'July 2026- Dispatch'!$B$2:$H$1300,7,0),0)</f>
        <v>0</v>
      </c>
      <c r="K946" s="61">
        <f t="shared" si="14"/>
        <v>140</v>
      </c>
      <c r="L946" s="123">
        <v>0</v>
      </c>
    </row>
    <row r="947" spans="1:12" hidden="1" x14ac:dyDescent="0.25">
      <c r="A947" s="7">
        <v>946</v>
      </c>
      <c r="B947" s="152" t="s">
        <v>4439</v>
      </c>
      <c r="C947" s="153" t="s">
        <v>4440</v>
      </c>
      <c r="D947" s="153" t="s">
        <v>4441</v>
      </c>
      <c r="E947" s="153" t="s">
        <v>2126</v>
      </c>
      <c r="F947" s="6"/>
      <c r="G947" s="6"/>
      <c r="H947" s="85">
        <v>0</v>
      </c>
      <c r="I947" s="103">
        <f>IFERROR(VLOOKUP(B947,'July 2026-Recived'!$B$2:$H$1300,7,0),0)</f>
        <v>0</v>
      </c>
      <c r="J947" s="103">
        <f>IFERROR(VLOOKUP(B947,'July 2026- Dispatch'!$B$2:$H$1300,7,0),0)</f>
        <v>0</v>
      </c>
      <c r="K947" s="61">
        <f t="shared" si="14"/>
        <v>0</v>
      </c>
      <c r="L947" s="123">
        <v>0</v>
      </c>
    </row>
    <row r="948" spans="1:12" hidden="1" x14ac:dyDescent="0.25">
      <c r="A948" s="7">
        <v>947</v>
      </c>
      <c r="B948" s="152" t="s">
        <v>485</v>
      </c>
      <c r="C948" s="153" t="s">
        <v>4442</v>
      </c>
      <c r="D948" s="153" t="s">
        <v>4443</v>
      </c>
      <c r="E948" s="153" t="s">
        <v>64</v>
      </c>
      <c r="F948" s="6"/>
      <c r="G948" s="6"/>
      <c r="H948" s="85">
        <v>30</v>
      </c>
      <c r="I948" s="103">
        <f>IFERROR(VLOOKUP(B948,'July 2026-Recived'!$B$2:$H$1300,7,0),0)</f>
        <v>0</v>
      </c>
      <c r="J948" s="103">
        <f>IFERROR(VLOOKUP(B948,'July 2026- Dispatch'!$B$2:$H$1300,7,0),0)</f>
        <v>0</v>
      </c>
      <c r="K948" s="61">
        <f t="shared" si="14"/>
        <v>30</v>
      </c>
      <c r="L948" s="123">
        <v>0</v>
      </c>
    </row>
    <row r="949" spans="1:12" hidden="1" x14ac:dyDescent="0.25">
      <c r="A949" s="7">
        <v>948</v>
      </c>
      <c r="B949" s="152" t="s">
        <v>114</v>
      </c>
      <c r="C949" s="153" t="s">
        <v>4444</v>
      </c>
      <c r="D949" s="153" t="s">
        <v>4445</v>
      </c>
      <c r="E949" s="153" t="s">
        <v>64</v>
      </c>
      <c r="F949" s="6"/>
      <c r="G949" s="6"/>
      <c r="H949" s="85">
        <v>44</v>
      </c>
      <c r="I949" s="103">
        <f>IFERROR(VLOOKUP(B949,'July 2026-Recived'!$B$2:$H$1300,7,0),0)</f>
        <v>0</v>
      </c>
      <c r="J949" s="103">
        <f>IFERROR(VLOOKUP(B949,'July 2026- Dispatch'!$B$2:$H$1300,7,0),0)</f>
        <v>0</v>
      </c>
      <c r="K949" s="61">
        <f t="shared" si="14"/>
        <v>44</v>
      </c>
      <c r="L949" s="123">
        <v>0</v>
      </c>
    </row>
    <row r="950" spans="1:12" hidden="1" x14ac:dyDescent="0.25">
      <c r="A950" s="7">
        <v>949</v>
      </c>
      <c r="B950" s="152" t="s">
        <v>4446</v>
      </c>
      <c r="C950" s="153" t="s">
        <v>4447</v>
      </c>
      <c r="D950" s="153" t="s">
        <v>4448</v>
      </c>
      <c r="E950" s="153" t="s">
        <v>2126</v>
      </c>
      <c r="F950" s="6"/>
      <c r="G950" s="6"/>
      <c r="H950" s="85">
        <v>0</v>
      </c>
      <c r="I950" s="103">
        <f>IFERROR(VLOOKUP(B950,'July 2026-Recived'!$B$2:$H$1300,7,0),0)</f>
        <v>0</v>
      </c>
      <c r="J950" s="103">
        <f>IFERROR(VLOOKUP(B950,'July 2026- Dispatch'!$B$2:$H$1300,7,0),0)</f>
        <v>0</v>
      </c>
      <c r="K950" s="61">
        <f t="shared" si="14"/>
        <v>0</v>
      </c>
      <c r="L950" s="123">
        <v>0</v>
      </c>
    </row>
    <row r="951" spans="1:12" hidden="1" x14ac:dyDescent="0.25">
      <c r="A951" s="7">
        <v>950</v>
      </c>
      <c r="B951" s="152" t="s">
        <v>131</v>
      </c>
      <c r="C951" s="153" t="s">
        <v>4449</v>
      </c>
      <c r="D951" s="153" t="s">
        <v>4450</v>
      </c>
      <c r="E951" s="153" t="s">
        <v>64</v>
      </c>
      <c r="F951" s="6"/>
      <c r="G951" s="6"/>
      <c r="H951" s="85">
        <v>70</v>
      </c>
      <c r="I951" s="103">
        <f>IFERROR(VLOOKUP(B951,'July 2026-Recived'!$B$2:$H$1300,7,0),0)</f>
        <v>1000</v>
      </c>
      <c r="J951" s="103">
        <f>IFERROR(VLOOKUP(B951,'July 2026- Dispatch'!$B$2:$H$1300,7,0),0)</f>
        <v>0</v>
      </c>
      <c r="K951" s="61">
        <f t="shared" si="14"/>
        <v>1070</v>
      </c>
      <c r="L951" s="123">
        <v>0</v>
      </c>
    </row>
    <row r="952" spans="1:12" hidden="1" x14ac:dyDescent="0.25">
      <c r="A952" s="7">
        <v>951</v>
      </c>
      <c r="B952" s="152" t="s">
        <v>483</v>
      </c>
      <c r="C952" s="153" t="s">
        <v>4451</v>
      </c>
      <c r="D952" s="153" t="s">
        <v>4452</v>
      </c>
      <c r="E952" s="153" t="s">
        <v>2126</v>
      </c>
      <c r="F952" s="6"/>
      <c r="G952" s="6"/>
      <c r="H952" s="85">
        <v>0</v>
      </c>
      <c r="I952" s="103">
        <f>IFERROR(VLOOKUP(B952,'July 2026-Recived'!$B$2:$H$1300,7,0),0)</f>
        <v>10</v>
      </c>
      <c r="J952" s="103">
        <f>IFERROR(VLOOKUP(B952,'July 2026- Dispatch'!$B$2:$H$1300,7,0),0)</f>
        <v>0</v>
      </c>
      <c r="K952" s="61">
        <f t="shared" si="14"/>
        <v>10</v>
      </c>
      <c r="L952" s="123">
        <v>0</v>
      </c>
    </row>
    <row r="953" spans="1:12" hidden="1" x14ac:dyDescent="0.25">
      <c r="A953" s="7">
        <v>952</v>
      </c>
      <c r="B953" s="152" t="s">
        <v>74</v>
      </c>
      <c r="C953" s="153" t="s">
        <v>4453</v>
      </c>
      <c r="D953" s="153" t="s">
        <v>4454</v>
      </c>
      <c r="E953" s="153" t="s">
        <v>64</v>
      </c>
      <c r="F953" s="6"/>
      <c r="G953" s="6"/>
      <c r="H953" s="85">
        <v>260</v>
      </c>
      <c r="I953" s="103">
        <f>IFERROR(VLOOKUP(B953,'July 2026-Recived'!$B$2:$H$1300,7,0),0)</f>
        <v>600</v>
      </c>
      <c r="J953" s="103">
        <f>IFERROR(VLOOKUP(B953,'July 2026- Dispatch'!$B$2:$H$1300,7,0),0)</f>
        <v>20</v>
      </c>
      <c r="K953" s="61">
        <f t="shared" si="14"/>
        <v>840</v>
      </c>
      <c r="L953" s="123">
        <v>0</v>
      </c>
    </row>
    <row r="954" spans="1:12" hidden="1" x14ac:dyDescent="0.25">
      <c r="A954" s="7">
        <v>953</v>
      </c>
      <c r="B954" s="152" t="s">
        <v>1360</v>
      </c>
      <c r="C954" s="153" t="s">
        <v>4455</v>
      </c>
      <c r="D954" s="153" t="s">
        <v>4456</v>
      </c>
      <c r="E954" s="153" t="s">
        <v>2160</v>
      </c>
      <c r="F954" s="6"/>
      <c r="G954" s="6"/>
      <c r="H954" s="85">
        <v>0</v>
      </c>
      <c r="I954" s="103">
        <f>IFERROR(VLOOKUP(B954,'July 2026-Recived'!$B$2:$H$1300,7,0),0)</f>
        <v>0</v>
      </c>
      <c r="J954" s="103">
        <f>IFERROR(VLOOKUP(B954,'July 2026- Dispatch'!$B$2:$H$1300,7,0),0)</f>
        <v>0</v>
      </c>
      <c r="K954" s="61">
        <f t="shared" si="14"/>
        <v>0</v>
      </c>
      <c r="L954" s="123">
        <v>0</v>
      </c>
    </row>
    <row r="955" spans="1:12" hidden="1" x14ac:dyDescent="0.25">
      <c r="A955" s="7">
        <v>954</v>
      </c>
      <c r="B955" s="157" t="s">
        <v>688</v>
      </c>
      <c r="C955" s="158" t="s">
        <v>4457</v>
      </c>
      <c r="D955" s="158" t="s">
        <v>4458</v>
      </c>
      <c r="E955" s="153" t="s">
        <v>2111</v>
      </c>
      <c r="F955" s="6"/>
      <c r="G955" s="6"/>
      <c r="H955" s="85">
        <v>382.8</v>
      </c>
      <c r="I955" s="103">
        <f>IFERROR(VLOOKUP(B955,'July 2026-Recived'!$B$2:$H$1300,7,0),0)</f>
        <v>0</v>
      </c>
      <c r="J955" s="103">
        <f>IFERROR(VLOOKUP(B955,'July 2026- Dispatch'!$B$2:$H$1300,7,0),0)</f>
        <v>208.8</v>
      </c>
      <c r="K955" s="61">
        <f t="shared" si="14"/>
        <v>174</v>
      </c>
      <c r="L955" s="123">
        <v>0</v>
      </c>
    </row>
    <row r="956" spans="1:12" hidden="1" x14ac:dyDescent="0.25">
      <c r="A956" s="7">
        <v>955</v>
      </c>
      <c r="B956" s="152" t="s">
        <v>1533</v>
      </c>
      <c r="C956" s="153" t="s">
        <v>4459</v>
      </c>
      <c r="D956" s="153" t="s">
        <v>4460</v>
      </c>
      <c r="E956" s="153" t="s">
        <v>2111</v>
      </c>
      <c r="F956" s="6"/>
      <c r="G956" s="6"/>
      <c r="H956" s="85">
        <v>54</v>
      </c>
      <c r="I956" s="103">
        <f>IFERROR(VLOOKUP(B956,'July 2026-Recived'!$B$2:$H$1300,7,0),0)</f>
        <v>0</v>
      </c>
      <c r="J956" s="103">
        <f>IFERROR(VLOOKUP(B956,'July 2026- Dispatch'!$B$2:$H$1300,7,0),0)</f>
        <v>0</v>
      </c>
      <c r="K956" s="61">
        <f t="shared" si="14"/>
        <v>54</v>
      </c>
      <c r="L956" s="123">
        <v>0</v>
      </c>
    </row>
    <row r="957" spans="1:12" hidden="1" x14ac:dyDescent="0.25">
      <c r="A957" s="7">
        <v>956</v>
      </c>
      <c r="B957" s="152" t="s">
        <v>111</v>
      </c>
      <c r="C957" s="153" t="s">
        <v>4461</v>
      </c>
      <c r="D957" s="153" t="s">
        <v>4462</v>
      </c>
      <c r="E957" s="153" t="s">
        <v>2111</v>
      </c>
      <c r="F957" s="6"/>
      <c r="G957" s="6"/>
      <c r="H957" s="85">
        <v>1251</v>
      </c>
      <c r="I957" s="103">
        <f>IFERROR(VLOOKUP(B957,'July 2026-Recived'!$B$2:$H$1300,7,0),0)</f>
        <v>1200</v>
      </c>
      <c r="J957" s="103">
        <f>IFERROR(VLOOKUP(B957,'July 2026- Dispatch'!$B$2:$H$1300,7,0),0)</f>
        <v>1050</v>
      </c>
      <c r="K957" s="61">
        <f t="shared" si="14"/>
        <v>1401</v>
      </c>
      <c r="L957" s="123">
        <v>0</v>
      </c>
    </row>
    <row r="958" spans="1:12" hidden="1" x14ac:dyDescent="0.25">
      <c r="A958" s="7">
        <v>957</v>
      </c>
      <c r="B958" s="152" t="s">
        <v>1110</v>
      </c>
      <c r="C958" s="153" t="s">
        <v>4463</v>
      </c>
      <c r="D958" s="153" t="s">
        <v>4464</v>
      </c>
      <c r="E958" s="153" t="s">
        <v>2111</v>
      </c>
      <c r="F958" s="6"/>
      <c r="G958" s="6"/>
      <c r="H958" s="85">
        <v>50</v>
      </c>
      <c r="I958" s="103">
        <f>IFERROR(VLOOKUP(B958,'July 2026-Recived'!$B$2:$H$1300,7,0),0)</f>
        <v>270</v>
      </c>
      <c r="J958" s="103">
        <f>IFERROR(VLOOKUP(B958,'July 2026- Dispatch'!$B$2:$H$1300,7,0),0)</f>
        <v>0</v>
      </c>
      <c r="K958" s="61">
        <f t="shared" si="14"/>
        <v>320</v>
      </c>
      <c r="L958" s="123">
        <v>0</v>
      </c>
    </row>
    <row r="959" spans="1:12" hidden="1" x14ac:dyDescent="0.25">
      <c r="A959" s="7">
        <v>958</v>
      </c>
      <c r="B959" s="152" t="s">
        <v>812</v>
      </c>
      <c r="C959" s="153" t="s">
        <v>4465</v>
      </c>
      <c r="D959" s="153" t="s">
        <v>4466</v>
      </c>
      <c r="E959" s="153" t="s">
        <v>2160</v>
      </c>
      <c r="F959" s="6"/>
      <c r="G959" s="6"/>
      <c r="H959" s="85">
        <v>0</v>
      </c>
      <c r="I959" s="103">
        <f>IFERROR(VLOOKUP(B959,'July 2026-Recived'!$B$2:$H$1300,7,0),0)</f>
        <v>0</v>
      </c>
      <c r="J959" s="103">
        <f>IFERROR(VLOOKUP(B959,'July 2026- Dispatch'!$B$2:$H$1300,7,0),0)</f>
        <v>0</v>
      </c>
      <c r="K959" s="61">
        <f t="shared" si="14"/>
        <v>0</v>
      </c>
      <c r="L959" s="123">
        <v>0</v>
      </c>
    </row>
    <row r="960" spans="1:12" hidden="1" x14ac:dyDescent="0.25">
      <c r="A960" s="7">
        <v>959</v>
      </c>
      <c r="B960" s="152" t="s">
        <v>1416</v>
      </c>
      <c r="C960" s="153" t="s">
        <v>4467</v>
      </c>
      <c r="D960" s="153" t="s">
        <v>4468</v>
      </c>
      <c r="E960" s="153" t="s">
        <v>2126</v>
      </c>
      <c r="F960" s="6"/>
      <c r="G960" s="6"/>
      <c r="H960" s="85">
        <v>0</v>
      </c>
      <c r="I960" s="103">
        <f>IFERROR(VLOOKUP(B960,'July 2026-Recived'!$B$2:$H$1300,7,0),0)</f>
        <v>0</v>
      </c>
      <c r="J960" s="103">
        <f>IFERROR(VLOOKUP(B960,'July 2026- Dispatch'!$B$2:$H$1300,7,0),0)</f>
        <v>0</v>
      </c>
      <c r="K960" s="61">
        <f t="shared" si="14"/>
        <v>0</v>
      </c>
      <c r="L960" s="123">
        <v>0</v>
      </c>
    </row>
    <row r="961" spans="1:12" hidden="1" x14ac:dyDescent="0.25">
      <c r="A961" s="7">
        <v>960</v>
      </c>
      <c r="B961" s="157" t="s">
        <v>992</v>
      </c>
      <c r="C961" s="158" t="s">
        <v>4469</v>
      </c>
      <c r="D961" s="158" t="s">
        <v>4470</v>
      </c>
      <c r="E961" s="153" t="s">
        <v>2126</v>
      </c>
      <c r="F961" s="6"/>
      <c r="G961" s="6"/>
      <c r="H961" s="85">
        <v>0</v>
      </c>
      <c r="I961" s="103">
        <f>IFERROR(VLOOKUP(B961,'July 2026-Recived'!$B$2:$H$1300,7,0),0)</f>
        <v>268.8</v>
      </c>
      <c r="J961" s="103">
        <f>IFERROR(VLOOKUP(B961,'July 2026- Dispatch'!$B$2:$H$1300,7,0),0)</f>
        <v>0</v>
      </c>
      <c r="K961" s="61">
        <f t="shared" si="14"/>
        <v>268.8</v>
      </c>
      <c r="L961" s="123">
        <v>0</v>
      </c>
    </row>
    <row r="962" spans="1:12" hidden="1" x14ac:dyDescent="0.25">
      <c r="A962" s="7">
        <v>961</v>
      </c>
      <c r="B962" s="152" t="s">
        <v>4471</v>
      </c>
      <c r="C962" s="153" t="s">
        <v>4472</v>
      </c>
      <c r="D962" s="153" t="s">
        <v>4473</v>
      </c>
      <c r="E962" s="153" t="s">
        <v>2126</v>
      </c>
      <c r="F962" s="6"/>
      <c r="G962" s="6"/>
      <c r="H962" s="85">
        <v>0</v>
      </c>
      <c r="I962" s="103">
        <f>IFERROR(VLOOKUP(B962,'July 2026-Recived'!$B$2:$H$1300,7,0),0)</f>
        <v>0</v>
      </c>
      <c r="J962" s="103">
        <f>IFERROR(VLOOKUP(B962,'July 2026- Dispatch'!$B$2:$H$1300,7,0),0)</f>
        <v>0</v>
      </c>
      <c r="K962" s="61">
        <f t="shared" ref="K962:K1025" si="15">H962+I962-J962</f>
        <v>0</v>
      </c>
      <c r="L962" s="123">
        <v>0</v>
      </c>
    </row>
    <row r="963" spans="1:12" hidden="1" x14ac:dyDescent="0.25">
      <c r="A963" s="7">
        <v>962</v>
      </c>
      <c r="B963" s="152" t="s">
        <v>1466</v>
      </c>
      <c r="C963" s="153" t="s">
        <v>4474</v>
      </c>
      <c r="D963" s="153" t="s">
        <v>4475</v>
      </c>
      <c r="E963" s="153" t="s">
        <v>64</v>
      </c>
      <c r="F963" s="6"/>
      <c r="G963" s="6"/>
      <c r="H963" s="85">
        <v>89000</v>
      </c>
      <c r="I963" s="103">
        <f>IFERROR(VLOOKUP(B963,'July 2026-Recived'!$B$2:$H$1300,7,0),0)</f>
        <v>0</v>
      </c>
      <c r="J963" s="103">
        <f>IFERROR(VLOOKUP(B963,'July 2026- Dispatch'!$B$2:$H$1300,7,0),0)</f>
        <v>17000</v>
      </c>
      <c r="K963" s="61">
        <f t="shared" si="15"/>
        <v>72000</v>
      </c>
      <c r="L963" s="123">
        <v>0</v>
      </c>
    </row>
    <row r="964" spans="1:12" hidden="1" x14ac:dyDescent="0.25">
      <c r="A964" s="7">
        <v>963</v>
      </c>
      <c r="B964" s="152" t="s">
        <v>1185</v>
      </c>
      <c r="C964" s="153" t="s">
        <v>4476</v>
      </c>
      <c r="D964" s="153" t="s">
        <v>4477</v>
      </c>
      <c r="E964" s="153" t="s">
        <v>64</v>
      </c>
      <c r="F964" s="6"/>
      <c r="G964" s="6"/>
      <c r="H964" s="85">
        <v>1960</v>
      </c>
      <c r="I964" s="103">
        <f>IFERROR(VLOOKUP(B964,'July 2026-Recived'!$B$2:$H$1300,7,0),0)</f>
        <v>0</v>
      </c>
      <c r="J964" s="103">
        <f>IFERROR(VLOOKUP(B964,'July 2026- Dispatch'!$B$2:$H$1300,7,0),0)</f>
        <v>480</v>
      </c>
      <c r="K964" s="61">
        <f t="shared" si="15"/>
        <v>1480</v>
      </c>
      <c r="L964" s="123">
        <v>0</v>
      </c>
    </row>
    <row r="965" spans="1:12" hidden="1" x14ac:dyDescent="0.25">
      <c r="A965" s="7">
        <v>964</v>
      </c>
      <c r="B965" s="152" t="s">
        <v>404</v>
      </c>
      <c r="C965" s="153" t="s">
        <v>4478</v>
      </c>
      <c r="D965" s="153" t="s">
        <v>4479</v>
      </c>
      <c r="E965" s="153" t="s">
        <v>2126</v>
      </c>
      <c r="F965" s="6"/>
      <c r="G965" s="6"/>
      <c r="H965" s="85">
        <v>0</v>
      </c>
      <c r="I965" s="103">
        <f>IFERROR(VLOOKUP(B965,'July 2026-Recived'!$B$2:$H$1300,7,0),0)</f>
        <v>0</v>
      </c>
      <c r="J965" s="103">
        <f>IFERROR(VLOOKUP(B965,'July 2026- Dispatch'!$B$2:$H$1300,7,0),0)</f>
        <v>0</v>
      </c>
      <c r="K965" s="61">
        <f t="shared" si="15"/>
        <v>0</v>
      </c>
      <c r="L965" s="123">
        <v>0</v>
      </c>
    </row>
    <row r="966" spans="1:12" hidden="1" x14ac:dyDescent="0.25">
      <c r="A966" s="7">
        <v>965</v>
      </c>
      <c r="B966" s="152" t="s">
        <v>1021</v>
      </c>
      <c r="C966" s="153" t="s">
        <v>4480</v>
      </c>
      <c r="D966" s="153" t="s">
        <v>4481</v>
      </c>
      <c r="E966" s="153" t="s">
        <v>2083</v>
      </c>
      <c r="F966" s="6"/>
      <c r="G966" s="6"/>
      <c r="H966" s="85">
        <v>0</v>
      </c>
      <c r="I966" s="103">
        <f>IFERROR(VLOOKUP(B966,'July 2026-Recived'!$B$2:$H$1300,7,0),0)</f>
        <v>0</v>
      </c>
      <c r="J966" s="103">
        <f>IFERROR(VLOOKUP(B966,'July 2026- Dispatch'!$B$2:$H$1300,7,0),0)</f>
        <v>0</v>
      </c>
      <c r="K966" s="61">
        <f t="shared" si="15"/>
        <v>0</v>
      </c>
      <c r="L966" s="123">
        <v>0</v>
      </c>
    </row>
    <row r="967" spans="1:12" hidden="1" x14ac:dyDescent="0.25">
      <c r="A967" s="7">
        <v>966</v>
      </c>
      <c r="B967" s="152" t="s">
        <v>1149</v>
      </c>
      <c r="C967" s="153" t="s">
        <v>4482</v>
      </c>
      <c r="D967" s="153" t="s">
        <v>4483</v>
      </c>
      <c r="E967" s="153" t="s">
        <v>64</v>
      </c>
      <c r="F967" s="6"/>
      <c r="G967" s="6"/>
      <c r="H967" s="85">
        <v>2200</v>
      </c>
      <c r="I967" s="103">
        <f>IFERROR(VLOOKUP(B967,'July 2026-Recived'!$B$2:$H$1300,7,0),0)</f>
        <v>0</v>
      </c>
      <c r="J967" s="103">
        <f>IFERROR(VLOOKUP(B967,'July 2026- Dispatch'!$B$2:$H$1300,7,0),0)</f>
        <v>300</v>
      </c>
      <c r="K967" s="61">
        <f t="shared" si="15"/>
        <v>1900</v>
      </c>
      <c r="L967" s="123">
        <v>0</v>
      </c>
    </row>
    <row r="968" spans="1:12" hidden="1" x14ac:dyDescent="0.25">
      <c r="A968" s="7">
        <v>967</v>
      </c>
      <c r="B968" s="152" t="s">
        <v>39</v>
      </c>
      <c r="C968" s="153" t="s">
        <v>4484</v>
      </c>
      <c r="D968" s="153" t="s">
        <v>4485</v>
      </c>
      <c r="E968" s="153" t="s">
        <v>2126</v>
      </c>
      <c r="F968" s="6"/>
      <c r="G968" s="6"/>
      <c r="H968" s="85">
        <v>0</v>
      </c>
      <c r="I968" s="103">
        <f>IFERROR(VLOOKUP(B968,'July 2026-Recived'!$B$2:$H$1300,7,0),0)</f>
        <v>0</v>
      </c>
      <c r="J968" s="103">
        <f>IFERROR(VLOOKUP(B968,'July 2026- Dispatch'!$B$2:$H$1300,7,0),0)</f>
        <v>0</v>
      </c>
      <c r="K968" s="61">
        <f t="shared" si="15"/>
        <v>0</v>
      </c>
      <c r="L968" s="123">
        <v>0</v>
      </c>
    </row>
    <row r="969" spans="1:12" hidden="1" x14ac:dyDescent="0.25">
      <c r="A969" s="7">
        <v>968</v>
      </c>
      <c r="B969" s="152" t="s">
        <v>1998</v>
      </c>
      <c r="C969" s="153" t="s">
        <v>4486</v>
      </c>
      <c r="D969" s="153" t="s">
        <v>4487</v>
      </c>
      <c r="E969" s="153" t="s">
        <v>2086</v>
      </c>
      <c r="F969" s="6"/>
      <c r="G969" s="6"/>
      <c r="H969" s="85">
        <v>156000</v>
      </c>
      <c r="I969" s="103">
        <f>IFERROR(VLOOKUP(B969,'July 2026-Recived'!$B$2:$H$1300,7,0),0)</f>
        <v>0</v>
      </c>
      <c r="J969" s="103">
        <f>IFERROR(VLOOKUP(B969,'July 2026- Dispatch'!$B$2:$H$1300,7,0),0)</f>
        <v>13000</v>
      </c>
      <c r="K969" s="61">
        <f t="shared" si="15"/>
        <v>143000</v>
      </c>
      <c r="L969" s="123">
        <v>0</v>
      </c>
    </row>
    <row r="970" spans="1:12" hidden="1" x14ac:dyDescent="0.25">
      <c r="A970" s="7">
        <v>969</v>
      </c>
      <c r="B970" s="152" t="s">
        <v>1027</v>
      </c>
      <c r="C970" s="153" t="s">
        <v>4488</v>
      </c>
      <c r="D970" s="153" t="s">
        <v>4489</v>
      </c>
      <c r="E970" s="153" t="s">
        <v>2083</v>
      </c>
      <c r="F970" s="6"/>
      <c r="G970" s="6"/>
      <c r="H970" s="85">
        <v>0</v>
      </c>
      <c r="I970" s="103">
        <f>IFERROR(VLOOKUP(B970,'July 2026-Recived'!$B$2:$H$1300,7,0),0)</f>
        <v>0</v>
      </c>
      <c r="J970" s="103">
        <f>IFERROR(VLOOKUP(B970,'July 2026- Dispatch'!$B$2:$H$1300,7,0),0)</f>
        <v>0</v>
      </c>
      <c r="K970" s="61">
        <f t="shared" si="15"/>
        <v>0</v>
      </c>
      <c r="L970" s="123">
        <v>0</v>
      </c>
    </row>
    <row r="971" spans="1:12" hidden="1" x14ac:dyDescent="0.25">
      <c r="A971" s="7">
        <v>970</v>
      </c>
      <c r="B971" s="152" t="s">
        <v>819</v>
      </c>
      <c r="C971" s="153" t="s">
        <v>4490</v>
      </c>
      <c r="D971" s="153" t="s">
        <v>4491</v>
      </c>
      <c r="E971" s="153" t="s">
        <v>2126</v>
      </c>
      <c r="F971" s="6"/>
      <c r="G971" s="6"/>
      <c r="H971" s="85">
        <v>0</v>
      </c>
      <c r="I971" s="103">
        <f>IFERROR(VLOOKUP(B971,'July 2026-Recived'!$B$2:$H$1300,7,0),0)</f>
        <v>9800</v>
      </c>
      <c r="J971" s="103">
        <f>IFERROR(VLOOKUP(B971,'July 2026- Dispatch'!$B$2:$H$1300,7,0),0)</f>
        <v>6000</v>
      </c>
      <c r="K971" s="61">
        <f t="shared" si="15"/>
        <v>3800</v>
      </c>
      <c r="L971" s="123">
        <v>0</v>
      </c>
    </row>
    <row r="972" spans="1:12" hidden="1" x14ac:dyDescent="0.25">
      <c r="A972" s="7">
        <v>971</v>
      </c>
      <c r="B972" s="157" t="s">
        <v>1547</v>
      </c>
      <c r="C972" s="158" t="s">
        <v>4492</v>
      </c>
      <c r="D972" s="158" t="s">
        <v>4493</v>
      </c>
      <c r="E972" s="153" t="s">
        <v>64</v>
      </c>
      <c r="F972" s="6"/>
      <c r="G972" s="6"/>
      <c r="H972" s="85">
        <v>20</v>
      </c>
      <c r="I972" s="103">
        <f>IFERROR(VLOOKUP(B972,'July 2026-Recived'!$B$2:$H$1300,7,0),0)</f>
        <v>0</v>
      </c>
      <c r="J972" s="103">
        <f>IFERROR(VLOOKUP(B972,'July 2026- Dispatch'!$B$2:$H$1300,7,0),0)</f>
        <v>10</v>
      </c>
      <c r="K972" s="61">
        <f t="shared" si="15"/>
        <v>10</v>
      </c>
      <c r="L972" s="123">
        <v>0</v>
      </c>
    </row>
    <row r="973" spans="1:12" hidden="1" x14ac:dyDescent="0.25">
      <c r="A973" s="7">
        <v>972</v>
      </c>
      <c r="B973" s="152" t="s">
        <v>105</v>
      </c>
      <c r="C973" s="153" t="s">
        <v>4494</v>
      </c>
      <c r="D973" s="153" t="s">
        <v>4495</v>
      </c>
      <c r="E973" s="153" t="s">
        <v>2111</v>
      </c>
      <c r="F973" s="6"/>
      <c r="G973" s="6"/>
      <c r="H973" s="85">
        <v>6386</v>
      </c>
      <c r="I973" s="103">
        <f>IFERROR(VLOOKUP(B973,'July 2026-Recived'!$B$2:$H$1300,7,0),0)</f>
        <v>0</v>
      </c>
      <c r="J973" s="103">
        <f>IFERROR(VLOOKUP(B973,'July 2026- Dispatch'!$B$2:$H$1300,7,0),0)</f>
        <v>5884.8</v>
      </c>
      <c r="K973" s="61">
        <f t="shared" si="15"/>
        <v>501.19999999999982</v>
      </c>
      <c r="L973" s="123">
        <v>0</v>
      </c>
    </row>
    <row r="974" spans="1:12" hidden="1" x14ac:dyDescent="0.25">
      <c r="A974" s="7">
        <v>973</v>
      </c>
      <c r="B974" s="152" t="s">
        <v>888</v>
      </c>
      <c r="C974" s="153" t="s">
        <v>4496</v>
      </c>
      <c r="D974" s="153" t="s">
        <v>4497</v>
      </c>
      <c r="E974" s="153" t="s">
        <v>2160</v>
      </c>
      <c r="F974" s="6"/>
      <c r="G974" s="6"/>
      <c r="H974" s="85">
        <v>0</v>
      </c>
      <c r="I974" s="103">
        <f>IFERROR(VLOOKUP(B974,'July 2026-Recived'!$B$2:$H$1300,7,0),0)</f>
        <v>840</v>
      </c>
      <c r="J974" s="103">
        <f>IFERROR(VLOOKUP(B974,'July 2026- Dispatch'!$B$2:$H$1300,7,0),0)</f>
        <v>0</v>
      </c>
      <c r="K974" s="61">
        <f t="shared" si="15"/>
        <v>840</v>
      </c>
      <c r="L974" s="123">
        <v>0</v>
      </c>
    </row>
    <row r="975" spans="1:12" hidden="1" x14ac:dyDescent="0.25">
      <c r="A975" s="7">
        <v>974</v>
      </c>
      <c r="B975" s="152" t="s">
        <v>387</v>
      </c>
      <c r="C975" s="153" t="s">
        <v>4498</v>
      </c>
      <c r="D975" s="153" t="s">
        <v>4499</v>
      </c>
      <c r="E975" s="153" t="s">
        <v>2160</v>
      </c>
      <c r="F975" s="6"/>
      <c r="G975" s="6"/>
      <c r="H975" s="85">
        <v>0</v>
      </c>
      <c r="I975" s="103">
        <f>IFERROR(VLOOKUP(B975,'July 2026-Recived'!$B$2:$H$1300,7,0),0)</f>
        <v>0</v>
      </c>
      <c r="J975" s="103">
        <f>IFERROR(VLOOKUP(B975,'July 2026- Dispatch'!$B$2:$H$1300,7,0),0)</f>
        <v>0</v>
      </c>
      <c r="K975" s="61">
        <f t="shared" si="15"/>
        <v>0</v>
      </c>
      <c r="L975" s="123">
        <v>0</v>
      </c>
    </row>
    <row r="976" spans="1:12" hidden="1" x14ac:dyDescent="0.25">
      <c r="A976" s="7">
        <v>975</v>
      </c>
      <c r="B976" s="152" t="s">
        <v>1378</v>
      </c>
      <c r="C976" s="153" t="s">
        <v>4500</v>
      </c>
      <c r="D976" s="153" t="s">
        <v>4501</v>
      </c>
      <c r="E976" s="153" t="s">
        <v>2160</v>
      </c>
      <c r="F976" s="6"/>
      <c r="G976" s="6"/>
      <c r="H976" s="85">
        <v>0</v>
      </c>
      <c r="I976" s="103">
        <f>IFERROR(VLOOKUP(B976,'July 2026-Recived'!$B$2:$H$1300,7,0),0)</f>
        <v>135</v>
      </c>
      <c r="J976" s="103">
        <f>IFERROR(VLOOKUP(B976,'July 2026- Dispatch'!$B$2:$H$1300,7,0),0)</f>
        <v>6</v>
      </c>
      <c r="K976" s="61">
        <f t="shared" si="15"/>
        <v>129</v>
      </c>
      <c r="L976" s="123">
        <v>0</v>
      </c>
    </row>
    <row r="977" spans="1:13" hidden="1" x14ac:dyDescent="0.25">
      <c r="A977" s="7">
        <v>976</v>
      </c>
      <c r="B977" s="152" t="s">
        <v>874</v>
      </c>
      <c r="C977" s="153" t="s">
        <v>4502</v>
      </c>
      <c r="D977" s="153" t="s">
        <v>4503</v>
      </c>
      <c r="E977" s="153" t="s">
        <v>2111</v>
      </c>
      <c r="F977" s="6"/>
      <c r="G977" s="6"/>
      <c r="H977" s="85">
        <v>244</v>
      </c>
      <c r="I977" s="103">
        <f>IFERROR(VLOOKUP(B977,'July 2026-Recived'!$B$2:$H$1300,7,0),0)</f>
        <v>0</v>
      </c>
      <c r="J977" s="103">
        <f>IFERROR(VLOOKUP(B977,'July 2026- Dispatch'!$B$2:$H$1300,7,0),0)</f>
        <v>140</v>
      </c>
      <c r="K977" s="61">
        <f t="shared" si="15"/>
        <v>104</v>
      </c>
      <c r="L977" s="123">
        <v>0</v>
      </c>
    </row>
    <row r="978" spans="1:13" hidden="1" x14ac:dyDescent="0.25">
      <c r="A978" s="7">
        <v>977</v>
      </c>
      <c r="B978" s="152" t="s">
        <v>1350</v>
      </c>
      <c r="C978" s="153" t="s">
        <v>4504</v>
      </c>
      <c r="D978" s="153" t="s">
        <v>4505</v>
      </c>
      <c r="E978" s="153" t="s">
        <v>2086</v>
      </c>
      <c r="F978" s="6"/>
      <c r="G978" s="6"/>
      <c r="H978" s="85">
        <v>552</v>
      </c>
      <c r="I978" s="103">
        <f>IFERROR(VLOOKUP(B978,'July 2026-Recived'!$B$2:$H$1300,7,0),0)</f>
        <v>96</v>
      </c>
      <c r="J978" s="103">
        <f>IFERROR(VLOOKUP(B978,'July 2026- Dispatch'!$B$2:$H$1300,7,0),0)</f>
        <v>240</v>
      </c>
      <c r="K978" s="61">
        <f t="shared" si="15"/>
        <v>408</v>
      </c>
      <c r="L978" s="123">
        <v>0</v>
      </c>
    </row>
    <row r="979" spans="1:13" hidden="1" x14ac:dyDescent="0.25">
      <c r="A979" s="7">
        <v>978</v>
      </c>
      <c r="B979" s="152" t="s">
        <v>719</v>
      </c>
      <c r="C979" s="153" t="s">
        <v>4506</v>
      </c>
      <c r="D979" s="153" t="s">
        <v>4507</v>
      </c>
      <c r="E979" s="153" t="s">
        <v>2083</v>
      </c>
      <c r="F979" s="6"/>
      <c r="G979" s="6"/>
      <c r="H979" s="85">
        <v>0</v>
      </c>
      <c r="I979" s="103">
        <f>IFERROR(VLOOKUP(B979,'July 2026-Recived'!$B$2:$H$1300,7,0),0)</f>
        <v>600</v>
      </c>
      <c r="J979" s="103">
        <f>IFERROR(VLOOKUP(B979,'July 2026- Dispatch'!$B$2:$H$1300,7,0),0)</f>
        <v>120</v>
      </c>
      <c r="K979" s="61">
        <f t="shared" si="15"/>
        <v>480</v>
      </c>
      <c r="L979" s="123">
        <v>0</v>
      </c>
    </row>
    <row r="980" spans="1:13" hidden="1" x14ac:dyDescent="0.25">
      <c r="A980" s="7">
        <v>979</v>
      </c>
      <c r="B980" s="152" t="s">
        <v>1196</v>
      </c>
      <c r="C980" s="153" t="s">
        <v>4508</v>
      </c>
      <c r="D980" s="153" t="s">
        <v>4509</v>
      </c>
      <c r="E980" s="153" t="s">
        <v>2086</v>
      </c>
      <c r="F980" s="6"/>
      <c r="G980" s="6"/>
      <c r="H980" s="85">
        <v>4680</v>
      </c>
      <c r="I980" s="103">
        <f>IFERROR(VLOOKUP(B980,'July 2026-Recived'!$B$2:$H$1300,7,0),0)</f>
        <v>0</v>
      </c>
      <c r="J980" s="103">
        <f>IFERROR(VLOOKUP(B980,'July 2026- Dispatch'!$B$2:$H$1300,7,0),0)</f>
        <v>2110</v>
      </c>
      <c r="K980" s="61">
        <f t="shared" si="15"/>
        <v>2570</v>
      </c>
      <c r="L980" s="123">
        <v>0</v>
      </c>
    </row>
    <row r="981" spans="1:13" hidden="1" x14ac:dyDescent="0.25">
      <c r="A981" s="7">
        <v>980</v>
      </c>
      <c r="B981" s="152" t="s">
        <v>912</v>
      </c>
      <c r="C981" s="153" t="s">
        <v>4510</v>
      </c>
      <c r="D981" s="153" t="s">
        <v>4511</v>
      </c>
      <c r="E981" s="153" t="s">
        <v>2111</v>
      </c>
      <c r="F981" s="6"/>
      <c r="G981" s="6"/>
      <c r="H981" s="85">
        <v>618</v>
      </c>
      <c r="I981" s="103">
        <f>IFERROR(VLOOKUP(B981,'July 2026-Recived'!$B$2:$H$1300,7,0),0)</f>
        <v>600</v>
      </c>
      <c r="J981" s="103">
        <f>IFERROR(VLOOKUP(B981,'July 2026- Dispatch'!$B$2:$H$1300,7,0),0)</f>
        <v>864</v>
      </c>
      <c r="K981" s="61">
        <f t="shared" si="15"/>
        <v>354</v>
      </c>
      <c r="L981" s="123">
        <v>0</v>
      </c>
      <c r="M981" t="s">
        <v>3926</v>
      </c>
    </row>
    <row r="982" spans="1:13" hidden="1" x14ac:dyDescent="0.25">
      <c r="A982" s="7">
        <v>981</v>
      </c>
      <c r="B982" s="152" t="s">
        <v>4512</v>
      </c>
      <c r="C982" s="153" t="s">
        <v>4513</v>
      </c>
      <c r="D982" s="153" t="s">
        <v>4514</v>
      </c>
      <c r="E982" s="153" t="s">
        <v>2083</v>
      </c>
      <c r="F982" s="6"/>
      <c r="G982" s="6"/>
      <c r="H982" s="85">
        <v>0</v>
      </c>
      <c r="I982" s="103">
        <f>IFERROR(VLOOKUP(B982,'July 2026-Recived'!$B$2:$H$1300,7,0),0)</f>
        <v>0</v>
      </c>
      <c r="J982" s="103">
        <f>IFERROR(VLOOKUP(B982,'July 2026- Dispatch'!$B$2:$H$1300,7,0),0)</f>
        <v>0</v>
      </c>
      <c r="K982" s="61">
        <f t="shared" si="15"/>
        <v>0</v>
      </c>
      <c r="L982" s="123">
        <v>0</v>
      </c>
    </row>
    <row r="983" spans="1:13" hidden="1" x14ac:dyDescent="0.25">
      <c r="A983" s="7">
        <v>982</v>
      </c>
      <c r="B983" s="152" t="s">
        <v>713</v>
      </c>
      <c r="C983" s="153" t="s">
        <v>4515</v>
      </c>
      <c r="D983" s="153" t="s">
        <v>4516</v>
      </c>
      <c r="E983" s="153" t="s">
        <v>2083</v>
      </c>
      <c r="F983" s="6"/>
      <c r="G983" s="6"/>
      <c r="H983" s="85">
        <v>0</v>
      </c>
      <c r="I983" s="103">
        <f>IFERROR(VLOOKUP(B983,'July 2026-Recived'!$B$2:$H$1300,7,0),0)</f>
        <v>0</v>
      </c>
      <c r="J983" s="103">
        <f>IFERROR(VLOOKUP(B983,'July 2026- Dispatch'!$B$2:$H$1300,7,0),0)</f>
        <v>0</v>
      </c>
      <c r="K983" s="61">
        <f t="shared" si="15"/>
        <v>0</v>
      </c>
      <c r="L983" s="123">
        <v>0</v>
      </c>
      <c r="M983" s="60"/>
    </row>
    <row r="984" spans="1:13" hidden="1" x14ac:dyDescent="0.25">
      <c r="A984" s="7">
        <v>983</v>
      </c>
      <c r="B984" s="152" t="s">
        <v>4517</v>
      </c>
      <c r="C984" s="153" t="s">
        <v>4518</v>
      </c>
      <c r="D984" s="153" t="s">
        <v>4519</v>
      </c>
      <c r="E984" s="153" t="s">
        <v>2126</v>
      </c>
      <c r="F984" s="6"/>
      <c r="G984" s="6"/>
      <c r="H984" s="85">
        <v>0</v>
      </c>
      <c r="I984" s="103">
        <f>IFERROR(VLOOKUP(B984,'July 2026-Recived'!$B$2:$H$1300,7,0),0)</f>
        <v>0</v>
      </c>
      <c r="J984" s="103">
        <f>IFERROR(VLOOKUP(B984,'July 2026- Dispatch'!$B$2:$H$1300,7,0),0)</f>
        <v>0</v>
      </c>
      <c r="K984" s="61">
        <f t="shared" si="15"/>
        <v>0</v>
      </c>
      <c r="L984" s="123">
        <v>0</v>
      </c>
    </row>
    <row r="985" spans="1:13" hidden="1" x14ac:dyDescent="0.25">
      <c r="A985" s="7">
        <v>984</v>
      </c>
      <c r="B985" s="152" t="s">
        <v>432</v>
      </c>
      <c r="C985" s="153" t="s">
        <v>4520</v>
      </c>
      <c r="D985" s="153" t="s">
        <v>4521</v>
      </c>
      <c r="E985" s="153" t="s">
        <v>2126</v>
      </c>
      <c r="F985" s="6"/>
      <c r="G985" s="6"/>
      <c r="H985" s="85">
        <v>0</v>
      </c>
      <c r="I985" s="103">
        <f>IFERROR(VLOOKUP(B985,'July 2026-Recived'!$B$2:$H$1300,7,0),0)</f>
        <v>140.4</v>
      </c>
      <c r="J985" s="103">
        <f>IFERROR(VLOOKUP(B985,'July 2026- Dispatch'!$B$2:$H$1300,7,0),0)</f>
        <v>0</v>
      </c>
      <c r="K985" s="61">
        <f t="shared" si="15"/>
        <v>140.4</v>
      </c>
      <c r="L985" s="123">
        <v>0</v>
      </c>
    </row>
    <row r="986" spans="1:13" hidden="1" x14ac:dyDescent="0.25">
      <c r="A986" s="7">
        <v>985</v>
      </c>
      <c r="B986" s="152" t="s">
        <v>788</v>
      </c>
      <c r="C986" s="153" t="s">
        <v>4522</v>
      </c>
      <c r="D986" s="153" t="s">
        <v>4523</v>
      </c>
      <c r="E986" s="153" t="s">
        <v>2111</v>
      </c>
      <c r="F986" s="6"/>
      <c r="G986" s="6"/>
      <c r="H986" s="85">
        <v>476.4</v>
      </c>
      <c r="I986" s="103">
        <f>IFERROR(VLOOKUP(B986,'July 2026-Recived'!$B$2:$H$1300,7,0),0)</f>
        <v>0</v>
      </c>
      <c r="J986" s="103">
        <f>IFERROR(VLOOKUP(B986,'July 2026- Dispatch'!$B$2:$H$1300,7,0),0)</f>
        <v>476.4</v>
      </c>
      <c r="K986" s="61">
        <f t="shared" si="15"/>
        <v>0</v>
      </c>
      <c r="L986" s="123">
        <v>0</v>
      </c>
    </row>
    <row r="987" spans="1:13" hidden="1" x14ac:dyDescent="0.25">
      <c r="A987" s="7">
        <v>986</v>
      </c>
      <c r="B987" s="152" t="s">
        <v>4524</v>
      </c>
      <c r="C987" s="153" t="s">
        <v>4525</v>
      </c>
      <c r="D987" s="153" t="s">
        <v>4526</v>
      </c>
      <c r="E987" s="153" t="s">
        <v>2160</v>
      </c>
      <c r="F987" s="6"/>
      <c r="G987" s="6"/>
      <c r="H987" s="85">
        <v>0</v>
      </c>
      <c r="I987" s="103">
        <f>IFERROR(VLOOKUP(B987,'July 2026-Recived'!$B$2:$H$1300,7,0),0)</f>
        <v>0</v>
      </c>
      <c r="J987" s="103">
        <f>IFERROR(VLOOKUP(B987,'July 2026- Dispatch'!$B$2:$H$1300,7,0),0)</f>
        <v>0</v>
      </c>
      <c r="K987" s="61">
        <f t="shared" si="15"/>
        <v>0</v>
      </c>
      <c r="L987" s="123">
        <v>0</v>
      </c>
    </row>
    <row r="988" spans="1:13" hidden="1" x14ac:dyDescent="0.25">
      <c r="A988" s="7">
        <v>987</v>
      </c>
      <c r="B988" s="152" t="s">
        <v>4527</v>
      </c>
      <c r="C988" s="153" t="s">
        <v>4528</v>
      </c>
      <c r="D988" s="153" t="s">
        <v>4529</v>
      </c>
      <c r="E988" s="153" t="s">
        <v>2111</v>
      </c>
      <c r="F988" s="6"/>
      <c r="G988" s="6"/>
      <c r="H988" s="85">
        <v>222</v>
      </c>
      <c r="I988" s="103">
        <f>IFERROR(VLOOKUP(B988,'July 2026-Recived'!$B$2:$H$1300,7,0),0)</f>
        <v>0</v>
      </c>
      <c r="J988" s="103">
        <f>IFERROR(VLOOKUP(B988,'July 2026- Dispatch'!$B$2:$H$1300,7,0),0)</f>
        <v>0</v>
      </c>
      <c r="K988" s="61">
        <f t="shared" si="15"/>
        <v>222</v>
      </c>
      <c r="L988" s="123">
        <v>0</v>
      </c>
    </row>
    <row r="989" spans="1:13" hidden="1" x14ac:dyDescent="0.25">
      <c r="A989" s="7">
        <v>988</v>
      </c>
      <c r="B989" s="157" t="s">
        <v>1538</v>
      </c>
      <c r="C989" s="158" t="s">
        <v>4530</v>
      </c>
      <c r="D989" s="158" t="s">
        <v>4531</v>
      </c>
      <c r="E989" s="153" t="s">
        <v>64</v>
      </c>
      <c r="F989" s="6"/>
      <c r="G989" s="6"/>
      <c r="H989" s="85">
        <v>957.6</v>
      </c>
      <c r="I989" s="103">
        <f>IFERROR(VLOOKUP(B989,'July 2026-Recived'!$B$2:$H$1300,7,0),0)</f>
        <v>168</v>
      </c>
      <c r="J989" s="103">
        <f>IFERROR(VLOOKUP(B989,'July 2026- Dispatch'!$B$2:$H$1300,7,0),0)</f>
        <v>0</v>
      </c>
      <c r="K989" s="61">
        <f t="shared" si="15"/>
        <v>1125.5999999999999</v>
      </c>
      <c r="L989" s="123">
        <v>0</v>
      </c>
    </row>
    <row r="990" spans="1:13" hidden="1" x14ac:dyDescent="0.25">
      <c r="A990" s="7">
        <v>989</v>
      </c>
      <c r="B990" s="152" t="s">
        <v>4532</v>
      </c>
      <c r="C990" s="153" t="s">
        <v>4533</v>
      </c>
      <c r="D990" s="153" t="s">
        <v>4534</v>
      </c>
      <c r="E990" s="153" t="s">
        <v>2126</v>
      </c>
      <c r="F990" s="6"/>
      <c r="G990" s="6"/>
      <c r="H990" s="85">
        <v>0</v>
      </c>
      <c r="I990" s="103">
        <f>IFERROR(VLOOKUP(B990,'July 2026-Recived'!$B$2:$H$1300,7,0),0)</f>
        <v>0</v>
      </c>
      <c r="J990" s="103">
        <f>IFERROR(VLOOKUP(B990,'July 2026- Dispatch'!$B$2:$H$1300,7,0),0)</f>
        <v>0</v>
      </c>
      <c r="K990" s="61">
        <f t="shared" si="15"/>
        <v>0</v>
      </c>
      <c r="L990" s="123">
        <v>0</v>
      </c>
    </row>
    <row r="991" spans="1:13" hidden="1" x14ac:dyDescent="0.25">
      <c r="A991" s="7">
        <v>990</v>
      </c>
      <c r="B991" s="152" t="s">
        <v>786</v>
      </c>
      <c r="C991" s="153" t="s">
        <v>4535</v>
      </c>
      <c r="D991" s="153" t="s">
        <v>4536</v>
      </c>
      <c r="E991" s="153" t="s">
        <v>2111</v>
      </c>
      <c r="F991" s="6"/>
      <c r="G991" s="6"/>
      <c r="H991" s="85">
        <v>48</v>
      </c>
      <c r="I991" s="103">
        <f>IFERROR(VLOOKUP(B991,'July 2026-Recived'!$B$2:$H$1300,7,0),0)</f>
        <v>0</v>
      </c>
      <c r="J991" s="103">
        <f>IFERROR(VLOOKUP(B991,'July 2026- Dispatch'!$B$2:$H$1300,7,0),0)</f>
        <v>48</v>
      </c>
      <c r="K991" s="61">
        <f t="shared" si="15"/>
        <v>0</v>
      </c>
      <c r="L991" s="123">
        <v>0</v>
      </c>
    </row>
    <row r="992" spans="1:13" hidden="1" x14ac:dyDescent="0.25">
      <c r="A992" s="7">
        <v>991</v>
      </c>
      <c r="B992" s="152" t="s">
        <v>1799</v>
      </c>
      <c r="C992" s="153" t="s">
        <v>4537</v>
      </c>
      <c r="D992" s="153" t="s">
        <v>4538</v>
      </c>
      <c r="E992" s="153" t="s">
        <v>2111</v>
      </c>
      <c r="F992" s="6"/>
      <c r="G992" s="6"/>
      <c r="H992" s="85">
        <v>520.79999999999995</v>
      </c>
      <c r="I992" s="103">
        <f>IFERROR(VLOOKUP(B992,'July 2026-Recived'!$B$2:$H$1300,7,0),0)</f>
        <v>0</v>
      </c>
      <c r="J992" s="103">
        <f>IFERROR(VLOOKUP(B992,'July 2026- Dispatch'!$B$2:$H$1300,7,0),0)</f>
        <v>128</v>
      </c>
      <c r="K992" s="61">
        <f t="shared" si="15"/>
        <v>392.79999999999995</v>
      </c>
      <c r="L992" s="123">
        <v>0</v>
      </c>
    </row>
    <row r="993" spans="1:12" hidden="1" x14ac:dyDescent="0.25">
      <c r="A993" s="7">
        <v>992</v>
      </c>
      <c r="B993" s="152" t="s">
        <v>127</v>
      </c>
      <c r="C993" s="153" t="s">
        <v>4539</v>
      </c>
      <c r="D993" s="153" t="s">
        <v>4540</v>
      </c>
      <c r="E993" s="153" t="s">
        <v>2111</v>
      </c>
      <c r="F993" s="6"/>
      <c r="G993" s="6"/>
      <c r="H993" s="85">
        <v>162</v>
      </c>
      <c r="I993" s="103">
        <f>IFERROR(VLOOKUP(B993,'July 2026-Recived'!$B$2:$H$1300,7,0),0)</f>
        <v>0</v>
      </c>
      <c r="J993" s="103">
        <f>IFERROR(VLOOKUP(B993,'July 2026- Dispatch'!$B$2:$H$1300,7,0),0)</f>
        <v>99</v>
      </c>
      <c r="K993" s="61">
        <f t="shared" si="15"/>
        <v>63</v>
      </c>
      <c r="L993" s="123">
        <v>0</v>
      </c>
    </row>
    <row r="994" spans="1:12" hidden="1" x14ac:dyDescent="0.25">
      <c r="A994" s="7">
        <v>993</v>
      </c>
      <c r="B994" s="152" t="s">
        <v>1247</v>
      </c>
      <c r="C994" s="153" t="s">
        <v>4541</v>
      </c>
      <c r="D994" s="153" t="s">
        <v>4542</v>
      </c>
      <c r="E994" s="153" t="s">
        <v>2111</v>
      </c>
      <c r="F994" s="6"/>
      <c r="G994" s="6"/>
      <c r="H994" s="85">
        <v>261</v>
      </c>
      <c r="I994" s="103">
        <f>IFERROR(VLOOKUP(B994,'July 2026-Recived'!$B$2:$H$1300,7,0),0)</f>
        <v>0</v>
      </c>
      <c r="J994" s="103">
        <f>IFERROR(VLOOKUP(B994,'July 2026- Dispatch'!$B$2:$H$1300,7,0),0)</f>
        <v>94</v>
      </c>
      <c r="K994" s="61">
        <f t="shared" si="15"/>
        <v>167</v>
      </c>
      <c r="L994" s="123">
        <v>0</v>
      </c>
    </row>
    <row r="995" spans="1:12" hidden="1" x14ac:dyDescent="0.25">
      <c r="A995" s="7">
        <v>994</v>
      </c>
      <c r="B995" s="152" t="s">
        <v>1086</v>
      </c>
      <c r="C995" s="153" t="s">
        <v>4543</v>
      </c>
      <c r="D995" s="153" t="s">
        <v>4544</v>
      </c>
      <c r="E995" s="153" t="s">
        <v>2111</v>
      </c>
      <c r="F995" s="6"/>
      <c r="G995" s="6"/>
      <c r="H995" s="85">
        <v>384</v>
      </c>
      <c r="I995" s="103">
        <f>IFERROR(VLOOKUP(B995,'July 2026-Recived'!$B$2:$H$1300,7,0),0)</f>
        <v>0</v>
      </c>
      <c r="J995" s="103">
        <f>IFERROR(VLOOKUP(B995,'July 2026- Dispatch'!$B$2:$H$1300,7,0),0)</f>
        <v>109</v>
      </c>
      <c r="K995" s="61">
        <f t="shared" si="15"/>
        <v>275</v>
      </c>
      <c r="L995" s="123">
        <v>0</v>
      </c>
    </row>
    <row r="996" spans="1:12" hidden="1" x14ac:dyDescent="0.25">
      <c r="A996" s="7">
        <v>995</v>
      </c>
      <c r="B996" s="152" t="s">
        <v>1352</v>
      </c>
      <c r="C996" s="153" t="s">
        <v>4545</v>
      </c>
      <c r="D996" s="153" t="s">
        <v>4546</v>
      </c>
      <c r="E996" s="153" t="s">
        <v>2111</v>
      </c>
      <c r="F996" s="6"/>
      <c r="G996" s="6"/>
      <c r="H996" s="85">
        <v>537.6</v>
      </c>
      <c r="I996" s="103">
        <f>IFERROR(VLOOKUP(B996,'July 2026-Recived'!$B$2:$H$1300,7,0),0)</f>
        <v>0</v>
      </c>
      <c r="J996" s="103">
        <f>IFERROR(VLOOKUP(B996,'July 2026- Dispatch'!$B$2:$H$1300,7,0),0)</f>
        <v>24</v>
      </c>
      <c r="K996" s="61">
        <f t="shared" si="15"/>
        <v>513.6</v>
      </c>
      <c r="L996" s="123">
        <v>0</v>
      </c>
    </row>
    <row r="997" spans="1:12" hidden="1" x14ac:dyDescent="0.25">
      <c r="A997" s="7">
        <v>996</v>
      </c>
      <c r="B997" s="152" t="s">
        <v>4547</v>
      </c>
      <c r="C997" s="153" t="s">
        <v>4548</v>
      </c>
      <c r="D997" s="153" t="s">
        <v>4549</v>
      </c>
      <c r="E997" s="153" t="s">
        <v>2160</v>
      </c>
      <c r="F997" s="6"/>
      <c r="G997" s="6"/>
      <c r="H997" s="85">
        <v>0</v>
      </c>
      <c r="I997" s="103">
        <f>IFERROR(VLOOKUP(B997,'July 2026-Recived'!$B$2:$H$1300,7,0),0)</f>
        <v>0</v>
      </c>
      <c r="J997" s="103">
        <f>IFERROR(VLOOKUP(B997,'July 2026- Dispatch'!$B$2:$H$1300,7,0),0)</f>
        <v>0</v>
      </c>
      <c r="K997" s="61">
        <f t="shared" si="15"/>
        <v>0</v>
      </c>
      <c r="L997" s="123">
        <v>0</v>
      </c>
    </row>
    <row r="998" spans="1:12" hidden="1" x14ac:dyDescent="0.25">
      <c r="A998" s="7">
        <v>997</v>
      </c>
      <c r="B998" s="152" t="s">
        <v>1143</v>
      </c>
      <c r="C998" s="153" t="s">
        <v>4550</v>
      </c>
      <c r="D998" s="153" t="s">
        <v>4551</v>
      </c>
      <c r="E998" s="153" t="s">
        <v>2111</v>
      </c>
      <c r="F998" s="6"/>
      <c r="G998" s="6"/>
      <c r="H998" s="85">
        <v>186</v>
      </c>
      <c r="I998" s="103">
        <f>IFERROR(VLOOKUP(B998,'July 2026-Recived'!$B$2:$H$1300,7,0),0)</f>
        <v>402</v>
      </c>
      <c r="J998" s="103">
        <f>IFERROR(VLOOKUP(B998,'July 2026- Dispatch'!$B$2:$H$1300,7,0),0)</f>
        <v>390</v>
      </c>
      <c r="K998" s="61">
        <f t="shared" si="15"/>
        <v>198</v>
      </c>
      <c r="L998" s="123">
        <v>0</v>
      </c>
    </row>
    <row r="999" spans="1:12" hidden="1" x14ac:dyDescent="0.25">
      <c r="A999" s="7">
        <v>998</v>
      </c>
      <c r="B999" s="152" t="s">
        <v>1218</v>
      </c>
      <c r="C999" s="153" t="s">
        <v>4552</v>
      </c>
      <c r="D999" s="153" t="s">
        <v>4553</v>
      </c>
      <c r="E999" s="153" t="s">
        <v>2111</v>
      </c>
      <c r="F999" s="6"/>
      <c r="G999" s="6"/>
      <c r="H999" s="85">
        <v>394</v>
      </c>
      <c r="I999" s="103">
        <f>IFERROR(VLOOKUP(B999,'July 2026-Recived'!$B$2:$H$1300,7,0),0)</f>
        <v>360</v>
      </c>
      <c r="J999" s="103">
        <f>IFERROR(VLOOKUP(B999,'July 2026- Dispatch'!$B$2:$H$1300,7,0),0)</f>
        <v>462</v>
      </c>
      <c r="K999" s="61">
        <f t="shared" si="15"/>
        <v>292</v>
      </c>
      <c r="L999" s="123">
        <v>0</v>
      </c>
    </row>
    <row r="1000" spans="1:12" hidden="1" x14ac:dyDescent="0.25">
      <c r="A1000" s="7">
        <v>999</v>
      </c>
      <c r="B1000" s="152" t="s">
        <v>1438</v>
      </c>
      <c r="C1000" s="153" t="s">
        <v>4554</v>
      </c>
      <c r="D1000" s="153" t="s">
        <v>4555</v>
      </c>
      <c r="E1000" s="153" t="s">
        <v>2111</v>
      </c>
      <c r="F1000" s="6"/>
      <c r="G1000" s="6"/>
      <c r="H1000" s="85">
        <v>180</v>
      </c>
      <c r="I1000" s="103">
        <f>IFERROR(VLOOKUP(B1000,'July 2026-Recived'!$B$2:$H$1300,7,0),0)</f>
        <v>0</v>
      </c>
      <c r="J1000" s="103">
        <f>IFERROR(VLOOKUP(B1000,'July 2026- Dispatch'!$B$2:$H$1300,7,0),0)</f>
        <v>25</v>
      </c>
      <c r="K1000" s="61">
        <f t="shared" si="15"/>
        <v>155</v>
      </c>
      <c r="L1000" s="123">
        <v>0</v>
      </c>
    </row>
    <row r="1001" spans="1:12" hidden="1" x14ac:dyDescent="0.25">
      <c r="A1001" s="7">
        <v>1000</v>
      </c>
      <c r="B1001" s="152" t="s">
        <v>1453</v>
      </c>
      <c r="C1001" s="153" t="s">
        <v>4556</v>
      </c>
      <c r="D1001" s="153" t="s">
        <v>4557</v>
      </c>
      <c r="E1001" s="153" t="s">
        <v>2111</v>
      </c>
      <c r="F1001" s="6"/>
      <c r="G1001" s="6"/>
      <c r="H1001" s="85">
        <v>822</v>
      </c>
      <c r="I1001" s="103">
        <f>IFERROR(VLOOKUP(B1001,'July 2026-Recived'!$B$2:$H$1300,7,0),0)</f>
        <v>0</v>
      </c>
      <c r="J1001" s="103">
        <f>IFERROR(VLOOKUP(B1001,'July 2026- Dispatch'!$B$2:$H$1300,7,0),0)</f>
        <v>198</v>
      </c>
      <c r="K1001" s="61">
        <f t="shared" si="15"/>
        <v>624</v>
      </c>
      <c r="L1001" s="123">
        <v>0</v>
      </c>
    </row>
    <row r="1002" spans="1:12" hidden="1" x14ac:dyDescent="0.25">
      <c r="A1002" s="7">
        <v>1001</v>
      </c>
      <c r="B1002" s="152" t="s">
        <v>4558</v>
      </c>
      <c r="C1002" s="153" t="s">
        <v>4559</v>
      </c>
      <c r="D1002" s="153" t="s">
        <v>4560</v>
      </c>
      <c r="E1002" s="153" t="s">
        <v>2111</v>
      </c>
      <c r="F1002" s="6"/>
      <c r="G1002" s="6"/>
      <c r="H1002" s="85">
        <v>1437</v>
      </c>
      <c r="I1002" s="103">
        <f>IFERROR(VLOOKUP(B1002,'July 2026-Recived'!$B$2:$H$1300,7,0),0)</f>
        <v>0</v>
      </c>
      <c r="J1002" s="103">
        <f>IFERROR(VLOOKUP(B1002,'July 2026- Dispatch'!$B$2:$H$1300,7,0),0)</f>
        <v>348</v>
      </c>
      <c r="K1002" s="61">
        <f t="shared" si="15"/>
        <v>1089</v>
      </c>
      <c r="L1002" s="123">
        <v>0</v>
      </c>
    </row>
    <row r="1003" spans="1:12" hidden="1" x14ac:dyDescent="0.25">
      <c r="A1003" s="7">
        <v>1002</v>
      </c>
      <c r="B1003" s="152" t="s">
        <v>1401</v>
      </c>
      <c r="C1003" s="153" t="s">
        <v>4561</v>
      </c>
      <c r="D1003" s="153" t="s">
        <v>4562</v>
      </c>
      <c r="E1003" s="153" t="s">
        <v>2111</v>
      </c>
      <c r="F1003" s="6"/>
      <c r="G1003" s="6"/>
      <c r="H1003" s="85">
        <v>42</v>
      </c>
      <c r="I1003" s="103">
        <f>IFERROR(VLOOKUP(B1003,'July 2026-Recived'!$B$2:$H$1300,7,0),0)</f>
        <v>0</v>
      </c>
      <c r="J1003" s="103">
        <f>IFERROR(VLOOKUP(B1003,'July 2026- Dispatch'!$B$2:$H$1300,7,0),0)</f>
        <v>17</v>
      </c>
      <c r="K1003" s="61">
        <f t="shared" si="15"/>
        <v>25</v>
      </c>
      <c r="L1003" s="123">
        <v>0</v>
      </c>
    </row>
    <row r="1004" spans="1:12" hidden="1" x14ac:dyDescent="0.25">
      <c r="A1004" s="7">
        <v>1003</v>
      </c>
      <c r="B1004" s="152" t="s">
        <v>1511</v>
      </c>
      <c r="C1004" s="153" t="s">
        <v>4563</v>
      </c>
      <c r="D1004" s="153" t="s">
        <v>4564</v>
      </c>
      <c r="E1004" s="153" t="s">
        <v>2111</v>
      </c>
      <c r="F1004" s="6"/>
      <c r="G1004" s="6"/>
      <c r="H1004" s="85">
        <v>114</v>
      </c>
      <c r="I1004" s="103">
        <f>IFERROR(VLOOKUP(B1004,'July 2026-Recived'!$B$2:$H$1300,7,0),0)</f>
        <v>42</v>
      </c>
      <c r="J1004" s="103">
        <f>IFERROR(VLOOKUP(B1004,'July 2026- Dispatch'!$B$2:$H$1300,7,0),0)</f>
        <v>67</v>
      </c>
      <c r="K1004" s="61">
        <f t="shared" si="15"/>
        <v>89</v>
      </c>
      <c r="L1004" s="123">
        <v>0</v>
      </c>
    </row>
    <row r="1005" spans="1:12" hidden="1" x14ac:dyDescent="0.25">
      <c r="A1005" s="7">
        <v>1004</v>
      </c>
      <c r="B1005" s="152" t="s">
        <v>987</v>
      </c>
      <c r="C1005" s="153" t="s">
        <v>4565</v>
      </c>
      <c r="D1005" s="153" t="s">
        <v>4566</v>
      </c>
      <c r="E1005" s="153" t="s">
        <v>2111</v>
      </c>
      <c r="F1005" s="6"/>
      <c r="G1005" s="6"/>
      <c r="H1005" s="85">
        <v>120</v>
      </c>
      <c r="I1005" s="103">
        <f>IFERROR(VLOOKUP(B1005,'July 2026-Recived'!$B$2:$H$1300,7,0),0)</f>
        <v>0</v>
      </c>
      <c r="J1005" s="103">
        <f>IFERROR(VLOOKUP(B1005,'July 2026- Dispatch'!$B$2:$H$1300,7,0),0)</f>
        <v>120</v>
      </c>
      <c r="K1005" s="61">
        <f t="shared" si="15"/>
        <v>0</v>
      </c>
      <c r="L1005" s="123">
        <v>0</v>
      </c>
    </row>
    <row r="1006" spans="1:12" hidden="1" x14ac:dyDescent="0.25">
      <c r="A1006" s="7">
        <v>1005</v>
      </c>
      <c r="B1006" s="152" t="s">
        <v>865</v>
      </c>
      <c r="C1006" s="153" t="s">
        <v>4567</v>
      </c>
      <c r="D1006" s="153" t="s">
        <v>4568</v>
      </c>
      <c r="E1006" s="153" t="s">
        <v>2160</v>
      </c>
      <c r="F1006" s="6"/>
      <c r="G1006" s="6"/>
      <c r="H1006" s="85">
        <v>0</v>
      </c>
      <c r="I1006" s="103">
        <f>IFERROR(VLOOKUP(B1006,'July 2026-Recived'!$B$2:$H$1300,7,0),0)</f>
        <v>1584</v>
      </c>
      <c r="J1006" s="103">
        <f>IFERROR(VLOOKUP(B1006,'July 2026- Dispatch'!$B$2:$H$1300,7,0),0)</f>
        <v>200</v>
      </c>
      <c r="K1006" s="61">
        <f t="shared" si="15"/>
        <v>1384</v>
      </c>
      <c r="L1006" s="123">
        <v>0</v>
      </c>
    </row>
    <row r="1007" spans="1:12" hidden="1" x14ac:dyDescent="0.25">
      <c r="A1007" s="7">
        <v>1006</v>
      </c>
      <c r="B1007" s="152" t="s">
        <v>4569</v>
      </c>
      <c r="C1007" s="153" t="s">
        <v>4570</v>
      </c>
      <c r="D1007" s="153" t="s">
        <v>4571</v>
      </c>
      <c r="E1007" s="153" t="s">
        <v>2160</v>
      </c>
      <c r="F1007" s="6"/>
      <c r="G1007" s="6"/>
      <c r="H1007" s="85">
        <v>0</v>
      </c>
      <c r="I1007" s="103">
        <f>IFERROR(VLOOKUP(B1007,'July 2026-Recived'!$B$2:$H$1300,7,0),0)</f>
        <v>0</v>
      </c>
      <c r="J1007" s="103">
        <f>IFERROR(VLOOKUP(B1007,'July 2026- Dispatch'!$B$2:$H$1300,7,0),0)</f>
        <v>0</v>
      </c>
      <c r="K1007" s="61">
        <f t="shared" si="15"/>
        <v>0</v>
      </c>
      <c r="L1007" s="123">
        <v>0</v>
      </c>
    </row>
    <row r="1008" spans="1:12" x14ac:dyDescent="0.25">
      <c r="A1008" s="7">
        <v>1007</v>
      </c>
      <c r="B1008" s="152" t="s">
        <v>4572</v>
      </c>
      <c r="C1008" s="153" t="s">
        <v>4573</v>
      </c>
      <c r="D1008" s="153" t="s">
        <v>4574</v>
      </c>
      <c r="E1008" s="153" t="s">
        <v>2160</v>
      </c>
      <c r="F1008" s="6"/>
      <c r="G1008" s="6"/>
      <c r="H1008" s="85">
        <v>0</v>
      </c>
      <c r="I1008" s="103">
        <f>IFERROR(VLOOKUP(B1008,'July 2026-Recived'!$B$2:$H$1300,7,0),0)</f>
        <v>0</v>
      </c>
      <c r="J1008" s="103">
        <f>IFERROR(VLOOKUP(B1008,'July 2026- Dispatch'!$B$2:$H$1300,7,0),0)</f>
        <v>0</v>
      </c>
      <c r="K1008" s="61">
        <f t="shared" si="15"/>
        <v>0</v>
      </c>
      <c r="L1008" s="123">
        <v>0</v>
      </c>
    </row>
    <row r="1009" spans="1:12" hidden="1" x14ac:dyDescent="0.25">
      <c r="A1009" s="7">
        <v>1008</v>
      </c>
      <c r="B1009" s="152" t="s">
        <v>1181</v>
      </c>
      <c r="C1009" s="153" t="s">
        <v>4575</v>
      </c>
      <c r="D1009" s="153" t="s">
        <v>4576</v>
      </c>
      <c r="E1009" s="153" t="s">
        <v>2111</v>
      </c>
      <c r="F1009" s="6"/>
      <c r="G1009" s="6"/>
      <c r="H1009" s="85">
        <v>132</v>
      </c>
      <c r="I1009" s="103">
        <f>IFERROR(VLOOKUP(B1009,'July 2026-Recived'!$B$2:$H$1300,7,0),0)</f>
        <v>0</v>
      </c>
      <c r="J1009" s="103">
        <f>IFERROR(VLOOKUP(B1009,'July 2026- Dispatch'!$B$2:$H$1300,7,0),0)</f>
        <v>84</v>
      </c>
      <c r="K1009" s="61">
        <f t="shared" si="15"/>
        <v>48</v>
      </c>
      <c r="L1009" s="123">
        <v>0</v>
      </c>
    </row>
    <row r="1010" spans="1:12" hidden="1" x14ac:dyDescent="0.25">
      <c r="A1010" s="7">
        <v>1009</v>
      </c>
      <c r="B1010" s="152" t="s">
        <v>824</v>
      </c>
      <c r="C1010" s="153" t="s">
        <v>4577</v>
      </c>
      <c r="D1010" s="153" t="s">
        <v>4578</v>
      </c>
      <c r="E1010" s="153" t="s">
        <v>64</v>
      </c>
      <c r="F1010" s="6"/>
      <c r="G1010" s="6"/>
      <c r="H1010" s="85">
        <v>153</v>
      </c>
      <c r="I1010" s="103">
        <f>IFERROR(VLOOKUP(B1010,'July 2026-Recived'!$B$2:$H$1300,7,0),0)</f>
        <v>0</v>
      </c>
      <c r="J1010" s="103">
        <f>IFERROR(VLOOKUP(B1010,'July 2026- Dispatch'!$B$2:$H$1300,7,0),0)</f>
        <v>80</v>
      </c>
      <c r="K1010" s="61">
        <f t="shared" si="15"/>
        <v>73</v>
      </c>
      <c r="L1010" s="123">
        <v>0</v>
      </c>
    </row>
    <row r="1011" spans="1:12" hidden="1" x14ac:dyDescent="0.25">
      <c r="A1011" s="7">
        <v>1010</v>
      </c>
      <c r="B1011" s="152" t="s">
        <v>702</v>
      </c>
      <c r="C1011" s="153" t="s">
        <v>4579</v>
      </c>
      <c r="D1011" s="153" t="s">
        <v>4580</v>
      </c>
      <c r="E1011" s="153" t="s">
        <v>64</v>
      </c>
      <c r="F1011" s="6"/>
      <c r="G1011" s="6"/>
      <c r="H1011" s="85">
        <v>280</v>
      </c>
      <c r="I1011" s="103">
        <f>IFERROR(VLOOKUP(B1011,'July 2026-Recived'!$B$2:$H$1300,7,0),0)</f>
        <v>1600</v>
      </c>
      <c r="J1011" s="103">
        <f>IFERROR(VLOOKUP(B1011,'July 2026- Dispatch'!$B$2:$H$1300,7,0),0)</f>
        <v>80</v>
      </c>
      <c r="K1011" s="61">
        <f t="shared" si="15"/>
        <v>1800</v>
      </c>
      <c r="L1011" s="123">
        <v>0</v>
      </c>
    </row>
    <row r="1012" spans="1:12" hidden="1" x14ac:dyDescent="0.25">
      <c r="A1012" s="7">
        <v>1011</v>
      </c>
      <c r="B1012" s="152" t="s">
        <v>1365</v>
      </c>
      <c r="C1012" s="153" t="s">
        <v>4581</v>
      </c>
      <c r="D1012" s="153" t="s">
        <v>4582</v>
      </c>
      <c r="E1012" s="153" t="s">
        <v>2086</v>
      </c>
      <c r="F1012" s="6"/>
      <c r="G1012" s="6"/>
      <c r="H1012" s="85">
        <v>78000</v>
      </c>
      <c r="I1012" s="103">
        <f>IFERROR(VLOOKUP(B1012,'July 2026-Recived'!$B$2:$H$1300,7,0),0)</f>
        <v>40000</v>
      </c>
      <c r="J1012" s="103">
        <f>IFERROR(VLOOKUP(B1012,'July 2026- Dispatch'!$B$2:$H$1300,7,0),0)</f>
        <v>57200</v>
      </c>
      <c r="K1012" s="61">
        <f t="shared" si="15"/>
        <v>60800</v>
      </c>
      <c r="L1012" s="123">
        <v>0</v>
      </c>
    </row>
    <row r="1013" spans="1:12" hidden="1" x14ac:dyDescent="0.25">
      <c r="A1013" s="7">
        <v>1012</v>
      </c>
      <c r="B1013" s="152" t="s">
        <v>827</v>
      </c>
      <c r="C1013" s="153" t="s">
        <v>4583</v>
      </c>
      <c r="D1013" s="153" t="s">
        <v>4584</v>
      </c>
      <c r="E1013" s="153" t="s">
        <v>2126</v>
      </c>
      <c r="F1013" s="6"/>
      <c r="G1013" s="6"/>
      <c r="H1013" s="85">
        <v>0</v>
      </c>
      <c r="I1013" s="103">
        <f>IFERROR(VLOOKUP(B1013,'July 2026-Recived'!$B$2:$H$1300,7,0),0)</f>
        <v>0</v>
      </c>
      <c r="J1013" s="103">
        <f>IFERROR(VLOOKUP(B1013,'July 2026- Dispatch'!$B$2:$H$1300,7,0),0)</f>
        <v>0</v>
      </c>
      <c r="K1013" s="61">
        <f t="shared" si="15"/>
        <v>0</v>
      </c>
      <c r="L1013" s="123">
        <v>0</v>
      </c>
    </row>
    <row r="1014" spans="1:12" hidden="1" x14ac:dyDescent="0.25">
      <c r="A1014" s="7">
        <v>1013</v>
      </c>
      <c r="B1014" s="152" t="s">
        <v>4585</v>
      </c>
      <c r="C1014" s="153" t="s">
        <v>4586</v>
      </c>
      <c r="D1014" s="153" t="s">
        <v>4587</v>
      </c>
      <c r="E1014" s="153" t="s">
        <v>2126</v>
      </c>
      <c r="F1014" s="6"/>
      <c r="G1014" s="6"/>
      <c r="H1014" s="85">
        <v>0</v>
      </c>
      <c r="I1014" s="103">
        <f>IFERROR(VLOOKUP(B1014,'July 2026-Recived'!$B$2:$H$1300,7,0),0)</f>
        <v>0</v>
      </c>
      <c r="J1014" s="103">
        <f>IFERROR(VLOOKUP(B1014,'July 2026- Dispatch'!$B$2:$H$1300,7,0),0)</f>
        <v>0</v>
      </c>
      <c r="K1014" s="61">
        <f t="shared" si="15"/>
        <v>0</v>
      </c>
      <c r="L1014" s="123">
        <v>0</v>
      </c>
    </row>
    <row r="1015" spans="1:12" hidden="1" x14ac:dyDescent="0.25">
      <c r="A1015" s="7">
        <v>1014</v>
      </c>
      <c r="B1015" s="152" t="s">
        <v>1819</v>
      </c>
      <c r="C1015" s="153" t="s">
        <v>4588</v>
      </c>
      <c r="D1015" s="153" t="s">
        <v>4589</v>
      </c>
      <c r="E1015" s="153" t="s">
        <v>2126</v>
      </c>
      <c r="F1015" s="6"/>
      <c r="G1015" s="6"/>
      <c r="H1015" s="85">
        <v>0</v>
      </c>
      <c r="I1015" s="103">
        <f>IFERROR(VLOOKUP(B1015,'July 2026-Recived'!$B$2:$H$1300,7,0),0)</f>
        <v>0</v>
      </c>
      <c r="J1015" s="103">
        <f>IFERROR(VLOOKUP(B1015,'July 2026- Dispatch'!$B$2:$H$1300,7,0),0)</f>
        <v>0</v>
      </c>
      <c r="K1015" s="61">
        <f t="shared" si="15"/>
        <v>0</v>
      </c>
      <c r="L1015" s="123">
        <v>0</v>
      </c>
    </row>
    <row r="1016" spans="1:12" hidden="1" x14ac:dyDescent="0.25">
      <c r="A1016" s="7">
        <v>1015</v>
      </c>
      <c r="B1016" s="152" t="s">
        <v>2005</v>
      </c>
      <c r="C1016" s="153" t="s">
        <v>4590</v>
      </c>
      <c r="D1016" s="153" t="s">
        <v>4591</v>
      </c>
      <c r="E1016" s="153" t="s">
        <v>2126</v>
      </c>
      <c r="F1016" s="6"/>
      <c r="G1016" s="6"/>
      <c r="H1016" s="85">
        <v>0</v>
      </c>
      <c r="I1016" s="103">
        <f>IFERROR(VLOOKUP(B1016,'July 2026-Recived'!$B$2:$H$1300,7,0),0)</f>
        <v>0</v>
      </c>
      <c r="J1016" s="103">
        <f>IFERROR(VLOOKUP(B1016,'July 2026- Dispatch'!$B$2:$H$1300,7,0),0)</f>
        <v>0</v>
      </c>
      <c r="K1016" s="61">
        <f t="shared" si="15"/>
        <v>0</v>
      </c>
      <c r="L1016" s="123">
        <v>0</v>
      </c>
    </row>
    <row r="1017" spans="1:12" hidden="1" x14ac:dyDescent="0.25">
      <c r="A1017" s="7">
        <v>1016</v>
      </c>
      <c r="B1017" s="152" t="s">
        <v>938</v>
      </c>
      <c r="C1017" s="153" t="s">
        <v>4592</v>
      </c>
      <c r="D1017" s="153" t="s">
        <v>4593</v>
      </c>
      <c r="E1017" s="153" t="s">
        <v>64</v>
      </c>
      <c r="F1017" s="6"/>
      <c r="G1017" s="6"/>
      <c r="H1017" s="85">
        <v>98</v>
      </c>
      <c r="I1017" s="103">
        <f>IFERROR(VLOOKUP(B1017,'July 2026-Recived'!$B$2:$H$1300,7,0),0)</f>
        <v>8</v>
      </c>
      <c r="J1017" s="103">
        <f>IFERROR(VLOOKUP(B1017,'July 2026- Dispatch'!$B$2:$H$1300,7,0),0)</f>
        <v>0</v>
      </c>
      <c r="K1017" s="61">
        <f t="shared" si="15"/>
        <v>106</v>
      </c>
      <c r="L1017" s="123">
        <v>0</v>
      </c>
    </row>
    <row r="1018" spans="1:12" hidden="1" x14ac:dyDescent="0.25">
      <c r="A1018" s="7">
        <v>1017</v>
      </c>
      <c r="B1018" s="157" t="s">
        <v>648</v>
      </c>
      <c r="C1018" s="158" t="s">
        <v>4594</v>
      </c>
      <c r="D1018" s="158" t="s">
        <v>4595</v>
      </c>
      <c r="E1018" s="153" t="s">
        <v>2160</v>
      </c>
      <c r="F1018" s="6"/>
      <c r="G1018" s="6"/>
      <c r="H1018" s="85">
        <v>0</v>
      </c>
      <c r="I1018" s="103">
        <f>IFERROR(VLOOKUP(B1018,'July 2026-Recived'!$B$2:$H$1300,7,0),0)</f>
        <v>0</v>
      </c>
      <c r="J1018" s="103">
        <f>IFERROR(VLOOKUP(B1018,'July 2026- Dispatch'!$B$2:$H$1300,7,0),0)</f>
        <v>0</v>
      </c>
      <c r="K1018" s="61">
        <f t="shared" si="15"/>
        <v>0</v>
      </c>
      <c r="L1018" s="123">
        <v>0</v>
      </c>
    </row>
    <row r="1019" spans="1:12" hidden="1" x14ac:dyDescent="0.25">
      <c r="A1019" s="7">
        <v>1018</v>
      </c>
      <c r="B1019" s="152" t="s">
        <v>1974</v>
      </c>
      <c r="C1019" s="153" t="s">
        <v>4596</v>
      </c>
      <c r="D1019" s="153" t="s">
        <v>4597</v>
      </c>
      <c r="E1019" s="153" t="s">
        <v>64</v>
      </c>
      <c r="F1019" s="6"/>
      <c r="G1019" s="6"/>
      <c r="H1019" s="85">
        <v>9.8000000000000007</v>
      </c>
      <c r="I1019" s="103">
        <f>IFERROR(VLOOKUP(B1019,'July 2026-Recived'!$B$2:$H$1300,7,0),0)</f>
        <v>0</v>
      </c>
      <c r="J1019" s="103">
        <f>IFERROR(VLOOKUP(B1019,'July 2026- Dispatch'!$B$2:$H$1300,7,0),0)</f>
        <v>0</v>
      </c>
      <c r="K1019" s="61">
        <f t="shared" si="15"/>
        <v>9.8000000000000007</v>
      </c>
      <c r="L1019" s="123">
        <v>0</v>
      </c>
    </row>
    <row r="1020" spans="1:12" hidden="1" x14ac:dyDescent="0.25">
      <c r="A1020" s="7">
        <v>1019</v>
      </c>
      <c r="B1020" s="152" t="s">
        <v>4598</v>
      </c>
      <c r="C1020" s="153" t="s">
        <v>4599</v>
      </c>
      <c r="D1020" s="153" t="s">
        <v>4600</v>
      </c>
      <c r="E1020" s="153" t="s">
        <v>64</v>
      </c>
      <c r="F1020" s="6"/>
      <c r="G1020" s="6"/>
      <c r="H1020" s="85">
        <v>36</v>
      </c>
      <c r="I1020" s="103">
        <f>IFERROR(VLOOKUP(B1020,'July 2026-Recived'!$B$2:$H$1300,7,0),0)</f>
        <v>0</v>
      </c>
      <c r="J1020" s="103">
        <f>IFERROR(VLOOKUP(B1020,'July 2026- Dispatch'!$B$2:$H$1300,7,0),0)</f>
        <v>0</v>
      </c>
      <c r="K1020" s="61">
        <f t="shared" si="15"/>
        <v>36</v>
      </c>
      <c r="L1020" s="123">
        <v>0</v>
      </c>
    </row>
    <row r="1021" spans="1:12" hidden="1" x14ac:dyDescent="0.25">
      <c r="A1021" s="7">
        <v>1020</v>
      </c>
      <c r="B1021" s="152" t="s">
        <v>4601</v>
      </c>
      <c r="C1021" s="153" t="s">
        <v>4602</v>
      </c>
      <c r="D1021" s="153" t="s">
        <v>4603</v>
      </c>
      <c r="E1021" s="153" t="s">
        <v>2126</v>
      </c>
      <c r="F1021" s="6"/>
      <c r="G1021" s="6"/>
      <c r="H1021" s="85">
        <v>0</v>
      </c>
      <c r="I1021" s="103">
        <f>IFERROR(VLOOKUP(B1021,'July 2026-Recived'!$B$2:$H$1300,7,0),0)</f>
        <v>0</v>
      </c>
      <c r="J1021" s="103">
        <f>IFERROR(VLOOKUP(B1021,'July 2026- Dispatch'!$B$2:$H$1300,7,0),0)</f>
        <v>0</v>
      </c>
      <c r="K1021" s="61">
        <f t="shared" si="15"/>
        <v>0</v>
      </c>
      <c r="L1021" s="123">
        <f>K1021/240</f>
        <v>0</v>
      </c>
    </row>
    <row r="1022" spans="1:12" hidden="1" x14ac:dyDescent="0.25">
      <c r="A1022" s="7">
        <v>1021</v>
      </c>
      <c r="B1022" s="152" t="s">
        <v>2063</v>
      </c>
      <c r="C1022" s="153" t="s">
        <v>4604</v>
      </c>
      <c r="D1022" s="153" t="s">
        <v>4605</v>
      </c>
      <c r="E1022" s="153" t="s">
        <v>2126</v>
      </c>
      <c r="F1022" s="6"/>
      <c r="G1022" s="6"/>
      <c r="H1022" s="85">
        <v>0</v>
      </c>
      <c r="I1022" s="103">
        <f>IFERROR(VLOOKUP(B1022,'July 2026-Recived'!$B$2:$H$1300,7,0),0)</f>
        <v>0</v>
      </c>
      <c r="J1022" s="103">
        <f>IFERROR(VLOOKUP(B1022,'July 2026- Dispatch'!$B$2:$H$1300,7,0),0)</f>
        <v>0</v>
      </c>
      <c r="K1022" s="61">
        <f t="shared" si="15"/>
        <v>0</v>
      </c>
      <c r="L1022" s="123">
        <v>0</v>
      </c>
    </row>
    <row r="1023" spans="1:12" hidden="1" x14ac:dyDescent="0.25">
      <c r="A1023" s="7">
        <v>1022</v>
      </c>
      <c r="B1023" s="152" t="s">
        <v>4606</v>
      </c>
      <c r="C1023" s="153" t="s">
        <v>4607</v>
      </c>
      <c r="D1023" s="153" t="s">
        <v>4608</v>
      </c>
      <c r="E1023" s="153" t="s">
        <v>2160</v>
      </c>
      <c r="F1023" s="6"/>
      <c r="G1023" s="6"/>
      <c r="H1023" s="85">
        <v>0</v>
      </c>
      <c r="I1023" s="103">
        <f>IFERROR(VLOOKUP(B1023,'July 2026-Recived'!$B$2:$H$1300,7,0),0)</f>
        <v>0</v>
      </c>
      <c r="J1023" s="103">
        <f>IFERROR(VLOOKUP(B1023,'July 2026- Dispatch'!$B$2:$H$1300,7,0),0)</f>
        <v>0</v>
      </c>
      <c r="K1023" s="61">
        <f t="shared" si="15"/>
        <v>0</v>
      </c>
      <c r="L1023" s="123">
        <v>0</v>
      </c>
    </row>
    <row r="1024" spans="1:12" hidden="1" x14ac:dyDescent="0.25">
      <c r="A1024" s="7">
        <v>1023</v>
      </c>
      <c r="B1024" s="152" t="s">
        <v>868</v>
      </c>
      <c r="C1024" s="153" t="s">
        <v>4609</v>
      </c>
      <c r="D1024" s="153" t="s">
        <v>4610</v>
      </c>
      <c r="E1024" s="153" t="s">
        <v>2160</v>
      </c>
      <c r="F1024" s="6"/>
      <c r="G1024" s="6"/>
      <c r="H1024" s="85">
        <v>0</v>
      </c>
      <c r="I1024" s="103">
        <f>IFERROR(VLOOKUP(B1024,'July 2026-Recived'!$B$2:$H$1300,7,0),0)</f>
        <v>7932.0599999999995</v>
      </c>
      <c r="J1024" s="103">
        <f>IFERROR(VLOOKUP(B1024,'July 2026- Dispatch'!$B$2:$H$1300,7,0),0)</f>
        <v>0</v>
      </c>
      <c r="K1024" s="61">
        <f t="shared" si="15"/>
        <v>7932.0599999999995</v>
      </c>
      <c r="L1024" s="123">
        <v>0</v>
      </c>
    </row>
    <row r="1025" spans="1:13" hidden="1" x14ac:dyDescent="0.25">
      <c r="A1025" s="7">
        <v>1024</v>
      </c>
      <c r="B1025" s="152" t="s">
        <v>532</v>
      </c>
      <c r="C1025" s="153" t="s">
        <v>4611</v>
      </c>
      <c r="D1025" s="153" t="s">
        <v>4612</v>
      </c>
      <c r="E1025" s="153" t="s">
        <v>2160</v>
      </c>
      <c r="F1025" s="6"/>
      <c r="G1025" s="6"/>
      <c r="H1025" s="85">
        <v>0</v>
      </c>
      <c r="I1025" s="103">
        <f>IFERROR(VLOOKUP(B1025,'July 2026-Recived'!$B$2:$H$1300,7,0),0)</f>
        <v>0</v>
      </c>
      <c r="J1025" s="103">
        <f>IFERROR(VLOOKUP(B1025,'July 2026- Dispatch'!$B$2:$H$1300,7,0),0)</f>
        <v>0</v>
      </c>
      <c r="K1025" s="61">
        <f t="shared" si="15"/>
        <v>0</v>
      </c>
      <c r="L1025" s="123">
        <v>0</v>
      </c>
    </row>
    <row r="1026" spans="1:13" hidden="1" x14ac:dyDescent="0.25">
      <c r="A1026" s="7">
        <v>1025</v>
      </c>
      <c r="B1026" s="152" t="s">
        <v>4613</v>
      </c>
      <c r="C1026" s="153" t="s">
        <v>4614</v>
      </c>
      <c r="D1026" s="153" t="s">
        <v>4615</v>
      </c>
      <c r="E1026" s="153" t="s">
        <v>2126</v>
      </c>
      <c r="F1026" s="6"/>
      <c r="G1026" s="6"/>
      <c r="H1026" s="85">
        <v>0</v>
      </c>
      <c r="I1026" s="103">
        <f>IFERROR(VLOOKUP(B1026,'July 2026-Recived'!$B$2:$H$1300,7,0),0)</f>
        <v>300</v>
      </c>
      <c r="J1026" s="103">
        <f>IFERROR(VLOOKUP(B1026,'July 2026- Dispatch'!$B$2:$H$1300,7,0),0)</f>
        <v>50</v>
      </c>
      <c r="K1026" s="61">
        <f t="shared" ref="K1026:K1089" si="16">H1026+I1026-J1026</f>
        <v>250</v>
      </c>
      <c r="L1026" s="123">
        <v>0</v>
      </c>
    </row>
    <row r="1027" spans="1:13" hidden="1" x14ac:dyDescent="0.25">
      <c r="A1027" s="7">
        <v>1026</v>
      </c>
      <c r="B1027" s="157" t="s">
        <v>1504</v>
      </c>
      <c r="C1027" s="158" t="s">
        <v>4616</v>
      </c>
      <c r="D1027" s="158" t="s">
        <v>4617</v>
      </c>
      <c r="E1027" s="153" t="s">
        <v>2126</v>
      </c>
      <c r="F1027" s="6"/>
      <c r="G1027" s="6"/>
      <c r="H1027" s="85">
        <v>0</v>
      </c>
      <c r="I1027" s="103">
        <f>IFERROR(VLOOKUP(B1027,'July 2026-Recived'!$B$2:$H$1300,7,0),0)</f>
        <v>0</v>
      </c>
      <c r="J1027" s="103">
        <f>IFERROR(VLOOKUP(B1027,'July 2026- Dispatch'!$B$2:$H$1300,7,0),0)</f>
        <v>0</v>
      </c>
      <c r="K1027" s="61">
        <f t="shared" si="16"/>
        <v>0</v>
      </c>
      <c r="L1027" s="123">
        <v>0</v>
      </c>
    </row>
    <row r="1028" spans="1:13" hidden="1" x14ac:dyDescent="0.25">
      <c r="A1028" s="7">
        <v>1027</v>
      </c>
      <c r="B1028" s="152" t="s">
        <v>4618</v>
      </c>
      <c r="C1028" s="153" t="s">
        <v>4619</v>
      </c>
      <c r="D1028" s="153" t="s">
        <v>4620</v>
      </c>
      <c r="E1028" s="153" t="s">
        <v>64</v>
      </c>
      <c r="F1028" s="6"/>
      <c r="G1028" s="6"/>
      <c r="H1028" s="85">
        <v>242</v>
      </c>
      <c r="I1028" s="103">
        <f>IFERROR(VLOOKUP(B1028,'July 2026-Recived'!$B$2:$H$1300,7,0),0)</f>
        <v>0</v>
      </c>
      <c r="J1028" s="103">
        <f>IFERROR(VLOOKUP(B1028,'July 2026- Dispatch'!$B$2:$H$1300,7,0),0)</f>
        <v>0</v>
      </c>
      <c r="K1028" s="61">
        <f t="shared" si="16"/>
        <v>242</v>
      </c>
      <c r="L1028" s="123">
        <v>0</v>
      </c>
    </row>
    <row r="1029" spans="1:13" hidden="1" x14ac:dyDescent="0.25">
      <c r="A1029" s="7">
        <v>1028</v>
      </c>
      <c r="B1029" s="152" t="s">
        <v>4621</v>
      </c>
      <c r="C1029" s="153" t="s">
        <v>4622</v>
      </c>
      <c r="D1029" s="153" t="s">
        <v>4623</v>
      </c>
      <c r="E1029" s="153" t="s">
        <v>64</v>
      </c>
      <c r="F1029" s="6"/>
      <c r="G1029" s="6"/>
      <c r="H1029" s="85">
        <v>300</v>
      </c>
      <c r="I1029" s="103">
        <f>IFERROR(VLOOKUP(B1029,'July 2026-Recived'!$B$2:$H$1300,7,0),0)</f>
        <v>0</v>
      </c>
      <c r="J1029" s="103">
        <f>IFERROR(VLOOKUP(B1029,'July 2026- Dispatch'!$B$2:$H$1300,7,0),0)</f>
        <v>0</v>
      </c>
      <c r="K1029" s="61">
        <f t="shared" si="16"/>
        <v>300</v>
      </c>
      <c r="L1029" s="123">
        <v>0</v>
      </c>
    </row>
    <row r="1030" spans="1:13" hidden="1" x14ac:dyDescent="0.25">
      <c r="A1030" s="7">
        <v>1029</v>
      </c>
      <c r="B1030" s="152" t="s">
        <v>4624</v>
      </c>
      <c r="C1030" s="153" t="s">
        <v>4625</v>
      </c>
      <c r="D1030" s="153" t="s">
        <v>4626</v>
      </c>
      <c r="E1030" s="153" t="s">
        <v>2126</v>
      </c>
      <c r="F1030" s="6"/>
      <c r="G1030" s="6"/>
      <c r="H1030" s="85">
        <v>0</v>
      </c>
      <c r="I1030" s="103">
        <f>IFERROR(VLOOKUP(B1030,'July 2026-Recived'!$B$2:$H$1300,7,0),0)</f>
        <v>0</v>
      </c>
      <c r="J1030" s="103">
        <f>IFERROR(VLOOKUP(B1030,'July 2026- Dispatch'!$B$2:$H$1300,7,0),0)</f>
        <v>0</v>
      </c>
      <c r="K1030" s="61">
        <f t="shared" si="16"/>
        <v>0</v>
      </c>
      <c r="L1030" s="123">
        <v>0</v>
      </c>
    </row>
    <row r="1031" spans="1:13" hidden="1" x14ac:dyDescent="0.25">
      <c r="A1031" s="7">
        <v>1030</v>
      </c>
      <c r="B1031" s="152" t="s">
        <v>4627</v>
      </c>
      <c r="C1031" s="153" t="s">
        <v>4628</v>
      </c>
      <c r="D1031" s="153" t="s">
        <v>4629</v>
      </c>
      <c r="E1031" s="153" t="s">
        <v>2126</v>
      </c>
      <c r="F1031" s="6"/>
      <c r="G1031" s="6"/>
      <c r="H1031" s="85">
        <v>0</v>
      </c>
      <c r="I1031" s="103">
        <f>IFERROR(VLOOKUP(B1031,'July 2026-Recived'!$B$2:$H$1300,7,0),0)</f>
        <v>0</v>
      </c>
      <c r="J1031" s="103">
        <f>IFERROR(VLOOKUP(B1031,'July 2026- Dispatch'!$B$2:$H$1300,7,0),0)</f>
        <v>0</v>
      </c>
      <c r="K1031" s="61">
        <f t="shared" si="16"/>
        <v>0</v>
      </c>
      <c r="L1031" s="123">
        <v>0</v>
      </c>
    </row>
    <row r="1032" spans="1:13" hidden="1" x14ac:dyDescent="0.25">
      <c r="A1032" s="7">
        <v>1031</v>
      </c>
      <c r="B1032" s="152" t="s">
        <v>4630</v>
      </c>
      <c r="C1032" s="153" t="s">
        <v>4631</v>
      </c>
      <c r="D1032" s="153" t="s">
        <v>4632</v>
      </c>
      <c r="E1032" s="153" t="s">
        <v>2126</v>
      </c>
      <c r="F1032" s="6"/>
      <c r="G1032" s="6"/>
      <c r="H1032" s="85">
        <v>0</v>
      </c>
      <c r="I1032" s="103">
        <f>IFERROR(VLOOKUP(B1032,'July 2026-Recived'!$B$2:$H$1300,7,0),0)</f>
        <v>0</v>
      </c>
      <c r="J1032" s="103">
        <f>IFERROR(VLOOKUP(B1032,'July 2026- Dispatch'!$B$2:$H$1300,7,0),0)</f>
        <v>0</v>
      </c>
      <c r="K1032" s="61">
        <f t="shared" si="16"/>
        <v>0</v>
      </c>
      <c r="L1032" s="123">
        <v>0</v>
      </c>
    </row>
    <row r="1033" spans="1:13" hidden="1" x14ac:dyDescent="0.25">
      <c r="A1033" s="7">
        <v>1032</v>
      </c>
      <c r="B1033" s="152" t="s">
        <v>4633</v>
      </c>
      <c r="C1033" s="153" t="s">
        <v>4634</v>
      </c>
      <c r="D1033" s="153" t="s">
        <v>4635</v>
      </c>
      <c r="E1033" s="153" t="s">
        <v>2126</v>
      </c>
      <c r="F1033" s="6"/>
      <c r="G1033" s="6"/>
      <c r="H1033" s="85">
        <v>0</v>
      </c>
      <c r="I1033" s="103">
        <f>IFERROR(VLOOKUP(B1033,'July 2026-Recived'!$B$2:$H$1300,7,0),0)</f>
        <v>0</v>
      </c>
      <c r="J1033" s="103">
        <f>IFERROR(VLOOKUP(B1033,'July 2026- Dispatch'!$B$2:$H$1300,7,0),0)</f>
        <v>0</v>
      </c>
      <c r="K1033" s="61">
        <f t="shared" si="16"/>
        <v>0</v>
      </c>
      <c r="L1033" s="123">
        <v>0</v>
      </c>
    </row>
    <row r="1034" spans="1:13" hidden="1" x14ac:dyDescent="0.25">
      <c r="A1034" s="7">
        <v>1033</v>
      </c>
      <c r="B1034" s="152" t="s">
        <v>4636</v>
      </c>
      <c r="C1034" s="153" t="s">
        <v>4637</v>
      </c>
      <c r="D1034" s="153" t="s">
        <v>4638</v>
      </c>
      <c r="E1034" s="153" t="s">
        <v>2126</v>
      </c>
      <c r="F1034" s="6"/>
      <c r="G1034" s="6"/>
      <c r="H1034" s="85">
        <v>0</v>
      </c>
      <c r="I1034" s="103">
        <f>IFERROR(VLOOKUP(B1034,'July 2026-Recived'!$B$2:$H$1300,7,0),0)</f>
        <v>0</v>
      </c>
      <c r="J1034" s="103">
        <f>IFERROR(VLOOKUP(B1034,'July 2026- Dispatch'!$B$2:$H$1300,7,0),0)</f>
        <v>0</v>
      </c>
      <c r="K1034" s="61">
        <f t="shared" si="16"/>
        <v>0</v>
      </c>
      <c r="L1034" s="123">
        <v>0</v>
      </c>
    </row>
    <row r="1035" spans="1:13" hidden="1" x14ac:dyDescent="0.25">
      <c r="A1035" s="7">
        <v>1034</v>
      </c>
      <c r="B1035" s="152" t="s">
        <v>4639</v>
      </c>
      <c r="C1035" s="153" t="s">
        <v>4640</v>
      </c>
      <c r="D1035" s="153" t="s">
        <v>4641</v>
      </c>
      <c r="E1035" s="153" t="s">
        <v>2160</v>
      </c>
      <c r="F1035" s="6"/>
      <c r="G1035" s="6"/>
      <c r="H1035" s="85">
        <v>0</v>
      </c>
      <c r="I1035" s="103">
        <f>IFERROR(VLOOKUP(B1035,'July 2026-Recived'!$B$2:$H$1300,7,0),0)</f>
        <v>0</v>
      </c>
      <c r="J1035" s="103">
        <f>IFERROR(VLOOKUP(B1035,'July 2026- Dispatch'!$B$2:$H$1300,7,0),0)</f>
        <v>0</v>
      </c>
      <c r="K1035" s="61">
        <f t="shared" si="16"/>
        <v>0</v>
      </c>
      <c r="L1035" s="123">
        <v>0</v>
      </c>
    </row>
    <row r="1036" spans="1:13" hidden="1" x14ac:dyDescent="0.25">
      <c r="A1036" s="7">
        <v>1035</v>
      </c>
      <c r="B1036" s="152" t="s">
        <v>4642</v>
      </c>
      <c r="C1036" s="153" t="s">
        <v>4643</v>
      </c>
      <c r="D1036" s="153" t="s">
        <v>4644</v>
      </c>
      <c r="E1036" s="153" t="s">
        <v>2126</v>
      </c>
      <c r="F1036" s="6"/>
      <c r="G1036" s="6"/>
      <c r="H1036" s="85">
        <v>0</v>
      </c>
      <c r="I1036" s="103">
        <f>IFERROR(VLOOKUP(B1036,'July 2026-Recived'!$B$2:$H$1300,7,0),0)</f>
        <v>0</v>
      </c>
      <c r="J1036" s="103">
        <f>IFERROR(VLOOKUP(B1036,'July 2026- Dispatch'!$B$2:$H$1300,7,0),0)</f>
        <v>0</v>
      </c>
      <c r="K1036" s="61">
        <f t="shared" si="16"/>
        <v>0</v>
      </c>
      <c r="L1036" s="123">
        <v>0</v>
      </c>
    </row>
    <row r="1037" spans="1:13" hidden="1" x14ac:dyDescent="0.25">
      <c r="A1037" s="7">
        <v>1036</v>
      </c>
      <c r="B1037" s="152" t="s">
        <v>4645</v>
      </c>
      <c r="C1037" s="153" t="s">
        <v>4646</v>
      </c>
      <c r="D1037" s="153" t="s">
        <v>4647</v>
      </c>
      <c r="E1037" s="153" t="s">
        <v>2126</v>
      </c>
      <c r="F1037" s="6"/>
      <c r="G1037" s="6"/>
      <c r="H1037" s="85">
        <v>0</v>
      </c>
      <c r="I1037" s="103">
        <f>IFERROR(VLOOKUP(B1037,'July 2026-Recived'!$B$2:$H$1300,7,0),0)</f>
        <v>0</v>
      </c>
      <c r="J1037" s="103">
        <f>IFERROR(VLOOKUP(B1037,'July 2026- Dispatch'!$B$2:$H$1300,7,0),0)</f>
        <v>0</v>
      </c>
      <c r="K1037" s="61">
        <f t="shared" si="16"/>
        <v>0</v>
      </c>
      <c r="L1037" s="123">
        <v>0</v>
      </c>
    </row>
    <row r="1038" spans="1:13" hidden="1" x14ac:dyDescent="0.25">
      <c r="A1038" s="7">
        <v>1037</v>
      </c>
      <c r="B1038" s="152" t="s">
        <v>4648</v>
      </c>
      <c r="C1038" s="153" t="s">
        <v>4649</v>
      </c>
      <c r="D1038" s="153" t="s">
        <v>4650</v>
      </c>
      <c r="E1038" s="153" t="s">
        <v>2126</v>
      </c>
      <c r="F1038" s="6"/>
      <c r="G1038" s="6"/>
      <c r="H1038" s="85">
        <v>0</v>
      </c>
      <c r="I1038" s="103">
        <f>IFERROR(VLOOKUP(B1038,'July 2026-Recived'!$B$2:$H$1300,7,0),0)</f>
        <v>0</v>
      </c>
      <c r="J1038" s="103">
        <f>IFERROR(VLOOKUP(B1038,'July 2026- Dispatch'!$B$2:$H$1300,7,0),0)</f>
        <v>0</v>
      </c>
      <c r="K1038" s="61">
        <f t="shared" si="16"/>
        <v>0</v>
      </c>
      <c r="L1038" s="123">
        <v>0</v>
      </c>
    </row>
    <row r="1039" spans="1:13" hidden="1" x14ac:dyDescent="0.25">
      <c r="A1039" s="7">
        <v>1038</v>
      </c>
      <c r="B1039" s="157" t="s">
        <v>4651</v>
      </c>
      <c r="C1039" s="158" t="s">
        <v>4652</v>
      </c>
      <c r="D1039" s="158" t="s">
        <v>4653</v>
      </c>
      <c r="E1039" s="153" t="s">
        <v>2126</v>
      </c>
      <c r="F1039" s="6"/>
      <c r="G1039" s="6"/>
      <c r="H1039" s="85">
        <v>0</v>
      </c>
      <c r="I1039" s="103">
        <f>IFERROR(VLOOKUP(B1039,'July 2026-Recived'!$B$2:$H$1300,7,0),0)</f>
        <v>0</v>
      </c>
      <c r="J1039" s="103">
        <f>IFERROR(VLOOKUP(B1039,'July 2026- Dispatch'!$B$2:$H$1300,7,0),0)</f>
        <v>0</v>
      </c>
      <c r="K1039" s="61">
        <f t="shared" si="16"/>
        <v>0</v>
      </c>
      <c r="L1039" s="123">
        <v>0</v>
      </c>
      <c r="M1039" s="60"/>
    </row>
    <row r="1040" spans="1:13" hidden="1" x14ac:dyDescent="0.25">
      <c r="A1040" s="7">
        <v>1039</v>
      </c>
      <c r="B1040" s="152" t="s">
        <v>665</v>
      </c>
      <c r="C1040" s="153" t="s">
        <v>4654</v>
      </c>
      <c r="D1040" s="153" t="s">
        <v>4655</v>
      </c>
      <c r="E1040" s="153" t="s">
        <v>64</v>
      </c>
      <c r="F1040" s="6"/>
      <c r="G1040" s="6"/>
      <c r="H1040" s="85">
        <v>1</v>
      </c>
      <c r="I1040" s="103">
        <f>IFERROR(VLOOKUP(B1040,'July 2026-Recived'!$B$2:$H$1300,7,0),0)</f>
        <v>0</v>
      </c>
      <c r="J1040" s="103">
        <f>IFERROR(VLOOKUP(B1040,'July 2026- Dispatch'!$B$2:$H$1300,7,0),0)</f>
        <v>0</v>
      </c>
      <c r="K1040" s="61">
        <f t="shared" si="16"/>
        <v>1</v>
      </c>
      <c r="L1040" s="123">
        <v>0</v>
      </c>
    </row>
    <row r="1041" spans="1:14" hidden="1" x14ac:dyDescent="0.25">
      <c r="A1041" s="7">
        <v>1040</v>
      </c>
      <c r="B1041" s="152" t="s">
        <v>120</v>
      </c>
      <c r="C1041" s="153" t="s">
        <v>4656</v>
      </c>
      <c r="D1041" s="153" t="s">
        <v>4657</v>
      </c>
      <c r="E1041" s="153" t="s">
        <v>2126</v>
      </c>
      <c r="F1041" s="6"/>
      <c r="G1041" s="6"/>
      <c r="H1041" s="85">
        <v>0</v>
      </c>
      <c r="I1041" s="103">
        <f>IFERROR(VLOOKUP(B1041,'July 2026-Recived'!$B$2:$H$1300,7,0),0)</f>
        <v>0</v>
      </c>
      <c r="J1041" s="103">
        <f>IFERROR(VLOOKUP(B1041,'July 2026- Dispatch'!$B$2:$H$1300,7,0),0)</f>
        <v>0</v>
      </c>
      <c r="K1041" s="61">
        <f t="shared" si="16"/>
        <v>0</v>
      </c>
      <c r="L1041" s="123">
        <v>0</v>
      </c>
    </row>
    <row r="1042" spans="1:14" hidden="1" x14ac:dyDescent="0.25">
      <c r="A1042" s="7">
        <v>1041</v>
      </c>
      <c r="B1042" s="152" t="s">
        <v>2009</v>
      </c>
      <c r="C1042" s="153" t="s">
        <v>2010</v>
      </c>
      <c r="D1042" s="153" t="s">
        <v>4658</v>
      </c>
      <c r="E1042" s="153" t="s">
        <v>2126</v>
      </c>
      <c r="F1042" s="6"/>
      <c r="G1042" s="6"/>
      <c r="H1042" s="85">
        <v>0</v>
      </c>
      <c r="I1042" s="103">
        <f>IFERROR(VLOOKUP(B1042,'July 2026-Recived'!$B$2:$H$1300,7,0),0)</f>
        <v>0</v>
      </c>
      <c r="J1042" s="103">
        <f>IFERROR(VLOOKUP(B1042,'July 2026- Dispatch'!$B$2:$H$1300,7,0),0)</f>
        <v>0</v>
      </c>
      <c r="K1042" s="61">
        <f t="shared" si="16"/>
        <v>0</v>
      </c>
      <c r="L1042" s="123">
        <v>0</v>
      </c>
    </row>
    <row r="1043" spans="1:14" hidden="1" x14ac:dyDescent="0.25">
      <c r="A1043" s="7">
        <v>1042</v>
      </c>
      <c r="B1043" s="152" t="s">
        <v>652</v>
      </c>
      <c r="C1043" s="153" t="s">
        <v>4659</v>
      </c>
      <c r="D1043" s="153" t="s">
        <v>4660</v>
      </c>
      <c r="E1043" s="153" t="s">
        <v>2126</v>
      </c>
      <c r="F1043" s="6"/>
      <c r="G1043" s="6"/>
      <c r="H1043" s="85">
        <v>0</v>
      </c>
      <c r="I1043" s="103">
        <f>IFERROR(VLOOKUP(B1043,'July 2026-Recived'!$B$2:$H$1300,7,0),0)</f>
        <v>3.2</v>
      </c>
      <c r="J1043" s="103">
        <f>IFERROR(VLOOKUP(B1043,'July 2026- Dispatch'!$B$2:$H$1300,7,0),0)</f>
        <v>3.1999999999999997</v>
      </c>
      <c r="K1043" s="61">
        <f t="shared" si="16"/>
        <v>0</v>
      </c>
      <c r="L1043" s="123">
        <v>0</v>
      </c>
    </row>
    <row r="1044" spans="1:14" hidden="1" x14ac:dyDescent="0.25">
      <c r="A1044" s="7">
        <v>1043</v>
      </c>
      <c r="B1044" s="152" t="s">
        <v>47</v>
      </c>
      <c r="C1044" s="153" t="s">
        <v>4661</v>
      </c>
      <c r="D1044" s="153" t="s">
        <v>4662</v>
      </c>
      <c r="E1044" s="153" t="s">
        <v>64</v>
      </c>
      <c r="F1044" s="6"/>
      <c r="G1044" s="6"/>
      <c r="H1044" s="85">
        <v>219.24</v>
      </c>
      <c r="I1044" s="103">
        <f>IFERROR(VLOOKUP(B1044,'July 2026-Recived'!$B$2:$H$1300,7,0),0)</f>
        <v>0</v>
      </c>
      <c r="J1044" s="103">
        <f>IFERROR(VLOOKUP(B1044,'July 2026- Dispatch'!$B$2:$H$1300,7,0),0)</f>
        <v>211.44</v>
      </c>
      <c r="K1044" s="61">
        <f t="shared" si="16"/>
        <v>7.8000000000000114</v>
      </c>
      <c r="L1044" s="123">
        <v>0</v>
      </c>
    </row>
    <row r="1045" spans="1:14" hidden="1" x14ac:dyDescent="0.25">
      <c r="A1045" s="7">
        <v>1044</v>
      </c>
      <c r="B1045" s="152" t="s">
        <v>1289</v>
      </c>
      <c r="C1045" s="153" t="s">
        <v>4663</v>
      </c>
      <c r="D1045" s="153" t="s">
        <v>4664</v>
      </c>
      <c r="E1045" s="153" t="s">
        <v>2160</v>
      </c>
      <c r="F1045" s="6"/>
      <c r="G1045" s="6"/>
      <c r="H1045" s="85">
        <v>0</v>
      </c>
      <c r="I1045" s="103">
        <f>IFERROR(VLOOKUP(B1045,'July 2026-Recived'!$B$2:$H$1300,7,0),0)</f>
        <v>9.52</v>
      </c>
      <c r="J1045" s="103">
        <f>IFERROR(VLOOKUP(B1045,'July 2026- Dispatch'!$B$2:$H$1300,7,0),0)</f>
        <v>0</v>
      </c>
      <c r="K1045" s="61">
        <f t="shared" si="16"/>
        <v>9.52</v>
      </c>
      <c r="L1045" s="123">
        <v>0</v>
      </c>
    </row>
    <row r="1046" spans="1:14" hidden="1" x14ac:dyDescent="0.25">
      <c r="A1046" s="7">
        <v>1045</v>
      </c>
      <c r="B1046" s="152" t="s">
        <v>4665</v>
      </c>
      <c r="C1046" s="153" t="s">
        <v>4666</v>
      </c>
      <c r="D1046" s="153" t="s">
        <v>4667</v>
      </c>
      <c r="E1046" s="153" t="s">
        <v>2126</v>
      </c>
      <c r="F1046" s="6"/>
      <c r="G1046" s="6"/>
      <c r="H1046" s="85">
        <v>0</v>
      </c>
      <c r="I1046" s="103">
        <f>IFERROR(VLOOKUP(B1046,'July 2026-Recived'!$B$2:$H$1300,7,0),0)</f>
        <v>0</v>
      </c>
      <c r="J1046" s="103">
        <f>IFERROR(VLOOKUP(B1046,'July 2026- Dispatch'!$B$2:$H$1300,7,0),0)</f>
        <v>0</v>
      </c>
      <c r="K1046" s="61">
        <f t="shared" si="16"/>
        <v>0</v>
      </c>
      <c r="L1046" s="123">
        <v>0</v>
      </c>
    </row>
    <row r="1047" spans="1:14" hidden="1" x14ac:dyDescent="0.25">
      <c r="A1047" s="7">
        <v>1046</v>
      </c>
      <c r="B1047" s="152" t="s">
        <v>65</v>
      </c>
      <c r="C1047" s="153" t="s">
        <v>4668</v>
      </c>
      <c r="D1047" s="153" t="s">
        <v>4669</v>
      </c>
      <c r="E1047" s="153" t="s">
        <v>64</v>
      </c>
      <c r="F1047" s="6"/>
      <c r="G1047" s="6"/>
      <c r="H1047" s="85">
        <v>36.9</v>
      </c>
      <c r="I1047" s="103">
        <f>IFERROR(VLOOKUP(B1047,'July 2026-Recived'!$B$2:$H$1300,7,0),0)</f>
        <v>0</v>
      </c>
      <c r="J1047" s="103">
        <f>IFERROR(VLOOKUP(B1047,'July 2026- Dispatch'!$B$2:$H$1300,7,0),0)</f>
        <v>0</v>
      </c>
      <c r="K1047" s="61">
        <f t="shared" si="16"/>
        <v>36.9</v>
      </c>
      <c r="L1047" s="123">
        <v>0</v>
      </c>
    </row>
    <row r="1048" spans="1:14" hidden="1" x14ac:dyDescent="0.25">
      <c r="A1048" s="7">
        <v>1047</v>
      </c>
      <c r="B1048" s="152" t="s">
        <v>1321</v>
      </c>
      <c r="C1048" s="153" t="s">
        <v>4670</v>
      </c>
      <c r="D1048" s="153" t="s">
        <v>4671</v>
      </c>
      <c r="E1048" s="153" t="s">
        <v>64</v>
      </c>
      <c r="F1048" s="6"/>
      <c r="G1048" s="6"/>
      <c r="H1048" s="85">
        <v>22</v>
      </c>
      <c r="I1048" s="103">
        <f>IFERROR(VLOOKUP(B1048,'July 2026-Recived'!$B$2:$H$1300,7,0),0)</f>
        <v>0</v>
      </c>
      <c r="J1048" s="103">
        <f>IFERROR(VLOOKUP(B1048,'July 2026- Dispatch'!$B$2:$H$1300,7,0),0)</f>
        <v>0</v>
      </c>
      <c r="K1048" s="61">
        <f t="shared" si="16"/>
        <v>22</v>
      </c>
      <c r="L1048" s="123">
        <v>0</v>
      </c>
    </row>
    <row r="1049" spans="1:14" hidden="1" x14ac:dyDescent="0.25">
      <c r="A1049" s="7">
        <v>1048</v>
      </c>
      <c r="B1049" s="152" t="s">
        <v>1471</v>
      </c>
      <c r="C1049" s="153" t="s">
        <v>4672</v>
      </c>
      <c r="D1049" s="153" t="s">
        <v>4673</v>
      </c>
      <c r="E1049" s="153" t="s">
        <v>2111</v>
      </c>
      <c r="F1049" s="6"/>
      <c r="G1049" s="6"/>
      <c r="H1049" s="85">
        <v>77.489999999999995</v>
      </c>
      <c r="I1049" s="103">
        <f>IFERROR(VLOOKUP(B1049,'July 2026-Recived'!$B$2:$H$1300,7,0),0)</f>
        <v>0</v>
      </c>
      <c r="J1049" s="103">
        <f>IFERROR(VLOOKUP(B1049,'July 2026- Dispatch'!$B$2:$H$1300,7,0),0)</f>
        <v>0</v>
      </c>
      <c r="K1049" s="61">
        <f t="shared" si="16"/>
        <v>77.489999999999995</v>
      </c>
      <c r="L1049" s="123">
        <v>0</v>
      </c>
    </row>
    <row r="1050" spans="1:14" hidden="1" x14ac:dyDescent="0.25">
      <c r="A1050" s="7">
        <v>1049</v>
      </c>
      <c r="B1050" s="152" t="s">
        <v>508</v>
      </c>
      <c r="C1050" s="153" t="s">
        <v>4674</v>
      </c>
      <c r="D1050" s="153" t="s">
        <v>4675</v>
      </c>
      <c r="E1050" s="153" t="s">
        <v>64</v>
      </c>
      <c r="F1050" s="6"/>
      <c r="G1050" s="6"/>
      <c r="H1050" s="85">
        <v>28</v>
      </c>
      <c r="I1050" s="103">
        <f>IFERROR(VLOOKUP(B1050,'July 2026-Recived'!$B$2:$H$1300,7,0),0)</f>
        <v>0</v>
      </c>
      <c r="J1050" s="103">
        <f>IFERROR(VLOOKUP(B1050,'July 2026- Dispatch'!$B$2:$H$1300,7,0),0)</f>
        <v>1</v>
      </c>
      <c r="K1050" s="61">
        <f t="shared" si="16"/>
        <v>27</v>
      </c>
      <c r="L1050" s="123">
        <v>0</v>
      </c>
    </row>
    <row r="1051" spans="1:14" hidden="1" x14ac:dyDescent="0.25">
      <c r="A1051" s="7">
        <v>1050</v>
      </c>
      <c r="B1051" s="152" t="s">
        <v>4676</v>
      </c>
      <c r="C1051" s="153" t="s">
        <v>4677</v>
      </c>
      <c r="D1051" s="153" t="s">
        <v>4678</v>
      </c>
      <c r="E1051" s="153" t="s">
        <v>2126</v>
      </c>
      <c r="F1051" s="6"/>
      <c r="G1051" s="6"/>
      <c r="H1051" s="85">
        <v>0</v>
      </c>
      <c r="I1051" s="103">
        <f>IFERROR(VLOOKUP(B1051,'July 2026-Recived'!$B$2:$H$1300,7,0),0)</f>
        <v>0</v>
      </c>
      <c r="J1051" s="103">
        <f>IFERROR(VLOOKUP(B1051,'July 2026- Dispatch'!$B$2:$H$1300,7,0),0)</f>
        <v>0</v>
      </c>
      <c r="K1051" s="61">
        <f t="shared" si="16"/>
        <v>0</v>
      </c>
      <c r="L1051" s="123">
        <v>0</v>
      </c>
    </row>
    <row r="1052" spans="1:14" hidden="1" x14ac:dyDescent="0.25">
      <c r="A1052" s="7">
        <v>1051</v>
      </c>
      <c r="B1052" s="152" t="s">
        <v>422</v>
      </c>
      <c r="C1052" s="153" t="s">
        <v>4679</v>
      </c>
      <c r="D1052" s="153" t="s">
        <v>4680</v>
      </c>
      <c r="E1052" s="153" t="s">
        <v>2126</v>
      </c>
      <c r="F1052" s="6"/>
      <c r="G1052" s="6"/>
      <c r="H1052" s="85">
        <v>0</v>
      </c>
      <c r="I1052" s="103">
        <f>IFERROR(VLOOKUP(B1052,'July 2026-Recived'!$B$2:$H$1300,7,0),0)</f>
        <v>0</v>
      </c>
      <c r="J1052" s="103">
        <f>IFERROR(VLOOKUP(B1052,'July 2026- Dispatch'!$B$2:$H$1300,7,0),0)</f>
        <v>0</v>
      </c>
      <c r="K1052" s="61">
        <f t="shared" si="16"/>
        <v>0</v>
      </c>
      <c r="L1052" s="123">
        <v>0</v>
      </c>
    </row>
    <row r="1053" spans="1:14" hidden="1" x14ac:dyDescent="0.25">
      <c r="A1053" s="7">
        <v>1052</v>
      </c>
      <c r="B1053" s="152" t="s">
        <v>4681</v>
      </c>
      <c r="C1053" s="153" t="s">
        <v>4682</v>
      </c>
      <c r="D1053" s="153" t="s">
        <v>4683</v>
      </c>
      <c r="E1053" s="153" t="s">
        <v>2126</v>
      </c>
      <c r="F1053" s="6"/>
      <c r="G1053" s="6"/>
      <c r="H1053" s="85">
        <v>0</v>
      </c>
      <c r="I1053" s="103">
        <f>IFERROR(VLOOKUP(B1053,'July 2026-Recived'!$B$2:$H$1300,7,0),0)</f>
        <v>0</v>
      </c>
      <c r="J1053" s="103">
        <f>IFERROR(VLOOKUP(B1053,'July 2026- Dispatch'!$B$2:$H$1300,7,0),0)</f>
        <v>0</v>
      </c>
      <c r="K1053" s="61">
        <f t="shared" si="16"/>
        <v>0</v>
      </c>
      <c r="L1053" s="123">
        <v>0</v>
      </c>
    </row>
    <row r="1054" spans="1:14" hidden="1" x14ac:dyDescent="0.25">
      <c r="A1054" s="7">
        <v>1053</v>
      </c>
      <c r="B1054" s="152" t="s">
        <v>1004</v>
      </c>
      <c r="C1054" s="153" t="s">
        <v>4684</v>
      </c>
      <c r="D1054" s="153" t="s">
        <v>4685</v>
      </c>
      <c r="E1054" s="153" t="s">
        <v>64</v>
      </c>
      <c r="F1054" s="6"/>
      <c r="G1054" s="6"/>
      <c r="H1054" s="85">
        <v>644</v>
      </c>
      <c r="I1054" s="103">
        <f>IFERROR(VLOOKUP(B1054,'July 2026-Recived'!$B$2:$H$1300,7,0),0)</f>
        <v>0</v>
      </c>
      <c r="J1054" s="103">
        <f>IFERROR(VLOOKUP(B1054,'July 2026- Dispatch'!$B$2:$H$1300,7,0),0)</f>
        <v>17</v>
      </c>
      <c r="K1054" s="61">
        <f t="shared" si="16"/>
        <v>627</v>
      </c>
      <c r="L1054" s="123">
        <v>0</v>
      </c>
    </row>
    <row r="1055" spans="1:14" hidden="1" x14ac:dyDescent="0.25">
      <c r="A1055" s="7">
        <v>1054</v>
      </c>
      <c r="B1055" s="152" t="s">
        <v>903</v>
      </c>
      <c r="C1055" s="153" t="s">
        <v>4686</v>
      </c>
      <c r="D1055" s="153" t="s">
        <v>4687</v>
      </c>
      <c r="E1055" s="153" t="s">
        <v>2126</v>
      </c>
      <c r="F1055" s="6"/>
      <c r="G1055" s="6"/>
      <c r="H1055" s="85">
        <v>0</v>
      </c>
      <c r="I1055" s="103">
        <f>IFERROR(VLOOKUP(B1055,'July 2026-Recived'!$B$2:$H$1300,7,0),0)</f>
        <v>0</v>
      </c>
      <c r="J1055" s="103">
        <f>IFERROR(VLOOKUP(B1055,'July 2026- Dispatch'!$B$2:$H$1300,7,0),0)</f>
        <v>0</v>
      </c>
      <c r="K1055" s="61">
        <f t="shared" si="16"/>
        <v>0</v>
      </c>
      <c r="L1055" s="123">
        <v>0</v>
      </c>
    </row>
    <row r="1056" spans="1:14" hidden="1" x14ac:dyDescent="0.25">
      <c r="A1056" s="7">
        <v>1055</v>
      </c>
      <c r="B1056" s="152" t="s">
        <v>534</v>
      </c>
      <c r="C1056" s="153" t="s">
        <v>4688</v>
      </c>
      <c r="D1056" s="153" t="s">
        <v>4689</v>
      </c>
      <c r="E1056" s="153" t="s">
        <v>2126</v>
      </c>
      <c r="F1056" s="6"/>
      <c r="G1056" s="6"/>
      <c r="H1056" s="85">
        <v>0</v>
      </c>
      <c r="I1056" s="103">
        <f>IFERROR(VLOOKUP(B1056,'July 2026-Recived'!$B$2:$H$1300,7,0),0)</f>
        <v>16</v>
      </c>
      <c r="J1056" s="103">
        <f>IFERROR(VLOOKUP(B1056,'July 2026- Dispatch'!$B$2:$H$1300,7,0),0)</f>
        <v>0</v>
      </c>
      <c r="K1056" s="61">
        <f t="shared" si="16"/>
        <v>16</v>
      </c>
      <c r="L1056" s="123">
        <v>0</v>
      </c>
    </row>
    <row r="1057" spans="1:12" hidden="1" x14ac:dyDescent="0.25">
      <c r="A1057" s="7">
        <v>1056</v>
      </c>
      <c r="B1057" s="152" t="s">
        <v>1978</v>
      </c>
      <c r="C1057" s="153" t="s">
        <v>4690</v>
      </c>
      <c r="D1057" s="153" t="s">
        <v>4691</v>
      </c>
      <c r="E1057" s="153" t="s">
        <v>64</v>
      </c>
      <c r="F1057" s="6"/>
      <c r="G1057" s="6"/>
      <c r="H1057" s="85">
        <v>9.75</v>
      </c>
      <c r="I1057" s="103">
        <f>IFERROR(VLOOKUP(B1057,'July 2026-Recived'!$B$2:$H$1300,7,0),0)</f>
        <v>0</v>
      </c>
      <c r="J1057" s="103">
        <f>IFERROR(VLOOKUP(B1057,'July 2026- Dispatch'!$B$2:$H$1300,7,0),0)</f>
        <v>0</v>
      </c>
      <c r="K1057" s="61">
        <f t="shared" si="16"/>
        <v>9.75</v>
      </c>
      <c r="L1057" s="123">
        <v>0</v>
      </c>
    </row>
    <row r="1058" spans="1:12" hidden="1" x14ac:dyDescent="0.25">
      <c r="A1058" s="7">
        <v>1057</v>
      </c>
      <c r="B1058" s="152" t="s">
        <v>1778</v>
      </c>
      <c r="C1058" s="153" t="s">
        <v>4692</v>
      </c>
      <c r="D1058" s="153" t="s">
        <v>4693</v>
      </c>
      <c r="E1058" s="153" t="s">
        <v>2126</v>
      </c>
      <c r="F1058" s="6"/>
      <c r="G1058" s="6"/>
      <c r="H1058" s="85">
        <v>0</v>
      </c>
      <c r="I1058" s="103">
        <f>IFERROR(VLOOKUP(B1058,'July 2026-Recived'!$B$2:$H$1300,7,0),0)</f>
        <v>300</v>
      </c>
      <c r="J1058" s="103">
        <f>IFERROR(VLOOKUP(B1058,'July 2026- Dispatch'!$B$2:$H$1300,7,0),0)</f>
        <v>0</v>
      </c>
      <c r="K1058" s="61">
        <f t="shared" si="16"/>
        <v>300</v>
      </c>
      <c r="L1058" s="123">
        <v>0</v>
      </c>
    </row>
    <row r="1059" spans="1:12" hidden="1" x14ac:dyDescent="0.25">
      <c r="A1059" s="7">
        <v>1058</v>
      </c>
      <c r="B1059" s="152" t="s">
        <v>1780</v>
      </c>
      <c r="C1059" s="153" t="s">
        <v>4694</v>
      </c>
      <c r="D1059" s="153" t="s">
        <v>4695</v>
      </c>
      <c r="E1059" s="153" t="s">
        <v>2126</v>
      </c>
      <c r="F1059" s="6"/>
      <c r="G1059" s="6"/>
      <c r="H1059" s="85">
        <v>0</v>
      </c>
      <c r="I1059" s="103">
        <f>IFERROR(VLOOKUP(B1059,'July 2026-Recived'!$B$2:$H$1300,7,0),0)</f>
        <v>0</v>
      </c>
      <c r="J1059" s="103">
        <f>IFERROR(VLOOKUP(B1059,'July 2026- Dispatch'!$B$2:$H$1300,7,0),0)</f>
        <v>0</v>
      </c>
      <c r="K1059" s="61">
        <f t="shared" si="16"/>
        <v>0</v>
      </c>
      <c r="L1059" s="123">
        <v>0</v>
      </c>
    </row>
    <row r="1060" spans="1:12" hidden="1" x14ac:dyDescent="0.25">
      <c r="A1060" s="7">
        <v>1059</v>
      </c>
      <c r="B1060" s="152" t="s">
        <v>1814</v>
      </c>
      <c r="C1060" s="153" t="s">
        <v>4696</v>
      </c>
      <c r="D1060" s="153" t="s">
        <v>4697</v>
      </c>
      <c r="E1060" s="153" t="s">
        <v>64</v>
      </c>
      <c r="F1060" s="6"/>
      <c r="G1060" s="6"/>
      <c r="H1060" s="85">
        <v>7</v>
      </c>
      <c r="I1060" s="103">
        <f>IFERROR(VLOOKUP(B1060,'July 2026-Recived'!$B$2:$H$1300,7,0),0)</f>
        <v>0</v>
      </c>
      <c r="J1060" s="103">
        <f>IFERROR(VLOOKUP(B1060,'July 2026- Dispatch'!$B$2:$H$1300,7,0),0)</f>
        <v>0</v>
      </c>
      <c r="K1060" s="61">
        <f t="shared" si="16"/>
        <v>7</v>
      </c>
      <c r="L1060" s="123">
        <v>0</v>
      </c>
    </row>
    <row r="1061" spans="1:12" hidden="1" x14ac:dyDescent="0.25">
      <c r="A1061" s="7">
        <v>1060</v>
      </c>
      <c r="B1061" s="152" t="s">
        <v>660</v>
      </c>
      <c r="C1061" s="153" t="s">
        <v>4698</v>
      </c>
      <c r="D1061" s="153" t="s">
        <v>4699</v>
      </c>
      <c r="E1061" s="153" t="s">
        <v>2126</v>
      </c>
      <c r="F1061" s="6"/>
      <c r="G1061" s="6"/>
      <c r="H1061" s="85">
        <v>0</v>
      </c>
      <c r="I1061" s="103">
        <f>IFERROR(VLOOKUP(B1061,'July 2026-Recived'!$B$2:$H$1300,7,0),0)</f>
        <v>9.36</v>
      </c>
      <c r="J1061" s="103">
        <f>IFERROR(VLOOKUP(B1061,'July 2026- Dispatch'!$B$2:$H$1300,7,0),0)</f>
        <v>0</v>
      </c>
      <c r="K1061" s="61">
        <f t="shared" si="16"/>
        <v>9.36</v>
      </c>
      <c r="L1061" s="123">
        <v>0</v>
      </c>
    </row>
    <row r="1062" spans="1:12" hidden="1" x14ac:dyDescent="0.25">
      <c r="A1062" s="7">
        <v>1061</v>
      </c>
      <c r="B1062" s="152" t="s">
        <v>1954</v>
      </c>
      <c r="C1062" s="153" t="s">
        <v>4700</v>
      </c>
      <c r="D1062" s="153" t="s">
        <v>4701</v>
      </c>
      <c r="E1062" s="153" t="s">
        <v>2126</v>
      </c>
      <c r="F1062" s="6"/>
      <c r="G1062" s="6"/>
      <c r="H1062" s="85">
        <v>0</v>
      </c>
      <c r="I1062" s="103">
        <f>IFERROR(VLOOKUP(B1062,'July 2026-Recived'!$B$2:$H$1300,7,0),0)</f>
        <v>18</v>
      </c>
      <c r="J1062" s="103">
        <f>IFERROR(VLOOKUP(B1062,'July 2026- Dispatch'!$B$2:$H$1300,7,0),0)</f>
        <v>0</v>
      </c>
      <c r="K1062" s="61">
        <f t="shared" si="16"/>
        <v>18</v>
      </c>
      <c r="L1062" s="123">
        <v>0</v>
      </c>
    </row>
    <row r="1063" spans="1:12" hidden="1" x14ac:dyDescent="0.25">
      <c r="A1063" s="7">
        <v>1062</v>
      </c>
      <c r="B1063" s="152" t="s">
        <v>1980</v>
      </c>
      <c r="C1063" s="153" t="s">
        <v>4702</v>
      </c>
      <c r="D1063" s="153" t="s">
        <v>4703</v>
      </c>
      <c r="E1063" s="153" t="s">
        <v>2126</v>
      </c>
      <c r="F1063" s="6"/>
      <c r="G1063" s="6"/>
      <c r="H1063" s="85">
        <v>0</v>
      </c>
      <c r="I1063" s="103">
        <f>IFERROR(VLOOKUP(B1063,'July 2026-Recived'!$B$2:$H$1300,7,0),0)</f>
        <v>0</v>
      </c>
      <c r="J1063" s="103">
        <f>IFERROR(VLOOKUP(B1063,'July 2026- Dispatch'!$B$2:$H$1300,7,0),0)</f>
        <v>0</v>
      </c>
      <c r="K1063" s="61">
        <f t="shared" si="16"/>
        <v>0</v>
      </c>
      <c r="L1063" s="123">
        <v>0</v>
      </c>
    </row>
    <row r="1064" spans="1:12" hidden="1" x14ac:dyDescent="0.25">
      <c r="A1064" s="7">
        <v>1063</v>
      </c>
      <c r="B1064" s="152" t="s">
        <v>2015</v>
      </c>
      <c r="C1064" s="153" t="s">
        <v>4704</v>
      </c>
      <c r="D1064" s="153" t="s">
        <v>4705</v>
      </c>
      <c r="E1064" s="153" t="s">
        <v>64</v>
      </c>
      <c r="F1064" s="6"/>
      <c r="G1064" s="6"/>
      <c r="H1064" s="85">
        <v>70</v>
      </c>
      <c r="I1064" s="103">
        <f>IFERROR(VLOOKUP(B1064,'July 2026-Recived'!$B$2:$H$1300,7,0),0)</f>
        <v>448</v>
      </c>
      <c r="J1064" s="103">
        <f>IFERROR(VLOOKUP(B1064,'July 2026- Dispatch'!$B$2:$H$1300,7,0),0)</f>
        <v>0</v>
      </c>
      <c r="K1064" s="61">
        <f t="shared" si="16"/>
        <v>518</v>
      </c>
      <c r="L1064" s="123">
        <v>0</v>
      </c>
    </row>
    <row r="1065" spans="1:12" hidden="1" x14ac:dyDescent="0.25">
      <c r="A1065" s="7">
        <v>1064</v>
      </c>
      <c r="B1065" s="152" t="s">
        <v>4706</v>
      </c>
      <c r="C1065" s="153" t="s">
        <v>4707</v>
      </c>
      <c r="D1065" s="153" t="s">
        <v>4708</v>
      </c>
      <c r="E1065" s="153" t="s">
        <v>2126</v>
      </c>
      <c r="F1065" s="6"/>
      <c r="G1065" s="6"/>
      <c r="H1065" s="85">
        <v>0</v>
      </c>
      <c r="I1065" s="103">
        <f>IFERROR(VLOOKUP(B1065,'July 2026-Recived'!$B$2:$H$1300,7,0),0)</f>
        <v>0</v>
      </c>
      <c r="J1065" s="103">
        <f>IFERROR(VLOOKUP(B1065,'July 2026- Dispatch'!$B$2:$H$1300,7,0),0)</f>
        <v>0</v>
      </c>
      <c r="K1065" s="61">
        <f t="shared" si="16"/>
        <v>0</v>
      </c>
      <c r="L1065" s="123">
        <v>0</v>
      </c>
    </row>
    <row r="1066" spans="1:12" hidden="1" x14ac:dyDescent="0.25">
      <c r="A1066" s="7">
        <v>1065</v>
      </c>
      <c r="B1066" s="157" t="s">
        <v>1965</v>
      </c>
      <c r="C1066" s="158" t="s">
        <v>4709</v>
      </c>
      <c r="D1066" s="158" t="s">
        <v>4710</v>
      </c>
      <c r="E1066" s="153" t="s">
        <v>2126</v>
      </c>
      <c r="F1066" s="6"/>
      <c r="G1066" s="6"/>
      <c r="H1066" s="85">
        <v>0</v>
      </c>
      <c r="I1066" s="103">
        <f>IFERROR(VLOOKUP(B1066,'July 2026-Recived'!$B$2:$H$1300,7,0),0)</f>
        <v>0</v>
      </c>
      <c r="J1066" s="103">
        <f>IFERROR(VLOOKUP(B1066,'July 2026- Dispatch'!$B$2:$H$1300,7,0),0)</f>
        <v>0</v>
      </c>
      <c r="K1066" s="61">
        <f t="shared" si="16"/>
        <v>0</v>
      </c>
      <c r="L1066" s="123">
        <v>0</v>
      </c>
    </row>
    <row r="1067" spans="1:12" hidden="1" x14ac:dyDescent="0.25">
      <c r="A1067" s="7">
        <v>1066</v>
      </c>
      <c r="B1067" s="152" t="s">
        <v>540</v>
      </c>
      <c r="C1067" s="153" t="s">
        <v>4711</v>
      </c>
      <c r="D1067" s="153" t="s">
        <v>4712</v>
      </c>
      <c r="E1067" s="153" t="s">
        <v>2111</v>
      </c>
      <c r="F1067" s="6"/>
      <c r="G1067" s="6"/>
      <c r="H1067" s="85">
        <v>6</v>
      </c>
      <c r="I1067" s="103">
        <f>IFERROR(VLOOKUP(B1067,'July 2026-Recived'!$B$2:$H$1300,7,0),0)</f>
        <v>0</v>
      </c>
      <c r="J1067" s="103">
        <f>IFERROR(VLOOKUP(B1067,'July 2026- Dispatch'!$B$2:$H$1300,7,0),0)</f>
        <v>0</v>
      </c>
      <c r="K1067" s="61">
        <f t="shared" si="16"/>
        <v>6</v>
      </c>
      <c r="L1067" s="123">
        <v>0</v>
      </c>
    </row>
    <row r="1068" spans="1:12" hidden="1" x14ac:dyDescent="0.25">
      <c r="A1068" s="7">
        <v>1067</v>
      </c>
      <c r="B1068" s="152" t="s">
        <v>536</v>
      </c>
      <c r="C1068" s="153" t="s">
        <v>4713</v>
      </c>
      <c r="D1068" s="153" t="s">
        <v>4714</v>
      </c>
      <c r="E1068" s="153" t="s">
        <v>2126</v>
      </c>
      <c r="F1068" s="6"/>
      <c r="G1068" s="6"/>
      <c r="H1068" s="85">
        <v>0</v>
      </c>
      <c r="I1068" s="103">
        <f>IFERROR(VLOOKUP(B1068,'July 2026-Recived'!$B$2:$H$1300,7,0),0)</f>
        <v>7.5</v>
      </c>
      <c r="J1068" s="103">
        <f>IFERROR(VLOOKUP(B1068,'July 2026- Dispatch'!$B$2:$H$1300,7,0),0)</f>
        <v>6</v>
      </c>
      <c r="K1068" s="61">
        <f t="shared" si="16"/>
        <v>1.5</v>
      </c>
      <c r="L1068" s="123">
        <v>0</v>
      </c>
    </row>
    <row r="1069" spans="1:12" hidden="1" x14ac:dyDescent="0.25">
      <c r="A1069" s="7">
        <v>1068</v>
      </c>
      <c r="B1069" s="152" t="s">
        <v>1970</v>
      </c>
      <c r="C1069" s="153" t="s">
        <v>4715</v>
      </c>
      <c r="D1069" s="153" t="s">
        <v>4716</v>
      </c>
      <c r="E1069" s="153" t="s">
        <v>2126</v>
      </c>
      <c r="F1069" s="6"/>
      <c r="G1069" s="6"/>
      <c r="H1069" s="85">
        <v>0</v>
      </c>
      <c r="I1069" s="103">
        <f>IFERROR(VLOOKUP(B1069,'July 2026-Recived'!$B$2:$H$1300,7,0),0)</f>
        <v>0</v>
      </c>
      <c r="J1069" s="103">
        <f>IFERROR(VLOOKUP(B1069,'July 2026- Dispatch'!$B$2:$H$1300,7,0),0)</f>
        <v>0</v>
      </c>
      <c r="K1069" s="61">
        <f t="shared" si="16"/>
        <v>0</v>
      </c>
      <c r="L1069" s="123">
        <v>0</v>
      </c>
    </row>
    <row r="1070" spans="1:12" hidden="1" x14ac:dyDescent="0.25">
      <c r="A1070" s="7">
        <v>1069</v>
      </c>
      <c r="B1070" s="152" t="s">
        <v>4717</v>
      </c>
      <c r="C1070" s="153" t="s">
        <v>4718</v>
      </c>
      <c r="D1070" s="153" t="s">
        <v>4719</v>
      </c>
      <c r="E1070" s="153" t="s">
        <v>2126</v>
      </c>
      <c r="F1070" s="6"/>
      <c r="G1070" s="6"/>
      <c r="H1070" s="85">
        <v>0</v>
      </c>
      <c r="I1070" s="103">
        <f>IFERROR(VLOOKUP(B1070,'July 2026-Recived'!$B$2:$H$1300,7,0),0)</f>
        <v>0</v>
      </c>
      <c r="J1070" s="103">
        <f>IFERROR(VLOOKUP(B1070,'July 2026- Dispatch'!$B$2:$H$1300,7,0),0)</f>
        <v>0</v>
      </c>
      <c r="K1070" s="61">
        <f t="shared" si="16"/>
        <v>0</v>
      </c>
      <c r="L1070" s="123">
        <v>0</v>
      </c>
    </row>
    <row r="1071" spans="1:12" hidden="1" x14ac:dyDescent="0.25">
      <c r="A1071" s="7">
        <v>1070</v>
      </c>
      <c r="B1071" s="152" t="s">
        <v>4720</v>
      </c>
      <c r="C1071" s="153" t="s">
        <v>4721</v>
      </c>
      <c r="D1071" s="153" t="s">
        <v>4722</v>
      </c>
      <c r="E1071" s="153" t="s">
        <v>2126</v>
      </c>
      <c r="F1071" s="6"/>
      <c r="G1071" s="6"/>
      <c r="H1071" s="85">
        <v>0</v>
      </c>
      <c r="I1071" s="103">
        <f>IFERROR(VLOOKUP(B1071,'July 2026-Recived'!$B$2:$H$1300,7,0),0)</f>
        <v>0</v>
      </c>
      <c r="J1071" s="103">
        <f>IFERROR(VLOOKUP(B1071,'July 2026- Dispatch'!$B$2:$H$1300,7,0),0)</f>
        <v>0</v>
      </c>
      <c r="K1071" s="61">
        <f t="shared" si="16"/>
        <v>0</v>
      </c>
      <c r="L1071" s="123">
        <v>0</v>
      </c>
    </row>
    <row r="1072" spans="1:12" hidden="1" x14ac:dyDescent="0.25">
      <c r="A1072" s="7">
        <v>1071</v>
      </c>
      <c r="B1072" s="152" t="s">
        <v>1782</v>
      </c>
      <c r="C1072" s="153" t="s">
        <v>4723</v>
      </c>
      <c r="D1072" s="153" t="s">
        <v>4724</v>
      </c>
      <c r="E1072" s="153" t="s">
        <v>2111</v>
      </c>
      <c r="F1072" s="6"/>
      <c r="G1072" s="6"/>
      <c r="H1072" s="85">
        <v>33.6</v>
      </c>
      <c r="I1072" s="103">
        <f>IFERROR(VLOOKUP(B1072,'July 2026-Recived'!$B$2:$H$1300,7,0),0)</f>
        <v>0</v>
      </c>
      <c r="J1072" s="103">
        <f>IFERROR(VLOOKUP(B1072,'July 2026- Dispatch'!$B$2:$H$1300,7,0),0)</f>
        <v>12</v>
      </c>
      <c r="K1072" s="61">
        <f t="shared" si="16"/>
        <v>21.6</v>
      </c>
      <c r="L1072" s="123">
        <v>0</v>
      </c>
    </row>
    <row r="1073" spans="1:12" hidden="1" x14ac:dyDescent="0.25">
      <c r="A1073" s="7">
        <v>1072</v>
      </c>
      <c r="B1073" s="152" t="s">
        <v>1727</v>
      </c>
      <c r="C1073" s="153" t="s">
        <v>4725</v>
      </c>
      <c r="D1073" s="153" t="s">
        <v>4726</v>
      </c>
      <c r="E1073" s="153" t="s">
        <v>2126</v>
      </c>
      <c r="F1073" s="6"/>
      <c r="G1073" s="6"/>
      <c r="H1073" s="85">
        <v>0</v>
      </c>
      <c r="I1073" s="103">
        <f>IFERROR(VLOOKUP(B1073,'July 2026-Recived'!$B$2:$H$1300,7,0),0)</f>
        <v>100</v>
      </c>
      <c r="J1073" s="103">
        <f>IFERROR(VLOOKUP(B1073,'July 2026- Dispatch'!$B$2:$H$1300,7,0),0)</f>
        <v>0</v>
      </c>
      <c r="K1073" s="61">
        <f t="shared" si="16"/>
        <v>100</v>
      </c>
      <c r="L1073" s="123">
        <v>0</v>
      </c>
    </row>
    <row r="1074" spans="1:12" hidden="1" x14ac:dyDescent="0.25">
      <c r="A1074" s="7">
        <v>1073</v>
      </c>
      <c r="B1074" s="152" t="s">
        <v>1949</v>
      </c>
      <c r="C1074" s="153" t="s">
        <v>1950</v>
      </c>
      <c r="D1074" s="153" t="s">
        <v>4727</v>
      </c>
      <c r="E1074" s="153" t="s">
        <v>2126</v>
      </c>
      <c r="F1074" s="6"/>
      <c r="G1074" s="6"/>
      <c r="H1074" s="85">
        <v>0</v>
      </c>
      <c r="I1074" s="103">
        <f>IFERROR(VLOOKUP(B1074,'July 2026-Recived'!$B$2:$H$1300,7,0),0)</f>
        <v>0</v>
      </c>
      <c r="J1074" s="103">
        <f>IFERROR(VLOOKUP(B1074,'July 2026- Dispatch'!$B$2:$H$1300,7,0),0)</f>
        <v>0</v>
      </c>
      <c r="K1074" s="61">
        <f t="shared" si="16"/>
        <v>0</v>
      </c>
      <c r="L1074" s="123">
        <v>0</v>
      </c>
    </row>
    <row r="1075" spans="1:12" hidden="1" x14ac:dyDescent="0.25">
      <c r="A1075" s="7">
        <v>1074</v>
      </c>
      <c r="B1075" s="152" t="s">
        <v>4728</v>
      </c>
      <c r="C1075" s="153" t="s">
        <v>4729</v>
      </c>
      <c r="D1075" s="153" t="s">
        <v>4730</v>
      </c>
      <c r="E1075" s="153" t="s">
        <v>64</v>
      </c>
      <c r="F1075" s="6"/>
      <c r="G1075" s="6"/>
      <c r="H1075" s="85">
        <v>530</v>
      </c>
      <c r="I1075" s="103">
        <f>IFERROR(VLOOKUP(B1075,'July 2026-Recived'!$B$2:$H$1300,7,0),0)</f>
        <v>0</v>
      </c>
      <c r="J1075" s="103">
        <f>IFERROR(VLOOKUP(B1075,'July 2026- Dispatch'!$B$2:$H$1300,7,0),0)</f>
        <v>50</v>
      </c>
      <c r="K1075" s="61">
        <f t="shared" si="16"/>
        <v>480</v>
      </c>
      <c r="L1075" s="123">
        <v>0</v>
      </c>
    </row>
    <row r="1076" spans="1:12" hidden="1" x14ac:dyDescent="0.25">
      <c r="A1076" s="7">
        <v>1075</v>
      </c>
      <c r="B1076" s="152" t="s">
        <v>4731</v>
      </c>
      <c r="C1076" s="153" t="s">
        <v>4732</v>
      </c>
      <c r="D1076" s="153" t="s">
        <v>4733</v>
      </c>
      <c r="E1076" s="153" t="s">
        <v>604</v>
      </c>
      <c r="F1076" s="6"/>
      <c r="G1076" s="6"/>
      <c r="H1076" s="85">
        <v>180</v>
      </c>
      <c r="I1076" s="103">
        <f>IFERROR(VLOOKUP(B1076,'July 2026-Recived'!$B$2:$H$1300,7,0),0)</f>
        <v>0</v>
      </c>
      <c r="J1076" s="103">
        <f>IFERROR(VLOOKUP(B1076,'July 2026- Dispatch'!$B$2:$H$1300,7,0),0)</f>
        <v>0</v>
      </c>
      <c r="K1076" s="61">
        <f t="shared" si="16"/>
        <v>180</v>
      </c>
      <c r="L1076" s="123">
        <v>0</v>
      </c>
    </row>
    <row r="1077" spans="1:12" hidden="1" x14ac:dyDescent="0.25">
      <c r="A1077" s="7">
        <v>1076</v>
      </c>
      <c r="B1077" s="152" t="s">
        <v>4734</v>
      </c>
      <c r="C1077" s="153" t="s">
        <v>4735</v>
      </c>
      <c r="D1077" s="153" t="s">
        <v>4736</v>
      </c>
      <c r="E1077" s="153" t="s">
        <v>2746</v>
      </c>
      <c r="F1077" s="6"/>
      <c r="G1077" s="6"/>
      <c r="H1077" s="85">
        <v>0</v>
      </c>
      <c r="I1077" s="103">
        <f>IFERROR(VLOOKUP(B1077,'July 2026-Recived'!$B$2:$H$1300,7,0),0)</f>
        <v>0</v>
      </c>
      <c r="J1077" s="103">
        <f>IFERROR(VLOOKUP(B1077,'July 2026- Dispatch'!$B$2:$H$1300,7,0),0)</f>
        <v>0</v>
      </c>
      <c r="K1077" s="61">
        <f t="shared" si="16"/>
        <v>0</v>
      </c>
      <c r="L1077" s="123">
        <v>0</v>
      </c>
    </row>
    <row r="1078" spans="1:12" hidden="1" x14ac:dyDescent="0.25">
      <c r="A1078" s="7">
        <v>1077</v>
      </c>
      <c r="B1078" s="152" t="s">
        <v>4737</v>
      </c>
      <c r="C1078" s="153" t="s">
        <v>4738</v>
      </c>
      <c r="D1078" s="153" t="s">
        <v>4739</v>
      </c>
      <c r="E1078" s="153" t="s">
        <v>2746</v>
      </c>
      <c r="F1078" s="6"/>
      <c r="G1078" s="6"/>
      <c r="H1078" s="85">
        <v>0</v>
      </c>
      <c r="I1078" s="103">
        <f>IFERROR(VLOOKUP(B1078,'July 2026-Recived'!$B$2:$H$1300,7,0),0)</f>
        <v>0</v>
      </c>
      <c r="J1078" s="103">
        <f>IFERROR(VLOOKUP(B1078,'July 2026- Dispatch'!$B$2:$H$1300,7,0),0)</f>
        <v>0</v>
      </c>
      <c r="K1078" s="61">
        <f t="shared" si="16"/>
        <v>0</v>
      </c>
      <c r="L1078" s="123">
        <v>0</v>
      </c>
    </row>
    <row r="1079" spans="1:12" hidden="1" x14ac:dyDescent="0.25">
      <c r="A1079" s="7">
        <v>1078</v>
      </c>
      <c r="B1079" s="152" t="s">
        <v>4740</v>
      </c>
      <c r="C1079" s="153" t="s">
        <v>4741</v>
      </c>
      <c r="D1079" s="153" t="s">
        <v>4742</v>
      </c>
      <c r="E1079" s="153" t="s">
        <v>2746</v>
      </c>
      <c r="F1079" s="6"/>
      <c r="G1079" s="6"/>
      <c r="H1079" s="85">
        <v>0</v>
      </c>
      <c r="I1079" s="103">
        <f>IFERROR(VLOOKUP(B1079,'July 2026-Recived'!$B$2:$H$1300,7,0),0)</f>
        <v>0</v>
      </c>
      <c r="J1079" s="103">
        <f>IFERROR(VLOOKUP(B1079,'July 2026- Dispatch'!$B$2:$H$1300,7,0),0)</f>
        <v>0</v>
      </c>
      <c r="K1079" s="61">
        <f t="shared" si="16"/>
        <v>0</v>
      </c>
      <c r="L1079" s="123">
        <v>0</v>
      </c>
    </row>
    <row r="1080" spans="1:12" hidden="1" x14ac:dyDescent="0.25">
      <c r="A1080" s="7">
        <v>1079</v>
      </c>
      <c r="B1080" s="152" t="s">
        <v>4743</v>
      </c>
      <c r="C1080" s="153" t="s">
        <v>4744</v>
      </c>
      <c r="D1080" s="153" t="s">
        <v>4745</v>
      </c>
      <c r="E1080" s="153" t="s">
        <v>2746</v>
      </c>
      <c r="F1080" s="6"/>
      <c r="G1080" s="6"/>
      <c r="H1080" s="85">
        <v>0</v>
      </c>
      <c r="I1080" s="103">
        <f>IFERROR(VLOOKUP(B1080,'July 2026-Recived'!$B$2:$H$1300,7,0),0)</f>
        <v>0</v>
      </c>
      <c r="J1080" s="103">
        <f>IFERROR(VLOOKUP(B1080,'July 2026- Dispatch'!$B$2:$H$1300,7,0),0)</f>
        <v>0</v>
      </c>
      <c r="K1080" s="61">
        <f t="shared" si="16"/>
        <v>0</v>
      </c>
      <c r="L1080" s="123">
        <v>0</v>
      </c>
    </row>
    <row r="1081" spans="1:12" hidden="1" x14ac:dyDescent="0.25">
      <c r="A1081" s="7">
        <v>1080</v>
      </c>
      <c r="B1081" s="152" t="s">
        <v>4746</v>
      </c>
      <c r="C1081" s="153" t="s">
        <v>4747</v>
      </c>
      <c r="D1081" s="153" t="s">
        <v>4748</v>
      </c>
      <c r="E1081" s="153" t="s">
        <v>4749</v>
      </c>
      <c r="F1081" s="6"/>
      <c r="G1081" s="6"/>
      <c r="H1081" s="85">
        <v>0</v>
      </c>
      <c r="I1081" s="103">
        <f>IFERROR(VLOOKUP(B1081,'July 2026-Recived'!$B$2:$H$1300,7,0),0)</f>
        <v>0</v>
      </c>
      <c r="J1081" s="103">
        <f>IFERROR(VLOOKUP(B1081,'July 2026- Dispatch'!$B$2:$H$1300,7,0),0)</f>
        <v>0</v>
      </c>
      <c r="K1081" s="61">
        <f t="shared" si="16"/>
        <v>0</v>
      </c>
      <c r="L1081" s="123">
        <v>0</v>
      </c>
    </row>
    <row r="1082" spans="1:12" hidden="1" x14ac:dyDescent="0.25">
      <c r="A1082" s="7">
        <v>1081</v>
      </c>
      <c r="B1082" s="152" t="s">
        <v>4750</v>
      </c>
      <c r="C1082" s="153" t="s">
        <v>4751</v>
      </c>
      <c r="D1082" s="153" t="s">
        <v>4752</v>
      </c>
      <c r="E1082" s="153" t="s">
        <v>4749</v>
      </c>
      <c r="F1082" s="6"/>
      <c r="G1082" s="6"/>
      <c r="H1082" s="85">
        <v>0</v>
      </c>
      <c r="I1082" s="103">
        <f>IFERROR(VLOOKUP(B1082,'July 2026-Recived'!$B$2:$H$1300,7,0),0)</f>
        <v>0</v>
      </c>
      <c r="J1082" s="103">
        <f>IFERROR(VLOOKUP(B1082,'July 2026- Dispatch'!$B$2:$H$1300,7,0),0)</f>
        <v>0</v>
      </c>
      <c r="K1082" s="61">
        <f t="shared" si="16"/>
        <v>0</v>
      </c>
      <c r="L1082" s="123">
        <v>0</v>
      </c>
    </row>
    <row r="1083" spans="1:12" hidden="1" x14ac:dyDescent="0.25">
      <c r="A1083" s="7">
        <v>1082</v>
      </c>
      <c r="B1083" s="152" t="s">
        <v>4753</v>
      </c>
      <c r="C1083" s="153" t="s">
        <v>4754</v>
      </c>
      <c r="D1083" s="153" t="s">
        <v>4755</v>
      </c>
      <c r="E1083" s="153" t="s">
        <v>4749</v>
      </c>
      <c r="F1083" s="6"/>
      <c r="G1083" s="6"/>
      <c r="H1083" s="85">
        <v>0</v>
      </c>
      <c r="I1083" s="103">
        <f>IFERROR(VLOOKUP(B1083,'July 2026-Recived'!$B$2:$H$1300,7,0),0)</f>
        <v>0</v>
      </c>
      <c r="J1083" s="103">
        <f>IFERROR(VLOOKUP(B1083,'July 2026- Dispatch'!$B$2:$H$1300,7,0),0)</f>
        <v>0</v>
      </c>
      <c r="K1083" s="61">
        <f t="shared" si="16"/>
        <v>0</v>
      </c>
      <c r="L1083" s="123">
        <v>0</v>
      </c>
    </row>
    <row r="1084" spans="1:12" hidden="1" x14ac:dyDescent="0.25">
      <c r="A1084" s="7">
        <v>1083</v>
      </c>
      <c r="B1084" s="152" t="s">
        <v>2002</v>
      </c>
      <c r="C1084" s="153" t="s">
        <v>4756</v>
      </c>
      <c r="D1084" s="153" t="s">
        <v>4757</v>
      </c>
      <c r="E1084" s="153" t="s">
        <v>2160</v>
      </c>
      <c r="F1084" s="6"/>
      <c r="G1084" s="6"/>
      <c r="H1084" s="85">
        <v>0</v>
      </c>
      <c r="I1084" s="103">
        <f>IFERROR(VLOOKUP(B1084,'July 2026-Recived'!$B$2:$H$1300,7,0),0)</f>
        <v>0</v>
      </c>
      <c r="J1084" s="103">
        <f>IFERROR(VLOOKUP(B1084,'July 2026- Dispatch'!$B$2:$H$1300,7,0),0)</f>
        <v>0</v>
      </c>
      <c r="K1084" s="61">
        <f t="shared" si="16"/>
        <v>0</v>
      </c>
      <c r="L1084" s="123">
        <v>0</v>
      </c>
    </row>
    <row r="1085" spans="1:12" hidden="1" x14ac:dyDescent="0.25">
      <c r="A1085" s="7">
        <v>1084</v>
      </c>
      <c r="B1085" s="152" t="s">
        <v>4758</v>
      </c>
      <c r="C1085" s="153" t="s">
        <v>4759</v>
      </c>
      <c r="D1085" s="153" t="s">
        <v>4760</v>
      </c>
      <c r="E1085" s="153" t="s">
        <v>2160</v>
      </c>
      <c r="F1085" s="6"/>
      <c r="G1085" s="6"/>
      <c r="H1085" s="85">
        <v>0</v>
      </c>
      <c r="I1085" s="103">
        <f>IFERROR(VLOOKUP(B1085,'July 2026-Recived'!$B$2:$H$1300,7,0),0)</f>
        <v>0</v>
      </c>
      <c r="J1085" s="103">
        <f>IFERROR(VLOOKUP(B1085,'July 2026- Dispatch'!$B$2:$H$1300,7,0),0)</f>
        <v>0</v>
      </c>
      <c r="K1085" s="61">
        <f t="shared" si="16"/>
        <v>0</v>
      </c>
      <c r="L1085" s="123">
        <v>0</v>
      </c>
    </row>
    <row r="1086" spans="1:12" hidden="1" x14ac:dyDescent="0.25">
      <c r="A1086" s="7">
        <v>1085</v>
      </c>
      <c r="B1086" s="152" t="s">
        <v>4761</v>
      </c>
      <c r="C1086" s="153" t="s">
        <v>4762</v>
      </c>
      <c r="D1086" s="153" t="s">
        <v>4763</v>
      </c>
      <c r="E1086" s="153" t="s">
        <v>2160</v>
      </c>
      <c r="F1086" s="6"/>
      <c r="G1086" s="6"/>
      <c r="H1086" s="85">
        <v>0</v>
      </c>
      <c r="I1086" s="103">
        <f>IFERROR(VLOOKUP(B1086,'July 2026-Recived'!$B$2:$H$1300,7,0),0)</f>
        <v>0</v>
      </c>
      <c r="J1086" s="103">
        <f>IFERROR(VLOOKUP(B1086,'July 2026- Dispatch'!$B$2:$H$1300,7,0),0)</f>
        <v>0</v>
      </c>
      <c r="K1086" s="61">
        <f t="shared" si="16"/>
        <v>0</v>
      </c>
      <c r="L1086" s="123">
        <v>0</v>
      </c>
    </row>
    <row r="1087" spans="1:12" hidden="1" x14ac:dyDescent="0.25">
      <c r="A1087" s="7">
        <v>1086</v>
      </c>
      <c r="B1087" s="152" t="s">
        <v>1991</v>
      </c>
      <c r="C1087" s="153" t="s">
        <v>4764</v>
      </c>
      <c r="D1087" s="153" t="s">
        <v>4765</v>
      </c>
      <c r="E1087" s="153" t="s">
        <v>64</v>
      </c>
      <c r="F1087" s="6"/>
      <c r="G1087" s="6"/>
      <c r="H1087" s="85">
        <v>1685</v>
      </c>
      <c r="I1087" s="103">
        <f>IFERROR(VLOOKUP(B1087,'July 2026-Recived'!$B$2:$H$1300,7,0),0)</f>
        <v>0</v>
      </c>
      <c r="J1087" s="103">
        <f>IFERROR(VLOOKUP(B1087,'July 2026- Dispatch'!$B$2:$H$1300,7,0),0)</f>
        <v>1292</v>
      </c>
      <c r="K1087" s="61">
        <f t="shared" si="16"/>
        <v>393</v>
      </c>
      <c r="L1087" s="123">
        <v>0</v>
      </c>
    </row>
    <row r="1088" spans="1:12" hidden="1" x14ac:dyDescent="0.25">
      <c r="A1088" s="7">
        <v>1087</v>
      </c>
      <c r="B1088" s="152" t="s">
        <v>1695</v>
      </c>
      <c r="C1088" s="153" t="s">
        <v>4766</v>
      </c>
      <c r="D1088" s="153" t="s">
        <v>4767</v>
      </c>
      <c r="E1088" s="153" t="s">
        <v>2111</v>
      </c>
      <c r="F1088" s="6"/>
      <c r="G1088" s="6"/>
      <c r="H1088" s="85">
        <v>246</v>
      </c>
      <c r="I1088" s="103">
        <f>IFERROR(VLOOKUP(B1088,'July 2026-Recived'!$B$2:$H$1300,7,0),0)</f>
        <v>0</v>
      </c>
      <c r="J1088" s="103">
        <f>IFERROR(VLOOKUP(B1088,'July 2026- Dispatch'!$B$2:$H$1300,7,0),0)</f>
        <v>25</v>
      </c>
      <c r="K1088" s="61">
        <f t="shared" si="16"/>
        <v>221</v>
      </c>
      <c r="L1088" s="123">
        <v>0</v>
      </c>
    </row>
    <row r="1089" spans="1:12" hidden="1" x14ac:dyDescent="0.25">
      <c r="A1089" s="7">
        <v>1088</v>
      </c>
      <c r="B1089" s="157" t="s">
        <v>1709</v>
      </c>
      <c r="C1089" s="158" t="s">
        <v>4768</v>
      </c>
      <c r="D1089" s="158" t="s">
        <v>4769</v>
      </c>
      <c r="E1089" s="153" t="s">
        <v>2111</v>
      </c>
      <c r="F1089" s="6"/>
      <c r="G1089" s="6"/>
      <c r="H1089" s="85">
        <v>30</v>
      </c>
      <c r="I1089" s="103">
        <f>IFERROR(VLOOKUP(B1089,'July 2026-Recived'!$B$2:$H$1300,7,0),0)</f>
        <v>0</v>
      </c>
      <c r="J1089" s="103">
        <f>IFERROR(VLOOKUP(B1089,'July 2026- Dispatch'!$B$2:$H$1300,7,0),0)</f>
        <v>12</v>
      </c>
      <c r="K1089" s="61">
        <f t="shared" si="16"/>
        <v>18</v>
      </c>
      <c r="L1089" s="123">
        <v>0</v>
      </c>
    </row>
    <row r="1090" spans="1:12" hidden="1" x14ac:dyDescent="0.25">
      <c r="A1090" s="7">
        <v>1089</v>
      </c>
      <c r="B1090" s="152" t="s">
        <v>1960</v>
      </c>
      <c r="C1090" s="153" t="s">
        <v>4770</v>
      </c>
      <c r="D1090" s="153" t="s">
        <v>4771</v>
      </c>
      <c r="E1090" s="153" t="s">
        <v>2083</v>
      </c>
      <c r="F1090" s="6"/>
      <c r="G1090" s="6"/>
      <c r="H1090" s="85">
        <v>0</v>
      </c>
      <c r="I1090" s="103">
        <f>IFERROR(VLOOKUP(B1090,'July 2026-Recived'!$B$2:$H$1300,7,0),0)</f>
        <v>0</v>
      </c>
      <c r="J1090" s="103">
        <f>IFERROR(VLOOKUP(B1090,'July 2026- Dispatch'!$B$2:$H$1300,7,0),0)</f>
        <v>0</v>
      </c>
      <c r="K1090" s="61">
        <f t="shared" ref="K1090:K1121" si="17">H1090+I1090-J1090</f>
        <v>0</v>
      </c>
      <c r="L1090" s="123">
        <v>0</v>
      </c>
    </row>
    <row r="1091" spans="1:12" hidden="1" x14ac:dyDescent="0.25">
      <c r="A1091" s="7">
        <v>1090</v>
      </c>
      <c r="B1091" s="152" t="s">
        <v>1961</v>
      </c>
      <c r="C1091" s="153" t="s">
        <v>4772</v>
      </c>
      <c r="D1091" s="153" t="s">
        <v>4773</v>
      </c>
      <c r="E1091" s="153" t="s">
        <v>2083</v>
      </c>
      <c r="F1091" s="6"/>
      <c r="G1091" s="6"/>
      <c r="H1091" s="85">
        <v>0</v>
      </c>
      <c r="I1091" s="103">
        <f>IFERROR(VLOOKUP(B1091,'July 2026-Recived'!$B$2:$H$1300,7,0),0)</f>
        <v>0</v>
      </c>
      <c r="J1091" s="103">
        <f>IFERROR(VLOOKUP(B1091,'July 2026- Dispatch'!$B$2:$H$1300,7,0),0)</f>
        <v>0</v>
      </c>
      <c r="K1091" s="61">
        <f t="shared" si="17"/>
        <v>0</v>
      </c>
      <c r="L1091" s="123">
        <v>0</v>
      </c>
    </row>
    <row r="1092" spans="1:12" hidden="1" x14ac:dyDescent="0.25">
      <c r="A1092" s="7">
        <v>1091</v>
      </c>
      <c r="B1092" s="152" t="s">
        <v>4774</v>
      </c>
      <c r="C1092" s="153" t="s">
        <v>4775</v>
      </c>
      <c r="D1092" s="153" t="s">
        <v>4776</v>
      </c>
      <c r="E1092" s="153" t="s">
        <v>2083</v>
      </c>
      <c r="F1092" s="6"/>
      <c r="G1092" s="6"/>
      <c r="H1092" s="85">
        <v>0</v>
      </c>
      <c r="I1092" s="103">
        <f>IFERROR(VLOOKUP(B1092,'July 2026-Recived'!$B$2:$H$1300,7,0),0)</f>
        <v>0</v>
      </c>
      <c r="J1092" s="103">
        <f>IFERROR(VLOOKUP(B1092,'July 2026- Dispatch'!$B$2:$H$1300,7,0),0)</f>
        <v>0</v>
      </c>
      <c r="K1092" s="61">
        <f t="shared" si="17"/>
        <v>0</v>
      </c>
      <c r="L1092" s="123">
        <v>0</v>
      </c>
    </row>
    <row r="1093" spans="1:12" hidden="1" x14ac:dyDescent="0.25">
      <c r="A1093" s="7">
        <v>1092</v>
      </c>
      <c r="B1093" s="152" t="s">
        <v>4777</v>
      </c>
      <c r="C1093" s="153" t="s">
        <v>4778</v>
      </c>
      <c r="D1093" s="153" t="s">
        <v>4779</v>
      </c>
      <c r="E1093" s="153" t="s">
        <v>2083</v>
      </c>
      <c r="F1093" s="6"/>
      <c r="G1093" s="6"/>
      <c r="H1093" s="85">
        <v>0</v>
      </c>
      <c r="I1093" s="103">
        <f>IFERROR(VLOOKUP(B1093,'July 2026-Recived'!$B$2:$H$1300,7,0),0)</f>
        <v>0</v>
      </c>
      <c r="J1093" s="103">
        <f>IFERROR(VLOOKUP(B1093,'July 2026- Dispatch'!$B$2:$H$1300,7,0),0)</f>
        <v>0</v>
      </c>
      <c r="K1093" s="61">
        <f t="shared" si="17"/>
        <v>0</v>
      </c>
      <c r="L1093" s="123">
        <v>0</v>
      </c>
    </row>
    <row r="1094" spans="1:12" hidden="1" x14ac:dyDescent="0.25">
      <c r="A1094" s="7">
        <v>1093</v>
      </c>
      <c r="B1094" s="152" t="s">
        <v>4780</v>
      </c>
      <c r="C1094" s="153" t="s">
        <v>4781</v>
      </c>
      <c r="D1094" s="153" t="s">
        <v>4782</v>
      </c>
      <c r="E1094" s="153" t="s">
        <v>2746</v>
      </c>
      <c r="F1094" s="6"/>
      <c r="G1094" s="6"/>
      <c r="H1094" s="85">
        <v>0</v>
      </c>
      <c r="I1094" s="103">
        <f>IFERROR(VLOOKUP(B1094,'July 2026-Recived'!$B$2:$H$1300,7,0),0)</f>
        <v>0</v>
      </c>
      <c r="J1094" s="103">
        <f>IFERROR(VLOOKUP(B1094,'July 2026- Dispatch'!$B$2:$H$1300,7,0),0)</f>
        <v>0</v>
      </c>
      <c r="K1094" s="61">
        <f t="shared" si="17"/>
        <v>0</v>
      </c>
      <c r="L1094" s="123">
        <v>0</v>
      </c>
    </row>
    <row r="1095" spans="1:12" hidden="1" x14ac:dyDescent="0.25">
      <c r="A1095" s="7">
        <v>1094</v>
      </c>
      <c r="B1095" s="152" t="s">
        <v>4783</v>
      </c>
      <c r="C1095" s="153" t="s">
        <v>4784</v>
      </c>
      <c r="D1095" s="153" t="s">
        <v>4785</v>
      </c>
      <c r="E1095" s="153" t="s">
        <v>2126</v>
      </c>
      <c r="F1095" s="6"/>
      <c r="G1095" s="6"/>
      <c r="H1095" s="85">
        <v>0</v>
      </c>
      <c r="I1095" s="103">
        <f>IFERROR(VLOOKUP(B1095,'July 2026-Recived'!$B$2:$H$1300,7,0),0)</f>
        <v>0</v>
      </c>
      <c r="J1095" s="103">
        <f>IFERROR(VLOOKUP(B1095,'July 2026- Dispatch'!$B$2:$H$1300,7,0),0)</f>
        <v>0</v>
      </c>
      <c r="K1095" s="61">
        <f t="shared" si="17"/>
        <v>0</v>
      </c>
      <c r="L1095" s="123">
        <v>0</v>
      </c>
    </row>
    <row r="1096" spans="1:12" hidden="1" x14ac:dyDescent="0.25">
      <c r="A1096" s="7">
        <v>1095</v>
      </c>
      <c r="B1096" s="152" t="s">
        <v>4786</v>
      </c>
      <c r="C1096" s="153" t="s">
        <v>4787</v>
      </c>
      <c r="D1096" s="153" t="s">
        <v>4788</v>
      </c>
      <c r="E1096" s="153" t="s">
        <v>2126</v>
      </c>
      <c r="F1096" s="6"/>
      <c r="G1096" s="6"/>
      <c r="H1096" s="85">
        <v>0</v>
      </c>
      <c r="I1096" s="103">
        <f>IFERROR(VLOOKUP(B1096,'July 2026-Recived'!$B$2:$H$1300,7,0),0)</f>
        <v>0</v>
      </c>
      <c r="J1096" s="103">
        <f>IFERROR(VLOOKUP(B1096,'July 2026- Dispatch'!$B$2:$H$1300,7,0),0)</f>
        <v>0</v>
      </c>
      <c r="K1096" s="61">
        <f t="shared" si="17"/>
        <v>0</v>
      </c>
      <c r="L1096" s="123">
        <v>0</v>
      </c>
    </row>
    <row r="1097" spans="1:12" ht="15.75" hidden="1" x14ac:dyDescent="0.25">
      <c r="A1097" s="7">
        <v>1096</v>
      </c>
      <c r="B1097" s="152" t="s">
        <v>4789</v>
      </c>
      <c r="C1097" s="153" t="s">
        <v>4790</v>
      </c>
      <c r="D1097" s="153" t="s">
        <v>4791</v>
      </c>
      <c r="E1097" s="153" t="s">
        <v>2126</v>
      </c>
      <c r="F1097" s="9"/>
      <c r="G1097" s="9"/>
      <c r="H1097" s="85">
        <v>0</v>
      </c>
      <c r="I1097" s="103">
        <f>IFERROR(VLOOKUP(B1097,'July 2026-Recived'!$B$2:$H$1300,7,0),0)</f>
        <v>0</v>
      </c>
      <c r="J1097" s="103">
        <f>IFERROR(VLOOKUP(B1097,'July 2026- Dispatch'!$B$2:$H$1300,7,0),0)</f>
        <v>0</v>
      </c>
      <c r="K1097" s="61">
        <f t="shared" si="17"/>
        <v>0</v>
      </c>
      <c r="L1097" s="123">
        <v>0</v>
      </c>
    </row>
    <row r="1098" spans="1:12" ht="15.75" hidden="1" x14ac:dyDescent="0.25">
      <c r="A1098" s="7">
        <v>1097</v>
      </c>
      <c r="B1098" s="152" t="s">
        <v>4792</v>
      </c>
      <c r="C1098" s="153" t="s">
        <v>4793</v>
      </c>
      <c r="D1098" s="153" t="s">
        <v>4794</v>
      </c>
      <c r="E1098" s="153" t="s">
        <v>2126</v>
      </c>
      <c r="F1098" s="9"/>
      <c r="G1098" s="9"/>
      <c r="H1098" s="85">
        <v>0</v>
      </c>
      <c r="I1098" s="103">
        <f>IFERROR(VLOOKUP(B1098,'July 2026-Recived'!$B$2:$H$1300,7,0),0)</f>
        <v>0</v>
      </c>
      <c r="J1098" s="103">
        <f>IFERROR(VLOOKUP(B1098,'July 2026- Dispatch'!$B$2:$H$1300,7,0),0)</f>
        <v>0</v>
      </c>
      <c r="K1098" s="61">
        <f t="shared" si="17"/>
        <v>0</v>
      </c>
      <c r="L1098" s="123">
        <v>0</v>
      </c>
    </row>
    <row r="1099" spans="1:12" ht="15.75" hidden="1" x14ac:dyDescent="0.25">
      <c r="A1099" s="7">
        <v>1098</v>
      </c>
      <c r="B1099" s="152" t="s">
        <v>4795</v>
      </c>
      <c r="C1099" s="153" t="s">
        <v>4796</v>
      </c>
      <c r="D1099" s="153" t="s">
        <v>4797</v>
      </c>
      <c r="E1099" s="153" t="s">
        <v>2126</v>
      </c>
      <c r="F1099" s="9"/>
      <c r="G1099" s="9"/>
      <c r="H1099" s="85">
        <v>0</v>
      </c>
      <c r="I1099" s="103">
        <f>IFERROR(VLOOKUP(B1099,'July 2026-Recived'!$B$2:$H$1300,7,0),0)</f>
        <v>0</v>
      </c>
      <c r="J1099" s="103">
        <f>IFERROR(VLOOKUP(B1099,'July 2026- Dispatch'!$B$2:$H$1300,7,0),0)</f>
        <v>0</v>
      </c>
      <c r="K1099" s="61">
        <f t="shared" si="17"/>
        <v>0</v>
      </c>
      <c r="L1099" s="123">
        <v>0</v>
      </c>
    </row>
    <row r="1100" spans="1:12" ht="15.75" hidden="1" x14ac:dyDescent="0.25">
      <c r="A1100" s="7">
        <v>1099</v>
      </c>
      <c r="B1100" s="152" t="s">
        <v>4798</v>
      </c>
      <c r="C1100" s="153" t="s">
        <v>4799</v>
      </c>
      <c r="D1100" s="153" t="s">
        <v>4800</v>
      </c>
      <c r="E1100" s="153" t="s">
        <v>2126</v>
      </c>
      <c r="F1100" s="130"/>
      <c r="G1100" s="130"/>
      <c r="H1100" s="85">
        <v>0</v>
      </c>
      <c r="I1100" s="103">
        <f>IFERROR(VLOOKUP(B1100,'July 2026-Recived'!$B$2:$H$1300,7,0),0)</f>
        <v>0</v>
      </c>
      <c r="J1100" s="103">
        <f>IFERROR(VLOOKUP(B1100,'July 2026- Dispatch'!$B$2:$H$1300,7,0),0)</f>
        <v>0</v>
      </c>
      <c r="K1100" s="61">
        <f t="shared" si="17"/>
        <v>0</v>
      </c>
      <c r="L1100" s="123">
        <v>0</v>
      </c>
    </row>
    <row r="1101" spans="1:12" ht="15.75" hidden="1" x14ac:dyDescent="0.25">
      <c r="A1101" s="7">
        <v>1100</v>
      </c>
      <c r="B1101" s="152" t="s">
        <v>4801</v>
      </c>
      <c r="C1101" s="153" t="s">
        <v>4802</v>
      </c>
      <c r="D1101" s="153" t="s">
        <v>4803</v>
      </c>
      <c r="E1101" s="153" t="s">
        <v>2126</v>
      </c>
      <c r="F1101" s="130"/>
      <c r="G1101" s="130"/>
      <c r="H1101" s="85">
        <v>0</v>
      </c>
      <c r="I1101" s="103">
        <f>IFERROR(VLOOKUP(B1101,'July 2026-Recived'!$B$2:$H$1300,7,0),0)</f>
        <v>0</v>
      </c>
      <c r="J1101" s="103">
        <f>IFERROR(VLOOKUP(B1101,'July 2026- Dispatch'!$B$2:$H$1300,7,0),0)</f>
        <v>0</v>
      </c>
      <c r="K1101" s="61">
        <f t="shared" si="17"/>
        <v>0</v>
      </c>
      <c r="L1101" s="123">
        <v>0</v>
      </c>
    </row>
    <row r="1102" spans="1:12" ht="15.75" hidden="1" x14ac:dyDescent="0.25">
      <c r="A1102" s="7">
        <v>1101</v>
      </c>
      <c r="B1102" s="152" t="s">
        <v>4804</v>
      </c>
      <c r="C1102" s="153" t="s">
        <v>4805</v>
      </c>
      <c r="D1102" s="153" t="s">
        <v>4806</v>
      </c>
      <c r="E1102" s="153" t="s">
        <v>2126</v>
      </c>
      <c r="F1102" s="130"/>
      <c r="G1102" s="130"/>
      <c r="H1102" s="85">
        <v>0</v>
      </c>
      <c r="I1102" s="103">
        <f>IFERROR(VLOOKUP(B1102,'July 2026-Recived'!$B$2:$H$1300,7,0),0)</f>
        <v>0</v>
      </c>
      <c r="J1102" s="103">
        <f>IFERROR(VLOOKUP(B1102,'July 2026- Dispatch'!$B$2:$H$1300,7,0),0)</f>
        <v>0</v>
      </c>
      <c r="K1102" s="61">
        <f t="shared" si="17"/>
        <v>0</v>
      </c>
      <c r="L1102" s="123">
        <v>0</v>
      </c>
    </row>
    <row r="1103" spans="1:12" ht="15.75" hidden="1" x14ac:dyDescent="0.25">
      <c r="A1103" s="7">
        <v>1102</v>
      </c>
      <c r="B1103" s="152" t="s">
        <v>4807</v>
      </c>
      <c r="C1103" s="153" t="s">
        <v>4808</v>
      </c>
      <c r="D1103" s="153" t="s">
        <v>4809</v>
      </c>
      <c r="E1103" s="153" t="s">
        <v>2126</v>
      </c>
      <c r="F1103" s="130"/>
      <c r="G1103" s="130"/>
      <c r="H1103" s="85">
        <v>0</v>
      </c>
      <c r="I1103" s="103">
        <f>IFERROR(VLOOKUP(B1103,'July 2026-Recived'!$B$2:$H$1300,7,0),0)</f>
        <v>0</v>
      </c>
      <c r="J1103" s="103">
        <f>IFERROR(VLOOKUP(B1103,'July 2026- Dispatch'!$B$2:$H$1300,7,0),0)</f>
        <v>0</v>
      </c>
      <c r="K1103" s="61">
        <f t="shared" si="17"/>
        <v>0</v>
      </c>
      <c r="L1103" s="123">
        <v>0</v>
      </c>
    </row>
    <row r="1104" spans="1:12" ht="15.75" hidden="1" x14ac:dyDescent="0.25">
      <c r="A1104" s="7">
        <v>1103</v>
      </c>
      <c r="B1104" s="152" t="s">
        <v>4810</v>
      </c>
      <c r="C1104" s="153" t="s">
        <v>4811</v>
      </c>
      <c r="D1104" s="153" t="s">
        <v>4812</v>
      </c>
      <c r="E1104" s="153" t="s">
        <v>2126</v>
      </c>
      <c r="F1104" s="130"/>
      <c r="G1104" s="130"/>
      <c r="H1104" s="85">
        <v>0</v>
      </c>
      <c r="I1104" s="103">
        <f>IFERROR(VLOOKUP(B1104,'July 2026-Recived'!$B$2:$H$1300,7,0),0)</f>
        <v>0</v>
      </c>
      <c r="J1104" s="103">
        <f>IFERROR(VLOOKUP(B1104,'July 2026- Dispatch'!$B$2:$H$1300,7,0),0)</f>
        <v>0</v>
      </c>
      <c r="K1104" s="61">
        <f t="shared" si="17"/>
        <v>0</v>
      </c>
      <c r="L1104" s="123">
        <v>0</v>
      </c>
    </row>
    <row r="1105" spans="1:12" ht="15.75" hidden="1" x14ac:dyDescent="0.25">
      <c r="A1105" s="7">
        <v>1104</v>
      </c>
      <c r="B1105" s="152" t="s">
        <v>1063</v>
      </c>
      <c r="C1105" s="153" t="s">
        <v>1064</v>
      </c>
      <c r="D1105" s="153" t="e">
        <v>#N/A</v>
      </c>
      <c r="E1105" s="153" t="s">
        <v>2086</v>
      </c>
      <c r="F1105" s="130"/>
      <c r="G1105" s="130"/>
      <c r="H1105" s="85">
        <v>2</v>
      </c>
      <c r="I1105" s="103">
        <f>IFERROR(VLOOKUP(B1105,'July 2026-Recived'!$B$2:$H$1300,7,0),0)</f>
        <v>0</v>
      </c>
      <c r="J1105" s="103">
        <f>IFERROR(VLOOKUP(B1105,'July 2026- Dispatch'!$B$2:$H$1300,7,0),0)</f>
        <v>0</v>
      </c>
      <c r="K1105" s="61">
        <f t="shared" si="17"/>
        <v>2</v>
      </c>
      <c r="L1105" s="123">
        <v>0</v>
      </c>
    </row>
    <row r="1106" spans="1:12" ht="15.75" hidden="1" x14ac:dyDescent="0.25">
      <c r="A1106" s="7">
        <v>1105</v>
      </c>
      <c r="B1106" s="152" t="s">
        <v>4813</v>
      </c>
      <c r="C1106" s="153" t="s">
        <v>4814</v>
      </c>
      <c r="D1106" s="153" t="e">
        <v>#N/A</v>
      </c>
      <c r="E1106" s="153" t="s">
        <v>2086</v>
      </c>
      <c r="F1106" s="130"/>
      <c r="G1106" s="130"/>
      <c r="H1106" s="85">
        <v>1</v>
      </c>
      <c r="I1106" s="103">
        <f>IFERROR(VLOOKUP(B1106,'July 2026-Recived'!$B$2:$H$1300,7,0),0)</f>
        <v>0</v>
      </c>
      <c r="J1106" s="103">
        <f>IFERROR(VLOOKUP(B1106,'July 2026- Dispatch'!$B$2:$H$1300,7,0),0)</f>
        <v>0</v>
      </c>
      <c r="K1106" s="61">
        <f t="shared" si="17"/>
        <v>1</v>
      </c>
      <c r="L1106" s="123">
        <v>0</v>
      </c>
    </row>
    <row r="1107" spans="1:12" ht="15.75" hidden="1" x14ac:dyDescent="0.25">
      <c r="A1107" s="7">
        <v>1106</v>
      </c>
      <c r="B1107" s="152" t="s">
        <v>4815</v>
      </c>
      <c r="C1107" s="153" t="s">
        <v>4816</v>
      </c>
      <c r="D1107" s="153" t="e">
        <v>#N/A</v>
      </c>
      <c r="E1107" s="153" t="s">
        <v>2086</v>
      </c>
      <c r="F1107" s="130"/>
      <c r="G1107" s="130"/>
      <c r="H1107" s="85">
        <v>5</v>
      </c>
      <c r="I1107" s="103">
        <f>IFERROR(VLOOKUP(B1107,'July 2026-Recived'!$B$2:$H$1300,7,0),0)</f>
        <v>0</v>
      </c>
      <c r="J1107" s="103">
        <f>IFERROR(VLOOKUP(B1107,'July 2026- Dispatch'!$B$2:$H$1300,7,0),0)</f>
        <v>0</v>
      </c>
      <c r="K1107" s="61">
        <f t="shared" si="17"/>
        <v>5</v>
      </c>
      <c r="L1107" s="123">
        <v>0</v>
      </c>
    </row>
    <row r="1108" spans="1:12" ht="15.75" hidden="1" x14ac:dyDescent="0.25">
      <c r="A1108" s="7">
        <v>1107</v>
      </c>
      <c r="B1108" s="152" t="s">
        <v>4817</v>
      </c>
      <c r="C1108" s="153" t="s">
        <v>4818</v>
      </c>
      <c r="D1108" s="153" t="e">
        <v>#N/A</v>
      </c>
      <c r="E1108" s="153" t="s">
        <v>2086</v>
      </c>
      <c r="F1108" s="130"/>
      <c r="G1108" s="130"/>
      <c r="H1108" s="85">
        <v>17</v>
      </c>
      <c r="I1108" s="103">
        <f>IFERROR(VLOOKUP(B1108,'July 2026-Recived'!$B$2:$H$1300,7,0),0)</f>
        <v>0</v>
      </c>
      <c r="J1108" s="103">
        <f>IFERROR(VLOOKUP(B1108,'July 2026- Dispatch'!$B$2:$H$1300,7,0),0)</f>
        <v>5</v>
      </c>
      <c r="K1108" s="61">
        <f t="shared" si="17"/>
        <v>12</v>
      </c>
      <c r="L1108" s="123">
        <v>0</v>
      </c>
    </row>
    <row r="1109" spans="1:12" ht="15.75" hidden="1" x14ac:dyDescent="0.25">
      <c r="A1109" s="7">
        <v>1108</v>
      </c>
      <c r="B1109" s="152" t="s">
        <v>4819</v>
      </c>
      <c r="C1109" s="153" t="s">
        <v>4820</v>
      </c>
      <c r="D1109" s="153" t="e">
        <v>#N/A</v>
      </c>
      <c r="E1109" s="153" t="s">
        <v>2086</v>
      </c>
      <c r="F1109" s="130"/>
      <c r="G1109" s="130"/>
      <c r="H1109" s="85">
        <v>13</v>
      </c>
      <c r="I1109" s="103">
        <f>IFERROR(VLOOKUP(B1109,'July 2026-Recived'!$B$2:$H$1300,7,0),0)</f>
        <v>0</v>
      </c>
      <c r="J1109" s="103">
        <f>IFERROR(VLOOKUP(B1109,'July 2026- Dispatch'!$B$2:$H$1300,7,0),0)</f>
        <v>2</v>
      </c>
      <c r="K1109" s="61">
        <f t="shared" si="17"/>
        <v>11</v>
      </c>
      <c r="L1109" s="123">
        <v>0</v>
      </c>
    </row>
    <row r="1110" spans="1:12" ht="15.75" hidden="1" x14ac:dyDescent="0.25">
      <c r="A1110" s="7">
        <v>1109</v>
      </c>
      <c r="B1110" s="152" t="s">
        <v>4821</v>
      </c>
      <c r="C1110" s="153" t="s">
        <v>4822</v>
      </c>
      <c r="D1110" s="153" t="e">
        <v>#N/A</v>
      </c>
      <c r="E1110" s="153" t="s">
        <v>2086</v>
      </c>
      <c r="F1110" s="130"/>
      <c r="G1110" s="130"/>
      <c r="H1110" s="85">
        <v>85</v>
      </c>
      <c r="I1110" s="103">
        <f>IFERROR(VLOOKUP(B1110,'July 2026-Recived'!$B$2:$H$1300,7,0),0)</f>
        <v>0</v>
      </c>
      <c r="J1110" s="103">
        <f>IFERROR(VLOOKUP(B1110,'July 2026- Dispatch'!$B$2:$H$1300,7,0),0)</f>
        <v>1</v>
      </c>
      <c r="K1110" s="61">
        <f t="shared" si="17"/>
        <v>84</v>
      </c>
      <c r="L1110" s="123">
        <v>0</v>
      </c>
    </row>
    <row r="1111" spans="1:12" ht="15.75" hidden="1" x14ac:dyDescent="0.25">
      <c r="A1111" s="7">
        <v>1110</v>
      </c>
      <c r="B1111" s="152" t="s">
        <v>4823</v>
      </c>
      <c r="C1111" s="153" t="s">
        <v>4824</v>
      </c>
      <c r="D1111" s="153" t="e">
        <v>#N/A</v>
      </c>
      <c r="E1111" s="153" t="s">
        <v>2086</v>
      </c>
      <c r="F1111" s="130"/>
      <c r="G1111" s="130"/>
      <c r="H1111" s="85">
        <v>7</v>
      </c>
      <c r="I1111" s="103">
        <f>IFERROR(VLOOKUP(B1111,'July 2026-Recived'!$B$2:$H$1300,7,0),0)</f>
        <v>0</v>
      </c>
      <c r="J1111" s="103">
        <f>IFERROR(VLOOKUP(B1111,'July 2026- Dispatch'!$B$2:$H$1300,7,0),0)</f>
        <v>0</v>
      </c>
      <c r="K1111" s="61">
        <f t="shared" si="17"/>
        <v>7</v>
      </c>
      <c r="L1111" s="123">
        <v>0</v>
      </c>
    </row>
    <row r="1112" spans="1:12" ht="15.75" hidden="1" x14ac:dyDescent="0.25">
      <c r="A1112" s="7">
        <v>1111</v>
      </c>
      <c r="B1112" s="152" t="s">
        <v>4825</v>
      </c>
      <c r="C1112" s="153" t="s">
        <v>4826</v>
      </c>
      <c r="D1112" s="153" t="e">
        <v>#N/A</v>
      </c>
      <c r="E1112" s="153" t="s">
        <v>2086</v>
      </c>
      <c r="F1112" s="130"/>
      <c r="G1112" s="130"/>
      <c r="H1112" s="85">
        <v>1</v>
      </c>
      <c r="I1112" s="103">
        <f>IFERROR(VLOOKUP(B1112,'July 2026-Recived'!$B$2:$H$1300,7,0),0)</f>
        <v>0</v>
      </c>
      <c r="J1112" s="103">
        <f>IFERROR(VLOOKUP(B1112,'July 2026- Dispatch'!$B$2:$H$1300,7,0),0)</f>
        <v>0</v>
      </c>
      <c r="K1112" s="61">
        <f t="shared" si="17"/>
        <v>1</v>
      </c>
      <c r="L1112" s="123">
        <v>0</v>
      </c>
    </row>
    <row r="1113" spans="1:12" ht="15.75" hidden="1" x14ac:dyDescent="0.25">
      <c r="A1113" s="7">
        <v>1112</v>
      </c>
      <c r="B1113" s="152" t="s">
        <v>4827</v>
      </c>
      <c r="C1113" s="153" t="s">
        <v>4828</v>
      </c>
      <c r="D1113" s="153" t="e">
        <v>#N/A</v>
      </c>
      <c r="E1113" s="153" t="s">
        <v>2086</v>
      </c>
      <c r="F1113" s="130"/>
      <c r="G1113" s="130"/>
      <c r="H1113" s="85">
        <v>14</v>
      </c>
      <c r="I1113" s="103">
        <f>IFERROR(VLOOKUP(B1113,'July 2026-Recived'!$B$2:$H$1300,7,0),0)</f>
        <v>0</v>
      </c>
      <c r="J1113" s="103">
        <f>IFERROR(VLOOKUP(B1113,'July 2026- Dispatch'!$B$2:$H$1300,7,0),0)</f>
        <v>0</v>
      </c>
      <c r="K1113" s="61">
        <f t="shared" si="17"/>
        <v>14</v>
      </c>
      <c r="L1113" s="123">
        <v>0</v>
      </c>
    </row>
    <row r="1114" spans="1:12" ht="15.75" hidden="1" x14ac:dyDescent="0.25">
      <c r="A1114" s="7">
        <v>1113</v>
      </c>
      <c r="B1114" s="152" t="s">
        <v>548</v>
      </c>
      <c r="C1114" s="153" t="s">
        <v>549</v>
      </c>
      <c r="D1114" s="153" t="e">
        <v>#N/A</v>
      </c>
      <c r="E1114" s="153" t="s">
        <v>2086</v>
      </c>
      <c r="F1114" s="130"/>
      <c r="G1114" s="130"/>
      <c r="H1114" s="85">
        <v>350</v>
      </c>
      <c r="I1114" s="103">
        <f>IFERROR(VLOOKUP(B1114,'July 2026-Recived'!$B$2:$H$1300,7,0),0)</f>
        <v>0</v>
      </c>
      <c r="J1114" s="103">
        <f>IFERROR(VLOOKUP(B1114,'July 2026- Dispatch'!$B$2:$H$1300,7,0),0)</f>
        <v>0</v>
      </c>
      <c r="K1114" s="61">
        <f t="shared" si="17"/>
        <v>350</v>
      </c>
      <c r="L1114" s="123">
        <v>0</v>
      </c>
    </row>
    <row r="1115" spans="1:12" hidden="1" x14ac:dyDescent="0.25">
      <c r="A1115" s="7">
        <v>1114</v>
      </c>
      <c r="B1115" s="152" t="s">
        <v>554</v>
      </c>
      <c r="C1115" s="153" t="s">
        <v>555</v>
      </c>
      <c r="D1115" s="153" t="e">
        <v>#N/A</v>
      </c>
      <c r="E1115" s="153" t="s">
        <v>2086</v>
      </c>
      <c r="F1115" s="6"/>
      <c r="G1115" s="6"/>
      <c r="H1115" s="85">
        <v>21</v>
      </c>
      <c r="I1115" s="103">
        <f>IFERROR(VLOOKUP(B1115,'July 2026-Recived'!$B$2:$H$1300,7,0),0)</f>
        <v>0</v>
      </c>
      <c r="J1115" s="103">
        <f>IFERROR(VLOOKUP(B1115,'July 2026- Dispatch'!$B$2:$H$1300,7,0),0)</f>
        <v>0</v>
      </c>
      <c r="K1115" s="61">
        <f t="shared" si="17"/>
        <v>21</v>
      </c>
      <c r="L1115" s="123">
        <v>0</v>
      </c>
    </row>
    <row r="1116" spans="1:12" hidden="1" x14ac:dyDescent="0.25">
      <c r="A1116" s="7">
        <v>1115</v>
      </c>
      <c r="B1116" s="152" t="s">
        <v>4829</v>
      </c>
      <c r="C1116" s="153" t="s">
        <v>4830</v>
      </c>
      <c r="D1116" s="153" t="e">
        <v>#N/A</v>
      </c>
      <c r="E1116" s="153" t="s">
        <v>2086</v>
      </c>
      <c r="F1116" s="6"/>
      <c r="G1116" s="6"/>
      <c r="H1116" s="85">
        <v>2</v>
      </c>
      <c r="I1116" s="103">
        <f>IFERROR(VLOOKUP(B1116,'July 2026-Recived'!$B$2:$H$1300,7,0),0)</f>
        <v>0</v>
      </c>
      <c r="J1116" s="103">
        <f>IFERROR(VLOOKUP(B1116,'July 2026- Dispatch'!$B$2:$H$1300,7,0),0)</f>
        <v>0</v>
      </c>
      <c r="K1116" s="61">
        <f t="shared" si="17"/>
        <v>2</v>
      </c>
      <c r="L1116" s="123">
        <v>0</v>
      </c>
    </row>
    <row r="1117" spans="1:12" ht="30" hidden="1" x14ac:dyDescent="0.25">
      <c r="A1117" s="7">
        <v>1116</v>
      </c>
      <c r="B1117" s="152" t="s">
        <v>4831</v>
      </c>
      <c r="C1117" s="159" t="s">
        <v>4832</v>
      </c>
      <c r="D1117" s="159" t="e">
        <v>#N/A</v>
      </c>
      <c r="E1117" s="153" t="s">
        <v>2086</v>
      </c>
      <c r="F1117" s="6"/>
      <c r="G1117" s="6"/>
      <c r="H1117" s="85">
        <v>3</v>
      </c>
      <c r="I1117" s="103">
        <f>IFERROR(VLOOKUP(B1117,'July 2026-Recived'!$B$2:$H$1300,7,0),0)</f>
        <v>0</v>
      </c>
      <c r="J1117" s="103">
        <f>IFERROR(VLOOKUP(B1117,'July 2026- Dispatch'!$B$2:$H$1300,7,0),0)</f>
        <v>0</v>
      </c>
      <c r="K1117" s="61">
        <f t="shared" si="17"/>
        <v>3</v>
      </c>
      <c r="L1117" s="123">
        <v>0</v>
      </c>
    </row>
    <row r="1118" spans="1:12" hidden="1" x14ac:dyDescent="0.25">
      <c r="A1118" s="7">
        <v>1117</v>
      </c>
      <c r="B1118" s="152" t="s">
        <v>4833</v>
      </c>
      <c r="C1118" s="153" t="s">
        <v>4834</v>
      </c>
      <c r="D1118" s="153" t="e">
        <v>#N/A</v>
      </c>
      <c r="E1118" s="153" t="s">
        <v>2086</v>
      </c>
      <c r="F1118" s="6"/>
      <c r="G1118" s="6"/>
      <c r="H1118" s="85">
        <v>12</v>
      </c>
      <c r="I1118" s="103">
        <f>IFERROR(VLOOKUP(B1118,'July 2026-Recived'!$B$2:$H$1300,7,0),0)</f>
        <v>0</v>
      </c>
      <c r="J1118" s="103">
        <f>IFERROR(VLOOKUP(B1118,'July 2026- Dispatch'!$B$2:$H$1300,7,0),0)</f>
        <v>0</v>
      </c>
      <c r="K1118" s="61">
        <f t="shared" si="17"/>
        <v>12</v>
      </c>
      <c r="L1118" s="123">
        <v>0</v>
      </c>
    </row>
    <row r="1119" spans="1:12" hidden="1" x14ac:dyDescent="0.25">
      <c r="A1119" s="7">
        <v>1118</v>
      </c>
      <c r="B1119" s="152" t="s">
        <v>4835</v>
      </c>
      <c r="C1119" s="153" t="s">
        <v>4836</v>
      </c>
      <c r="D1119" s="153" t="e">
        <v>#N/A</v>
      </c>
      <c r="E1119" s="153" t="s">
        <v>2086</v>
      </c>
      <c r="F1119" s="6"/>
      <c r="G1119" s="6"/>
      <c r="H1119" s="85">
        <v>1</v>
      </c>
      <c r="I1119" s="103">
        <f>IFERROR(VLOOKUP(B1119,'July 2026-Recived'!$B$2:$H$1300,7,0),0)</f>
        <v>0</v>
      </c>
      <c r="J1119" s="103">
        <f>IFERROR(VLOOKUP(B1119,'July 2026- Dispatch'!$B$2:$H$1300,7,0),0)</f>
        <v>0</v>
      </c>
      <c r="K1119" s="61">
        <f t="shared" si="17"/>
        <v>1</v>
      </c>
      <c r="L1119" s="123">
        <v>0</v>
      </c>
    </row>
    <row r="1120" spans="1:12" hidden="1" x14ac:dyDescent="0.25">
      <c r="A1120" s="7">
        <v>1119</v>
      </c>
      <c r="B1120" s="152" t="s">
        <v>4837</v>
      </c>
      <c r="C1120" s="153" t="s">
        <v>4838</v>
      </c>
      <c r="D1120" s="153" t="e">
        <v>#N/A</v>
      </c>
      <c r="E1120" s="153" t="s">
        <v>2086</v>
      </c>
      <c r="F1120" s="6"/>
      <c r="G1120" s="6"/>
      <c r="H1120" s="85">
        <v>93</v>
      </c>
      <c r="I1120" s="103">
        <f>IFERROR(VLOOKUP(B1120,'July 2026-Recived'!$B$2:$H$1300,7,0),0)</f>
        <v>0</v>
      </c>
      <c r="J1120" s="103">
        <f>IFERROR(VLOOKUP(B1120,'July 2026- Dispatch'!$B$2:$H$1300,7,0),0)</f>
        <v>0</v>
      </c>
      <c r="K1120" s="61">
        <f t="shared" si="17"/>
        <v>93</v>
      </c>
      <c r="L1120" s="123">
        <v>0</v>
      </c>
    </row>
    <row r="1121" spans="1:12" hidden="1" x14ac:dyDescent="0.25">
      <c r="A1121" s="7">
        <v>1120</v>
      </c>
      <c r="B1121" s="152" t="s">
        <v>4839</v>
      </c>
      <c r="C1121" s="153" t="s">
        <v>4840</v>
      </c>
      <c r="D1121" s="153" t="e">
        <v>#N/A</v>
      </c>
      <c r="E1121" s="153" t="s">
        <v>2086</v>
      </c>
      <c r="F1121" s="6"/>
      <c r="G1121" s="6"/>
      <c r="H1121" s="85">
        <v>26</v>
      </c>
      <c r="I1121" s="103">
        <f>IFERROR(VLOOKUP(B1121,'July 2026-Recived'!$B$2:$H$1300,7,0),0)</f>
        <v>0</v>
      </c>
      <c r="J1121" s="103">
        <f>IFERROR(VLOOKUP(B1121,'July 2026- Dispatch'!$B$2:$H$1300,7,0),0)</f>
        <v>0</v>
      </c>
      <c r="K1121" s="61">
        <f t="shared" si="17"/>
        <v>26</v>
      </c>
      <c r="L1121" s="123">
        <v>0</v>
      </c>
    </row>
    <row r="1122" spans="1:12" ht="15" hidden="1" customHeight="1" x14ac:dyDescent="0.25">
      <c r="A1122" s="7">
        <v>1121</v>
      </c>
      <c r="B1122" s="152" t="s">
        <v>4841</v>
      </c>
      <c r="C1122" s="153" t="s">
        <v>4842</v>
      </c>
      <c r="D1122" s="153" t="e">
        <v>#N/A</v>
      </c>
      <c r="E1122" s="153" t="s">
        <v>2086</v>
      </c>
      <c r="F1122" s="6"/>
      <c r="G1122" s="6"/>
      <c r="H1122" s="85">
        <v>2</v>
      </c>
      <c r="I1122" s="103">
        <f>IFERROR(VLOOKUP(B1122,'July 2026-Recived'!$B$2:$H$1300,7,0),0)</f>
        <v>0</v>
      </c>
      <c r="J1122" s="103">
        <f>IFERROR(VLOOKUP(B1122,'July 2026- Dispatch'!$B$2:$H$1300,7,0),0)</f>
        <v>0</v>
      </c>
      <c r="K1122" s="61">
        <f t="shared" ref="K1122:K1150" si="18">H1122+I1122-J1122</f>
        <v>2</v>
      </c>
    </row>
    <row r="1123" spans="1:12" ht="15" hidden="1" customHeight="1" x14ac:dyDescent="0.25">
      <c r="A1123" s="7">
        <v>1122</v>
      </c>
      <c r="B1123" s="152" t="s">
        <v>4843</v>
      </c>
      <c r="C1123" s="153" t="s">
        <v>4844</v>
      </c>
      <c r="D1123" s="153" t="e">
        <v>#N/A</v>
      </c>
      <c r="E1123" s="153" t="s">
        <v>2086</v>
      </c>
      <c r="F1123" s="6"/>
      <c r="G1123" s="6"/>
      <c r="H1123" s="85">
        <v>88</v>
      </c>
      <c r="I1123" s="103">
        <f>IFERROR(VLOOKUP(B1123,'July 2026-Recived'!$B$2:$H$1300,7,0),0)</f>
        <v>0</v>
      </c>
      <c r="J1123" s="103">
        <f>IFERROR(VLOOKUP(B1123,'July 2026- Dispatch'!$B$2:$H$1300,7,0),0)</f>
        <v>0</v>
      </c>
      <c r="K1123" s="61">
        <f t="shared" si="18"/>
        <v>88</v>
      </c>
    </row>
    <row r="1124" spans="1:12" ht="15" hidden="1" customHeight="1" x14ac:dyDescent="0.25">
      <c r="A1124" s="7">
        <v>1123</v>
      </c>
      <c r="B1124" s="152" t="s">
        <v>4845</v>
      </c>
      <c r="C1124" s="153" t="s">
        <v>4846</v>
      </c>
      <c r="D1124" s="153" t="e">
        <v>#N/A</v>
      </c>
      <c r="E1124" s="153" t="s">
        <v>2086</v>
      </c>
      <c r="F1124" s="6"/>
      <c r="G1124" s="6"/>
      <c r="H1124" s="85">
        <v>1</v>
      </c>
      <c r="I1124" s="103">
        <f>IFERROR(VLOOKUP(B1124,'July 2026-Recived'!$B$2:$H$1300,7,0),0)</f>
        <v>0</v>
      </c>
      <c r="J1124" s="103">
        <f>IFERROR(VLOOKUP(B1124,'July 2026- Dispatch'!$B$2:$H$1300,7,0),0)</f>
        <v>0</v>
      </c>
      <c r="K1124" s="61">
        <f t="shared" si="18"/>
        <v>1</v>
      </c>
    </row>
    <row r="1125" spans="1:12" ht="15" hidden="1" customHeight="1" x14ac:dyDescent="0.25">
      <c r="A1125" s="7">
        <v>1124</v>
      </c>
      <c r="B1125" s="152" t="s">
        <v>4847</v>
      </c>
      <c r="C1125" s="153" t="s">
        <v>4848</v>
      </c>
      <c r="D1125" s="153" t="e">
        <v>#N/A</v>
      </c>
      <c r="E1125" s="153" t="s">
        <v>2086</v>
      </c>
      <c r="F1125" s="6"/>
      <c r="G1125" s="6"/>
      <c r="H1125" s="85">
        <v>6</v>
      </c>
      <c r="I1125" s="103">
        <f>IFERROR(VLOOKUP(B1125,'July 2026-Recived'!$B$2:$H$1300,7,0),0)</f>
        <v>0</v>
      </c>
      <c r="J1125" s="103">
        <f>IFERROR(VLOOKUP(B1125,'July 2026- Dispatch'!$B$2:$H$1300,7,0),0)</f>
        <v>0</v>
      </c>
      <c r="K1125" s="61">
        <f t="shared" si="18"/>
        <v>6</v>
      </c>
    </row>
    <row r="1126" spans="1:12" ht="15" hidden="1" customHeight="1" x14ac:dyDescent="0.25">
      <c r="A1126" s="7">
        <v>1125</v>
      </c>
      <c r="B1126" s="152" t="s">
        <v>1507</v>
      </c>
      <c r="C1126" s="153" t="s">
        <v>1508</v>
      </c>
      <c r="D1126" s="153" t="e">
        <v>#N/A</v>
      </c>
      <c r="E1126" s="153" t="s">
        <v>2086</v>
      </c>
      <c r="F1126" s="6"/>
      <c r="G1126" s="6"/>
      <c r="H1126" s="85">
        <v>383</v>
      </c>
      <c r="I1126" s="103">
        <f>IFERROR(VLOOKUP(B1126,'July 2026-Recived'!$B$2:$H$1300,7,0),0)</f>
        <v>0</v>
      </c>
      <c r="J1126" s="103">
        <f>IFERROR(VLOOKUP(B1126,'July 2026- Dispatch'!$B$2:$H$1300,7,0),0)</f>
        <v>0</v>
      </c>
      <c r="K1126" s="61">
        <f t="shared" si="18"/>
        <v>383</v>
      </c>
    </row>
    <row r="1127" spans="1:12" ht="15" hidden="1" customHeight="1" x14ac:dyDescent="0.25">
      <c r="A1127" s="7">
        <v>1126</v>
      </c>
      <c r="B1127" s="152" t="s">
        <v>4849</v>
      </c>
      <c r="C1127" s="153" t="s">
        <v>4850</v>
      </c>
      <c r="D1127" s="153" t="e">
        <v>#N/A</v>
      </c>
      <c r="E1127" s="153" t="s">
        <v>2086</v>
      </c>
      <c r="F1127" s="6"/>
      <c r="G1127" s="6"/>
      <c r="H1127" s="85">
        <v>30</v>
      </c>
      <c r="I1127" s="103">
        <f>IFERROR(VLOOKUP(B1127,'July 2026-Recived'!$B$2:$H$1300,7,0),0)</f>
        <v>0</v>
      </c>
      <c r="J1127" s="103">
        <f>IFERROR(VLOOKUP(B1127,'July 2026- Dispatch'!$B$2:$H$1300,7,0),0)</f>
        <v>0</v>
      </c>
      <c r="K1127" s="61">
        <f t="shared" si="18"/>
        <v>30</v>
      </c>
    </row>
    <row r="1128" spans="1:12" ht="15" hidden="1" customHeight="1" x14ac:dyDescent="0.25">
      <c r="A1128" s="7">
        <v>1127</v>
      </c>
      <c r="B1128" s="152" t="s">
        <v>4851</v>
      </c>
      <c r="C1128" s="153" t="s">
        <v>4852</v>
      </c>
      <c r="D1128" s="153" t="e">
        <v>#N/A</v>
      </c>
      <c r="E1128" s="153" t="s">
        <v>2086</v>
      </c>
      <c r="F1128" s="6"/>
      <c r="G1128" s="6"/>
      <c r="H1128" s="85">
        <v>16</v>
      </c>
      <c r="I1128" s="103">
        <f>IFERROR(VLOOKUP(B1128,'July 2026-Recived'!$B$2:$H$1300,7,0),0)</f>
        <v>0</v>
      </c>
      <c r="J1128" s="103">
        <f>IFERROR(VLOOKUP(B1128,'July 2026- Dispatch'!$B$2:$H$1300,7,0),0)</f>
        <v>0</v>
      </c>
      <c r="K1128" s="61">
        <f t="shared" si="18"/>
        <v>16</v>
      </c>
    </row>
    <row r="1129" spans="1:12" ht="15" hidden="1" customHeight="1" x14ac:dyDescent="0.25">
      <c r="A1129" s="7">
        <v>1128</v>
      </c>
      <c r="B1129" s="152" t="s">
        <v>4853</v>
      </c>
      <c r="C1129" s="153" t="s">
        <v>4854</v>
      </c>
      <c r="D1129" s="153" t="e">
        <v>#N/A</v>
      </c>
      <c r="E1129" s="153" t="s">
        <v>2086</v>
      </c>
      <c r="F1129" s="130"/>
      <c r="G1129" s="130"/>
      <c r="H1129" s="85">
        <v>3</v>
      </c>
      <c r="I1129" s="103">
        <f>IFERROR(VLOOKUP(B1129,'July 2026-Recived'!$B$2:$H$1300,7,0),0)</f>
        <v>0</v>
      </c>
      <c r="J1129" s="103">
        <f>IFERROR(VLOOKUP(B1129,'July 2026- Dispatch'!$B$2:$H$1300,7,0),0)</f>
        <v>0</v>
      </c>
      <c r="K1129" s="61">
        <f t="shared" si="18"/>
        <v>3</v>
      </c>
    </row>
    <row r="1130" spans="1:12" ht="15" hidden="1" customHeight="1" x14ac:dyDescent="0.25">
      <c r="A1130" s="7">
        <v>1129</v>
      </c>
      <c r="B1130" s="152" t="s">
        <v>4855</v>
      </c>
      <c r="C1130" s="153" t="s">
        <v>4856</v>
      </c>
      <c r="D1130" s="153" t="e">
        <v>#N/A</v>
      </c>
      <c r="E1130" s="153" t="s">
        <v>2086</v>
      </c>
      <c r="F1130" s="130"/>
      <c r="G1130" s="130"/>
      <c r="H1130" s="85">
        <v>8</v>
      </c>
      <c r="I1130" s="103">
        <f>IFERROR(VLOOKUP(B1130,'July 2026-Recived'!$B$2:$H$1300,7,0),0)</f>
        <v>0</v>
      </c>
      <c r="J1130" s="103">
        <f>IFERROR(VLOOKUP(B1130,'July 2026- Dispatch'!$B$2:$H$1300,7,0),0)</f>
        <v>0</v>
      </c>
      <c r="K1130" s="61">
        <f t="shared" si="18"/>
        <v>8</v>
      </c>
    </row>
    <row r="1131" spans="1:12" ht="15" hidden="1" customHeight="1" x14ac:dyDescent="0.25">
      <c r="A1131" s="7">
        <v>1130</v>
      </c>
      <c r="B1131" s="152" t="s">
        <v>4857</v>
      </c>
      <c r="C1131" s="153" t="s">
        <v>4858</v>
      </c>
      <c r="D1131" s="153" t="e">
        <v>#N/A</v>
      </c>
      <c r="E1131" s="153" t="s">
        <v>2086</v>
      </c>
      <c r="F1131" s="130"/>
      <c r="G1131" s="130"/>
      <c r="H1131" s="85">
        <v>47</v>
      </c>
      <c r="I1131" s="103">
        <f>IFERROR(VLOOKUP(B1131,'July 2026-Recived'!$B$2:$H$1300,7,0),0)</f>
        <v>0</v>
      </c>
      <c r="J1131" s="103">
        <f>IFERROR(VLOOKUP(B1131,'July 2026- Dispatch'!$B$2:$H$1300,7,0),0)</f>
        <v>0</v>
      </c>
      <c r="K1131" s="61">
        <f t="shared" si="18"/>
        <v>47</v>
      </c>
    </row>
    <row r="1132" spans="1:12" ht="15" hidden="1" customHeight="1" x14ac:dyDescent="0.25">
      <c r="A1132" s="7">
        <v>1131</v>
      </c>
      <c r="B1132" s="152" t="s">
        <v>4859</v>
      </c>
      <c r="C1132" s="153" t="s">
        <v>4860</v>
      </c>
      <c r="D1132" s="153" t="e">
        <v>#N/A</v>
      </c>
      <c r="E1132" s="153" t="s">
        <v>2086</v>
      </c>
      <c r="F1132" s="130"/>
      <c r="G1132" s="130"/>
      <c r="H1132" s="85">
        <v>46</v>
      </c>
      <c r="I1132" s="103">
        <f>IFERROR(VLOOKUP(B1132,'July 2026-Recived'!$B$2:$H$1300,7,0),0)</f>
        <v>0</v>
      </c>
      <c r="J1132" s="103">
        <f>IFERROR(VLOOKUP(B1132,'July 2026- Dispatch'!$B$2:$H$1300,7,0),0)</f>
        <v>0</v>
      </c>
      <c r="K1132" s="61">
        <f t="shared" si="18"/>
        <v>46</v>
      </c>
    </row>
    <row r="1133" spans="1:12" ht="15" hidden="1" customHeight="1" x14ac:dyDescent="0.25">
      <c r="A1133" s="7">
        <v>1132</v>
      </c>
      <c r="B1133" s="152" t="s">
        <v>4861</v>
      </c>
      <c r="C1133" s="160" t="s">
        <v>4862</v>
      </c>
      <c r="D1133" s="160" t="e">
        <v>#N/A</v>
      </c>
      <c r="E1133" s="153" t="s">
        <v>2086</v>
      </c>
      <c r="F1133" s="6"/>
      <c r="G1133" s="130"/>
      <c r="H1133" s="85">
        <v>3</v>
      </c>
      <c r="I1133" s="103">
        <f>IFERROR(VLOOKUP(B1133,'July 2026-Recived'!$B$2:$H$1300,7,0),0)</f>
        <v>0</v>
      </c>
      <c r="J1133" s="103">
        <f>IFERROR(VLOOKUP(B1133,'July 2026- Dispatch'!$B$2:$H$1300,7,0),0)</f>
        <v>0</v>
      </c>
      <c r="K1133" s="61">
        <f t="shared" si="18"/>
        <v>3</v>
      </c>
    </row>
    <row r="1134" spans="1:12" ht="15" hidden="1" customHeight="1" x14ac:dyDescent="0.25">
      <c r="A1134" s="7">
        <v>1133</v>
      </c>
      <c r="B1134" s="152" t="s">
        <v>4863</v>
      </c>
      <c r="C1134" s="153" t="s">
        <v>4864</v>
      </c>
      <c r="D1134" s="153" t="e">
        <v>#N/A</v>
      </c>
      <c r="E1134" s="153" t="s">
        <v>2086</v>
      </c>
      <c r="F1134" s="6"/>
      <c r="G1134" s="6"/>
      <c r="H1134" s="85">
        <v>5</v>
      </c>
      <c r="I1134" s="103">
        <f>IFERROR(VLOOKUP(B1134,'July 2026-Recived'!$B$2:$H$1300,7,0),0)</f>
        <v>0</v>
      </c>
      <c r="J1134" s="103">
        <f>IFERROR(VLOOKUP(B1134,'July 2026- Dispatch'!$B$2:$H$1300,7,0),0)</f>
        <v>0</v>
      </c>
      <c r="K1134" s="61">
        <f t="shared" ref="K1134:K1139" si="19">H1134+I1134-J1134</f>
        <v>5</v>
      </c>
    </row>
    <row r="1135" spans="1:12" ht="15" hidden="1" customHeight="1" x14ac:dyDescent="0.25">
      <c r="A1135" s="7">
        <v>1134</v>
      </c>
      <c r="B1135" s="152" t="s">
        <v>4865</v>
      </c>
      <c r="C1135" s="153" t="s">
        <v>4866</v>
      </c>
      <c r="D1135" s="153" t="e">
        <v>#N/A</v>
      </c>
      <c r="E1135" s="153" t="s">
        <v>2086</v>
      </c>
      <c r="F1135" s="6"/>
      <c r="G1135" s="6"/>
      <c r="H1135" s="85">
        <v>3</v>
      </c>
      <c r="I1135" s="103">
        <f>IFERROR(VLOOKUP(B1135,'July 2026-Recived'!$B$2:$H$1300,7,0),0)</f>
        <v>0</v>
      </c>
      <c r="J1135" s="103">
        <f>IFERROR(VLOOKUP(B1135,'July 2026- Dispatch'!$B$2:$H$1300,7,0),0)</f>
        <v>0</v>
      </c>
      <c r="K1135" s="61">
        <f t="shared" si="19"/>
        <v>3</v>
      </c>
    </row>
    <row r="1136" spans="1:12" ht="15" hidden="1" customHeight="1" x14ac:dyDescent="0.25">
      <c r="A1136" s="7">
        <v>1135</v>
      </c>
      <c r="B1136" s="152" t="s">
        <v>4867</v>
      </c>
      <c r="C1136" s="153" t="s">
        <v>4868</v>
      </c>
      <c r="D1136" s="153" t="e">
        <v>#N/A</v>
      </c>
      <c r="E1136" s="153" t="s">
        <v>2086</v>
      </c>
      <c r="F1136" s="6"/>
      <c r="G1136" s="6"/>
      <c r="H1136" s="85">
        <v>5</v>
      </c>
      <c r="I1136" s="103">
        <f>IFERROR(VLOOKUP(B1136,'July 2026-Recived'!$B$2:$H$1300,7,0),0)</f>
        <v>0</v>
      </c>
      <c r="J1136" s="103">
        <f>IFERROR(VLOOKUP(B1136,'July 2026- Dispatch'!$B$2:$H$1300,7,0),0)</f>
        <v>0</v>
      </c>
      <c r="K1136" s="61">
        <f t="shared" si="19"/>
        <v>5</v>
      </c>
    </row>
    <row r="1137" spans="1:11" ht="15" hidden="1" customHeight="1" x14ac:dyDescent="0.25">
      <c r="A1137" s="7">
        <v>1136</v>
      </c>
      <c r="B1137" s="152" t="s">
        <v>4869</v>
      </c>
      <c r="C1137" s="153" t="s">
        <v>4870</v>
      </c>
      <c r="D1137" s="153" t="e">
        <v>#N/A</v>
      </c>
      <c r="E1137" s="153" t="s">
        <v>2086</v>
      </c>
      <c r="F1137" s="6"/>
      <c r="G1137" s="6"/>
      <c r="H1137" s="85">
        <v>10</v>
      </c>
      <c r="I1137" s="103">
        <f>IFERROR(VLOOKUP(B1137,'July 2026-Recived'!$B$2:$H$1300,7,0),0)</f>
        <v>0</v>
      </c>
      <c r="J1137" s="103">
        <f>IFERROR(VLOOKUP(B1137,'July 2026- Dispatch'!$B$2:$H$1300,7,0),0)</f>
        <v>0</v>
      </c>
      <c r="K1137" s="61">
        <f t="shared" si="19"/>
        <v>10</v>
      </c>
    </row>
    <row r="1138" spans="1:11" ht="15" hidden="1" customHeight="1" x14ac:dyDescent="0.25">
      <c r="A1138" s="7">
        <v>1137</v>
      </c>
      <c r="B1138" s="152" t="s">
        <v>4871</v>
      </c>
      <c r="C1138" s="153" t="s">
        <v>4872</v>
      </c>
      <c r="D1138" s="153" t="e">
        <v>#N/A</v>
      </c>
      <c r="E1138" s="153" t="s">
        <v>2086</v>
      </c>
      <c r="F1138" s="6"/>
      <c r="G1138" s="6"/>
      <c r="H1138" s="85">
        <v>3</v>
      </c>
      <c r="I1138" s="103">
        <f>IFERROR(VLOOKUP(B1138,'July 2026-Recived'!$B$2:$H$1300,7,0),0)</f>
        <v>0</v>
      </c>
      <c r="J1138" s="103">
        <f>IFERROR(VLOOKUP(B1138,'July 2026- Dispatch'!$B$2:$H$1300,7,0),0)</f>
        <v>0</v>
      </c>
      <c r="K1138" s="61">
        <f t="shared" si="19"/>
        <v>3</v>
      </c>
    </row>
    <row r="1139" spans="1:11" ht="15" hidden="1" customHeight="1" x14ac:dyDescent="0.25">
      <c r="A1139" s="7">
        <v>1138</v>
      </c>
      <c r="B1139" s="152" t="s">
        <v>4873</v>
      </c>
      <c r="C1139" s="153" t="s">
        <v>4874</v>
      </c>
      <c r="D1139" s="153" t="e">
        <v>#N/A</v>
      </c>
      <c r="E1139" s="153" t="s">
        <v>2086</v>
      </c>
      <c r="F1139" s="6"/>
      <c r="G1139" s="6"/>
      <c r="H1139" s="85">
        <v>6</v>
      </c>
      <c r="I1139" s="103">
        <f>IFERROR(VLOOKUP(B1139,'July 2026-Recived'!$B$2:$H$1300,7,0),0)</f>
        <v>0</v>
      </c>
      <c r="J1139" s="103">
        <f>IFERROR(VLOOKUP(B1139,'July 2026- Dispatch'!$B$2:$H$1300,7,0),0)</f>
        <v>0</v>
      </c>
      <c r="K1139" s="61">
        <f t="shared" si="19"/>
        <v>6</v>
      </c>
    </row>
    <row r="1140" spans="1:11" ht="15" hidden="1" customHeight="1" x14ac:dyDescent="0.25">
      <c r="A1140" s="7">
        <v>1139</v>
      </c>
      <c r="B1140" s="152" t="s">
        <v>4875</v>
      </c>
      <c r="C1140" s="153" t="s">
        <v>4876</v>
      </c>
      <c r="D1140" s="153" t="e">
        <v>#N/A</v>
      </c>
      <c r="E1140" s="153" t="s">
        <v>2086</v>
      </c>
      <c r="F1140" s="6"/>
      <c r="G1140" s="6"/>
      <c r="H1140" s="85">
        <v>9</v>
      </c>
      <c r="I1140" s="103">
        <f>IFERROR(VLOOKUP(B1140,'July 2026-Recived'!$B$2:$H$1300,7,0),0)</f>
        <v>0</v>
      </c>
      <c r="J1140" s="103">
        <f>IFERROR(VLOOKUP(B1140,'July 2026- Dispatch'!$B$2:$H$1300,7,0),0)</f>
        <v>0</v>
      </c>
      <c r="K1140" s="61">
        <f t="shared" si="18"/>
        <v>9</v>
      </c>
    </row>
    <row r="1141" spans="1:11" ht="15" hidden="1" customHeight="1" x14ac:dyDescent="0.25">
      <c r="A1141" s="7">
        <v>1140</v>
      </c>
      <c r="B1141" s="152" t="s">
        <v>4877</v>
      </c>
      <c r="C1141" s="153" t="s">
        <v>4878</v>
      </c>
      <c r="D1141" s="153" t="e">
        <v>#N/A</v>
      </c>
      <c r="E1141" s="153" t="s">
        <v>2086</v>
      </c>
      <c r="F1141" s="6"/>
      <c r="G1141" s="6"/>
      <c r="H1141" s="85">
        <v>12</v>
      </c>
      <c r="I1141" s="103">
        <f>IFERROR(VLOOKUP(B1141,'July 2026-Recived'!$B$2:$H$1300,7,0),0)</f>
        <v>0</v>
      </c>
      <c r="J1141" s="103">
        <f>IFERROR(VLOOKUP(B1141,'July 2026- Dispatch'!$B$2:$H$1300,7,0),0)</f>
        <v>0</v>
      </c>
      <c r="K1141" s="61">
        <f t="shared" si="18"/>
        <v>12</v>
      </c>
    </row>
    <row r="1142" spans="1:11" ht="15" hidden="1" customHeight="1" x14ac:dyDescent="0.25">
      <c r="A1142" s="7">
        <v>1141</v>
      </c>
      <c r="B1142" s="152" t="s">
        <v>4879</v>
      </c>
      <c r="C1142" s="153" t="s">
        <v>4880</v>
      </c>
      <c r="D1142" s="153" t="e">
        <v>#N/A</v>
      </c>
      <c r="E1142" s="153" t="s">
        <v>2086</v>
      </c>
      <c r="F1142" s="6"/>
      <c r="G1142" s="6"/>
      <c r="H1142" s="85">
        <v>10</v>
      </c>
      <c r="I1142" s="103">
        <f>IFERROR(VLOOKUP(B1142,'July 2026-Recived'!$B$2:$H$1300,7,0),0)</f>
        <v>0</v>
      </c>
      <c r="J1142" s="103">
        <f>IFERROR(VLOOKUP(B1142,'July 2026- Dispatch'!$B$2:$H$1300,7,0),0)</f>
        <v>0</v>
      </c>
      <c r="K1142" s="61">
        <f t="shared" si="18"/>
        <v>10</v>
      </c>
    </row>
    <row r="1143" spans="1:11" ht="15" hidden="1" customHeight="1" x14ac:dyDescent="0.25">
      <c r="A1143" s="7">
        <v>1142</v>
      </c>
      <c r="B1143" s="152" t="s">
        <v>4881</v>
      </c>
      <c r="C1143" s="153" t="s">
        <v>4882</v>
      </c>
      <c r="D1143" s="153" t="e">
        <v>#N/A</v>
      </c>
      <c r="E1143" s="153" t="s">
        <v>2086</v>
      </c>
      <c r="F1143" s="6"/>
      <c r="G1143" s="6"/>
      <c r="H1143" s="85">
        <v>2</v>
      </c>
      <c r="I1143" s="103">
        <f>IFERROR(VLOOKUP(B1143,'July 2026-Recived'!$B$2:$H$1300,7,0),0)</f>
        <v>0</v>
      </c>
      <c r="J1143" s="103">
        <f>IFERROR(VLOOKUP(B1143,'July 2026- Dispatch'!$B$2:$H$1300,7,0),0)</f>
        <v>0</v>
      </c>
      <c r="K1143" s="61">
        <f t="shared" si="18"/>
        <v>2</v>
      </c>
    </row>
    <row r="1144" spans="1:11" ht="15" hidden="1" customHeight="1" x14ac:dyDescent="0.25">
      <c r="A1144" s="7">
        <v>1143</v>
      </c>
      <c r="B1144" s="152" t="s">
        <v>4883</v>
      </c>
      <c r="C1144" s="153" t="s">
        <v>4884</v>
      </c>
      <c r="D1144" s="153" t="e">
        <v>#N/A</v>
      </c>
      <c r="E1144" s="153" t="s">
        <v>2086</v>
      </c>
      <c r="F1144" s="130"/>
      <c r="G1144" s="130"/>
      <c r="H1144" s="85">
        <v>2</v>
      </c>
      <c r="I1144" s="103">
        <f>IFERROR(VLOOKUP(B1144,'July 2026-Recived'!$B$2:$H$1300,7,0),0)</f>
        <v>0</v>
      </c>
      <c r="J1144" s="103">
        <f>IFERROR(VLOOKUP(B1144,'July 2026- Dispatch'!$B$2:$H$1300,7,0),0)</f>
        <v>0</v>
      </c>
      <c r="K1144" s="61">
        <f t="shared" si="18"/>
        <v>2</v>
      </c>
    </row>
    <row r="1145" spans="1:11" ht="15" hidden="1" customHeight="1" x14ac:dyDescent="0.25">
      <c r="A1145" s="7">
        <v>1144</v>
      </c>
      <c r="B1145" s="152" t="s">
        <v>562</v>
      </c>
      <c r="C1145" s="153" t="s">
        <v>563</v>
      </c>
      <c r="D1145" s="153" t="e">
        <v>#N/A</v>
      </c>
      <c r="E1145" s="153" t="s">
        <v>2086</v>
      </c>
      <c r="F1145" s="6"/>
      <c r="G1145" s="6"/>
      <c r="H1145" s="85">
        <v>9</v>
      </c>
      <c r="I1145" s="103">
        <f>IFERROR(VLOOKUP(B1145,'July 2026-Recived'!$B$2:$H$1300,7,0),0)</f>
        <v>0</v>
      </c>
      <c r="J1145" s="103">
        <f>IFERROR(VLOOKUP(B1145,'July 2026- Dispatch'!$B$2:$H$1300,7,0),0)</f>
        <v>0</v>
      </c>
      <c r="K1145" s="61">
        <f t="shared" si="18"/>
        <v>9</v>
      </c>
    </row>
    <row r="1146" spans="1:11" ht="15" hidden="1" customHeight="1" x14ac:dyDescent="0.25">
      <c r="A1146" s="7">
        <v>1145</v>
      </c>
      <c r="B1146" s="152" t="s">
        <v>4885</v>
      </c>
      <c r="C1146" s="153" t="s">
        <v>4886</v>
      </c>
      <c r="D1146" s="153" t="e">
        <v>#N/A</v>
      </c>
      <c r="E1146" s="153" t="s">
        <v>2086</v>
      </c>
      <c r="F1146" s="6"/>
      <c r="G1146" s="6"/>
      <c r="H1146" s="85">
        <v>5</v>
      </c>
      <c r="I1146" s="103">
        <f>IFERROR(VLOOKUP(B1146,'July 2026-Recived'!$B$2:$H$1300,7,0),0)</f>
        <v>0</v>
      </c>
      <c r="J1146" s="103">
        <f>IFERROR(VLOOKUP(B1146,'July 2026- Dispatch'!$B$2:$H$1300,7,0),0)</f>
        <v>0</v>
      </c>
      <c r="K1146" s="61">
        <f t="shared" si="18"/>
        <v>5</v>
      </c>
    </row>
    <row r="1147" spans="1:11" ht="15" hidden="1" customHeight="1" x14ac:dyDescent="0.25">
      <c r="A1147" s="7">
        <v>1146</v>
      </c>
      <c r="B1147" s="152" t="s">
        <v>4887</v>
      </c>
      <c r="C1147" s="153" t="s">
        <v>4888</v>
      </c>
      <c r="D1147" s="153" t="e">
        <v>#N/A</v>
      </c>
      <c r="E1147" s="153" t="s">
        <v>2086</v>
      </c>
      <c r="F1147" s="6"/>
      <c r="G1147" s="6"/>
      <c r="H1147" s="85">
        <v>1</v>
      </c>
      <c r="I1147" s="103">
        <f>IFERROR(VLOOKUP(B1147,'July 2026-Recived'!$B$2:$H$1300,7,0),0)</f>
        <v>0</v>
      </c>
      <c r="J1147" s="103">
        <f>IFERROR(VLOOKUP(B1147,'July 2026- Dispatch'!$B$2:$H$1300,7,0),0)</f>
        <v>0</v>
      </c>
      <c r="K1147" s="61">
        <f t="shared" si="18"/>
        <v>1</v>
      </c>
    </row>
    <row r="1148" spans="1:11" ht="15" hidden="1" customHeight="1" x14ac:dyDescent="0.25">
      <c r="A1148" s="7">
        <v>1147</v>
      </c>
      <c r="B1148" s="152" t="s">
        <v>4889</v>
      </c>
      <c r="C1148" s="153" t="s">
        <v>4890</v>
      </c>
      <c r="D1148" s="153" t="e">
        <v>#N/A</v>
      </c>
      <c r="E1148" s="153" t="s">
        <v>2086</v>
      </c>
      <c r="F1148" s="6"/>
      <c r="G1148" s="6"/>
      <c r="H1148" s="85">
        <v>2</v>
      </c>
      <c r="I1148" s="103">
        <f>IFERROR(VLOOKUP(B1148,'July 2026-Recived'!$B$2:$H$1300,7,0),0)</f>
        <v>0</v>
      </c>
      <c r="J1148" s="103">
        <f>IFERROR(VLOOKUP(B1148,'July 2026- Dispatch'!$B$2:$H$1300,7,0),0)</f>
        <v>0</v>
      </c>
      <c r="K1148" s="61">
        <f t="shared" si="18"/>
        <v>2</v>
      </c>
    </row>
    <row r="1149" spans="1:11" ht="15" hidden="1" customHeight="1" x14ac:dyDescent="0.25">
      <c r="A1149" s="7">
        <v>1148</v>
      </c>
      <c r="B1149" s="152" t="s">
        <v>4891</v>
      </c>
      <c r="C1149" s="153" t="s">
        <v>4892</v>
      </c>
      <c r="D1149" s="153" t="e">
        <v>#N/A</v>
      </c>
      <c r="E1149" s="153" t="s">
        <v>2086</v>
      </c>
      <c r="F1149" s="6"/>
      <c r="G1149" s="6"/>
      <c r="H1149" s="85">
        <v>1</v>
      </c>
      <c r="I1149" s="103">
        <f>IFERROR(VLOOKUP(B1149,'July 2026-Recived'!$B$2:$H$1300,7,0),0)</f>
        <v>0</v>
      </c>
      <c r="J1149" s="103">
        <f>IFERROR(VLOOKUP(B1149,'July 2026- Dispatch'!$B$2:$H$1300,7,0),0)</f>
        <v>0</v>
      </c>
      <c r="K1149" s="61">
        <f t="shared" si="18"/>
        <v>1</v>
      </c>
    </row>
    <row r="1150" spans="1:11" ht="15" hidden="1" customHeight="1" x14ac:dyDescent="0.25">
      <c r="A1150" s="7">
        <v>1149</v>
      </c>
      <c r="B1150" s="152" t="s">
        <v>4893</v>
      </c>
      <c r="C1150" s="153" t="s">
        <v>4894</v>
      </c>
      <c r="D1150" s="153" t="e">
        <v>#N/A</v>
      </c>
      <c r="E1150" s="153" t="s">
        <v>2086</v>
      </c>
      <c r="F1150" s="130"/>
      <c r="G1150" s="130"/>
      <c r="H1150" s="85">
        <v>3</v>
      </c>
      <c r="I1150" s="103">
        <f>IFERROR(VLOOKUP(B1150,'July 2026-Recived'!$B$2:$H$1300,7,0),0)</f>
        <v>0</v>
      </c>
      <c r="J1150" s="103">
        <f>IFERROR(VLOOKUP(B1150,'July 2026- Dispatch'!$B$2:$H$1300,7,0),0)</f>
        <v>0</v>
      </c>
      <c r="K1150" s="61">
        <f t="shared" si="18"/>
        <v>3</v>
      </c>
    </row>
    <row r="1151" spans="1:11" ht="15" hidden="1" customHeight="1" x14ac:dyDescent="0.25">
      <c r="A1151" s="7">
        <v>1150</v>
      </c>
      <c r="B1151" s="152" t="s">
        <v>4895</v>
      </c>
      <c r="C1151" s="153" t="s">
        <v>4896</v>
      </c>
      <c r="D1151" s="153" t="e">
        <v>#N/A</v>
      </c>
      <c r="E1151" s="153" t="s">
        <v>2086</v>
      </c>
      <c r="F1151" s="130"/>
      <c r="G1151" s="130"/>
      <c r="H1151" s="85">
        <v>1</v>
      </c>
      <c r="I1151" s="103">
        <f>IFERROR(VLOOKUP(B1151,'July 2026-Recived'!$B$2:$H$1300,7,0),0)</f>
        <v>5</v>
      </c>
      <c r="J1151" s="103">
        <f>IFERROR(VLOOKUP(B1151,'July 2026- Dispatch'!$B$2:$H$1300,7,0),0)</f>
        <v>0</v>
      </c>
      <c r="K1151" s="61">
        <f t="shared" ref="K1151:K1181" si="20">H1151+I1151-J1151</f>
        <v>6</v>
      </c>
    </row>
    <row r="1152" spans="1:11" ht="15" hidden="1" customHeight="1" x14ac:dyDescent="0.25">
      <c r="A1152" s="7">
        <v>1151</v>
      </c>
      <c r="B1152" s="152" t="s">
        <v>4897</v>
      </c>
      <c r="C1152" s="160" t="s">
        <v>4898</v>
      </c>
      <c r="D1152" s="160" t="e">
        <v>#N/A</v>
      </c>
      <c r="E1152" s="153" t="s">
        <v>2086</v>
      </c>
      <c r="F1152" s="130"/>
      <c r="G1152" s="130"/>
      <c r="H1152" s="85">
        <v>1</v>
      </c>
      <c r="I1152" s="103">
        <f>IFERROR(VLOOKUP(B1152,'July 2026-Recived'!$B$2:$H$1300,7,0),0)</f>
        <v>0</v>
      </c>
      <c r="J1152" s="103">
        <f>IFERROR(VLOOKUP(B1152,'July 2026- Dispatch'!$B$2:$H$1300,7,0),0)</f>
        <v>0</v>
      </c>
      <c r="K1152" s="61">
        <f t="shared" si="20"/>
        <v>1</v>
      </c>
    </row>
    <row r="1153" spans="1:13" ht="15" hidden="1" customHeight="1" x14ac:dyDescent="0.25">
      <c r="A1153" s="7">
        <v>1152</v>
      </c>
      <c r="B1153" s="152" t="s">
        <v>4899</v>
      </c>
      <c r="C1153" s="153" t="s">
        <v>4900</v>
      </c>
      <c r="D1153" s="153" t="e">
        <v>#N/A</v>
      </c>
      <c r="E1153" s="153" t="s">
        <v>2086</v>
      </c>
      <c r="F1153" s="6"/>
      <c r="G1153" s="6"/>
      <c r="H1153" s="85">
        <v>2</v>
      </c>
      <c r="I1153" s="103">
        <f>IFERROR(VLOOKUP(B1153,'July 2026-Recived'!$B$2:$H$1300,7,0),0)</f>
        <v>0</v>
      </c>
      <c r="J1153" s="103">
        <f>IFERROR(VLOOKUP(B1153,'July 2026- Dispatch'!$B$2:$H$1300,7,0),0)</f>
        <v>0</v>
      </c>
      <c r="K1153" s="61">
        <f t="shared" si="20"/>
        <v>2</v>
      </c>
    </row>
    <row r="1154" spans="1:13" ht="15" hidden="1" customHeight="1" x14ac:dyDescent="0.25">
      <c r="A1154" s="7">
        <v>1153</v>
      </c>
      <c r="B1154" s="152" t="s">
        <v>4901</v>
      </c>
      <c r="C1154" s="153" t="s">
        <v>4902</v>
      </c>
      <c r="D1154" s="153" t="e">
        <v>#N/A</v>
      </c>
      <c r="E1154" s="153" t="s">
        <v>2086</v>
      </c>
      <c r="F1154" s="130"/>
      <c r="G1154" s="130"/>
      <c r="H1154" s="85">
        <v>58</v>
      </c>
      <c r="I1154" s="103">
        <f>IFERROR(VLOOKUP(B1154,'July 2026-Recived'!$B$2:$H$1300,7,0),0)</f>
        <v>0</v>
      </c>
      <c r="J1154" s="103">
        <f>IFERROR(VLOOKUP(B1154,'July 2026- Dispatch'!$B$2:$H$1300,7,0),0)</f>
        <v>0</v>
      </c>
      <c r="K1154" s="61">
        <f t="shared" si="20"/>
        <v>58</v>
      </c>
    </row>
    <row r="1155" spans="1:13" ht="15" hidden="1" customHeight="1" x14ac:dyDescent="0.25">
      <c r="A1155" s="7">
        <v>1154</v>
      </c>
      <c r="B1155" s="152" t="s">
        <v>4903</v>
      </c>
      <c r="C1155" s="153" t="s">
        <v>4904</v>
      </c>
      <c r="D1155" s="153" t="e">
        <v>#N/A</v>
      </c>
      <c r="E1155" s="153" t="s">
        <v>2086</v>
      </c>
      <c r="F1155" s="130"/>
      <c r="G1155" s="130"/>
      <c r="H1155" s="85">
        <v>7</v>
      </c>
      <c r="I1155" s="103">
        <f>IFERROR(VLOOKUP(B1155,'July 2026-Recived'!$B$2:$H$1300,7,0),0)</f>
        <v>0</v>
      </c>
      <c r="J1155" s="103">
        <f>IFERROR(VLOOKUP(B1155,'July 2026- Dispatch'!$B$2:$H$1300,7,0),0)</f>
        <v>0</v>
      </c>
      <c r="K1155" s="61">
        <f t="shared" si="20"/>
        <v>7</v>
      </c>
    </row>
    <row r="1156" spans="1:13" ht="15" hidden="1" customHeight="1" x14ac:dyDescent="0.25">
      <c r="A1156" s="7">
        <v>1155</v>
      </c>
      <c r="B1156" s="152" t="s">
        <v>4905</v>
      </c>
      <c r="C1156" s="153" t="s">
        <v>4906</v>
      </c>
      <c r="D1156" s="153" t="e">
        <v>#N/A</v>
      </c>
      <c r="E1156" s="153" t="s">
        <v>2086</v>
      </c>
      <c r="F1156" s="130"/>
      <c r="G1156" s="130"/>
      <c r="H1156" s="85">
        <v>5</v>
      </c>
      <c r="I1156" s="103">
        <f>IFERROR(VLOOKUP(B1156,'July 2026-Recived'!$B$2:$H$1300,7,0),0)</f>
        <v>0</v>
      </c>
      <c r="J1156" s="103">
        <f>IFERROR(VLOOKUP(B1156,'July 2026- Dispatch'!$B$2:$H$1300,7,0),0)</f>
        <v>0</v>
      </c>
      <c r="K1156" s="61">
        <f t="shared" si="20"/>
        <v>5</v>
      </c>
    </row>
    <row r="1157" spans="1:13" ht="15" hidden="1" customHeight="1" x14ac:dyDescent="0.25">
      <c r="A1157" s="7">
        <v>1156</v>
      </c>
      <c r="B1157" s="152" t="s">
        <v>4907</v>
      </c>
      <c r="C1157" s="153" t="s">
        <v>4908</v>
      </c>
      <c r="D1157" s="153" t="e">
        <v>#N/A</v>
      </c>
      <c r="E1157" s="153" t="s">
        <v>2086</v>
      </c>
      <c r="F1157" s="130"/>
      <c r="G1157" s="130"/>
      <c r="H1157" s="85">
        <f>20</f>
        <v>20</v>
      </c>
      <c r="I1157" s="103">
        <f>IFERROR(VLOOKUP(B1157,'July 2026-Recived'!$B$2:$H$1300,7,0),0)</f>
        <v>174</v>
      </c>
      <c r="J1157" s="103">
        <f>IFERROR(VLOOKUP(B1157,'July 2026- Dispatch'!$B$2:$H$1300,7,0),0)</f>
        <v>194</v>
      </c>
      <c r="K1157" s="61">
        <f t="shared" si="20"/>
        <v>0</v>
      </c>
      <c r="M1157" t="s">
        <v>3926</v>
      </c>
    </row>
    <row r="1158" spans="1:13" ht="15" hidden="1" customHeight="1" x14ac:dyDescent="0.25">
      <c r="A1158" s="7">
        <v>1157</v>
      </c>
      <c r="B1158" s="152" t="s">
        <v>4909</v>
      </c>
      <c r="C1158" s="153" t="s">
        <v>4910</v>
      </c>
      <c r="D1158" s="153" t="e">
        <v>#N/A</v>
      </c>
      <c r="E1158" s="153" t="s">
        <v>2086</v>
      </c>
      <c r="F1158" s="6"/>
      <c r="G1158" s="130"/>
      <c r="H1158" s="85">
        <v>460</v>
      </c>
      <c r="I1158" s="103">
        <f>IFERROR(VLOOKUP(B1158,'July 2026-Recived'!$B$2:$H$1300,7,0),0)</f>
        <v>0</v>
      </c>
      <c r="J1158" s="103">
        <f>IFERROR(VLOOKUP(B1158,'July 2026- Dispatch'!$B$2:$H$1300,7,0),0)</f>
        <v>195</v>
      </c>
      <c r="K1158" s="61">
        <f t="shared" si="20"/>
        <v>265</v>
      </c>
    </row>
    <row r="1159" spans="1:13" ht="15" hidden="1" customHeight="1" x14ac:dyDescent="0.25">
      <c r="A1159" s="7">
        <v>1158</v>
      </c>
      <c r="B1159" s="152" t="s">
        <v>4911</v>
      </c>
      <c r="C1159" s="153" t="s">
        <v>4912</v>
      </c>
      <c r="D1159" s="153" t="e">
        <v>#N/A</v>
      </c>
      <c r="E1159" s="153" t="s">
        <v>2086</v>
      </c>
      <c r="F1159" s="130"/>
      <c r="G1159" s="130"/>
      <c r="H1159" s="85">
        <v>312</v>
      </c>
      <c r="I1159" s="103">
        <f>IFERROR(VLOOKUP(B1159,'July 2026-Recived'!$B$2:$H$1300,7,0),0)</f>
        <v>0</v>
      </c>
      <c r="J1159" s="103">
        <f>IFERROR(VLOOKUP(B1159,'July 2026- Dispatch'!$B$2:$H$1300,7,0),0)</f>
        <v>255</v>
      </c>
      <c r="K1159" s="61">
        <f t="shared" si="20"/>
        <v>57</v>
      </c>
    </row>
    <row r="1160" spans="1:13" ht="15" hidden="1" customHeight="1" x14ac:dyDescent="0.25">
      <c r="A1160" s="7">
        <v>1159</v>
      </c>
      <c r="B1160" s="152" t="s">
        <v>4913</v>
      </c>
      <c r="C1160" s="153" t="s">
        <v>4914</v>
      </c>
      <c r="D1160" s="153" t="e">
        <v>#N/A</v>
      </c>
      <c r="E1160" s="153" t="s">
        <v>2086</v>
      </c>
      <c r="F1160" s="130"/>
      <c r="G1160" s="130"/>
      <c r="H1160" s="85">
        <v>645</v>
      </c>
      <c r="I1160" s="103">
        <f>IFERROR(VLOOKUP(B1160,'July 2026-Recived'!$B$2:$H$1300,7,0),0)</f>
        <v>0</v>
      </c>
      <c r="J1160" s="103">
        <f>IFERROR(VLOOKUP(B1160,'July 2026- Dispatch'!$B$2:$H$1300,7,0),0)</f>
        <v>510</v>
      </c>
      <c r="K1160" s="61">
        <f t="shared" si="20"/>
        <v>135</v>
      </c>
    </row>
    <row r="1161" spans="1:13" ht="15" hidden="1" customHeight="1" x14ac:dyDescent="0.25">
      <c r="A1161" s="7">
        <v>1160</v>
      </c>
      <c r="B1161" s="152" t="s">
        <v>4915</v>
      </c>
      <c r="C1161" s="153" t="s">
        <v>4916</v>
      </c>
      <c r="D1161" s="153" t="e">
        <v>#N/A</v>
      </c>
      <c r="E1161" s="153" t="s">
        <v>2086</v>
      </c>
      <c r="F1161" s="130"/>
      <c r="G1161" s="130"/>
      <c r="H1161" s="85">
        <v>2140</v>
      </c>
      <c r="I1161" s="103">
        <f>IFERROR(VLOOKUP(B1161,'July 2026-Recived'!$B$2:$H$1300,7,0),0)</f>
        <v>0</v>
      </c>
      <c r="J1161" s="103">
        <f>IFERROR(VLOOKUP(B1161,'July 2026- Dispatch'!$B$2:$H$1300,7,0),0)</f>
        <v>2140</v>
      </c>
      <c r="K1161" s="61">
        <f t="shared" si="20"/>
        <v>0</v>
      </c>
      <c r="M1161" t="s">
        <v>3926</v>
      </c>
    </row>
    <row r="1162" spans="1:13" ht="15" hidden="1" customHeight="1" x14ac:dyDescent="0.25">
      <c r="A1162" s="7">
        <v>1161</v>
      </c>
      <c r="B1162" s="152" t="s">
        <v>4917</v>
      </c>
      <c r="C1162" s="153" t="s">
        <v>4918</v>
      </c>
      <c r="D1162" s="153" t="e">
        <v>#N/A</v>
      </c>
      <c r="E1162" s="153" t="s">
        <v>2086</v>
      </c>
      <c r="F1162" s="6"/>
      <c r="G1162" s="6"/>
      <c r="H1162" s="85">
        <v>1520</v>
      </c>
      <c r="I1162" s="103">
        <f>IFERROR(VLOOKUP(B1162,'July 2026-Recived'!$B$2:$H$1300,7,0),0)</f>
        <v>0</v>
      </c>
      <c r="J1162" s="103">
        <f>IFERROR(VLOOKUP(B1162,'July 2026- Dispatch'!$B$2:$H$1300,7,0),0)</f>
        <v>1520</v>
      </c>
      <c r="K1162" s="61">
        <f t="shared" si="20"/>
        <v>0</v>
      </c>
      <c r="M1162" t="s">
        <v>3926</v>
      </c>
    </row>
    <row r="1163" spans="1:13" ht="15" hidden="1" customHeight="1" x14ac:dyDescent="0.25">
      <c r="A1163" s="7">
        <v>1162</v>
      </c>
      <c r="B1163" s="152" t="s">
        <v>4919</v>
      </c>
      <c r="C1163" s="153" t="s">
        <v>135</v>
      </c>
      <c r="D1163" s="153" t="e">
        <v>#N/A</v>
      </c>
      <c r="E1163" s="153" t="s">
        <v>2086</v>
      </c>
      <c r="F1163" s="6"/>
      <c r="G1163" s="6"/>
      <c r="H1163" s="85">
        <v>1860</v>
      </c>
      <c r="I1163" s="103">
        <f>IFERROR(VLOOKUP(B1163,'July 2026-Recived'!$B$2:$H$1300,7,0),0)</f>
        <v>0</v>
      </c>
      <c r="J1163" s="103">
        <f>IFERROR(VLOOKUP(B1163,'July 2026- Dispatch'!$B$2:$H$1300,7,0),0)</f>
        <v>1840</v>
      </c>
      <c r="K1163" s="61">
        <f t="shared" si="20"/>
        <v>20</v>
      </c>
    </row>
    <row r="1164" spans="1:13" ht="15" hidden="1" customHeight="1" x14ac:dyDescent="0.25">
      <c r="A1164" s="7">
        <v>1163</v>
      </c>
      <c r="B1164" s="152" t="s">
        <v>4920</v>
      </c>
      <c r="C1164" s="153" t="s">
        <v>4921</v>
      </c>
      <c r="D1164" s="153" t="e">
        <v>#N/A</v>
      </c>
      <c r="E1164" s="153" t="s">
        <v>2086</v>
      </c>
      <c r="F1164" s="6"/>
      <c r="G1164" s="6"/>
      <c r="H1164" s="85">
        <v>390</v>
      </c>
      <c r="I1164" s="103">
        <f>IFERROR(VLOOKUP(B1164,'July 2026-Recived'!$B$2:$H$1300,7,0),0)</f>
        <v>0</v>
      </c>
      <c r="J1164" s="103">
        <f>IFERROR(VLOOKUP(B1164,'July 2026- Dispatch'!$B$2:$H$1300,7,0),0)</f>
        <v>15</v>
      </c>
      <c r="K1164" s="61">
        <f t="shared" si="20"/>
        <v>375</v>
      </c>
    </row>
    <row r="1165" spans="1:13" ht="15" hidden="1" customHeight="1" x14ac:dyDescent="0.25">
      <c r="A1165" s="7">
        <v>1164</v>
      </c>
      <c r="B1165" s="152" t="s">
        <v>4922</v>
      </c>
      <c r="C1165" s="153" t="s">
        <v>2820</v>
      </c>
      <c r="D1165" s="153" t="e">
        <v>#N/A</v>
      </c>
      <c r="E1165" s="153" t="s">
        <v>2086</v>
      </c>
      <c r="F1165" s="6"/>
      <c r="G1165" s="6"/>
      <c r="H1165" s="85">
        <v>1200</v>
      </c>
      <c r="I1165" s="103">
        <f>IFERROR(VLOOKUP(B1165,'July 2026-Recived'!$B$2:$H$1300,7,0),0)</f>
        <v>0</v>
      </c>
      <c r="J1165" s="103">
        <f>IFERROR(VLOOKUP(B1165,'July 2026- Dispatch'!$B$2:$H$1300,7,0),0)</f>
        <v>420</v>
      </c>
      <c r="K1165" s="61">
        <f t="shared" si="20"/>
        <v>780</v>
      </c>
    </row>
    <row r="1166" spans="1:13" ht="15" hidden="1" customHeight="1" x14ac:dyDescent="0.25">
      <c r="A1166" s="7">
        <v>1165</v>
      </c>
      <c r="B1166" s="152" t="s">
        <v>4923</v>
      </c>
      <c r="C1166" s="153" t="s">
        <v>4924</v>
      </c>
      <c r="D1166" s="153" t="e">
        <v>#N/A</v>
      </c>
      <c r="E1166" s="153" t="s">
        <v>2111</v>
      </c>
      <c r="F1166" s="6"/>
      <c r="G1166" s="6"/>
      <c r="H1166" s="85">
        <v>85.2</v>
      </c>
      <c r="I1166" s="103">
        <f>IFERROR(VLOOKUP(B1166,'July 2026-Recived'!$B$2:$H$1300,7,0),0)</f>
        <v>0</v>
      </c>
      <c r="J1166" s="103">
        <f>IFERROR(VLOOKUP(B1166,'July 2026- Dispatch'!$B$2:$H$1300,7,0),0)</f>
        <v>0</v>
      </c>
      <c r="K1166" s="61">
        <f t="shared" si="20"/>
        <v>85.2</v>
      </c>
    </row>
    <row r="1167" spans="1:13" ht="15" hidden="1" customHeight="1" x14ac:dyDescent="0.25">
      <c r="A1167" s="7">
        <v>1166</v>
      </c>
      <c r="B1167" s="6" t="s">
        <v>4925</v>
      </c>
      <c r="C1167" s="6" t="s">
        <v>4926</v>
      </c>
      <c r="D1167" s="6"/>
      <c r="E1167" s="153" t="s">
        <v>2086</v>
      </c>
      <c r="F1167" s="6"/>
      <c r="G1167" s="6"/>
      <c r="H1167" s="85">
        <v>0</v>
      </c>
      <c r="I1167" s="103">
        <f>IFERROR(VLOOKUP(B1167,'July 2026-Recived'!$B$2:$H$1300,7,0),0)</f>
        <v>52820</v>
      </c>
      <c r="J1167" s="103">
        <f>IFERROR(VLOOKUP(B1167,'July 2026- Dispatch'!$B$2:$H$1300,7,0),0)</f>
        <v>28500</v>
      </c>
      <c r="K1167" s="61">
        <f t="shared" si="20"/>
        <v>24320</v>
      </c>
    </row>
    <row r="1168" spans="1:13" ht="15" hidden="1" customHeight="1" x14ac:dyDescent="0.25">
      <c r="A1168" s="7">
        <v>1167</v>
      </c>
      <c r="B1168" s="163" t="s">
        <v>4927</v>
      </c>
      <c r="C1168" s="163" t="s">
        <v>4928</v>
      </c>
      <c r="D1168" s="153"/>
      <c r="E1168" s="6" t="s">
        <v>2086</v>
      </c>
      <c r="F1168" s="6"/>
      <c r="G1168" s="6"/>
      <c r="H1168" s="85">
        <v>0</v>
      </c>
      <c r="I1168" s="103">
        <f>IFERROR(VLOOKUP(B1168,'July 2026-Recived'!$B$2:$H$1300,7,0),0)</f>
        <v>60000</v>
      </c>
      <c r="J1168" s="103">
        <f>IFERROR(VLOOKUP(B1168,'July 2026- Dispatch'!$B$2:$H$1300,7,0),0)</f>
        <v>0</v>
      </c>
      <c r="K1168" s="61">
        <f t="shared" si="20"/>
        <v>60000</v>
      </c>
    </row>
    <row r="1169" spans="1:13" ht="15" hidden="1" customHeight="1" x14ac:dyDescent="0.25">
      <c r="A1169" s="7">
        <v>1168</v>
      </c>
      <c r="B1169" s="163" t="s">
        <v>4929</v>
      </c>
      <c r="C1169" s="163" t="s">
        <v>4930</v>
      </c>
      <c r="D1169" s="153"/>
      <c r="E1169" s="6" t="s">
        <v>2086</v>
      </c>
      <c r="F1169" s="6"/>
      <c r="G1169" s="6"/>
      <c r="H1169" s="85">
        <v>0</v>
      </c>
      <c r="I1169" s="103">
        <f>IFERROR(VLOOKUP(B1169,'July 2026-Recived'!$B$2:$H$1300,7,0),0)</f>
        <v>10</v>
      </c>
      <c r="J1169" s="103">
        <f>IFERROR(VLOOKUP(B1169,'July 2026- Dispatch'!$B$2:$H$1300,7,0),0)</f>
        <v>0</v>
      </c>
      <c r="K1169" s="61">
        <f t="shared" si="20"/>
        <v>10</v>
      </c>
    </row>
    <row r="1170" spans="1:13" ht="15" hidden="1" customHeight="1" x14ac:dyDescent="0.25">
      <c r="A1170" s="7">
        <v>1169</v>
      </c>
      <c r="B1170" s="6" t="s">
        <v>4931</v>
      </c>
      <c r="C1170" s="6" t="s">
        <v>4932</v>
      </c>
      <c r="D1170" s="6"/>
      <c r="E1170" s="6" t="s">
        <v>2086</v>
      </c>
      <c r="F1170" s="6"/>
      <c r="G1170" s="6"/>
      <c r="H1170" s="85">
        <f>29</f>
        <v>29</v>
      </c>
      <c r="I1170" s="103">
        <f>IFERROR(VLOOKUP(B1170,'July 2026-Recived'!$B$2:$H$1300,7,0),0)</f>
        <v>0</v>
      </c>
      <c r="J1170" s="103">
        <f>IFERROR(VLOOKUP(B1170,'July 2026- Dispatch'!$B$2:$H$1300,7,0),0)</f>
        <v>1</v>
      </c>
      <c r="K1170" s="61">
        <f t="shared" si="20"/>
        <v>28</v>
      </c>
    </row>
    <row r="1171" spans="1:13" ht="15" hidden="1" customHeight="1" x14ac:dyDescent="0.25">
      <c r="A1171" s="7">
        <v>1170</v>
      </c>
      <c r="B1171" s="191" t="s">
        <v>4933</v>
      </c>
      <c r="C1171" s="192" t="s">
        <v>4934</v>
      </c>
      <c r="D1171" s="6"/>
      <c r="E1171" s="6"/>
      <c r="F1171" s="6"/>
      <c r="G1171" s="6"/>
      <c r="H1171" s="85">
        <v>0</v>
      </c>
      <c r="I1171" s="103">
        <f>IFERROR(VLOOKUP(B1171,'July 2026-Recived'!$B$2:$H$1300,7,0),0)</f>
        <v>21000</v>
      </c>
      <c r="J1171" s="103">
        <f>IFERROR(VLOOKUP(B1171,'July 2026- Dispatch'!$B$2:$H$1300,7,0),0)</f>
        <v>0</v>
      </c>
      <c r="K1171" s="61">
        <f t="shared" si="20"/>
        <v>21000</v>
      </c>
    </row>
    <row r="1172" spans="1:13" ht="15" hidden="1" customHeight="1" x14ac:dyDescent="0.25">
      <c r="A1172" s="7">
        <v>1171</v>
      </c>
      <c r="B1172" s="191" t="s">
        <v>4935</v>
      </c>
      <c r="C1172" s="192" t="s">
        <v>4936</v>
      </c>
      <c r="D1172" s="6"/>
      <c r="E1172" s="6"/>
      <c r="F1172" s="6"/>
      <c r="G1172" s="6"/>
      <c r="H1172" s="85">
        <v>5700</v>
      </c>
      <c r="I1172" s="103">
        <f>IFERROR(VLOOKUP(B1172,'July 2026-Recived'!$B$2:$H$1300,7,0),0)</f>
        <v>0</v>
      </c>
      <c r="J1172" s="103">
        <f>IFERROR(VLOOKUP(B1172,'July 2026- Dispatch'!$B$2:$H$1300,7,0),0)</f>
        <v>5700</v>
      </c>
      <c r="K1172" s="61">
        <f t="shared" si="20"/>
        <v>0</v>
      </c>
    </row>
    <row r="1173" spans="1:13" ht="15" hidden="1" customHeight="1" x14ac:dyDescent="0.25">
      <c r="A1173" s="7">
        <v>1172</v>
      </c>
      <c r="B1173" s="6" t="s">
        <v>4937</v>
      </c>
      <c r="C1173" s="6" t="s">
        <v>4938</v>
      </c>
      <c r="D1173" s="6"/>
      <c r="E1173" s="6"/>
      <c r="F1173" s="6"/>
      <c r="G1173" s="6"/>
      <c r="H1173" s="85">
        <f>10</f>
        <v>10</v>
      </c>
      <c r="I1173" s="103">
        <f>IFERROR(VLOOKUP(B1173,'July 2026-Recived'!$B$2:$H$1300,7,0),0)</f>
        <v>0</v>
      </c>
      <c r="J1173" s="103">
        <f>IFERROR(VLOOKUP(B1173,'July 2026- Dispatch'!$B$2:$H$1300,7,0),0)</f>
        <v>10</v>
      </c>
      <c r="K1173" s="61">
        <f t="shared" si="20"/>
        <v>0</v>
      </c>
      <c r="M1173" t="s">
        <v>3926</v>
      </c>
    </row>
    <row r="1174" spans="1:13" ht="15" hidden="1" customHeight="1" x14ac:dyDescent="0.25">
      <c r="A1174" s="7">
        <v>1173</v>
      </c>
      <c r="B1174" s="6" t="s">
        <v>4939</v>
      </c>
      <c r="C1174" s="6" t="s">
        <v>4940</v>
      </c>
      <c r="D1174" s="6"/>
      <c r="E1174" s="6"/>
      <c r="F1174" s="6"/>
      <c r="G1174" s="6"/>
      <c r="H1174" s="85">
        <v>0</v>
      </c>
      <c r="I1174" s="103">
        <f>IFERROR(VLOOKUP(B1174,'July 2026-Recived'!$B$2:$H$1300,7,0),0)</f>
        <v>0</v>
      </c>
      <c r="J1174" s="103">
        <f>IFERROR(VLOOKUP(B1174,'July 2026- Dispatch'!$B$2:$H$1300,7,0),0)</f>
        <v>0</v>
      </c>
      <c r="K1174" s="61">
        <f t="shared" si="20"/>
        <v>0</v>
      </c>
      <c r="M1174" t="s">
        <v>3926</v>
      </c>
    </row>
    <row r="1175" spans="1:13" ht="15" hidden="1" customHeight="1" x14ac:dyDescent="0.25">
      <c r="A1175" s="7">
        <v>1174</v>
      </c>
      <c r="B1175" s="130" t="s">
        <v>4941</v>
      </c>
      <c r="C1175" s="130" t="s">
        <v>4942</v>
      </c>
      <c r="D1175" s="130"/>
      <c r="E1175" s="130"/>
      <c r="F1175" s="6"/>
      <c r="G1175" s="6"/>
      <c r="H1175" s="85">
        <v>0</v>
      </c>
      <c r="I1175" s="103">
        <f>IFERROR(VLOOKUP(B1175,'July 2026-Recived'!$B$2:$H$1300,7,0),0)</f>
        <v>0</v>
      </c>
      <c r="J1175" s="103">
        <f>IFERROR(VLOOKUP(B1175,'July 2026- Dispatch'!$B$2:$H$1300,7,0),0)</f>
        <v>0</v>
      </c>
      <c r="K1175" s="61">
        <f t="shared" si="20"/>
        <v>0</v>
      </c>
      <c r="M1175" t="s">
        <v>3926</v>
      </c>
    </row>
    <row r="1176" spans="1:13" ht="15" hidden="1" customHeight="1" x14ac:dyDescent="0.25">
      <c r="A1176" s="7">
        <v>1175</v>
      </c>
      <c r="B1176" s="145" t="s">
        <v>4943</v>
      </c>
      <c r="C1176" s="145" t="s">
        <v>4944</v>
      </c>
      <c r="D1176" s="145"/>
      <c r="E1176" s="145"/>
      <c r="F1176" s="6"/>
      <c r="G1176" s="6"/>
      <c r="H1176" s="85">
        <v>0</v>
      </c>
      <c r="I1176" s="103">
        <f>IFERROR(VLOOKUP(B1176,'July 2026-Recived'!$B$2:$H$1300,7,0),0)</f>
        <v>0</v>
      </c>
      <c r="J1176" s="103">
        <f>IFERROR(VLOOKUP(B1176,'July 2026- Dispatch'!$B$2:$H$1300,7,0),0)</f>
        <v>0</v>
      </c>
      <c r="K1176" s="61">
        <f t="shared" si="20"/>
        <v>0</v>
      </c>
      <c r="M1176" t="s">
        <v>3926</v>
      </c>
    </row>
    <row r="1177" spans="1:13" ht="15" hidden="1" customHeight="1" x14ac:dyDescent="0.25">
      <c r="A1177" s="7">
        <v>1176</v>
      </c>
      <c r="B1177" s="6" t="s">
        <v>4945</v>
      </c>
      <c r="C1177" s="6" t="s">
        <v>4946</v>
      </c>
      <c r="D1177" s="6"/>
      <c r="E1177" s="6"/>
      <c r="F1177" s="6"/>
      <c r="G1177" s="6"/>
      <c r="H1177" s="85">
        <v>0</v>
      </c>
      <c r="I1177" s="103">
        <f>IFERROR(VLOOKUP(B1177,'July 2026-Recived'!$B$2:$H$1300,7,0),0)</f>
        <v>0</v>
      </c>
      <c r="J1177" s="103">
        <f>IFERROR(VLOOKUP(B1177,'July 2026- Dispatch'!$B$2:$H$1300,7,0),0)</f>
        <v>0</v>
      </c>
      <c r="K1177" s="61">
        <f t="shared" si="20"/>
        <v>0</v>
      </c>
    </row>
    <row r="1178" spans="1:13" ht="15" hidden="1" customHeight="1" x14ac:dyDescent="0.25">
      <c r="A1178" s="7">
        <v>1177</v>
      </c>
      <c r="B1178" s="196" t="s">
        <v>5044</v>
      </c>
      <c r="C1178" s="196" t="s">
        <v>5045</v>
      </c>
      <c r="D1178" s="6"/>
      <c r="E1178" s="6"/>
      <c r="F1178" s="6"/>
      <c r="G1178" s="6"/>
      <c r="H1178" s="85"/>
      <c r="I1178" s="103">
        <f>IFERROR(VLOOKUP(B1178,'July 2026-Recived'!$B$2:$H$1300,7,0),0)</f>
        <v>4</v>
      </c>
      <c r="J1178" s="103">
        <f>IFERROR(VLOOKUP(B1178,'July 2026- Dispatch'!$B$2:$H$1300,7,0),0)</f>
        <v>0</v>
      </c>
      <c r="K1178" s="61">
        <f t="shared" si="20"/>
        <v>4</v>
      </c>
    </row>
    <row r="1179" spans="1:13" ht="15" hidden="1" customHeight="1" x14ac:dyDescent="0.25">
      <c r="A1179" s="7">
        <v>1178</v>
      </c>
      <c r="B1179" s="196" t="s">
        <v>5046</v>
      </c>
      <c r="C1179" s="196" t="s">
        <v>5047</v>
      </c>
      <c r="D1179" s="6"/>
      <c r="E1179" s="6"/>
      <c r="F1179" s="6"/>
      <c r="G1179" s="6"/>
      <c r="H1179" s="85"/>
      <c r="I1179" s="103">
        <f>IFERROR(VLOOKUP(B1179,'July 2026-Recived'!$B$2:$H$1300,7,0),0)</f>
        <v>16</v>
      </c>
      <c r="J1179" s="103">
        <f>IFERROR(VLOOKUP(B1179,'July 2026- Dispatch'!$B$2:$H$1300,7,0),0)</f>
        <v>0</v>
      </c>
      <c r="K1179" s="61">
        <f t="shared" si="20"/>
        <v>16</v>
      </c>
    </row>
    <row r="1180" spans="1:13" ht="15" hidden="1" customHeight="1" x14ac:dyDescent="0.25">
      <c r="A1180" s="7">
        <v>1179</v>
      </c>
      <c r="B1180" s="196" t="s">
        <v>5048</v>
      </c>
      <c r="C1180" s="196" t="s">
        <v>5049</v>
      </c>
      <c r="D1180" s="6"/>
      <c r="E1180" s="6"/>
      <c r="F1180" s="6"/>
      <c r="G1180" s="6"/>
      <c r="H1180" s="85"/>
      <c r="I1180" s="103">
        <f>IFERROR(VLOOKUP(B1180,'July 2026-Recived'!$B$2:$H$1300,7,0),0)</f>
        <v>15</v>
      </c>
      <c r="J1180" s="103">
        <f>IFERROR(VLOOKUP(B1180,'July 2026- Dispatch'!$B$2:$H$1300,7,0),0)</f>
        <v>0</v>
      </c>
      <c r="K1180" s="61">
        <f t="shared" si="20"/>
        <v>15</v>
      </c>
    </row>
    <row r="1181" spans="1:13" ht="15" hidden="1" customHeight="1" x14ac:dyDescent="0.25">
      <c r="A1181" s="7">
        <v>1180</v>
      </c>
      <c r="B1181" s="196" t="s">
        <v>5050</v>
      </c>
      <c r="C1181" s="196" t="s">
        <v>5051</v>
      </c>
      <c r="D1181" s="6"/>
      <c r="E1181" s="6"/>
      <c r="F1181" s="6"/>
      <c r="G1181" s="6"/>
      <c r="H1181" s="85"/>
      <c r="I1181" s="103">
        <f>IFERROR(VLOOKUP(B1181,'July 2026-Recived'!$B$2:$H$1300,7,0),0)</f>
        <v>10</v>
      </c>
      <c r="J1181" s="103">
        <f>IFERROR(VLOOKUP(B1181,'July 2026- Dispatch'!$B$2:$H$1300,7,0),0)</f>
        <v>0</v>
      </c>
      <c r="K1181" s="61">
        <f t="shared" si="20"/>
        <v>10</v>
      </c>
    </row>
    <row r="1182" spans="1:13" ht="15" hidden="1" customHeight="1" x14ac:dyDescent="0.25">
      <c r="A1182" s="7">
        <v>1181</v>
      </c>
      <c r="B1182" s="196" t="s">
        <v>5052</v>
      </c>
      <c r="C1182" s="196" t="s">
        <v>5053</v>
      </c>
      <c r="D1182" s="6"/>
      <c r="E1182" s="6"/>
      <c r="F1182" s="6"/>
      <c r="G1182" s="6"/>
      <c r="H1182" s="85"/>
      <c r="I1182" s="103">
        <f>IFERROR(VLOOKUP(B1182,'July 2026-Recived'!$B$2:$H$1300,7,0),0)</f>
        <v>5</v>
      </c>
      <c r="J1182" s="103">
        <f>IFERROR(VLOOKUP(B1182,'July 2026- Dispatch'!$B$2:$H$1300,7,0),0)</f>
        <v>0</v>
      </c>
      <c r="K1182" s="61">
        <f t="shared" ref="K1182:K1245" si="21">H1182+I1182-J1182</f>
        <v>5</v>
      </c>
    </row>
    <row r="1183" spans="1:13" ht="15" hidden="1" customHeight="1" x14ac:dyDescent="0.25">
      <c r="A1183" s="7">
        <v>1182</v>
      </c>
      <c r="B1183" s="196" t="s">
        <v>5054</v>
      </c>
      <c r="C1183" s="196" t="s">
        <v>5055</v>
      </c>
      <c r="D1183" s="6"/>
      <c r="E1183" s="6"/>
      <c r="F1183" s="6"/>
      <c r="G1183" s="6"/>
      <c r="H1183" s="85"/>
      <c r="I1183" s="103">
        <f>IFERROR(VLOOKUP(B1183,'July 2026-Recived'!$B$2:$H$1300,7,0),0)</f>
        <v>16</v>
      </c>
      <c r="J1183" s="103">
        <f>IFERROR(VLOOKUP(B1183,'July 2026- Dispatch'!$B$2:$H$1300,7,0),0)</f>
        <v>0</v>
      </c>
      <c r="K1183" s="61">
        <f t="shared" si="21"/>
        <v>16</v>
      </c>
    </row>
    <row r="1184" spans="1:13" ht="15" hidden="1" customHeight="1" x14ac:dyDescent="0.25">
      <c r="A1184" s="7">
        <v>1183</v>
      </c>
      <c r="B1184" s="196" t="s">
        <v>5056</v>
      </c>
      <c r="C1184" s="196" t="s">
        <v>5057</v>
      </c>
      <c r="D1184" s="6"/>
      <c r="E1184" s="6"/>
      <c r="F1184" s="6"/>
      <c r="G1184" s="6"/>
      <c r="H1184" s="85"/>
      <c r="I1184" s="103">
        <f>IFERROR(VLOOKUP(B1184,'July 2026-Recived'!$B$2:$H$1300,7,0),0)</f>
        <v>5</v>
      </c>
      <c r="J1184" s="103">
        <f>IFERROR(VLOOKUP(B1184,'July 2026- Dispatch'!$B$2:$H$1300,7,0),0)</f>
        <v>0</v>
      </c>
      <c r="K1184" s="61">
        <f t="shared" si="21"/>
        <v>5</v>
      </c>
    </row>
    <row r="1185" spans="1:11" ht="15" hidden="1" customHeight="1" x14ac:dyDescent="0.25">
      <c r="A1185" s="7">
        <v>1184</v>
      </c>
      <c r="B1185" s="196" t="s">
        <v>5058</v>
      </c>
      <c r="C1185" s="196" t="s">
        <v>5059</v>
      </c>
      <c r="D1185" s="6"/>
      <c r="E1185" s="6"/>
      <c r="F1185" s="6"/>
      <c r="G1185" s="6"/>
      <c r="H1185" s="85"/>
      <c r="I1185" s="103">
        <f>IFERROR(VLOOKUP(B1185,'July 2026-Recived'!$B$2:$H$1300,7,0),0)</f>
        <v>5</v>
      </c>
      <c r="J1185" s="103">
        <f>IFERROR(VLOOKUP(B1185,'July 2026- Dispatch'!$B$2:$H$1300,7,0),0)</f>
        <v>0</v>
      </c>
      <c r="K1185" s="61">
        <f t="shared" si="21"/>
        <v>5</v>
      </c>
    </row>
    <row r="1186" spans="1:11" ht="15" hidden="1" customHeight="1" x14ac:dyDescent="0.25">
      <c r="A1186" s="7">
        <v>1185</v>
      </c>
      <c r="B1186" s="196" t="s">
        <v>5060</v>
      </c>
      <c r="C1186" s="196" t="s">
        <v>5061</v>
      </c>
      <c r="D1186" s="6"/>
      <c r="E1186" s="6"/>
      <c r="F1186" s="6"/>
      <c r="G1186" s="6"/>
      <c r="H1186" s="85"/>
      <c r="I1186" s="103">
        <f>IFERROR(VLOOKUP(B1186,'July 2026-Recived'!$B$2:$H$1300,7,0),0)</f>
        <v>10</v>
      </c>
      <c r="J1186" s="103">
        <f>IFERROR(VLOOKUP(B1186,'July 2026- Dispatch'!$B$2:$H$1300,7,0),0)</f>
        <v>0</v>
      </c>
      <c r="K1186" s="61">
        <f t="shared" si="21"/>
        <v>10</v>
      </c>
    </row>
    <row r="1187" spans="1:11" ht="15" hidden="1" customHeight="1" x14ac:dyDescent="0.25">
      <c r="A1187" s="7">
        <v>1186</v>
      </c>
      <c r="B1187" s="6"/>
      <c r="C1187" s="6"/>
      <c r="D1187" s="6"/>
      <c r="E1187" s="6"/>
      <c r="F1187" s="6"/>
      <c r="G1187" s="6"/>
      <c r="H1187" s="85"/>
      <c r="I1187" s="103">
        <f>IFERROR(VLOOKUP(B1187,'July 2026-Recived'!$B$2:$H$1300,7,0),0)</f>
        <v>0</v>
      </c>
      <c r="J1187" s="103">
        <f>IFERROR(VLOOKUP(B1187,'July 2026- Dispatch'!$B$2:$H$1300,7,0),0)</f>
        <v>0</v>
      </c>
      <c r="K1187" s="61">
        <f t="shared" si="21"/>
        <v>0</v>
      </c>
    </row>
    <row r="1188" spans="1:11" ht="15" hidden="1" customHeight="1" x14ac:dyDescent="0.25">
      <c r="A1188" s="7">
        <v>1187</v>
      </c>
      <c r="B1188" s="6"/>
      <c r="C1188" s="6"/>
      <c r="D1188" s="6"/>
      <c r="E1188" s="6"/>
      <c r="F1188" s="6"/>
      <c r="G1188" s="6"/>
      <c r="H1188" s="85"/>
      <c r="I1188" s="103">
        <f>IFERROR(VLOOKUP(B1188,'July 2026-Recived'!$B$2:$H$1300,7,0),0)</f>
        <v>0</v>
      </c>
      <c r="J1188" s="103">
        <f>IFERROR(VLOOKUP(B1188,'July 2026- Dispatch'!$B$2:$H$1300,7,0),0)</f>
        <v>0</v>
      </c>
      <c r="K1188" s="61">
        <f t="shared" si="21"/>
        <v>0</v>
      </c>
    </row>
    <row r="1189" spans="1:11" ht="15" hidden="1" customHeight="1" x14ac:dyDescent="0.25">
      <c r="A1189" s="7">
        <v>1188</v>
      </c>
      <c r="B1189" s="6"/>
      <c r="C1189" s="6"/>
      <c r="D1189" s="6"/>
      <c r="E1189" s="6"/>
      <c r="F1189" s="6"/>
      <c r="G1189" s="6"/>
      <c r="H1189" s="85"/>
      <c r="I1189" s="103">
        <f>IFERROR(VLOOKUP(B1189,'July 2026-Recived'!$B$2:$H$1300,7,0),0)</f>
        <v>0</v>
      </c>
      <c r="J1189" s="103">
        <f>IFERROR(VLOOKUP(B1189,'July 2026- Dispatch'!$B$2:$H$1300,7,0),0)</f>
        <v>0</v>
      </c>
      <c r="K1189" s="61">
        <f t="shared" si="21"/>
        <v>0</v>
      </c>
    </row>
    <row r="1190" spans="1:11" ht="15" hidden="1" customHeight="1" x14ac:dyDescent="0.25">
      <c r="A1190" s="7">
        <v>1189</v>
      </c>
      <c r="B1190" s="6"/>
      <c r="C1190" s="6"/>
      <c r="D1190" s="6"/>
      <c r="E1190" s="6"/>
      <c r="F1190" s="6"/>
      <c r="G1190" s="6"/>
      <c r="H1190" s="85"/>
      <c r="I1190" s="103">
        <f>IFERROR(VLOOKUP(B1190,'July 2026-Recived'!$B$2:$H$1300,7,0),0)</f>
        <v>0</v>
      </c>
      <c r="J1190" s="103">
        <f>IFERROR(VLOOKUP(B1190,'July 2026- Dispatch'!$B$2:$H$1300,7,0),0)</f>
        <v>0</v>
      </c>
      <c r="K1190" s="61">
        <f t="shared" si="21"/>
        <v>0</v>
      </c>
    </row>
    <row r="1191" spans="1:11" ht="15" hidden="1" customHeight="1" x14ac:dyDescent="0.25">
      <c r="A1191" s="7">
        <v>1190</v>
      </c>
      <c r="B1191" s="6"/>
      <c r="C1191" s="6"/>
      <c r="D1191" s="6"/>
      <c r="E1191" s="6"/>
      <c r="F1191" s="6"/>
      <c r="G1191" s="6"/>
      <c r="H1191" s="85"/>
      <c r="I1191" s="103">
        <f>IFERROR(VLOOKUP(B1191,'July 2026-Recived'!$B$2:$H$1300,7,0),0)</f>
        <v>0</v>
      </c>
      <c r="J1191" s="103">
        <f>IFERROR(VLOOKUP(B1191,'July 2026- Dispatch'!$B$2:$H$1300,7,0),0)</f>
        <v>0</v>
      </c>
      <c r="K1191" s="61">
        <f t="shared" si="21"/>
        <v>0</v>
      </c>
    </row>
    <row r="1192" spans="1:11" ht="15" hidden="1" customHeight="1" x14ac:dyDescent="0.25">
      <c r="A1192" s="7">
        <v>1191</v>
      </c>
      <c r="B1192" s="130"/>
      <c r="C1192" s="130"/>
      <c r="D1192" s="130"/>
      <c r="E1192" s="130"/>
      <c r="F1192" s="6"/>
      <c r="G1192" s="6"/>
      <c r="H1192" s="85"/>
      <c r="I1192" s="103">
        <f>IFERROR(VLOOKUP(B1192,'July 2026-Recived'!$B$2:$H$1300,7,0),0)</f>
        <v>0</v>
      </c>
      <c r="J1192" s="103">
        <f>IFERROR(VLOOKUP(B1192,'July 2026- Dispatch'!$B$2:$H$1300,7,0),0)</f>
        <v>0</v>
      </c>
      <c r="K1192" s="61">
        <f t="shared" si="21"/>
        <v>0</v>
      </c>
    </row>
    <row r="1193" spans="1:11" ht="15" hidden="1" customHeight="1" x14ac:dyDescent="0.25">
      <c r="A1193" s="7">
        <v>1192</v>
      </c>
      <c r="B1193" s="6"/>
      <c r="C1193" s="6"/>
      <c r="D1193" s="6"/>
      <c r="E1193" s="6"/>
      <c r="F1193" s="6"/>
      <c r="G1193" s="6"/>
      <c r="H1193" s="85"/>
      <c r="I1193" s="103">
        <f>IFERROR(VLOOKUP(B1193,'July 2026-Recived'!$B$2:$H$1300,7,0),0)</f>
        <v>0</v>
      </c>
      <c r="J1193" s="103">
        <f>IFERROR(VLOOKUP(B1193,'July 2026- Dispatch'!$B$2:$H$1300,7,0),0)</f>
        <v>0</v>
      </c>
      <c r="K1193" s="61">
        <f t="shared" si="21"/>
        <v>0</v>
      </c>
    </row>
    <row r="1194" spans="1:11" ht="15" hidden="1" customHeight="1" x14ac:dyDescent="0.25">
      <c r="A1194" s="7">
        <v>1193</v>
      </c>
      <c r="B1194" s="6"/>
      <c r="C1194" s="6"/>
      <c r="D1194" s="6"/>
      <c r="E1194" s="6"/>
      <c r="F1194" s="6"/>
      <c r="G1194" s="6"/>
      <c r="H1194" s="85"/>
      <c r="I1194" s="103">
        <f>IFERROR(VLOOKUP(B1194,'July 2026-Recived'!$B$2:$H$1300,7,0),0)</f>
        <v>0</v>
      </c>
      <c r="J1194" s="103">
        <f>IFERROR(VLOOKUP(B1194,'July 2026- Dispatch'!$B$2:$H$1300,7,0),0)</f>
        <v>0</v>
      </c>
      <c r="K1194" s="61">
        <f t="shared" si="21"/>
        <v>0</v>
      </c>
    </row>
    <row r="1195" spans="1:11" ht="15" hidden="1" customHeight="1" x14ac:dyDescent="0.25">
      <c r="A1195" s="7">
        <v>1194</v>
      </c>
      <c r="B1195" s="6"/>
      <c r="C1195" s="6"/>
      <c r="D1195" s="6"/>
      <c r="E1195" s="6"/>
      <c r="F1195" s="6"/>
      <c r="G1195" s="6"/>
      <c r="H1195" s="85"/>
      <c r="I1195" s="103">
        <f>IFERROR(VLOOKUP(B1195,'July 2026-Recived'!$B$2:$H$1300,7,0),0)</f>
        <v>0</v>
      </c>
      <c r="J1195" s="103">
        <f>IFERROR(VLOOKUP(B1195,'July 2026- Dispatch'!$B$2:$H$1300,7,0),0)</f>
        <v>0</v>
      </c>
      <c r="K1195" s="61">
        <f t="shared" si="21"/>
        <v>0</v>
      </c>
    </row>
    <row r="1196" spans="1:11" ht="15" hidden="1" customHeight="1" x14ac:dyDescent="0.25">
      <c r="A1196" s="7">
        <v>1195</v>
      </c>
      <c r="B1196" s="6"/>
      <c r="C1196" s="6"/>
      <c r="D1196" s="6"/>
      <c r="E1196" s="6"/>
      <c r="F1196" s="6"/>
      <c r="G1196" s="6"/>
      <c r="H1196" s="85"/>
      <c r="I1196" s="103">
        <f>IFERROR(VLOOKUP(B1196,'July 2026-Recived'!$B$2:$H$1300,7,0),0)</f>
        <v>0</v>
      </c>
      <c r="J1196" s="103">
        <f>IFERROR(VLOOKUP(B1196,'July 2026- Dispatch'!$B$2:$H$1300,7,0),0)</f>
        <v>0</v>
      </c>
      <c r="K1196" s="61">
        <f t="shared" si="21"/>
        <v>0</v>
      </c>
    </row>
    <row r="1197" spans="1:11" ht="15" hidden="1" customHeight="1" x14ac:dyDescent="0.25">
      <c r="A1197" s="7">
        <v>1196</v>
      </c>
      <c r="B1197" s="6"/>
      <c r="C1197" s="6"/>
      <c r="D1197" s="6"/>
      <c r="E1197" s="6"/>
      <c r="F1197" s="6"/>
      <c r="G1197" s="6"/>
      <c r="H1197" s="85"/>
      <c r="I1197" s="103">
        <f>IFERROR(VLOOKUP(B1197,'July 2026-Recived'!$B$2:$H$1300,7,0),0)</f>
        <v>0</v>
      </c>
      <c r="J1197" s="103">
        <f>IFERROR(VLOOKUP(B1197,'July 2026- Dispatch'!$B$2:$H$1300,7,0),0)</f>
        <v>0</v>
      </c>
      <c r="K1197" s="61">
        <f t="shared" si="21"/>
        <v>0</v>
      </c>
    </row>
    <row r="1198" spans="1:11" ht="15" hidden="1" customHeight="1" x14ac:dyDescent="0.25">
      <c r="A1198" s="7">
        <v>1197</v>
      </c>
      <c r="B1198" s="6"/>
      <c r="C1198" s="6"/>
      <c r="D1198" s="6"/>
      <c r="E1198" s="6"/>
      <c r="F1198" s="6"/>
      <c r="G1198" s="6"/>
      <c r="H1198" s="85"/>
      <c r="I1198" s="103">
        <f>IFERROR(VLOOKUP(B1198,'July 2026-Recived'!$B$2:$H$1300,7,0),0)</f>
        <v>0</v>
      </c>
      <c r="J1198" s="103">
        <f>IFERROR(VLOOKUP(B1198,'July 2026- Dispatch'!$B$2:$H$1300,7,0),0)</f>
        <v>0</v>
      </c>
      <c r="K1198" s="61">
        <f t="shared" si="21"/>
        <v>0</v>
      </c>
    </row>
    <row r="1199" spans="1:11" ht="15" hidden="1" customHeight="1" x14ac:dyDescent="0.25">
      <c r="A1199" s="7">
        <v>1198</v>
      </c>
      <c r="B1199" s="6"/>
      <c r="C1199" s="6"/>
      <c r="D1199" s="6"/>
      <c r="E1199" s="6"/>
      <c r="F1199" s="6"/>
      <c r="G1199" s="6"/>
      <c r="H1199" s="85"/>
      <c r="I1199" s="103">
        <f>IFERROR(VLOOKUP(B1199,'July 2026-Recived'!$B$2:$H$1300,7,0),0)</f>
        <v>0</v>
      </c>
      <c r="J1199" s="103">
        <f>IFERROR(VLOOKUP(B1199,'July 2026- Dispatch'!$B$2:$H$1300,7,0),0)</f>
        <v>0</v>
      </c>
      <c r="K1199" s="61">
        <f t="shared" si="21"/>
        <v>0</v>
      </c>
    </row>
    <row r="1200" spans="1:11" ht="15" hidden="1" customHeight="1" x14ac:dyDescent="0.25">
      <c r="A1200" s="7">
        <v>1199</v>
      </c>
      <c r="B1200" s="6"/>
      <c r="C1200" s="6"/>
      <c r="D1200" s="6"/>
      <c r="E1200" s="6"/>
      <c r="F1200" s="6"/>
      <c r="G1200" s="6"/>
      <c r="H1200" s="85"/>
      <c r="I1200" s="103">
        <f>IFERROR(VLOOKUP(B1200,'July 2026-Recived'!$B$2:$H$1300,7,0),0)</f>
        <v>0</v>
      </c>
      <c r="J1200" s="103">
        <f>IFERROR(VLOOKUP(B1200,'July 2026- Dispatch'!$B$2:$H$1300,7,0),0)</f>
        <v>0</v>
      </c>
      <c r="K1200" s="61">
        <f t="shared" si="21"/>
        <v>0</v>
      </c>
    </row>
    <row r="1201" spans="1:11" ht="15" hidden="1" customHeight="1" x14ac:dyDescent="0.25">
      <c r="A1201" s="7">
        <v>1200</v>
      </c>
      <c r="B1201" s="6"/>
      <c r="C1201" s="6"/>
      <c r="D1201" s="6"/>
      <c r="E1201" s="6"/>
      <c r="F1201" s="6"/>
      <c r="G1201" s="6"/>
      <c r="H1201" s="85"/>
      <c r="I1201" s="103">
        <f>IFERROR(VLOOKUP(B1201,'July 2026-Recived'!$B$2:$H$1300,7,0),0)</f>
        <v>0</v>
      </c>
      <c r="J1201" s="103">
        <f>IFERROR(VLOOKUP(B1201,'July 2026- Dispatch'!$B$2:$H$1300,7,0),0)</f>
        <v>0</v>
      </c>
      <c r="K1201" s="61">
        <f t="shared" si="21"/>
        <v>0</v>
      </c>
    </row>
    <row r="1202" spans="1:11" ht="15" hidden="1" customHeight="1" x14ac:dyDescent="0.25">
      <c r="A1202" s="7">
        <v>1201</v>
      </c>
      <c r="B1202" s="6"/>
      <c r="C1202" s="6"/>
      <c r="D1202" s="6"/>
      <c r="E1202" s="6"/>
      <c r="F1202" s="6"/>
      <c r="G1202" s="6"/>
      <c r="H1202" s="85"/>
      <c r="I1202" s="103">
        <f>IFERROR(VLOOKUP(B1202,'July 2026-Recived'!$B$2:$H$1300,7,0),0)</f>
        <v>0</v>
      </c>
      <c r="J1202" s="103">
        <f>IFERROR(VLOOKUP(B1202,'July 2026- Dispatch'!$B$2:$H$1300,7,0),0)</f>
        <v>0</v>
      </c>
      <c r="K1202" s="61">
        <f t="shared" si="21"/>
        <v>0</v>
      </c>
    </row>
    <row r="1203" spans="1:11" ht="15" hidden="1" customHeight="1" x14ac:dyDescent="0.25">
      <c r="A1203" s="7">
        <v>1202</v>
      </c>
      <c r="B1203" s="6"/>
      <c r="C1203" s="6"/>
      <c r="D1203" s="6"/>
      <c r="E1203" s="6"/>
      <c r="F1203" s="6"/>
      <c r="G1203" s="6"/>
      <c r="H1203" s="85"/>
      <c r="I1203" s="103">
        <f>IFERROR(VLOOKUP(B1203,'July 2026-Recived'!$B$2:$H$1300,7,0),0)</f>
        <v>0</v>
      </c>
      <c r="J1203" s="103">
        <f>IFERROR(VLOOKUP(B1203,'July 2026- Dispatch'!$B$2:$H$1300,7,0),0)</f>
        <v>0</v>
      </c>
      <c r="K1203" s="61">
        <f t="shared" si="21"/>
        <v>0</v>
      </c>
    </row>
    <row r="1204" spans="1:11" ht="15" hidden="1" customHeight="1" x14ac:dyDescent="0.25">
      <c r="A1204" s="7">
        <v>1203</v>
      </c>
      <c r="B1204" s="6"/>
      <c r="C1204" s="6"/>
      <c r="D1204" s="6"/>
      <c r="E1204" s="6"/>
      <c r="F1204" s="6"/>
      <c r="G1204" s="6"/>
      <c r="H1204" s="85"/>
      <c r="I1204" s="103">
        <f>IFERROR(VLOOKUP(B1204,'July 2026-Recived'!$B$2:$H$1300,7,0),0)</f>
        <v>0</v>
      </c>
      <c r="J1204" s="103">
        <f>IFERROR(VLOOKUP(B1204,'July 2026- Dispatch'!$B$2:$H$1300,7,0),0)</f>
        <v>0</v>
      </c>
      <c r="K1204" s="61">
        <f t="shared" si="21"/>
        <v>0</v>
      </c>
    </row>
    <row r="1205" spans="1:11" ht="15" hidden="1" customHeight="1" x14ac:dyDescent="0.25">
      <c r="A1205" s="7">
        <v>1204</v>
      </c>
      <c r="B1205" s="6"/>
      <c r="C1205" s="6"/>
      <c r="D1205" s="6"/>
      <c r="E1205" s="6"/>
      <c r="F1205" s="6"/>
      <c r="G1205" s="6"/>
      <c r="H1205" s="85"/>
      <c r="I1205" s="103">
        <f>IFERROR(VLOOKUP(B1205,'July 2026-Recived'!$B$2:$H$1300,7,0),0)</f>
        <v>0</v>
      </c>
      <c r="J1205" s="103">
        <f>IFERROR(VLOOKUP(B1205,'July 2026- Dispatch'!$B$2:$H$1300,7,0),0)</f>
        <v>0</v>
      </c>
      <c r="K1205" s="61">
        <f t="shared" si="21"/>
        <v>0</v>
      </c>
    </row>
    <row r="1206" spans="1:11" ht="15" hidden="1" customHeight="1" x14ac:dyDescent="0.25">
      <c r="A1206" s="7">
        <v>1205</v>
      </c>
      <c r="B1206" s="6"/>
      <c r="C1206" s="6"/>
      <c r="D1206" s="6"/>
      <c r="E1206" s="6"/>
      <c r="F1206" s="6"/>
      <c r="G1206" s="6"/>
      <c r="H1206" s="85"/>
      <c r="I1206" s="103">
        <f>IFERROR(VLOOKUP(B1206,'July 2026-Recived'!$B$2:$H$1300,7,0),0)</f>
        <v>0</v>
      </c>
      <c r="J1206" s="103">
        <f>IFERROR(VLOOKUP(B1206,'July 2026- Dispatch'!$B$2:$H$1300,7,0),0)</f>
        <v>0</v>
      </c>
      <c r="K1206" s="61">
        <f t="shared" si="21"/>
        <v>0</v>
      </c>
    </row>
    <row r="1207" spans="1:11" ht="15" hidden="1" customHeight="1" x14ac:dyDescent="0.25">
      <c r="A1207" s="7">
        <v>1206</v>
      </c>
      <c r="B1207" s="59"/>
      <c r="C1207" s="130"/>
      <c r="D1207" s="162"/>
      <c r="E1207" s="6"/>
      <c r="F1207" s="6"/>
      <c r="G1207" s="6"/>
      <c r="H1207" s="85"/>
      <c r="I1207" s="103">
        <f>IFERROR(VLOOKUP(B1207,'July 2026-Recived'!$B$2:$H$1300,7,0),0)</f>
        <v>0</v>
      </c>
      <c r="J1207" s="103">
        <f>IFERROR(VLOOKUP(B1207,'July 2026- Dispatch'!$B$2:$H$1300,7,0),0)</f>
        <v>0</v>
      </c>
      <c r="K1207" s="61">
        <f t="shared" si="21"/>
        <v>0</v>
      </c>
    </row>
    <row r="1208" spans="1:11" ht="15" hidden="1" customHeight="1" x14ac:dyDescent="0.25">
      <c r="A1208" s="7">
        <v>1207</v>
      </c>
      <c r="B1208" s="59"/>
      <c r="C1208" s="130"/>
      <c r="D1208" s="162"/>
      <c r="E1208" s="6"/>
      <c r="F1208" s="6"/>
      <c r="G1208" s="6"/>
      <c r="H1208" s="85"/>
      <c r="I1208" s="103">
        <f>IFERROR(VLOOKUP(B1208,'July 2026-Recived'!$B$2:$H$1300,7,0),0)</f>
        <v>0</v>
      </c>
      <c r="J1208" s="103">
        <f>IFERROR(VLOOKUP(B1208,'July 2026- Dispatch'!$B$2:$H$1300,7,0),0)</f>
        <v>0</v>
      </c>
      <c r="K1208" s="61">
        <f t="shared" si="21"/>
        <v>0</v>
      </c>
    </row>
    <row r="1209" spans="1:11" ht="15" hidden="1" customHeight="1" x14ac:dyDescent="0.25">
      <c r="A1209" s="7">
        <v>1208</v>
      </c>
      <c r="B1209" s="59"/>
      <c r="C1209" s="130"/>
      <c r="D1209" s="162"/>
      <c r="E1209" s="6"/>
      <c r="F1209" s="6"/>
      <c r="G1209" s="6"/>
      <c r="H1209" s="85"/>
      <c r="I1209" s="103">
        <f>IFERROR(VLOOKUP(B1209,'July 2026-Recived'!$B$2:$H$1300,7,0),0)</f>
        <v>0</v>
      </c>
      <c r="J1209" s="103">
        <f>IFERROR(VLOOKUP(B1209,'July 2026- Dispatch'!$B$2:$H$1300,7,0),0)</f>
        <v>0</v>
      </c>
      <c r="K1209" s="61">
        <f t="shared" si="21"/>
        <v>0</v>
      </c>
    </row>
    <row r="1210" spans="1:11" ht="15" hidden="1" customHeight="1" x14ac:dyDescent="0.25">
      <c r="A1210" s="7">
        <v>1209</v>
      </c>
      <c r="B1210" s="59"/>
      <c r="C1210" s="130"/>
      <c r="D1210" s="162"/>
      <c r="E1210" s="6"/>
      <c r="F1210" s="6"/>
      <c r="G1210" s="6"/>
      <c r="H1210" s="85"/>
      <c r="I1210" s="103">
        <f>IFERROR(VLOOKUP(B1210,'July 2026-Recived'!$B$2:$H$1300,7,0),0)</f>
        <v>0</v>
      </c>
      <c r="J1210" s="103">
        <f>IFERROR(VLOOKUP(B1210,'July 2026- Dispatch'!$B$2:$H$1300,7,0),0)</f>
        <v>0</v>
      </c>
      <c r="K1210" s="61">
        <f t="shared" si="21"/>
        <v>0</v>
      </c>
    </row>
    <row r="1211" spans="1:11" ht="15" hidden="1" customHeight="1" x14ac:dyDescent="0.25">
      <c r="A1211" s="7">
        <v>1210</v>
      </c>
      <c r="B1211" s="6"/>
      <c r="C1211" s="6"/>
      <c r="D1211" s="6"/>
      <c r="E1211" s="6"/>
      <c r="F1211" s="6"/>
      <c r="G1211" s="6"/>
      <c r="H1211" s="85"/>
      <c r="I1211" s="103">
        <f>IFERROR(VLOOKUP(B1211,'July 2026-Recived'!$B$2:$H$1300,7,0),0)</f>
        <v>0</v>
      </c>
      <c r="J1211" s="103">
        <f>IFERROR(VLOOKUP(B1211,'July 2026- Dispatch'!$B$2:$H$1300,7,0),0)</f>
        <v>0</v>
      </c>
      <c r="K1211" s="61">
        <f t="shared" si="21"/>
        <v>0</v>
      </c>
    </row>
    <row r="1212" spans="1:11" ht="15" hidden="1" customHeight="1" x14ac:dyDescent="0.25">
      <c r="A1212" s="7">
        <v>1211</v>
      </c>
      <c r="B1212" s="6"/>
      <c r="C1212" s="6"/>
      <c r="D1212" s="6"/>
      <c r="E1212" s="6"/>
      <c r="F1212" s="6"/>
      <c r="G1212" s="6"/>
      <c r="H1212" s="85"/>
      <c r="I1212" s="103">
        <f>IFERROR(VLOOKUP(B1212,'July 2026-Recived'!$B$2:$H$1300,7,0),0)</f>
        <v>0</v>
      </c>
      <c r="J1212" s="103">
        <f>IFERROR(VLOOKUP(B1212,'July 2026- Dispatch'!$B$2:$H$1300,7,0),0)</f>
        <v>0</v>
      </c>
      <c r="K1212" s="61">
        <f t="shared" si="21"/>
        <v>0</v>
      </c>
    </row>
    <row r="1213" spans="1:11" ht="15" hidden="1" customHeight="1" x14ac:dyDescent="0.25">
      <c r="A1213" s="7">
        <v>1212</v>
      </c>
      <c r="B1213" s="6"/>
      <c r="C1213" s="6"/>
      <c r="D1213" s="6"/>
      <c r="E1213" s="6"/>
      <c r="F1213" s="6"/>
      <c r="G1213" s="6"/>
      <c r="H1213" s="85"/>
      <c r="I1213" s="103">
        <f>IFERROR(VLOOKUP(B1213,'July 2026-Recived'!$B$2:$H$1300,7,0),0)</f>
        <v>0</v>
      </c>
      <c r="J1213" s="103">
        <f>IFERROR(VLOOKUP(B1213,'July 2026- Dispatch'!$B$2:$H$1300,7,0),0)</f>
        <v>0</v>
      </c>
      <c r="K1213" s="61">
        <f t="shared" si="21"/>
        <v>0</v>
      </c>
    </row>
    <row r="1214" spans="1:11" ht="15" hidden="1" customHeight="1" x14ac:dyDescent="0.25">
      <c r="A1214" s="7">
        <v>1213</v>
      </c>
      <c r="B1214" s="6"/>
      <c r="C1214" s="6"/>
      <c r="D1214" s="6"/>
      <c r="E1214" s="6"/>
      <c r="F1214" s="6"/>
      <c r="G1214" s="6"/>
      <c r="H1214" s="85"/>
      <c r="I1214" s="103">
        <f>IFERROR(VLOOKUP(B1214,'July 2026-Recived'!$B$2:$H$1300,7,0),0)</f>
        <v>0</v>
      </c>
      <c r="J1214" s="103">
        <f>IFERROR(VLOOKUP(B1214,'July 2026- Dispatch'!$B$2:$H$1300,7,0),0)</f>
        <v>0</v>
      </c>
      <c r="K1214" s="61">
        <f t="shared" si="21"/>
        <v>0</v>
      </c>
    </row>
    <row r="1215" spans="1:11" ht="15" hidden="1" customHeight="1" x14ac:dyDescent="0.25">
      <c r="A1215" s="7">
        <v>1214</v>
      </c>
      <c r="B1215" s="6"/>
      <c r="C1215" s="6"/>
      <c r="D1215" s="6"/>
      <c r="E1215" s="6"/>
      <c r="F1215" s="6"/>
      <c r="G1215" s="6"/>
      <c r="H1215" s="85"/>
      <c r="I1215" s="103">
        <f>IFERROR(VLOOKUP(B1215,'July 2026-Recived'!$B$2:$H$1300,7,0),0)</f>
        <v>0</v>
      </c>
      <c r="J1215" s="103">
        <f>IFERROR(VLOOKUP(B1215,'July 2026- Dispatch'!$B$2:$H$1300,7,0),0)</f>
        <v>0</v>
      </c>
      <c r="K1215" s="61">
        <f t="shared" si="21"/>
        <v>0</v>
      </c>
    </row>
    <row r="1216" spans="1:11" ht="15" hidden="1" customHeight="1" x14ac:dyDescent="0.25">
      <c r="A1216" s="7">
        <v>1215</v>
      </c>
      <c r="B1216" s="6"/>
      <c r="C1216" s="6"/>
      <c r="D1216" s="6"/>
      <c r="E1216" s="6"/>
      <c r="F1216" s="6"/>
      <c r="G1216" s="6"/>
      <c r="H1216" s="85"/>
      <c r="I1216" s="103">
        <f>IFERROR(VLOOKUP(B1216,'July 2026-Recived'!$B$2:$H$1300,7,0),0)</f>
        <v>0</v>
      </c>
      <c r="J1216" s="103">
        <f>IFERROR(VLOOKUP(B1216,'July 2026- Dispatch'!$B$2:$H$1300,7,0),0)</f>
        <v>0</v>
      </c>
      <c r="K1216" s="61">
        <f t="shared" si="21"/>
        <v>0</v>
      </c>
    </row>
    <row r="1217" spans="1:11" ht="15" hidden="1" customHeight="1" x14ac:dyDescent="0.25">
      <c r="A1217" s="7">
        <v>1216</v>
      </c>
      <c r="B1217" s="6"/>
      <c r="C1217" s="6"/>
      <c r="D1217" s="6"/>
      <c r="E1217" s="6"/>
      <c r="F1217" s="6"/>
      <c r="G1217" s="6"/>
      <c r="H1217" s="85"/>
      <c r="I1217" s="103">
        <f>IFERROR(VLOOKUP(B1217,'July 2026-Recived'!$B$2:$H$1300,7,0),0)</f>
        <v>0</v>
      </c>
      <c r="J1217" s="103">
        <f>IFERROR(VLOOKUP(B1217,'July 2026- Dispatch'!$B$2:$H$1300,7,0),0)</f>
        <v>0</v>
      </c>
      <c r="K1217" s="61">
        <f t="shared" si="21"/>
        <v>0</v>
      </c>
    </row>
    <row r="1218" spans="1:11" ht="15" hidden="1" customHeight="1" x14ac:dyDescent="0.25">
      <c r="A1218" s="7">
        <v>1217</v>
      </c>
      <c r="B1218" s="6"/>
      <c r="C1218" s="6"/>
      <c r="D1218" s="6"/>
      <c r="E1218" s="6"/>
      <c r="F1218" s="6"/>
      <c r="G1218" s="6"/>
      <c r="H1218" s="85"/>
      <c r="I1218" s="103">
        <f>IFERROR(VLOOKUP(B1218,'July 2026-Recived'!$B$2:$H$1300,7,0),0)</f>
        <v>0</v>
      </c>
      <c r="J1218" s="103">
        <f>IFERROR(VLOOKUP(B1218,'July 2026- Dispatch'!$B$2:$H$1300,7,0),0)</f>
        <v>0</v>
      </c>
      <c r="K1218" s="61">
        <f t="shared" si="21"/>
        <v>0</v>
      </c>
    </row>
    <row r="1219" spans="1:11" ht="15" hidden="1" customHeight="1" x14ac:dyDescent="0.25">
      <c r="A1219" s="7">
        <v>1218</v>
      </c>
      <c r="B1219" s="6"/>
      <c r="C1219" s="6"/>
      <c r="D1219" s="6"/>
      <c r="E1219" s="6"/>
      <c r="F1219" s="6"/>
      <c r="G1219" s="6"/>
      <c r="H1219" s="85"/>
      <c r="I1219" s="103">
        <f>IFERROR(VLOOKUP(B1219,'July 2026-Recived'!$B$2:$H$1300,7,0),0)</f>
        <v>0</v>
      </c>
      <c r="J1219" s="103">
        <f>IFERROR(VLOOKUP(B1219,'July 2026- Dispatch'!$B$2:$H$1300,7,0),0)</f>
        <v>0</v>
      </c>
      <c r="K1219" s="61">
        <f t="shared" si="21"/>
        <v>0</v>
      </c>
    </row>
    <row r="1220" spans="1:11" ht="15" hidden="1" customHeight="1" x14ac:dyDescent="0.25">
      <c r="A1220" s="7">
        <v>1219</v>
      </c>
      <c r="B1220" s="6"/>
      <c r="C1220" s="6"/>
      <c r="D1220" s="6"/>
      <c r="E1220" s="6"/>
      <c r="F1220" s="6"/>
      <c r="G1220" s="6"/>
      <c r="H1220" s="85"/>
      <c r="I1220" s="103">
        <f>IFERROR(VLOOKUP(B1220,'July 2026-Recived'!$B$2:$H$1300,7,0),0)</f>
        <v>0</v>
      </c>
      <c r="J1220" s="103">
        <f>IFERROR(VLOOKUP(B1220,'July 2026- Dispatch'!$B$2:$H$1300,7,0),0)</f>
        <v>0</v>
      </c>
      <c r="K1220" s="61">
        <f t="shared" si="21"/>
        <v>0</v>
      </c>
    </row>
    <row r="1221" spans="1:11" ht="15" hidden="1" customHeight="1" x14ac:dyDescent="0.25">
      <c r="A1221" s="7">
        <v>1220</v>
      </c>
      <c r="B1221" s="6"/>
      <c r="C1221" s="6"/>
      <c r="D1221" s="6"/>
      <c r="E1221" s="6"/>
      <c r="F1221" s="6"/>
      <c r="G1221" s="6"/>
      <c r="H1221" s="85"/>
      <c r="I1221" s="103">
        <f>IFERROR(VLOOKUP(B1221,'July 2026-Recived'!$B$2:$H$1300,7,0),0)</f>
        <v>0</v>
      </c>
      <c r="J1221" s="103">
        <f>IFERROR(VLOOKUP(B1221,'July 2026- Dispatch'!$B$2:$H$1300,7,0),0)</f>
        <v>0</v>
      </c>
      <c r="K1221" s="61">
        <f t="shared" si="21"/>
        <v>0</v>
      </c>
    </row>
    <row r="1222" spans="1:11" ht="15" hidden="1" customHeight="1" x14ac:dyDescent="0.25">
      <c r="A1222" s="7">
        <v>1221</v>
      </c>
      <c r="B1222" s="6"/>
      <c r="C1222" s="6"/>
      <c r="D1222" s="6"/>
      <c r="E1222" s="6"/>
      <c r="F1222" s="6"/>
      <c r="G1222" s="6"/>
      <c r="H1222" s="85"/>
      <c r="I1222" s="103">
        <f>IFERROR(VLOOKUP(B1222,'July 2026-Recived'!$B$2:$H$1300,7,0),0)</f>
        <v>0</v>
      </c>
      <c r="J1222" s="103">
        <f>IFERROR(VLOOKUP(B1222,'July 2026- Dispatch'!$B$2:$H$1300,7,0),0)</f>
        <v>0</v>
      </c>
      <c r="K1222" s="61">
        <f t="shared" si="21"/>
        <v>0</v>
      </c>
    </row>
    <row r="1223" spans="1:11" ht="15" hidden="1" customHeight="1" x14ac:dyDescent="0.25">
      <c r="A1223" s="7">
        <v>1222</v>
      </c>
      <c r="B1223" s="6"/>
      <c r="C1223" s="6"/>
      <c r="D1223" s="6"/>
      <c r="E1223" s="6"/>
      <c r="F1223" s="6"/>
      <c r="G1223" s="6"/>
      <c r="H1223" s="85"/>
      <c r="I1223" s="103">
        <f>IFERROR(VLOOKUP(B1223,'July 2026-Recived'!$B$2:$H$1300,7,0),0)</f>
        <v>0</v>
      </c>
      <c r="J1223" s="103">
        <f>IFERROR(VLOOKUP(B1223,'July 2026- Dispatch'!$B$2:$H$1300,7,0),0)</f>
        <v>0</v>
      </c>
      <c r="K1223" s="61">
        <f t="shared" si="21"/>
        <v>0</v>
      </c>
    </row>
    <row r="1224" spans="1:11" ht="15" hidden="1" customHeight="1" x14ac:dyDescent="0.25">
      <c r="A1224" s="7">
        <v>1223</v>
      </c>
      <c r="B1224" s="6"/>
      <c r="C1224" s="6"/>
      <c r="D1224" s="6"/>
      <c r="E1224" s="6"/>
      <c r="F1224" s="6"/>
      <c r="G1224" s="6"/>
      <c r="H1224" s="85"/>
      <c r="I1224" s="103">
        <f>IFERROR(VLOOKUP(B1224,'July 2026-Recived'!$B$2:$H$1300,7,0),0)</f>
        <v>0</v>
      </c>
      <c r="J1224" s="103">
        <f>IFERROR(VLOOKUP(B1224,'July 2026- Dispatch'!$B$2:$H$1300,7,0),0)</f>
        <v>0</v>
      </c>
      <c r="K1224" s="61">
        <f t="shared" si="21"/>
        <v>0</v>
      </c>
    </row>
    <row r="1225" spans="1:11" ht="15" hidden="1" customHeight="1" x14ac:dyDescent="0.25">
      <c r="A1225" s="7">
        <v>1224</v>
      </c>
      <c r="B1225" s="6"/>
      <c r="C1225" s="6"/>
      <c r="D1225" s="6"/>
      <c r="E1225" s="6"/>
      <c r="F1225" s="6"/>
      <c r="G1225" s="6"/>
      <c r="H1225" s="85"/>
      <c r="I1225" s="103">
        <f>IFERROR(VLOOKUP(B1225,'July 2026-Recived'!$B$2:$H$1300,7,0),0)</f>
        <v>0</v>
      </c>
      <c r="J1225" s="103">
        <f>IFERROR(VLOOKUP(B1225,'July 2026- Dispatch'!$B$2:$H$1300,7,0),0)</f>
        <v>0</v>
      </c>
      <c r="K1225" s="61">
        <f t="shared" si="21"/>
        <v>0</v>
      </c>
    </row>
    <row r="1226" spans="1:11" ht="15" hidden="1" customHeight="1" x14ac:dyDescent="0.25">
      <c r="A1226" s="7">
        <v>1225</v>
      </c>
      <c r="B1226" s="6"/>
      <c r="C1226" s="6"/>
      <c r="D1226" s="6"/>
      <c r="E1226" s="6"/>
      <c r="F1226" s="6"/>
      <c r="G1226" s="6"/>
      <c r="H1226" s="85"/>
      <c r="I1226" s="103">
        <f>IFERROR(VLOOKUP(B1226,'July 2026-Recived'!$B$2:$H$1300,7,0),0)</f>
        <v>0</v>
      </c>
      <c r="J1226" s="103">
        <f>IFERROR(VLOOKUP(B1226,'July 2026- Dispatch'!$B$2:$H$1300,7,0),0)</f>
        <v>0</v>
      </c>
      <c r="K1226" s="61">
        <f t="shared" si="21"/>
        <v>0</v>
      </c>
    </row>
    <row r="1227" spans="1:11" ht="15" hidden="1" customHeight="1" x14ac:dyDescent="0.25">
      <c r="A1227" s="7">
        <v>1226</v>
      </c>
      <c r="B1227" s="6"/>
      <c r="C1227" s="6"/>
      <c r="D1227" s="6"/>
      <c r="E1227" s="6"/>
      <c r="F1227" s="6"/>
      <c r="G1227" s="6"/>
      <c r="H1227" s="85"/>
      <c r="I1227" s="103">
        <f>IFERROR(VLOOKUP(B1227,'July 2026-Recived'!$B$2:$H$1300,7,0),0)</f>
        <v>0</v>
      </c>
      <c r="J1227" s="103">
        <f>IFERROR(VLOOKUP(B1227,'July 2026- Dispatch'!$B$2:$H$1300,7,0),0)</f>
        <v>0</v>
      </c>
      <c r="K1227" s="61">
        <f t="shared" si="21"/>
        <v>0</v>
      </c>
    </row>
    <row r="1228" spans="1:11" ht="15" hidden="1" customHeight="1" x14ac:dyDescent="0.25">
      <c r="A1228" s="7">
        <v>1227</v>
      </c>
      <c r="B1228" s="6"/>
      <c r="C1228" s="6"/>
      <c r="D1228" s="6"/>
      <c r="E1228" s="6"/>
      <c r="F1228" s="6"/>
      <c r="G1228" s="6"/>
      <c r="H1228" s="85"/>
      <c r="I1228" s="103">
        <f>IFERROR(VLOOKUP(B1228,'July 2026-Recived'!$B$2:$H$1300,7,0),0)</f>
        <v>0</v>
      </c>
      <c r="J1228" s="103">
        <f>IFERROR(VLOOKUP(B1228,'July 2026- Dispatch'!$B$2:$H$1300,7,0),0)</f>
        <v>0</v>
      </c>
      <c r="K1228" s="61">
        <f t="shared" si="21"/>
        <v>0</v>
      </c>
    </row>
    <row r="1229" spans="1:11" ht="15" hidden="1" customHeight="1" x14ac:dyDescent="0.25">
      <c r="A1229" s="7">
        <v>1228</v>
      </c>
      <c r="B1229" s="6"/>
      <c r="C1229" s="6"/>
      <c r="D1229" s="6"/>
      <c r="E1229" s="6"/>
      <c r="F1229" s="6"/>
      <c r="G1229" s="6"/>
      <c r="H1229" s="85"/>
      <c r="I1229" s="103">
        <f>IFERROR(VLOOKUP(B1229,'July 2026-Recived'!$B$2:$H$1300,7,0),0)</f>
        <v>0</v>
      </c>
      <c r="J1229" s="103">
        <f>IFERROR(VLOOKUP(B1229,'July 2026- Dispatch'!$B$2:$H$1300,7,0),0)</f>
        <v>0</v>
      </c>
      <c r="K1229" s="61">
        <f t="shared" si="21"/>
        <v>0</v>
      </c>
    </row>
    <row r="1230" spans="1:11" ht="15" hidden="1" customHeight="1" x14ac:dyDescent="0.25">
      <c r="A1230" s="7">
        <v>1229</v>
      </c>
      <c r="B1230" s="6"/>
      <c r="C1230" s="6"/>
      <c r="D1230" s="6"/>
      <c r="E1230" s="6"/>
      <c r="F1230" s="6"/>
      <c r="G1230" s="6"/>
      <c r="H1230" s="85"/>
      <c r="I1230" s="103">
        <f>IFERROR(VLOOKUP(B1230,'July 2026-Recived'!$B$2:$H$1300,7,0),0)</f>
        <v>0</v>
      </c>
      <c r="J1230" s="103">
        <f>IFERROR(VLOOKUP(B1230,'July 2026- Dispatch'!$B$2:$H$1300,7,0),0)</f>
        <v>0</v>
      </c>
      <c r="K1230" s="61">
        <f t="shared" si="21"/>
        <v>0</v>
      </c>
    </row>
    <row r="1231" spans="1:11" ht="15" hidden="1" customHeight="1" x14ac:dyDescent="0.25">
      <c r="A1231" s="7">
        <v>1230</v>
      </c>
      <c r="B1231" s="6"/>
      <c r="C1231" s="6"/>
      <c r="D1231" s="6"/>
      <c r="E1231" s="6"/>
      <c r="F1231" s="6"/>
      <c r="G1231" s="6"/>
      <c r="H1231" s="85"/>
      <c r="I1231" s="103">
        <f>IFERROR(VLOOKUP(B1231,'July 2026-Recived'!$B$2:$H$1300,7,0),0)</f>
        <v>0</v>
      </c>
      <c r="J1231" s="103">
        <f>IFERROR(VLOOKUP(B1231,'July 2026- Dispatch'!$B$2:$H$1300,7,0),0)</f>
        <v>0</v>
      </c>
      <c r="K1231" s="61">
        <f t="shared" si="21"/>
        <v>0</v>
      </c>
    </row>
    <row r="1232" spans="1:11" ht="15" hidden="1" customHeight="1" x14ac:dyDescent="0.25">
      <c r="A1232" s="7">
        <v>1231</v>
      </c>
      <c r="B1232" s="6"/>
      <c r="C1232" s="6"/>
      <c r="D1232" s="6"/>
      <c r="E1232" s="6"/>
      <c r="F1232" s="6"/>
      <c r="G1232" s="6"/>
      <c r="H1232" s="85"/>
      <c r="I1232" s="103">
        <f>IFERROR(VLOOKUP(B1232,'July 2026-Recived'!$B$2:$H$1300,7,0),0)</f>
        <v>0</v>
      </c>
      <c r="J1232" s="103">
        <f>IFERROR(VLOOKUP(B1232,'July 2026- Dispatch'!$B$2:$H$1300,7,0),0)</f>
        <v>0</v>
      </c>
      <c r="K1232" s="61">
        <f t="shared" si="21"/>
        <v>0</v>
      </c>
    </row>
    <row r="1233" spans="1:11" ht="15" hidden="1" customHeight="1" x14ac:dyDescent="0.25">
      <c r="A1233" s="7">
        <v>1232</v>
      </c>
      <c r="B1233" s="6"/>
      <c r="C1233" s="6"/>
      <c r="D1233" s="6"/>
      <c r="E1233" s="6"/>
      <c r="F1233" s="6"/>
      <c r="G1233" s="6"/>
      <c r="H1233" s="85"/>
      <c r="I1233" s="103">
        <f>IFERROR(VLOOKUP(B1233,'July 2026-Recived'!$B$2:$H$1300,7,0),0)</f>
        <v>0</v>
      </c>
      <c r="J1233" s="103">
        <f>IFERROR(VLOOKUP(B1233,'July 2026- Dispatch'!$B$2:$H$1300,7,0),0)</f>
        <v>0</v>
      </c>
      <c r="K1233" s="61">
        <f t="shared" si="21"/>
        <v>0</v>
      </c>
    </row>
    <row r="1234" spans="1:11" ht="15" hidden="1" customHeight="1" x14ac:dyDescent="0.25">
      <c r="A1234" s="7">
        <v>1233</v>
      </c>
      <c r="B1234" s="6"/>
      <c r="C1234" s="6"/>
      <c r="D1234" s="6"/>
      <c r="E1234" s="6"/>
      <c r="F1234" s="6"/>
      <c r="G1234" s="6"/>
      <c r="H1234" s="85"/>
      <c r="I1234" s="103">
        <f>IFERROR(VLOOKUP(B1234,'July 2026-Recived'!$B$2:$H$1300,7,0),0)</f>
        <v>0</v>
      </c>
      <c r="J1234" s="103">
        <f>IFERROR(VLOOKUP(B1234,'July 2026- Dispatch'!$B$2:$H$1300,7,0),0)</f>
        <v>0</v>
      </c>
      <c r="K1234" s="61">
        <f t="shared" si="21"/>
        <v>0</v>
      </c>
    </row>
    <row r="1235" spans="1:11" ht="15" hidden="1" customHeight="1" x14ac:dyDescent="0.25">
      <c r="A1235" s="7">
        <v>1234</v>
      </c>
      <c r="B1235" s="6"/>
      <c r="C1235" s="6"/>
      <c r="D1235" s="6"/>
      <c r="E1235" s="6"/>
      <c r="F1235" s="6"/>
      <c r="G1235" s="6"/>
      <c r="H1235" s="85"/>
      <c r="I1235" s="103">
        <f>IFERROR(VLOOKUP(B1235,'July 2026-Recived'!$B$2:$H$1300,7,0),0)</f>
        <v>0</v>
      </c>
      <c r="J1235" s="103">
        <f>IFERROR(VLOOKUP(B1235,'July 2026- Dispatch'!$B$2:$H$1300,7,0),0)</f>
        <v>0</v>
      </c>
      <c r="K1235" s="61">
        <f t="shared" si="21"/>
        <v>0</v>
      </c>
    </row>
    <row r="1236" spans="1:11" ht="15" hidden="1" customHeight="1" x14ac:dyDescent="0.25">
      <c r="A1236" s="7">
        <v>1235</v>
      </c>
      <c r="B1236" s="6"/>
      <c r="C1236" s="6"/>
      <c r="D1236" s="6"/>
      <c r="E1236" s="6"/>
      <c r="F1236" s="6"/>
      <c r="G1236" s="6"/>
      <c r="H1236" s="85"/>
      <c r="I1236" s="103">
        <f>IFERROR(VLOOKUP(B1236,'July 2026-Recived'!$B$2:$H$1300,7,0),0)</f>
        <v>0</v>
      </c>
      <c r="J1236" s="103">
        <f>IFERROR(VLOOKUP(B1236,'July 2026- Dispatch'!$B$2:$H$1300,7,0),0)</f>
        <v>0</v>
      </c>
      <c r="K1236" s="61">
        <f t="shared" si="21"/>
        <v>0</v>
      </c>
    </row>
    <row r="1237" spans="1:11" ht="15" hidden="1" customHeight="1" x14ac:dyDescent="0.25">
      <c r="A1237" s="7">
        <v>1236</v>
      </c>
      <c r="B1237" s="6"/>
      <c r="C1237" s="6"/>
      <c r="D1237" s="6"/>
      <c r="E1237" s="6"/>
      <c r="F1237" s="6"/>
      <c r="G1237" s="6"/>
      <c r="H1237" s="85"/>
      <c r="I1237" s="103">
        <f>IFERROR(VLOOKUP(B1237,'July 2026-Recived'!$B$2:$H$1300,7,0),0)</f>
        <v>0</v>
      </c>
      <c r="J1237" s="103">
        <f>IFERROR(VLOOKUP(B1237,'July 2026- Dispatch'!$B$2:$H$1300,7,0),0)</f>
        <v>0</v>
      </c>
      <c r="K1237" s="61">
        <f t="shared" si="21"/>
        <v>0</v>
      </c>
    </row>
    <row r="1238" spans="1:11" ht="15" hidden="1" customHeight="1" x14ac:dyDescent="0.25">
      <c r="A1238" s="7">
        <v>1237</v>
      </c>
      <c r="B1238" s="6"/>
      <c r="C1238" s="6"/>
      <c r="D1238" s="6"/>
      <c r="E1238" s="6"/>
      <c r="F1238" s="6"/>
      <c r="G1238" s="6"/>
      <c r="H1238" s="85"/>
      <c r="I1238" s="103">
        <f>IFERROR(VLOOKUP(B1238,'July 2026-Recived'!$B$2:$H$1300,7,0),0)</f>
        <v>0</v>
      </c>
      <c r="J1238" s="103">
        <f>IFERROR(VLOOKUP(B1238,'July 2026- Dispatch'!$B$2:$H$1300,7,0),0)</f>
        <v>0</v>
      </c>
      <c r="K1238" s="61">
        <f t="shared" si="21"/>
        <v>0</v>
      </c>
    </row>
    <row r="1239" spans="1:11" ht="15" hidden="1" customHeight="1" x14ac:dyDescent="0.25">
      <c r="A1239" s="7">
        <v>1238</v>
      </c>
      <c r="B1239" s="6"/>
      <c r="C1239" s="6"/>
      <c r="D1239" s="6"/>
      <c r="E1239" s="6"/>
      <c r="F1239" s="6"/>
      <c r="G1239" s="6"/>
      <c r="H1239" s="85"/>
      <c r="I1239" s="103">
        <f>IFERROR(VLOOKUP(B1239,'July 2026-Recived'!$B$2:$H$1300,7,0),0)</f>
        <v>0</v>
      </c>
      <c r="J1239" s="103">
        <f>IFERROR(VLOOKUP(B1239,'July 2026- Dispatch'!$B$2:$H$1300,7,0),0)</f>
        <v>0</v>
      </c>
      <c r="K1239" s="61">
        <f t="shared" si="21"/>
        <v>0</v>
      </c>
    </row>
    <row r="1240" spans="1:11" ht="15" hidden="1" customHeight="1" x14ac:dyDescent="0.25">
      <c r="A1240" s="7">
        <v>1239</v>
      </c>
      <c r="B1240" s="6"/>
      <c r="C1240" s="6"/>
      <c r="D1240" s="6"/>
      <c r="E1240" s="6"/>
      <c r="F1240" s="6"/>
      <c r="G1240" s="6"/>
      <c r="H1240" s="85"/>
      <c r="I1240" s="103">
        <f>IFERROR(VLOOKUP(B1240,'July 2026-Recived'!$B$2:$H$1300,7,0),0)</f>
        <v>0</v>
      </c>
      <c r="J1240" s="103">
        <f>IFERROR(VLOOKUP(B1240,'July 2026- Dispatch'!$B$2:$H$1300,7,0),0)</f>
        <v>0</v>
      </c>
      <c r="K1240" s="61">
        <f t="shared" si="21"/>
        <v>0</v>
      </c>
    </row>
    <row r="1241" spans="1:11" ht="15" hidden="1" customHeight="1" x14ac:dyDescent="0.25">
      <c r="A1241" s="7">
        <v>1240</v>
      </c>
      <c r="B1241" s="6"/>
      <c r="C1241" s="6"/>
      <c r="D1241" s="6"/>
      <c r="E1241" s="6"/>
      <c r="F1241" s="6"/>
      <c r="G1241" s="6"/>
      <c r="H1241" s="85"/>
      <c r="I1241" s="103">
        <f>IFERROR(VLOOKUP(B1241,'July 2026-Recived'!$B$2:$H$1300,7,0),0)</f>
        <v>0</v>
      </c>
      <c r="J1241" s="103">
        <f>IFERROR(VLOOKUP(B1241,'July 2026- Dispatch'!$B$2:$H$1300,7,0),0)</f>
        <v>0</v>
      </c>
      <c r="K1241" s="61">
        <f t="shared" si="21"/>
        <v>0</v>
      </c>
    </row>
    <row r="1242" spans="1:11" ht="15" hidden="1" customHeight="1" x14ac:dyDescent="0.25">
      <c r="A1242" s="7">
        <v>1241</v>
      </c>
      <c r="B1242" s="6"/>
      <c r="C1242" s="6"/>
      <c r="D1242" s="6"/>
      <c r="E1242" s="6"/>
      <c r="F1242" s="6"/>
      <c r="G1242" s="6"/>
      <c r="H1242" s="85"/>
      <c r="I1242" s="103">
        <f>IFERROR(VLOOKUP(B1242,'July 2026-Recived'!$B$2:$H$1300,7,0),0)</f>
        <v>0</v>
      </c>
      <c r="J1242" s="103">
        <f>IFERROR(VLOOKUP(B1242,'July 2026- Dispatch'!$B$2:$H$1300,7,0),0)</f>
        <v>0</v>
      </c>
      <c r="K1242" s="61">
        <f t="shared" si="21"/>
        <v>0</v>
      </c>
    </row>
    <row r="1243" spans="1:11" ht="15" hidden="1" customHeight="1" x14ac:dyDescent="0.25">
      <c r="A1243" s="7">
        <v>1242</v>
      </c>
      <c r="B1243" s="6"/>
      <c r="C1243" s="6"/>
      <c r="D1243" s="6"/>
      <c r="E1243" s="6"/>
      <c r="F1243" s="6"/>
      <c r="G1243" s="6"/>
      <c r="H1243" s="85"/>
      <c r="I1243" s="103">
        <f>IFERROR(VLOOKUP(B1243,'July 2026-Recived'!$B$2:$H$1300,7,0),0)</f>
        <v>0</v>
      </c>
      <c r="J1243" s="103">
        <f>IFERROR(VLOOKUP(B1243,'July 2026- Dispatch'!$B$2:$H$1300,7,0),0)</f>
        <v>0</v>
      </c>
      <c r="K1243" s="61">
        <f t="shared" si="21"/>
        <v>0</v>
      </c>
    </row>
    <row r="1244" spans="1:11" ht="15" hidden="1" customHeight="1" x14ac:dyDescent="0.25">
      <c r="A1244" s="7">
        <v>1243</v>
      </c>
      <c r="B1244" s="6"/>
      <c r="C1244" s="6"/>
      <c r="D1244" s="6"/>
      <c r="E1244" s="6"/>
      <c r="F1244" s="6"/>
      <c r="G1244" s="6"/>
      <c r="H1244" s="85"/>
      <c r="I1244" s="103">
        <f>IFERROR(VLOOKUP(B1244,'July 2026-Recived'!$B$2:$H$1300,7,0),0)</f>
        <v>0</v>
      </c>
      <c r="J1244" s="103">
        <f>IFERROR(VLOOKUP(B1244,'July 2026- Dispatch'!$B$2:$H$1300,7,0),0)</f>
        <v>0</v>
      </c>
      <c r="K1244" s="61">
        <f t="shared" si="21"/>
        <v>0</v>
      </c>
    </row>
    <row r="1245" spans="1:11" ht="15" hidden="1" customHeight="1" x14ac:dyDescent="0.25">
      <c r="A1245" s="7">
        <v>1244</v>
      </c>
      <c r="B1245" s="6"/>
      <c r="C1245" s="6"/>
      <c r="D1245" s="6"/>
      <c r="E1245" s="6"/>
      <c r="F1245" s="6"/>
      <c r="G1245" s="6"/>
      <c r="H1245" s="85"/>
      <c r="I1245" s="103">
        <f>IFERROR(VLOOKUP(B1245,'July 2026-Recived'!$B$2:$H$1300,7,0),0)</f>
        <v>0</v>
      </c>
      <c r="J1245" s="103">
        <f>IFERROR(VLOOKUP(B1245,'July 2026- Dispatch'!$B$2:$H$1300,7,0),0)</f>
        <v>0</v>
      </c>
      <c r="K1245" s="61">
        <f t="shared" si="21"/>
        <v>0</v>
      </c>
    </row>
    <row r="1246" spans="1:11" ht="15" hidden="1" customHeight="1" x14ac:dyDescent="0.25">
      <c r="A1246" s="7">
        <v>1245</v>
      </c>
      <c r="B1246" s="6"/>
      <c r="C1246" s="6"/>
      <c r="D1246" s="6"/>
      <c r="E1246" s="6"/>
      <c r="F1246" s="6"/>
      <c r="G1246" s="6"/>
      <c r="H1246" s="85"/>
      <c r="I1246" s="103">
        <f>IFERROR(VLOOKUP(B1246,'July 2026-Recived'!$B$2:$H$1300,7,0),0)</f>
        <v>0</v>
      </c>
      <c r="J1246" s="103">
        <f>IFERROR(VLOOKUP(B1246,'July 2026- Dispatch'!$B$2:$H$1300,7,0),0)</f>
        <v>0</v>
      </c>
      <c r="K1246" s="61">
        <f t="shared" ref="K1246:K1280" si="22">H1246+I1246-J1246</f>
        <v>0</v>
      </c>
    </row>
    <row r="1247" spans="1:11" ht="15" hidden="1" customHeight="1" x14ac:dyDescent="0.25">
      <c r="A1247" s="7">
        <v>1246</v>
      </c>
      <c r="B1247" s="6"/>
      <c r="C1247" s="6"/>
      <c r="D1247" s="6"/>
      <c r="E1247" s="6"/>
      <c r="F1247" s="6"/>
      <c r="G1247" s="6"/>
      <c r="H1247" s="85"/>
      <c r="I1247" s="103">
        <f>IFERROR(VLOOKUP(B1247,'July 2026-Recived'!$B$2:$H$1300,7,0),0)</f>
        <v>0</v>
      </c>
      <c r="J1247" s="103">
        <f>IFERROR(VLOOKUP(B1247,'July 2026- Dispatch'!$B$2:$H$1300,7,0),0)</f>
        <v>0</v>
      </c>
      <c r="K1247" s="61">
        <f t="shared" si="22"/>
        <v>0</v>
      </c>
    </row>
    <row r="1248" spans="1:11" ht="15" hidden="1" customHeight="1" x14ac:dyDescent="0.25">
      <c r="A1248" s="7">
        <v>1247</v>
      </c>
      <c r="B1248" s="6"/>
      <c r="C1248" s="6"/>
      <c r="D1248" s="6"/>
      <c r="E1248" s="6"/>
      <c r="F1248" s="6"/>
      <c r="G1248" s="6"/>
      <c r="H1248" s="85"/>
      <c r="I1248" s="103">
        <f>IFERROR(VLOOKUP(B1248,'July 2026-Recived'!$B$2:$H$1300,7,0),0)</f>
        <v>0</v>
      </c>
      <c r="J1248" s="103">
        <f>IFERROR(VLOOKUP(B1248,'July 2026- Dispatch'!$B$2:$H$1300,7,0),0)</f>
        <v>0</v>
      </c>
      <c r="K1248" s="61">
        <f t="shared" si="22"/>
        <v>0</v>
      </c>
    </row>
    <row r="1249" spans="1:11" ht="15" hidden="1" customHeight="1" x14ac:dyDescent="0.25">
      <c r="A1249" s="7">
        <v>1248</v>
      </c>
      <c r="B1249" s="6"/>
      <c r="C1249" s="6"/>
      <c r="D1249" s="6"/>
      <c r="E1249" s="6"/>
      <c r="F1249" s="6"/>
      <c r="G1249" s="6"/>
      <c r="H1249" s="85"/>
      <c r="I1249" s="103">
        <f>IFERROR(VLOOKUP(B1249,'July 2026-Recived'!$B$2:$H$1300,7,0),0)</f>
        <v>0</v>
      </c>
      <c r="J1249" s="103">
        <f>IFERROR(VLOOKUP(B1249,'July 2026- Dispatch'!$B$2:$H$1300,7,0),0)</f>
        <v>0</v>
      </c>
      <c r="K1249" s="61">
        <f t="shared" si="22"/>
        <v>0</v>
      </c>
    </row>
    <row r="1250" spans="1:11" ht="15" hidden="1" customHeight="1" x14ac:dyDescent="0.25">
      <c r="A1250" s="7">
        <v>1249</v>
      </c>
      <c r="B1250" s="6"/>
      <c r="C1250" s="6"/>
      <c r="D1250" s="6"/>
      <c r="E1250" s="6"/>
      <c r="F1250" s="6"/>
      <c r="G1250" s="6"/>
      <c r="H1250" s="85"/>
      <c r="I1250" s="103">
        <f>IFERROR(VLOOKUP(B1250,'July 2026-Recived'!$B$2:$H$1300,7,0),0)</f>
        <v>0</v>
      </c>
      <c r="J1250" s="103">
        <f>IFERROR(VLOOKUP(B1250,'July 2026- Dispatch'!$B$2:$H$1300,7,0),0)</f>
        <v>0</v>
      </c>
      <c r="K1250" s="61">
        <f t="shared" si="22"/>
        <v>0</v>
      </c>
    </row>
    <row r="1251" spans="1:11" ht="15" hidden="1" customHeight="1" x14ac:dyDescent="0.25">
      <c r="A1251" s="7">
        <v>1250</v>
      </c>
      <c r="B1251" s="6"/>
      <c r="C1251" s="6"/>
      <c r="D1251" s="6"/>
      <c r="E1251" s="6"/>
      <c r="F1251" s="6"/>
      <c r="G1251" s="6"/>
      <c r="H1251" s="85"/>
      <c r="I1251" s="103">
        <f>IFERROR(VLOOKUP(B1251,'July 2026-Recived'!$B$2:$H$1300,7,0),0)</f>
        <v>0</v>
      </c>
      <c r="J1251" s="103">
        <f>IFERROR(VLOOKUP(B1251,'July 2026- Dispatch'!$B$2:$H$1300,7,0),0)</f>
        <v>0</v>
      </c>
      <c r="K1251" s="61">
        <f t="shared" si="22"/>
        <v>0</v>
      </c>
    </row>
    <row r="1252" spans="1:11" ht="15" hidden="1" customHeight="1" x14ac:dyDescent="0.25">
      <c r="A1252" s="7">
        <v>1251</v>
      </c>
      <c r="B1252" s="6"/>
      <c r="C1252" s="6"/>
      <c r="D1252" s="6"/>
      <c r="E1252" s="6"/>
      <c r="F1252" s="6"/>
      <c r="G1252" s="6"/>
      <c r="H1252" s="85"/>
      <c r="I1252" s="103">
        <f>IFERROR(VLOOKUP(B1252,'July 2026-Recived'!$B$2:$H$1300,7,0),0)</f>
        <v>0</v>
      </c>
      <c r="J1252" s="103">
        <f>IFERROR(VLOOKUP(B1252,'July 2026- Dispatch'!$B$2:$H$1300,7,0),0)</f>
        <v>0</v>
      </c>
      <c r="K1252" s="61">
        <f t="shared" si="22"/>
        <v>0</v>
      </c>
    </row>
    <row r="1253" spans="1:11" ht="15" hidden="1" customHeight="1" x14ac:dyDescent="0.25">
      <c r="A1253" s="7">
        <v>1252</v>
      </c>
      <c r="B1253" s="6"/>
      <c r="C1253" s="6"/>
      <c r="D1253" s="6"/>
      <c r="E1253" s="6"/>
      <c r="F1253" s="6"/>
      <c r="G1253" s="6"/>
      <c r="H1253" s="85"/>
      <c r="I1253" s="103">
        <f>IFERROR(VLOOKUP(B1253,'July 2026-Recived'!$B$2:$H$1300,7,0),0)</f>
        <v>0</v>
      </c>
      <c r="J1253" s="103">
        <f>IFERROR(VLOOKUP(B1253,'July 2026- Dispatch'!$B$2:$H$1300,7,0),0)</f>
        <v>0</v>
      </c>
      <c r="K1253" s="61">
        <f t="shared" si="22"/>
        <v>0</v>
      </c>
    </row>
    <row r="1254" spans="1:11" ht="15" hidden="1" customHeight="1" x14ac:dyDescent="0.25">
      <c r="A1254" s="7">
        <v>1253</v>
      </c>
      <c r="B1254" s="6"/>
      <c r="C1254" s="6"/>
      <c r="D1254" s="6"/>
      <c r="E1254" s="6"/>
      <c r="F1254" s="6"/>
      <c r="G1254" s="6"/>
      <c r="H1254" s="85"/>
      <c r="I1254" s="103">
        <f>IFERROR(VLOOKUP(B1254,'July 2026-Recived'!$B$2:$H$1300,7,0),0)</f>
        <v>0</v>
      </c>
      <c r="J1254" s="103">
        <f>IFERROR(VLOOKUP(B1254,'July 2026- Dispatch'!$B$2:$H$1300,7,0),0)</f>
        <v>0</v>
      </c>
      <c r="K1254" s="61">
        <f t="shared" si="22"/>
        <v>0</v>
      </c>
    </row>
    <row r="1255" spans="1:11" ht="15" hidden="1" customHeight="1" x14ac:dyDescent="0.25">
      <c r="A1255" s="7">
        <v>1254</v>
      </c>
      <c r="B1255" s="6"/>
      <c r="C1255" s="6"/>
      <c r="D1255" s="6"/>
      <c r="E1255" s="6"/>
      <c r="F1255" s="6"/>
      <c r="G1255" s="6"/>
      <c r="H1255" s="85"/>
      <c r="I1255" s="103">
        <f>IFERROR(VLOOKUP(B1255,'July 2026-Recived'!$B$2:$H$1300,7,0),0)</f>
        <v>0</v>
      </c>
      <c r="J1255" s="103">
        <f>IFERROR(VLOOKUP(B1255,'July 2026- Dispatch'!$B$2:$H$1300,7,0),0)</f>
        <v>0</v>
      </c>
      <c r="K1255" s="61">
        <f t="shared" si="22"/>
        <v>0</v>
      </c>
    </row>
    <row r="1256" spans="1:11" ht="15" hidden="1" customHeight="1" x14ac:dyDescent="0.25">
      <c r="A1256" s="7">
        <v>1255</v>
      </c>
      <c r="B1256" s="6"/>
      <c r="C1256" s="6"/>
      <c r="D1256" s="6"/>
      <c r="E1256" s="6"/>
      <c r="F1256" s="6"/>
      <c r="G1256" s="6"/>
      <c r="H1256" s="85"/>
      <c r="I1256" s="103">
        <f>IFERROR(VLOOKUP(B1256,'July 2026-Recived'!$B$2:$H$1300,7,0),0)</f>
        <v>0</v>
      </c>
      <c r="J1256" s="103">
        <f>IFERROR(VLOOKUP(B1256,'July 2026- Dispatch'!$B$2:$H$1300,7,0),0)</f>
        <v>0</v>
      </c>
      <c r="K1256" s="61">
        <f t="shared" si="22"/>
        <v>0</v>
      </c>
    </row>
    <row r="1257" spans="1:11" ht="15" hidden="1" customHeight="1" x14ac:dyDescent="0.25">
      <c r="A1257" s="7">
        <v>1256</v>
      </c>
      <c r="B1257" s="6"/>
      <c r="C1257" s="6"/>
      <c r="D1257" s="6"/>
      <c r="E1257" s="6"/>
      <c r="F1257" s="6"/>
      <c r="G1257" s="6"/>
      <c r="H1257" s="85"/>
      <c r="I1257" s="103">
        <f>IFERROR(VLOOKUP(B1257,'July 2026-Recived'!$B$2:$H$1300,7,0),0)</f>
        <v>0</v>
      </c>
      <c r="J1257" s="103">
        <f>IFERROR(VLOOKUP(B1257,'July 2026- Dispatch'!$B$2:$H$1300,7,0),0)</f>
        <v>0</v>
      </c>
      <c r="K1257" s="61">
        <f t="shared" si="22"/>
        <v>0</v>
      </c>
    </row>
    <row r="1258" spans="1:11" ht="15" hidden="1" customHeight="1" x14ac:dyDescent="0.25">
      <c r="A1258" s="7">
        <v>1257</v>
      </c>
      <c r="B1258" s="6"/>
      <c r="C1258" s="6"/>
      <c r="D1258" s="6"/>
      <c r="E1258" s="6"/>
      <c r="F1258" s="6"/>
      <c r="G1258" s="6"/>
      <c r="H1258" s="85"/>
      <c r="I1258" s="103">
        <f>IFERROR(VLOOKUP(B1258,'July 2026-Recived'!$B$2:$H$1300,7,0),0)</f>
        <v>0</v>
      </c>
      <c r="J1258" s="103">
        <f>IFERROR(VLOOKUP(B1258,'July 2026- Dispatch'!$B$2:$H$1300,7,0),0)</f>
        <v>0</v>
      </c>
      <c r="K1258" s="61">
        <f t="shared" si="22"/>
        <v>0</v>
      </c>
    </row>
    <row r="1259" spans="1:11" ht="15" hidden="1" customHeight="1" x14ac:dyDescent="0.25">
      <c r="A1259" s="7">
        <v>1258</v>
      </c>
      <c r="B1259" s="6"/>
      <c r="C1259" s="6"/>
      <c r="D1259" s="6"/>
      <c r="E1259" s="6"/>
      <c r="F1259" s="6"/>
      <c r="G1259" s="6"/>
      <c r="H1259" s="85"/>
      <c r="I1259" s="103">
        <f>IFERROR(VLOOKUP(B1259,'July 2026-Recived'!$B$2:$H$1300,7,0),0)</f>
        <v>0</v>
      </c>
      <c r="J1259" s="103">
        <f>IFERROR(VLOOKUP(B1259,'July 2026- Dispatch'!$B$2:$H$1300,7,0),0)</f>
        <v>0</v>
      </c>
      <c r="K1259" s="61">
        <f t="shared" si="22"/>
        <v>0</v>
      </c>
    </row>
    <row r="1260" spans="1:11" ht="15" hidden="1" customHeight="1" x14ac:dyDescent="0.25">
      <c r="A1260" s="7">
        <v>1259</v>
      </c>
      <c r="B1260" s="6"/>
      <c r="C1260" s="6"/>
      <c r="D1260" s="6"/>
      <c r="E1260" s="6"/>
      <c r="F1260" s="6"/>
      <c r="G1260" s="6"/>
      <c r="H1260" s="85"/>
      <c r="I1260" s="103">
        <f>IFERROR(VLOOKUP(B1260,'July 2026-Recived'!$B$2:$H$1300,7,0),0)</f>
        <v>0</v>
      </c>
      <c r="J1260" s="103">
        <f>IFERROR(VLOOKUP(B1260,'July 2026- Dispatch'!$B$2:$H$1300,7,0),0)</f>
        <v>0</v>
      </c>
      <c r="K1260" s="61">
        <f t="shared" si="22"/>
        <v>0</v>
      </c>
    </row>
    <row r="1261" spans="1:11" ht="15" hidden="1" customHeight="1" x14ac:dyDescent="0.25">
      <c r="A1261" s="7">
        <v>1260</v>
      </c>
      <c r="B1261" s="6"/>
      <c r="C1261" s="6"/>
      <c r="D1261" s="6"/>
      <c r="E1261" s="6"/>
      <c r="F1261" s="6"/>
      <c r="G1261" s="6"/>
      <c r="H1261" s="85"/>
      <c r="I1261" s="103">
        <f>IFERROR(VLOOKUP(B1261,'July 2026-Recived'!$B$2:$H$1300,7,0),0)</f>
        <v>0</v>
      </c>
      <c r="J1261" s="103">
        <f>IFERROR(VLOOKUP(B1261,'July 2026- Dispatch'!$B$2:$H$1300,7,0),0)</f>
        <v>0</v>
      </c>
      <c r="K1261" s="61">
        <f t="shared" si="22"/>
        <v>0</v>
      </c>
    </row>
    <row r="1262" spans="1:11" ht="15" hidden="1" customHeight="1" x14ac:dyDescent="0.25">
      <c r="A1262" s="7">
        <v>1261</v>
      </c>
      <c r="B1262" s="6"/>
      <c r="C1262" s="6"/>
      <c r="D1262" s="6"/>
      <c r="E1262" s="6"/>
      <c r="F1262" s="6"/>
      <c r="G1262" s="6"/>
      <c r="H1262" s="85"/>
      <c r="I1262" s="103">
        <f>IFERROR(VLOOKUP(B1262,'July 2026-Recived'!$B$2:$H$1300,7,0),0)</f>
        <v>0</v>
      </c>
      <c r="J1262" s="103">
        <f>IFERROR(VLOOKUP(B1262,'July 2026- Dispatch'!$B$2:$H$1300,7,0),0)</f>
        <v>0</v>
      </c>
      <c r="K1262" s="61">
        <f t="shared" si="22"/>
        <v>0</v>
      </c>
    </row>
    <row r="1263" spans="1:11" ht="15" hidden="1" customHeight="1" x14ac:dyDescent="0.25">
      <c r="A1263" s="7">
        <v>1262</v>
      </c>
      <c r="B1263" s="6"/>
      <c r="C1263" s="6"/>
      <c r="D1263" s="6"/>
      <c r="E1263" s="6"/>
      <c r="F1263" s="6"/>
      <c r="G1263" s="6"/>
      <c r="H1263" s="85"/>
      <c r="I1263" s="103">
        <f>IFERROR(VLOOKUP(B1263,'July 2026-Recived'!$B$2:$H$1300,7,0),0)</f>
        <v>0</v>
      </c>
      <c r="J1263" s="103">
        <f>IFERROR(VLOOKUP(B1263,'July 2026- Dispatch'!$B$2:$H$1300,7,0),0)</f>
        <v>0</v>
      </c>
      <c r="K1263" s="61">
        <f t="shared" si="22"/>
        <v>0</v>
      </c>
    </row>
    <row r="1264" spans="1:11" ht="15" hidden="1" customHeight="1" x14ac:dyDescent="0.25">
      <c r="A1264" s="7">
        <v>1263</v>
      </c>
      <c r="B1264" s="6"/>
      <c r="C1264" s="6"/>
      <c r="D1264" s="6"/>
      <c r="E1264" s="6"/>
      <c r="F1264" s="6"/>
      <c r="G1264" s="6"/>
      <c r="H1264" s="85"/>
      <c r="I1264" s="103">
        <f>IFERROR(VLOOKUP(B1264,'July 2026-Recived'!$B$2:$H$1300,7,0),0)</f>
        <v>0</v>
      </c>
      <c r="J1264" s="103">
        <f>IFERROR(VLOOKUP(B1264,'July 2026- Dispatch'!$B$2:$H$1300,7,0),0)</f>
        <v>0</v>
      </c>
      <c r="K1264" s="61">
        <f t="shared" si="22"/>
        <v>0</v>
      </c>
    </row>
    <row r="1265" spans="1:11" ht="15" hidden="1" customHeight="1" x14ac:dyDescent="0.25">
      <c r="A1265" s="7">
        <v>1264</v>
      </c>
      <c r="B1265" s="6"/>
      <c r="C1265" s="6"/>
      <c r="D1265" s="6"/>
      <c r="E1265" s="6"/>
      <c r="F1265" s="6"/>
      <c r="G1265" s="6"/>
      <c r="H1265" s="85"/>
      <c r="I1265" s="103">
        <f>IFERROR(VLOOKUP(B1265,'July 2026-Recived'!$B$2:$H$1300,7,0),0)</f>
        <v>0</v>
      </c>
      <c r="J1265" s="103">
        <f>IFERROR(VLOOKUP(B1265,'July 2026- Dispatch'!$B$2:$H$1300,7,0),0)</f>
        <v>0</v>
      </c>
      <c r="K1265" s="61">
        <f t="shared" si="22"/>
        <v>0</v>
      </c>
    </row>
    <row r="1266" spans="1:11" ht="15" hidden="1" customHeight="1" x14ac:dyDescent="0.25">
      <c r="A1266" s="7">
        <v>1265</v>
      </c>
      <c r="B1266" s="6"/>
      <c r="C1266" s="6"/>
      <c r="D1266" s="6"/>
      <c r="E1266" s="6"/>
      <c r="F1266" s="6"/>
      <c r="G1266" s="6"/>
      <c r="H1266" s="85"/>
      <c r="I1266" s="103">
        <f>IFERROR(VLOOKUP(B1266,'July 2026-Recived'!$B$2:$H$1300,7,0),0)</f>
        <v>0</v>
      </c>
      <c r="J1266" s="103">
        <f>IFERROR(VLOOKUP(B1266,'July 2026- Dispatch'!$B$2:$H$1300,7,0),0)</f>
        <v>0</v>
      </c>
      <c r="K1266" s="61">
        <f t="shared" si="22"/>
        <v>0</v>
      </c>
    </row>
    <row r="1267" spans="1:11" ht="15" hidden="1" customHeight="1" x14ac:dyDescent="0.25">
      <c r="A1267" s="7">
        <v>1266</v>
      </c>
      <c r="B1267" s="6"/>
      <c r="C1267" s="6"/>
      <c r="D1267" s="6"/>
      <c r="E1267" s="6"/>
      <c r="F1267" s="6"/>
      <c r="G1267" s="6"/>
      <c r="H1267" s="85"/>
      <c r="I1267" s="103">
        <f>IFERROR(VLOOKUP(B1267,'July 2026-Recived'!$B$2:$H$1300,7,0),0)</f>
        <v>0</v>
      </c>
      <c r="J1267" s="103">
        <f>IFERROR(VLOOKUP(B1267,'July 2026- Dispatch'!$B$2:$H$1300,7,0),0)</f>
        <v>0</v>
      </c>
      <c r="K1267" s="61">
        <f t="shared" si="22"/>
        <v>0</v>
      </c>
    </row>
    <row r="1268" spans="1:11" ht="15" hidden="1" customHeight="1" x14ac:dyDescent="0.25">
      <c r="A1268" s="7">
        <v>1267</v>
      </c>
      <c r="B1268" s="6"/>
      <c r="C1268" s="6"/>
      <c r="D1268" s="6"/>
      <c r="E1268" s="6"/>
      <c r="F1268" s="6"/>
      <c r="G1268" s="6"/>
      <c r="H1268" s="85"/>
      <c r="I1268" s="103">
        <f>IFERROR(VLOOKUP(B1268,'July 2026-Recived'!$B$2:$H$1300,7,0),0)</f>
        <v>0</v>
      </c>
      <c r="J1268" s="103">
        <f>IFERROR(VLOOKUP(B1268,'July 2026- Dispatch'!$B$2:$H$1300,7,0),0)</f>
        <v>0</v>
      </c>
      <c r="K1268" s="61">
        <f t="shared" si="22"/>
        <v>0</v>
      </c>
    </row>
    <row r="1269" spans="1:11" ht="15" hidden="1" customHeight="1" x14ac:dyDescent="0.25">
      <c r="A1269" s="7">
        <v>1268</v>
      </c>
      <c r="B1269" s="6"/>
      <c r="C1269" s="6"/>
      <c r="D1269" s="6"/>
      <c r="E1269" s="6"/>
      <c r="F1269" s="6"/>
      <c r="G1269" s="6"/>
      <c r="H1269" s="85"/>
      <c r="I1269" s="103">
        <f>IFERROR(VLOOKUP(B1269,'July 2026-Recived'!$B$2:$H$1300,7,0),0)</f>
        <v>0</v>
      </c>
      <c r="J1269" s="103">
        <f>IFERROR(VLOOKUP(B1269,'July 2026- Dispatch'!$B$2:$H$1300,7,0),0)</f>
        <v>0</v>
      </c>
      <c r="K1269" s="61">
        <f t="shared" si="22"/>
        <v>0</v>
      </c>
    </row>
    <row r="1270" spans="1:11" ht="15" hidden="1" customHeight="1" x14ac:dyDescent="0.25">
      <c r="A1270" s="7">
        <v>1269</v>
      </c>
      <c r="B1270" s="6"/>
      <c r="C1270" s="6"/>
      <c r="D1270" s="6"/>
      <c r="E1270" s="6"/>
      <c r="F1270" s="6"/>
      <c r="G1270" s="6"/>
      <c r="H1270" s="85"/>
      <c r="I1270" s="103">
        <f>IFERROR(VLOOKUP(B1270,'July 2026-Recived'!$B$2:$H$1300,7,0),0)</f>
        <v>0</v>
      </c>
      <c r="J1270" s="103">
        <f>IFERROR(VLOOKUP(B1270,'July 2026- Dispatch'!$B$2:$H$1300,7,0),0)</f>
        <v>0</v>
      </c>
      <c r="K1270" s="61">
        <f t="shared" si="22"/>
        <v>0</v>
      </c>
    </row>
    <row r="1271" spans="1:11" ht="15" hidden="1" customHeight="1" x14ac:dyDescent="0.25">
      <c r="A1271" s="7">
        <v>1270</v>
      </c>
      <c r="B1271" s="6"/>
      <c r="C1271" s="6"/>
      <c r="D1271" s="6"/>
      <c r="E1271" s="6"/>
      <c r="F1271" s="6"/>
      <c r="G1271" s="6"/>
      <c r="H1271" s="85"/>
      <c r="I1271" s="103">
        <f>IFERROR(VLOOKUP(B1271,'July 2026-Recived'!$B$2:$H$1300,7,0),0)</f>
        <v>0</v>
      </c>
      <c r="J1271" s="103">
        <f>IFERROR(VLOOKUP(B1271,'July 2026- Dispatch'!$B$2:$H$1300,7,0),0)</f>
        <v>0</v>
      </c>
      <c r="K1271" s="61">
        <f t="shared" si="22"/>
        <v>0</v>
      </c>
    </row>
    <row r="1272" spans="1:11" ht="15" hidden="1" customHeight="1" x14ac:dyDescent="0.25">
      <c r="A1272" s="7">
        <v>1271</v>
      </c>
      <c r="B1272" s="6"/>
      <c r="C1272" s="6"/>
      <c r="D1272" s="6"/>
      <c r="E1272" s="6"/>
      <c r="F1272" s="6"/>
      <c r="G1272" s="6"/>
      <c r="H1272" s="85"/>
      <c r="I1272" s="103">
        <f>IFERROR(VLOOKUP(B1272,'July 2026-Recived'!$B$2:$H$1300,7,0),0)</f>
        <v>0</v>
      </c>
      <c r="J1272" s="103">
        <f>IFERROR(VLOOKUP(B1272,'July 2026- Dispatch'!$B$2:$H$1300,7,0),0)</f>
        <v>0</v>
      </c>
      <c r="K1272" s="61">
        <f t="shared" si="22"/>
        <v>0</v>
      </c>
    </row>
    <row r="1273" spans="1:11" ht="15" hidden="1" customHeight="1" x14ac:dyDescent="0.25">
      <c r="A1273" s="7">
        <v>1272</v>
      </c>
      <c r="B1273" s="6"/>
      <c r="C1273" s="6"/>
      <c r="D1273" s="6"/>
      <c r="E1273" s="6"/>
      <c r="F1273" s="6"/>
      <c r="G1273" s="6"/>
      <c r="H1273" s="85"/>
      <c r="I1273" s="103">
        <f>IFERROR(VLOOKUP(B1273,'July 2026-Recived'!$B$2:$H$1300,7,0),0)</f>
        <v>0</v>
      </c>
      <c r="J1273" s="103">
        <f>IFERROR(VLOOKUP(B1273,'July 2026- Dispatch'!$B$2:$H$1300,7,0),0)</f>
        <v>0</v>
      </c>
      <c r="K1273" s="61">
        <f t="shared" si="22"/>
        <v>0</v>
      </c>
    </row>
    <row r="1274" spans="1:11" ht="15" hidden="1" customHeight="1" x14ac:dyDescent="0.25">
      <c r="A1274" s="7">
        <v>1273</v>
      </c>
      <c r="B1274" s="6"/>
      <c r="C1274" s="6"/>
      <c r="D1274" s="6"/>
      <c r="E1274" s="6"/>
      <c r="F1274" s="6"/>
      <c r="G1274" s="6"/>
      <c r="H1274" s="85"/>
      <c r="I1274" s="103">
        <f>IFERROR(VLOOKUP(B1274,'July 2026-Recived'!$B$2:$H$1300,7,0),0)</f>
        <v>0</v>
      </c>
      <c r="J1274" s="103">
        <f>IFERROR(VLOOKUP(B1274,'July 2026- Dispatch'!$B$2:$H$1300,7,0),0)</f>
        <v>0</v>
      </c>
      <c r="K1274" s="61">
        <f t="shared" si="22"/>
        <v>0</v>
      </c>
    </row>
    <row r="1275" spans="1:11" ht="15" hidden="1" customHeight="1" x14ac:dyDescent="0.25">
      <c r="A1275" s="7">
        <v>1274</v>
      </c>
      <c r="B1275" s="6"/>
      <c r="C1275" s="6"/>
      <c r="D1275" s="6"/>
      <c r="E1275" s="6"/>
      <c r="F1275" s="6"/>
      <c r="G1275" s="6"/>
      <c r="H1275" s="85"/>
      <c r="I1275" s="103">
        <f>IFERROR(VLOOKUP(B1275,'July 2026-Recived'!$B$2:$H$1300,7,0),0)</f>
        <v>0</v>
      </c>
      <c r="J1275" s="103">
        <f>IFERROR(VLOOKUP(B1275,'July 2026- Dispatch'!$B$2:$H$1300,7,0),0)</f>
        <v>0</v>
      </c>
      <c r="K1275" s="61">
        <f t="shared" si="22"/>
        <v>0</v>
      </c>
    </row>
    <row r="1276" spans="1:11" ht="15" hidden="1" customHeight="1" x14ac:dyDescent="0.25">
      <c r="A1276" s="7">
        <v>1275</v>
      </c>
      <c r="B1276" s="6"/>
      <c r="C1276" s="6"/>
      <c r="D1276" s="6"/>
      <c r="E1276" s="6"/>
      <c r="F1276" s="6"/>
      <c r="G1276" s="6"/>
      <c r="H1276" s="85"/>
      <c r="I1276" s="103">
        <f>IFERROR(VLOOKUP(B1276,'July 2026-Recived'!$B$2:$H$1300,7,0),0)</f>
        <v>0</v>
      </c>
      <c r="J1276" s="103">
        <f>IFERROR(VLOOKUP(B1276,'July 2026- Dispatch'!$B$2:$H$1300,7,0),0)</f>
        <v>0</v>
      </c>
      <c r="K1276" s="61">
        <f t="shared" si="22"/>
        <v>0</v>
      </c>
    </row>
    <row r="1277" spans="1:11" ht="15" hidden="1" customHeight="1" x14ac:dyDescent="0.25">
      <c r="A1277" s="7">
        <v>1276</v>
      </c>
      <c r="B1277" s="6"/>
      <c r="C1277" s="6"/>
      <c r="D1277" s="6"/>
      <c r="E1277" s="6"/>
      <c r="F1277" s="6"/>
      <c r="G1277" s="6"/>
      <c r="H1277" s="85"/>
      <c r="I1277" s="103">
        <f>IFERROR(VLOOKUP(B1277,'July 2026-Recived'!$B$2:$H$1300,7,0),0)</f>
        <v>0</v>
      </c>
      <c r="J1277" s="103">
        <f>IFERROR(VLOOKUP(B1277,'July 2026- Dispatch'!$B$2:$H$1300,7,0),0)</f>
        <v>0</v>
      </c>
      <c r="K1277" s="61">
        <f t="shared" si="22"/>
        <v>0</v>
      </c>
    </row>
    <row r="1278" spans="1:11" ht="15" hidden="1" customHeight="1" x14ac:dyDescent="0.25">
      <c r="A1278" s="7">
        <v>1277</v>
      </c>
      <c r="B1278" s="6"/>
      <c r="C1278" s="6"/>
      <c r="D1278" s="6"/>
      <c r="E1278" s="6"/>
      <c r="F1278" s="6"/>
      <c r="G1278" s="6"/>
      <c r="H1278" s="85"/>
      <c r="I1278" s="103">
        <f>IFERROR(VLOOKUP(B1278,'July 2026-Recived'!$B$2:$H$1300,7,0),0)</f>
        <v>0</v>
      </c>
      <c r="J1278" s="103">
        <f>IFERROR(VLOOKUP(B1278,'July 2026- Dispatch'!$B$2:$H$1300,7,0),0)</f>
        <v>0</v>
      </c>
      <c r="K1278" s="61">
        <f t="shared" si="22"/>
        <v>0</v>
      </c>
    </row>
    <row r="1279" spans="1:11" ht="15" hidden="1" customHeight="1" x14ac:dyDescent="0.25">
      <c r="A1279" s="7">
        <v>1278</v>
      </c>
      <c r="B1279" s="6"/>
      <c r="C1279" s="6"/>
      <c r="D1279" s="6"/>
      <c r="E1279" s="6"/>
      <c r="F1279" s="6"/>
      <c r="G1279" s="6"/>
      <c r="H1279" s="85"/>
      <c r="I1279" s="103">
        <f>IFERROR(VLOOKUP(B1279,'July 2026-Recived'!$B$2:$H$1300,7,0),0)</f>
        <v>0</v>
      </c>
      <c r="J1279" s="103">
        <f>IFERROR(VLOOKUP(B1279,'July 2026- Dispatch'!$B$2:$H$1300,7,0),0)</f>
        <v>0</v>
      </c>
      <c r="K1279" s="61">
        <f t="shared" si="22"/>
        <v>0</v>
      </c>
    </row>
    <row r="1280" spans="1:11" ht="15" hidden="1" customHeight="1" x14ac:dyDescent="0.25">
      <c r="A1280" s="7">
        <v>1279</v>
      </c>
      <c r="B1280" s="6"/>
      <c r="C1280" s="6"/>
      <c r="D1280" s="6"/>
      <c r="E1280" s="6"/>
      <c r="F1280" s="6"/>
      <c r="G1280" s="6"/>
      <c r="H1280" s="85"/>
      <c r="I1280" s="103">
        <f>IFERROR(VLOOKUP(B1280,'July 2026-Recived'!$B$2:$H$1300,7,0),0)</f>
        <v>0</v>
      </c>
      <c r="J1280" s="103">
        <f>IFERROR(VLOOKUP(B1280,'July 2026- Dispatch'!$B$2:$H$1300,7,0),0)</f>
        <v>0</v>
      </c>
      <c r="K1280" s="61">
        <f t="shared" si="22"/>
        <v>0</v>
      </c>
    </row>
  </sheetData>
  <sheetProtection algorithmName="SHA-512" hashValue="WVfveoBIDQWgT3xALFF/T3LQPCTU4RO1cs08CCYRdA2cTl7mt70kH6VC9daZYcSFP2eoEaNUik2DwBINUNIRIQ==" saltValue="+tgdDKvQnwT30vSzk/N4zg==" spinCount="100000" sheet="1" objects="1" scenarios="1" autoFilter="0" pivotTables="0"/>
  <autoFilter ref="A1:M1280" xr:uid="{211BE0B3-E834-4C0E-A737-6B93CA33FD2F}">
    <filterColumn colId="1">
      <filters>
        <filter val="CO-00587"/>
        <filter val="PM-00587"/>
        <filter val="RM-00587"/>
      </filters>
    </filterColumn>
  </autoFilter>
  <conditionalFormatting sqref="B1129:B1132">
    <cfRule type="duplicateValues" dxfId="294" priority="46"/>
  </conditionalFormatting>
  <conditionalFormatting sqref="B1144">
    <cfRule type="duplicateValues" dxfId="293" priority="44"/>
  </conditionalFormatting>
  <conditionalFormatting sqref="B1150:B1152 B1154:B1157 B1159:B1161">
    <cfRule type="duplicateValues" dxfId="292" priority="39"/>
  </conditionalFormatting>
  <conditionalFormatting sqref="B1171:B1172">
    <cfRule type="duplicateValues" dxfId="291" priority="4"/>
  </conditionalFormatting>
  <conditionalFormatting sqref="B1207:B1210">
    <cfRule type="duplicateValues" dxfId="290" priority="26"/>
  </conditionalFormatting>
  <conditionalFormatting sqref="B1168:C1168">
    <cfRule type="duplicateValues" dxfId="289" priority="6"/>
  </conditionalFormatting>
  <conditionalFormatting sqref="B1169:C1169">
    <cfRule type="duplicateValues" dxfId="288" priority="5"/>
  </conditionalFormatting>
  <conditionalFormatting sqref="B1178:C1186">
    <cfRule type="duplicateValues" dxfId="287" priority="1"/>
    <cfRule type="duplicateValues" dxfId="286" priority="2"/>
  </conditionalFormatting>
  <conditionalFormatting sqref="B1:D1065 B1067:D1096 B1115:D1115 B1119:D1128 B1133:D1143 B1145:D1149 B1162:D1167 B1187:D1191 B1177:D1177 B1193:D1206 B1211:D1048576 B1170:D1170 B1173:D1174 D1171:D1172 D1178:D1186">
    <cfRule type="duplicateValues" dxfId="285" priority="425"/>
  </conditionalFormatting>
  <conditionalFormatting sqref="B1153:D1153">
    <cfRule type="duplicateValues" dxfId="284" priority="35"/>
  </conditionalFormatting>
  <conditionalFormatting sqref="B1158:D1158">
    <cfRule type="duplicateValues" dxfId="283" priority="32"/>
  </conditionalFormatting>
  <conditionalFormatting sqref="B1175:E1175">
    <cfRule type="duplicateValues" dxfId="282" priority="31"/>
  </conditionalFormatting>
  <conditionalFormatting sqref="B1176:E1176">
    <cfRule type="duplicateValues" dxfId="281" priority="30"/>
  </conditionalFormatting>
  <conditionalFormatting sqref="B1192:E1192">
    <cfRule type="duplicateValues" dxfId="280" priority="27"/>
    <cfRule type="duplicateValues" dxfId="279" priority="28"/>
  </conditionalFormatting>
  <conditionalFormatting sqref="C1171:C1172">
    <cfRule type="duplicateValues" dxfId="278" priority="3"/>
  </conditionalFormatting>
  <conditionalFormatting sqref="C1066:D1066">
    <cfRule type="duplicateValues" dxfId="277" priority="76"/>
    <cfRule type="duplicateValues" dxfId="276" priority="77"/>
    <cfRule type="duplicateValues" dxfId="275" priority="78"/>
    <cfRule type="duplicateValues" dxfId="274" priority="79"/>
    <cfRule type="duplicateValues" dxfId="273" priority="80"/>
    <cfRule type="duplicateValues" dxfId="272" priority="81"/>
    <cfRule type="duplicateValues" dxfId="271" priority="82"/>
    <cfRule type="duplicateValues" dxfId="270" priority="83"/>
    <cfRule type="duplicateValues" dxfId="269" priority="84"/>
  </conditionalFormatting>
  <conditionalFormatting sqref="C1097:D1099 F1097:G1099">
    <cfRule type="duplicateValues" dxfId="268" priority="67"/>
    <cfRule type="duplicateValues" dxfId="267" priority="68"/>
    <cfRule type="duplicateValues" dxfId="266" priority="69"/>
    <cfRule type="duplicateValues" dxfId="265" priority="70"/>
    <cfRule type="duplicateValues" dxfId="264" priority="71"/>
    <cfRule type="duplicateValues" dxfId="263" priority="72"/>
    <cfRule type="duplicateValues" dxfId="262" priority="73"/>
    <cfRule type="duplicateValues" dxfId="261" priority="74"/>
    <cfRule type="duplicateValues" dxfId="260" priority="75"/>
  </conditionalFormatting>
  <conditionalFormatting sqref="C1100:D1109 B1110:D1114 F1100:G1114">
    <cfRule type="duplicateValues" dxfId="259" priority="56"/>
    <cfRule type="duplicateValues" dxfId="258" priority="57"/>
    <cfRule type="duplicateValues" dxfId="257" priority="58"/>
    <cfRule type="duplicateValues" dxfId="256" priority="59"/>
    <cfRule type="duplicateValues" dxfId="255" priority="60"/>
    <cfRule type="duplicateValues" dxfId="254" priority="61"/>
    <cfRule type="duplicateValues" dxfId="253" priority="62"/>
    <cfRule type="duplicateValues" dxfId="252" priority="63"/>
    <cfRule type="duplicateValues" dxfId="251" priority="64"/>
  </conditionalFormatting>
  <conditionalFormatting sqref="C1116:D1118">
    <cfRule type="duplicateValues" dxfId="250" priority="47"/>
    <cfRule type="duplicateValues" dxfId="249" priority="48"/>
    <cfRule type="duplicateValues" dxfId="248" priority="49"/>
    <cfRule type="duplicateValues" dxfId="247" priority="50"/>
    <cfRule type="duplicateValues" dxfId="246" priority="51"/>
    <cfRule type="duplicateValues" dxfId="245" priority="52"/>
    <cfRule type="duplicateValues" dxfId="244" priority="53"/>
    <cfRule type="duplicateValues" dxfId="243" priority="54"/>
    <cfRule type="duplicateValues" dxfId="242" priority="55"/>
  </conditionalFormatting>
  <conditionalFormatting sqref="C1129:D1132">
    <cfRule type="duplicateValues" dxfId="241" priority="45"/>
  </conditionalFormatting>
  <conditionalFormatting sqref="C1144:D1144">
    <cfRule type="duplicateValues" dxfId="240" priority="43"/>
  </conditionalFormatting>
  <conditionalFormatting sqref="C1150:D1152 C1154:D1157 C1159:D1161">
    <cfRule type="duplicateValues" dxfId="239" priority="38"/>
  </conditionalFormatting>
  <conditionalFormatting sqref="C1207:D1210">
    <cfRule type="duplicateValues" dxfId="238" priority="25"/>
  </conditionalFormatting>
  <conditionalFormatting sqref="D1168">
    <cfRule type="duplicateValues" dxfId="237" priority="7"/>
    <cfRule type="duplicateValues" dxfId="236" priority="8"/>
    <cfRule type="duplicateValues" dxfId="235" priority="9"/>
    <cfRule type="duplicateValues" dxfId="234" priority="10"/>
    <cfRule type="duplicateValues" dxfId="233" priority="11"/>
    <cfRule type="duplicateValues" dxfId="232" priority="12"/>
    <cfRule type="duplicateValues" dxfId="231" priority="13"/>
    <cfRule type="duplicateValues" dxfId="230" priority="14"/>
    <cfRule type="duplicateValues" dxfId="229" priority="15"/>
  </conditionalFormatting>
  <conditionalFormatting sqref="E1167">
    <cfRule type="duplicateValues" dxfId="228" priority="16"/>
    <cfRule type="duplicateValues" dxfId="227" priority="17"/>
    <cfRule type="duplicateValues" dxfId="226" priority="18"/>
    <cfRule type="duplicateValues" dxfId="225" priority="19"/>
    <cfRule type="duplicateValues" dxfId="224" priority="20"/>
    <cfRule type="duplicateValues" dxfId="223" priority="21"/>
    <cfRule type="duplicateValues" dxfId="222" priority="22"/>
    <cfRule type="duplicateValues" dxfId="221" priority="23"/>
    <cfRule type="duplicateValues" dxfId="220" priority="24"/>
  </conditionalFormatting>
  <conditionalFormatting sqref="E1176">
    <cfRule type="duplicateValues" dxfId="219" priority="29"/>
  </conditionalFormatting>
  <conditionalFormatting sqref="E1:G2 F590:G1096 F589 F1115:G1128 F1133 F1134:G1143 F1145:G1149 E1177:G1191 F1175:G1176 E1193:G1048576 F1192:G1192 F3:G588 E3:E1166 F1162:G1167 E1168:G1174">
    <cfRule type="duplicateValues" dxfId="218" priority="469"/>
  </conditionalFormatting>
  <conditionalFormatting sqref="E2:G2 F590:G1096 F589 F1115:G1128 F1133 F1134:G1143 F1145:G1149 E1177:G1191 F1175:G1176 E1193:G1280 F1192:G1192 F3:G588 E3:E1166 F1162:G1167 E1168:G1174">
    <cfRule type="duplicateValues" dxfId="217" priority="4134"/>
  </conditionalFormatting>
  <conditionalFormatting sqref="F1158">
    <cfRule type="duplicateValues" dxfId="216" priority="33"/>
    <cfRule type="duplicateValues" dxfId="215" priority="34"/>
  </conditionalFormatting>
  <conditionalFormatting sqref="F1153:G1153">
    <cfRule type="duplicateValues" dxfId="214" priority="36"/>
    <cfRule type="duplicateValues" dxfId="213" priority="37"/>
  </conditionalFormatting>
  <conditionalFormatting sqref="G589">
    <cfRule type="duplicateValues" dxfId="212" priority="65"/>
    <cfRule type="duplicateValues" dxfId="211" priority="66"/>
  </conditionalFormatting>
  <pageMargins left="0.25" right="0.25" top="0.75" bottom="0.75" header="0.3" footer="0.3"/>
  <pageSetup paperSize="9" scale="59" fitToHeight="0" orientation="landscape" r:id="rId1"/>
  <headerFooter>
    <oddFooter>Page &amp;P of &amp;N</oddFooter>
  </headerFooter>
  <rowBreaks count="2" manualBreakCount="2">
    <brk id="784" max="6" man="1"/>
    <brk id="842" max="6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88381-09AF-4DB5-BD62-BBB61FC0942E}">
  <sheetPr codeName="Sheet9" filterMode="1">
    <tabColor theme="0"/>
  </sheetPr>
  <dimension ref="A1:AM1301"/>
  <sheetViews>
    <sheetView zoomScale="90" zoomScaleNormal="90" workbookViewId="0">
      <pane ySplit="1" topLeftCell="A515" activePane="bottomLeft" state="frozen"/>
      <selection pane="bottomLeft" activeCell="G33" sqref="G33"/>
    </sheetView>
  </sheetViews>
  <sheetFormatPr defaultColWidth="9.140625" defaultRowHeight="15" customHeight="1" x14ac:dyDescent="0.25"/>
  <cols>
    <col min="1" max="1" width="7" bestFit="1" customWidth="1"/>
    <col min="2" max="2" width="14.42578125" bestFit="1" customWidth="1"/>
    <col min="3" max="4" width="134.7109375" customWidth="1"/>
    <col min="5" max="5" width="14.42578125" customWidth="1"/>
    <col min="6" max="6" width="45.28515625" bestFit="1" customWidth="1"/>
    <col min="7" max="7" width="20.42578125" customWidth="1"/>
    <col min="8" max="8" width="13.7109375" style="3" bestFit="1" customWidth="1"/>
    <col min="9" max="9" width="11.42578125" customWidth="1"/>
    <col min="10" max="10" width="10.42578125" customWidth="1"/>
    <col min="11" max="21" width="9.140625" customWidth="1"/>
    <col min="22" max="25" width="9.7109375" customWidth="1"/>
    <col min="26" max="32" width="9.140625" customWidth="1"/>
    <col min="39" max="39" width="10.140625" bestFit="1" customWidth="1"/>
  </cols>
  <sheetData>
    <row r="1" spans="1:39" s="3" customFormat="1" x14ac:dyDescent="0.25">
      <c r="A1" s="124" t="s">
        <v>1651</v>
      </c>
      <c r="B1" s="124" t="s">
        <v>3</v>
      </c>
      <c r="C1" s="124" t="s">
        <v>4</v>
      </c>
      <c r="D1" s="1" t="s">
        <v>2072</v>
      </c>
      <c r="E1" s="124" t="s">
        <v>2073</v>
      </c>
      <c r="F1" s="124" t="s">
        <v>2074</v>
      </c>
      <c r="G1" s="124" t="s">
        <v>2075</v>
      </c>
      <c r="H1" s="125" t="s">
        <v>4947</v>
      </c>
      <c r="I1" s="126">
        <v>46204</v>
      </c>
      <c r="J1" s="126">
        <f>I1+1</f>
        <v>46205</v>
      </c>
      <c r="K1" s="126">
        <f t="shared" ref="K1:AL1" si="0">J1+1</f>
        <v>46206</v>
      </c>
      <c r="L1" s="126">
        <f t="shared" si="0"/>
        <v>46207</v>
      </c>
      <c r="M1" s="126">
        <f t="shared" si="0"/>
        <v>46208</v>
      </c>
      <c r="N1" s="126">
        <f t="shared" si="0"/>
        <v>46209</v>
      </c>
      <c r="O1" s="126">
        <f t="shared" si="0"/>
        <v>46210</v>
      </c>
      <c r="P1" s="126">
        <f t="shared" si="0"/>
        <v>46211</v>
      </c>
      <c r="Q1" s="126">
        <f t="shared" si="0"/>
        <v>46212</v>
      </c>
      <c r="R1" s="126">
        <f t="shared" si="0"/>
        <v>46213</v>
      </c>
      <c r="S1" s="126">
        <f t="shared" si="0"/>
        <v>46214</v>
      </c>
      <c r="T1" s="126">
        <f t="shared" si="0"/>
        <v>46215</v>
      </c>
      <c r="U1" s="126">
        <f t="shared" si="0"/>
        <v>46216</v>
      </c>
      <c r="V1" s="126">
        <f t="shared" si="0"/>
        <v>46217</v>
      </c>
      <c r="W1" s="126">
        <f t="shared" si="0"/>
        <v>46218</v>
      </c>
      <c r="X1" s="126">
        <f t="shared" si="0"/>
        <v>46219</v>
      </c>
      <c r="Y1" s="126">
        <f t="shared" si="0"/>
        <v>46220</v>
      </c>
      <c r="Z1" s="126">
        <f t="shared" si="0"/>
        <v>46221</v>
      </c>
      <c r="AA1" s="126">
        <f t="shared" si="0"/>
        <v>46222</v>
      </c>
      <c r="AB1" s="126">
        <f t="shared" si="0"/>
        <v>46223</v>
      </c>
      <c r="AC1" s="126">
        <f t="shared" si="0"/>
        <v>46224</v>
      </c>
      <c r="AD1" s="126">
        <f t="shared" si="0"/>
        <v>46225</v>
      </c>
      <c r="AE1" s="126">
        <f t="shared" si="0"/>
        <v>46226</v>
      </c>
      <c r="AF1" s="126">
        <f t="shared" si="0"/>
        <v>46227</v>
      </c>
      <c r="AG1" s="126">
        <f t="shared" si="0"/>
        <v>46228</v>
      </c>
      <c r="AH1" s="126">
        <f t="shared" si="0"/>
        <v>46229</v>
      </c>
      <c r="AI1" s="126">
        <f t="shared" si="0"/>
        <v>46230</v>
      </c>
      <c r="AJ1" s="126">
        <f t="shared" si="0"/>
        <v>46231</v>
      </c>
      <c r="AK1" s="126">
        <f t="shared" si="0"/>
        <v>46232</v>
      </c>
      <c r="AL1" s="126">
        <f t="shared" si="0"/>
        <v>46233</v>
      </c>
      <c r="AM1" s="126">
        <f>AL1+1</f>
        <v>46234</v>
      </c>
    </row>
    <row r="2" spans="1:39" hidden="1" x14ac:dyDescent="0.25">
      <c r="A2" s="127">
        <v>1</v>
      </c>
      <c r="B2" s="152" t="s">
        <v>323</v>
      </c>
      <c r="C2" s="153" t="s">
        <v>2081</v>
      </c>
      <c r="D2" s="153" t="s">
        <v>2082</v>
      </c>
      <c r="E2" s="153" t="s">
        <v>4948</v>
      </c>
      <c r="F2" s="6"/>
      <c r="G2" s="6"/>
      <c r="H2" s="128">
        <f t="shared" ref="H2:H65" si="1">SUM(I2:AM2)</f>
        <v>0</v>
      </c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</row>
    <row r="3" spans="1:39" hidden="1" x14ac:dyDescent="0.25">
      <c r="A3" s="127">
        <v>2</v>
      </c>
      <c r="B3" s="152" t="s">
        <v>822</v>
      </c>
      <c r="C3" s="153" t="s">
        <v>2084</v>
      </c>
      <c r="D3" s="153" t="s">
        <v>2085</v>
      </c>
      <c r="E3" s="153" t="s">
        <v>2086</v>
      </c>
      <c r="F3" s="6"/>
      <c r="G3" s="6"/>
      <c r="H3" s="128">
        <f t="shared" si="1"/>
        <v>0</v>
      </c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  <c r="AL3" s="129"/>
      <c r="AM3" s="129"/>
    </row>
    <row r="4" spans="1:39" hidden="1" x14ac:dyDescent="0.25">
      <c r="A4" s="127">
        <v>3</v>
      </c>
      <c r="B4" s="152" t="s">
        <v>317</v>
      </c>
      <c r="C4" s="153" t="s">
        <v>2087</v>
      </c>
      <c r="D4" s="153" t="s">
        <v>2088</v>
      </c>
      <c r="E4" s="153" t="s">
        <v>4948</v>
      </c>
      <c r="F4" s="6"/>
      <c r="G4" s="6"/>
      <c r="H4" s="128">
        <f t="shared" si="1"/>
        <v>0</v>
      </c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</row>
    <row r="5" spans="1:39" hidden="1" x14ac:dyDescent="0.25">
      <c r="A5" s="127">
        <v>4</v>
      </c>
      <c r="B5" s="152" t="s">
        <v>311</v>
      </c>
      <c r="C5" s="153" t="s">
        <v>2089</v>
      </c>
      <c r="D5" s="153" t="s">
        <v>2090</v>
      </c>
      <c r="E5" s="153" t="s">
        <v>4948</v>
      </c>
      <c r="F5" s="6"/>
      <c r="G5" s="6"/>
      <c r="H5" s="128">
        <f t="shared" si="1"/>
        <v>0</v>
      </c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29"/>
    </row>
    <row r="6" spans="1:39" hidden="1" x14ac:dyDescent="0.25">
      <c r="A6" s="127">
        <v>5</v>
      </c>
      <c r="B6" s="152" t="s">
        <v>325</v>
      </c>
      <c r="C6" s="153" t="s">
        <v>2091</v>
      </c>
      <c r="D6" s="153" t="s">
        <v>2092</v>
      </c>
      <c r="E6" s="153" t="s">
        <v>4948</v>
      </c>
      <c r="F6" s="6"/>
      <c r="G6" s="6"/>
      <c r="H6" s="128">
        <f t="shared" si="1"/>
        <v>0</v>
      </c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</row>
    <row r="7" spans="1:39" hidden="1" x14ac:dyDescent="0.25">
      <c r="A7" s="127">
        <v>6</v>
      </c>
      <c r="B7" s="152" t="s">
        <v>309</v>
      </c>
      <c r="C7" s="153" t="s">
        <v>2093</v>
      </c>
      <c r="D7" s="153" t="s">
        <v>2094</v>
      </c>
      <c r="E7" s="153" t="s">
        <v>4948</v>
      </c>
      <c r="F7" s="6"/>
      <c r="G7" s="6"/>
      <c r="H7" s="128">
        <f t="shared" si="1"/>
        <v>0</v>
      </c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</row>
    <row r="8" spans="1:39" hidden="1" x14ac:dyDescent="0.25">
      <c r="A8" s="127">
        <v>7</v>
      </c>
      <c r="B8" s="152" t="s">
        <v>315</v>
      </c>
      <c r="C8" s="153" t="s">
        <v>2095</v>
      </c>
      <c r="D8" s="153" t="s">
        <v>2096</v>
      </c>
      <c r="E8" s="153" t="s">
        <v>2086</v>
      </c>
      <c r="F8" s="6"/>
      <c r="G8" s="6"/>
      <c r="H8" s="128">
        <f t="shared" si="1"/>
        <v>0</v>
      </c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29"/>
      <c r="AM8" s="129"/>
    </row>
    <row r="9" spans="1:39" hidden="1" x14ac:dyDescent="0.25">
      <c r="A9" s="127">
        <v>8</v>
      </c>
      <c r="B9" s="152" t="s">
        <v>327</v>
      </c>
      <c r="C9" s="153" t="s">
        <v>2097</v>
      </c>
      <c r="D9" s="153" t="s">
        <v>2098</v>
      </c>
      <c r="E9" s="153" t="s">
        <v>4948</v>
      </c>
      <c r="F9" s="6"/>
      <c r="G9" s="6"/>
      <c r="H9" s="128">
        <f t="shared" si="1"/>
        <v>0</v>
      </c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</row>
    <row r="10" spans="1:39" hidden="1" x14ac:dyDescent="0.25">
      <c r="A10" s="127">
        <v>9</v>
      </c>
      <c r="B10" s="152" t="s">
        <v>2099</v>
      </c>
      <c r="C10" s="153" t="s">
        <v>2100</v>
      </c>
      <c r="D10" s="153" t="s">
        <v>2101</v>
      </c>
      <c r="E10" s="153" t="s">
        <v>4948</v>
      </c>
      <c r="F10" s="6"/>
      <c r="G10" s="6"/>
      <c r="H10" s="128">
        <f t="shared" si="1"/>
        <v>0</v>
      </c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</row>
    <row r="11" spans="1:39" hidden="1" x14ac:dyDescent="0.25">
      <c r="A11" s="127">
        <v>10</v>
      </c>
      <c r="B11" s="152" t="s">
        <v>337</v>
      </c>
      <c r="C11" s="153" t="s">
        <v>2102</v>
      </c>
      <c r="D11" s="153" t="s">
        <v>2103</v>
      </c>
      <c r="E11" s="153" t="s">
        <v>4948</v>
      </c>
      <c r="F11" s="6"/>
      <c r="G11" s="6"/>
      <c r="H11" s="128">
        <f t="shared" si="1"/>
        <v>0</v>
      </c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</row>
    <row r="12" spans="1:39" hidden="1" x14ac:dyDescent="0.25">
      <c r="A12" s="127">
        <v>11</v>
      </c>
      <c r="B12" s="152" t="s">
        <v>2104</v>
      </c>
      <c r="C12" s="153" t="s">
        <v>2105</v>
      </c>
      <c r="D12" s="153" t="s">
        <v>2106</v>
      </c>
      <c r="E12" s="153" t="s">
        <v>4948</v>
      </c>
      <c r="F12" s="6"/>
      <c r="G12" s="6"/>
      <c r="H12" s="128">
        <f t="shared" si="1"/>
        <v>0</v>
      </c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</row>
    <row r="13" spans="1:39" hidden="1" x14ac:dyDescent="0.25">
      <c r="A13" s="127">
        <v>12</v>
      </c>
      <c r="B13" s="152" t="s">
        <v>857</v>
      </c>
      <c r="C13" s="153" t="s">
        <v>2107</v>
      </c>
      <c r="D13" s="153" t="s">
        <v>2108</v>
      </c>
      <c r="E13" s="153" t="s">
        <v>2086</v>
      </c>
      <c r="F13" s="6"/>
      <c r="G13" s="6"/>
      <c r="H13" s="128">
        <f t="shared" si="1"/>
        <v>1800</v>
      </c>
      <c r="I13" s="129">
        <v>1800</v>
      </c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</row>
    <row r="14" spans="1:39" hidden="1" x14ac:dyDescent="0.25">
      <c r="A14" s="127">
        <v>13</v>
      </c>
      <c r="B14" s="152" t="s">
        <v>1070</v>
      </c>
      <c r="C14" s="153" t="s">
        <v>2109</v>
      </c>
      <c r="D14" s="153" t="s">
        <v>2110</v>
      </c>
      <c r="E14" s="153" t="s">
        <v>2111</v>
      </c>
      <c r="F14" s="6"/>
      <c r="G14" s="6"/>
      <c r="H14" s="128">
        <f t="shared" si="1"/>
        <v>0</v>
      </c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</row>
    <row r="15" spans="1:39" hidden="1" x14ac:dyDescent="0.25">
      <c r="A15" s="127">
        <v>14</v>
      </c>
      <c r="B15" s="152" t="s">
        <v>752</v>
      </c>
      <c r="C15" s="153" t="s">
        <v>2112</v>
      </c>
      <c r="D15" s="153" t="s">
        <v>2113</v>
      </c>
      <c r="E15" s="153" t="s">
        <v>2111</v>
      </c>
      <c r="F15" s="6"/>
      <c r="G15" s="6"/>
      <c r="H15" s="128">
        <f t="shared" si="1"/>
        <v>0</v>
      </c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</row>
    <row r="16" spans="1:39" hidden="1" x14ac:dyDescent="0.25">
      <c r="A16" s="127">
        <v>15</v>
      </c>
      <c r="B16" s="152" t="s">
        <v>1089</v>
      </c>
      <c r="C16" s="153" t="s">
        <v>2114</v>
      </c>
      <c r="D16" s="153" t="s">
        <v>2115</v>
      </c>
      <c r="E16" s="153" t="s">
        <v>2111</v>
      </c>
      <c r="F16" s="6"/>
      <c r="G16" s="6"/>
      <c r="H16" s="128">
        <f t="shared" si="1"/>
        <v>0</v>
      </c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</row>
    <row r="17" spans="1:39" hidden="1" x14ac:dyDescent="0.25">
      <c r="A17" s="127">
        <v>16</v>
      </c>
      <c r="B17" s="152" t="s">
        <v>757</v>
      </c>
      <c r="C17" s="153" t="s">
        <v>2116</v>
      </c>
      <c r="D17" s="153" t="s">
        <v>2117</v>
      </c>
      <c r="E17" s="153" t="s">
        <v>2111</v>
      </c>
      <c r="F17" s="6"/>
      <c r="G17" s="6"/>
      <c r="H17" s="128">
        <f t="shared" si="1"/>
        <v>0</v>
      </c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</row>
    <row r="18" spans="1:39" hidden="1" x14ac:dyDescent="0.25">
      <c r="A18" s="127">
        <v>17</v>
      </c>
      <c r="B18" s="152" t="s">
        <v>765</v>
      </c>
      <c r="C18" s="153" t="s">
        <v>2118</v>
      </c>
      <c r="D18" s="153" t="s">
        <v>2119</v>
      </c>
      <c r="E18" s="153" t="s">
        <v>2111</v>
      </c>
      <c r="F18" s="6"/>
      <c r="G18" s="6"/>
      <c r="H18" s="128">
        <f t="shared" si="1"/>
        <v>0</v>
      </c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</row>
    <row r="19" spans="1:39" hidden="1" x14ac:dyDescent="0.25">
      <c r="A19" s="127">
        <v>18</v>
      </c>
      <c r="B19" s="152" t="s">
        <v>711</v>
      </c>
      <c r="C19" s="153" t="s">
        <v>2120</v>
      </c>
      <c r="D19" s="153" t="s">
        <v>2121</v>
      </c>
      <c r="E19" s="153" t="s">
        <v>2111</v>
      </c>
      <c r="F19" s="6"/>
      <c r="G19" s="6"/>
      <c r="H19" s="128">
        <f t="shared" si="1"/>
        <v>0</v>
      </c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</row>
    <row r="20" spans="1:39" hidden="1" x14ac:dyDescent="0.25">
      <c r="A20" s="127">
        <v>19</v>
      </c>
      <c r="B20" s="152" t="s">
        <v>1509</v>
      </c>
      <c r="C20" s="153" t="s">
        <v>2122</v>
      </c>
      <c r="D20" s="153" t="s">
        <v>2123</v>
      </c>
      <c r="E20" s="153" t="s">
        <v>2111</v>
      </c>
      <c r="F20" s="6"/>
      <c r="G20" s="6"/>
      <c r="H20" s="128">
        <f t="shared" si="1"/>
        <v>0</v>
      </c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  <c r="AK20" s="129"/>
      <c r="AL20" s="129"/>
      <c r="AM20" s="129"/>
    </row>
    <row r="21" spans="1:39" hidden="1" x14ac:dyDescent="0.25">
      <c r="A21" s="127">
        <v>20</v>
      </c>
      <c r="B21" s="152" t="s">
        <v>733</v>
      </c>
      <c r="C21" s="153" t="s">
        <v>2124</v>
      </c>
      <c r="D21" s="153" t="s">
        <v>2125</v>
      </c>
      <c r="E21" s="153" t="s">
        <v>4948</v>
      </c>
      <c r="F21" s="6"/>
      <c r="G21" s="6"/>
      <c r="H21" s="128">
        <f t="shared" si="1"/>
        <v>0</v>
      </c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</row>
    <row r="22" spans="1:39" hidden="1" x14ac:dyDescent="0.25">
      <c r="A22" s="127">
        <v>21</v>
      </c>
      <c r="B22" s="152" t="s">
        <v>969</v>
      </c>
      <c r="C22" s="153" t="s">
        <v>2127</v>
      </c>
      <c r="D22" s="153" t="s">
        <v>2128</v>
      </c>
      <c r="E22" s="153" t="s">
        <v>2086</v>
      </c>
      <c r="F22" s="6"/>
      <c r="G22" s="6"/>
      <c r="H22" s="128">
        <f t="shared" si="1"/>
        <v>0</v>
      </c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</row>
    <row r="23" spans="1:39" hidden="1" x14ac:dyDescent="0.25">
      <c r="A23" s="127">
        <v>22</v>
      </c>
      <c r="B23" s="152" t="s">
        <v>124</v>
      </c>
      <c r="C23" s="153" t="s">
        <v>2129</v>
      </c>
      <c r="D23" s="153" t="s">
        <v>2130</v>
      </c>
      <c r="E23" s="153" t="s">
        <v>2111</v>
      </c>
      <c r="F23" s="6"/>
      <c r="G23" s="6"/>
      <c r="H23" s="128">
        <f t="shared" si="1"/>
        <v>0</v>
      </c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</row>
    <row r="24" spans="1:39" hidden="1" x14ac:dyDescent="0.25">
      <c r="A24" s="127">
        <v>23</v>
      </c>
      <c r="B24" s="152" t="s">
        <v>1030</v>
      </c>
      <c r="C24" s="153" t="s">
        <v>2131</v>
      </c>
      <c r="D24" s="153" t="s">
        <v>2132</v>
      </c>
      <c r="E24" s="153" t="s">
        <v>2111</v>
      </c>
      <c r="F24" s="6"/>
      <c r="G24" s="6"/>
      <c r="H24" s="128">
        <f t="shared" si="1"/>
        <v>0</v>
      </c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</row>
    <row r="25" spans="1:39" hidden="1" x14ac:dyDescent="0.25">
      <c r="A25" s="127">
        <v>24</v>
      </c>
      <c r="B25" s="152" t="s">
        <v>709</v>
      </c>
      <c r="C25" s="153" t="s">
        <v>2133</v>
      </c>
      <c r="D25" s="153" t="s">
        <v>2134</v>
      </c>
      <c r="E25" s="153" t="s">
        <v>2135</v>
      </c>
      <c r="F25" s="6"/>
      <c r="G25" s="6"/>
      <c r="H25" s="128">
        <f t="shared" si="1"/>
        <v>200</v>
      </c>
      <c r="I25" s="129">
        <v>200</v>
      </c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  <c r="AK25" s="129"/>
      <c r="AL25" s="129"/>
      <c r="AM25" s="129"/>
    </row>
    <row r="26" spans="1:39" hidden="1" x14ac:dyDescent="0.25">
      <c r="A26" s="127">
        <v>25</v>
      </c>
      <c r="B26" s="152" t="s">
        <v>1318</v>
      </c>
      <c r="C26" s="153" t="s">
        <v>2136</v>
      </c>
      <c r="D26" s="153" t="s">
        <v>2137</v>
      </c>
      <c r="E26" s="153" t="s">
        <v>2086</v>
      </c>
      <c r="F26" s="6"/>
      <c r="G26" s="6"/>
      <c r="H26" s="128">
        <f t="shared" si="1"/>
        <v>0</v>
      </c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</row>
    <row r="27" spans="1:39" hidden="1" x14ac:dyDescent="0.25">
      <c r="A27" s="127">
        <v>26</v>
      </c>
      <c r="B27" s="152" t="s">
        <v>1193</v>
      </c>
      <c r="C27" s="153" t="s">
        <v>2138</v>
      </c>
      <c r="D27" s="153" t="s">
        <v>2139</v>
      </c>
      <c r="E27" s="153" t="s">
        <v>22</v>
      </c>
      <c r="F27" s="6"/>
      <c r="G27" s="6"/>
      <c r="H27" s="128">
        <f t="shared" si="1"/>
        <v>0</v>
      </c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</row>
    <row r="28" spans="1:39" hidden="1" x14ac:dyDescent="0.25">
      <c r="A28" s="127">
        <v>27</v>
      </c>
      <c r="B28" s="152" t="s">
        <v>782</v>
      </c>
      <c r="C28" s="153" t="s">
        <v>2140</v>
      </c>
      <c r="D28" s="153" t="s">
        <v>2141</v>
      </c>
      <c r="E28" s="153" t="s">
        <v>2111</v>
      </c>
      <c r="F28" s="6"/>
      <c r="G28" s="6"/>
      <c r="H28" s="128">
        <f t="shared" si="1"/>
        <v>0</v>
      </c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9"/>
    </row>
    <row r="29" spans="1:39" hidden="1" x14ac:dyDescent="0.25">
      <c r="A29" s="127">
        <v>28</v>
      </c>
      <c r="B29" s="152" t="s">
        <v>860</v>
      </c>
      <c r="C29" s="153" t="s">
        <v>2142</v>
      </c>
      <c r="D29" s="153" t="s">
        <v>2143</v>
      </c>
      <c r="E29" s="153" t="s">
        <v>4948</v>
      </c>
      <c r="F29" s="6"/>
      <c r="G29" s="6"/>
      <c r="H29" s="128">
        <f t="shared" si="1"/>
        <v>0</v>
      </c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  <c r="AA29" s="129"/>
      <c r="AB29" s="129"/>
      <c r="AC29" s="129"/>
      <c r="AD29" s="129"/>
      <c r="AE29" s="129"/>
      <c r="AF29" s="129"/>
      <c r="AG29" s="129"/>
      <c r="AH29" s="129"/>
      <c r="AI29" s="129"/>
      <c r="AJ29" s="129"/>
      <c r="AK29" s="129"/>
      <c r="AL29" s="129"/>
      <c r="AM29" s="129"/>
    </row>
    <row r="30" spans="1:39" hidden="1" x14ac:dyDescent="0.25">
      <c r="A30" s="127">
        <v>29</v>
      </c>
      <c r="B30" s="152" t="s">
        <v>1301</v>
      </c>
      <c r="C30" s="153" t="s">
        <v>2144</v>
      </c>
      <c r="D30" s="153" t="s">
        <v>2145</v>
      </c>
      <c r="E30" s="153" t="s">
        <v>4948</v>
      </c>
      <c r="F30" s="6"/>
      <c r="G30" s="6"/>
      <c r="H30" s="128">
        <f t="shared" si="1"/>
        <v>0</v>
      </c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29"/>
    </row>
    <row r="31" spans="1:39" hidden="1" x14ac:dyDescent="0.25">
      <c r="A31" s="127">
        <v>30</v>
      </c>
      <c r="B31" s="152" t="s">
        <v>261</v>
      </c>
      <c r="C31" s="153" t="s">
        <v>2146</v>
      </c>
      <c r="D31" s="153" t="s">
        <v>2147</v>
      </c>
      <c r="E31" s="153" t="s">
        <v>4948</v>
      </c>
      <c r="F31" s="6"/>
      <c r="G31" s="6"/>
      <c r="H31" s="128">
        <f t="shared" si="1"/>
        <v>0</v>
      </c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  <c r="AL31" s="129"/>
      <c r="AM31" s="129"/>
    </row>
    <row r="32" spans="1:39" hidden="1" x14ac:dyDescent="0.25">
      <c r="A32" s="127">
        <v>31</v>
      </c>
      <c r="B32" s="152" t="s">
        <v>2148</v>
      </c>
      <c r="C32" s="153" t="s">
        <v>2149</v>
      </c>
      <c r="D32" s="153" t="s">
        <v>2150</v>
      </c>
      <c r="E32" s="153" t="s">
        <v>2086</v>
      </c>
      <c r="F32" s="6"/>
      <c r="G32" s="6"/>
      <c r="H32" s="128">
        <f t="shared" si="1"/>
        <v>0</v>
      </c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29"/>
      <c r="W32" s="129"/>
      <c r="X32" s="129"/>
      <c r="Y32" s="129"/>
      <c r="Z32" s="129"/>
      <c r="AA32" s="129"/>
      <c r="AB32" s="129"/>
      <c r="AC32" s="129"/>
      <c r="AD32" s="129"/>
      <c r="AE32" s="129"/>
      <c r="AF32" s="129"/>
      <c r="AG32" s="129"/>
      <c r="AH32" s="129"/>
      <c r="AI32" s="129"/>
      <c r="AJ32" s="129"/>
      <c r="AK32" s="129"/>
      <c r="AL32" s="129"/>
      <c r="AM32" s="129"/>
    </row>
    <row r="33" spans="1:39" hidden="1" x14ac:dyDescent="0.25">
      <c r="A33" s="127">
        <v>32</v>
      </c>
      <c r="B33" s="152" t="s">
        <v>932</v>
      </c>
      <c r="C33" s="153" t="s">
        <v>2151</v>
      </c>
      <c r="D33" s="153" t="s">
        <v>2152</v>
      </c>
      <c r="E33" s="153" t="s">
        <v>2086</v>
      </c>
      <c r="F33" s="6"/>
      <c r="G33" s="6"/>
      <c r="H33" s="128">
        <f t="shared" si="1"/>
        <v>0</v>
      </c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29"/>
    </row>
    <row r="34" spans="1:39" hidden="1" x14ac:dyDescent="0.25">
      <c r="A34" s="127">
        <v>33</v>
      </c>
      <c r="B34" s="152" t="s">
        <v>879</v>
      </c>
      <c r="C34" s="153" t="s">
        <v>2153</v>
      </c>
      <c r="D34" s="153" t="s">
        <v>2154</v>
      </c>
      <c r="E34" s="153" t="s">
        <v>2111</v>
      </c>
      <c r="F34" s="6"/>
      <c r="G34" s="6"/>
      <c r="H34" s="128">
        <f t="shared" si="1"/>
        <v>0</v>
      </c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29"/>
      <c r="AM34" s="129"/>
    </row>
    <row r="35" spans="1:39" hidden="1" x14ac:dyDescent="0.25">
      <c r="A35" s="127">
        <v>34</v>
      </c>
      <c r="B35" s="152" t="s">
        <v>791</v>
      </c>
      <c r="C35" s="153" t="s">
        <v>2155</v>
      </c>
      <c r="D35" s="153" t="s">
        <v>2156</v>
      </c>
      <c r="E35" s="153" t="s">
        <v>2111</v>
      </c>
      <c r="F35" s="6"/>
      <c r="G35" s="6"/>
      <c r="H35" s="128">
        <f t="shared" si="1"/>
        <v>0</v>
      </c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</row>
    <row r="36" spans="1:39" hidden="1" x14ac:dyDescent="0.25">
      <c r="A36" s="127">
        <v>35</v>
      </c>
      <c r="B36" s="152" t="s">
        <v>2157</v>
      </c>
      <c r="C36" s="153" t="s">
        <v>2158</v>
      </c>
      <c r="D36" s="153" t="s">
        <v>2159</v>
      </c>
      <c r="E36" s="153" t="s">
        <v>4948</v>
      </c>
      <c r="F36" s="6"/>
      <c r="G36" s="6"/>
      <c r="H36" s="128">
        <f t="shared" si="1"/>
        <v>0</v>
      </c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  <c r="AH36" s="129"/>
      <c r="AI36" s="129"/>
      <c r="AJ36" s="129"/>
      <c r="AK36" s="129"/>
      <c r="AL36" s="129"/>
      <c r="AM36" s="129"/>
    </row>
    <row r="37" spans="1:39" hidden="1" x14ac:dyDescent="0.25">
      <c r="A37" s="127">
        <v>36</v>
      </c>
      <c r="B37" s="152" t="s">
        <v>1055</v>
      </c>
      <c r="C37" s="153" t="s">
        <v>2161</v>
      </c>
      <c r="D37" s="153" t="s">
        <v>2162</v>
      </c>
      <c r="E37" s="153" t="s">
        <v>2111</v>
      </c>
      <c r="F37" s="6"/>
      <c r="G37" s="6"/>
      <c r="H37" s="128">
        <f t="shared" si="1"/>
        <v>0</v>
      </c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  <c r="AK37" s="129"/>
      <c r="AL37" s="129"/>
      <c r="AM37" s="129"/>
    </row>
    <row r="38" spans="1:39" hidden="1" x14ac:dyDescent="0.25">
      <c r="A38" s="127">
        <v>37</v>
      </c>
      <c r="B38" s="152" t="s">
        <v>780</v>
      </c>
      <c r="C38" s="153" t="s">
        <v>2163</v>
      </c>
      <c r="D38" s="153" t="s">
        <v>2164</v>
      </c>
      <c r="E38" s="153" t="s">
        <v>2111</v>
      </c>
      <c r="F38" s="6"/>
      <c r="G38" s="6"/>
      <c r="H38" s="128">
        <f t="shared" si="1"/>
        <v>0</v>
      </c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</row>
    <row r="39" spans="1:39" hidden="1" x14ac:dyDescent="0.25">
      <c r="A39" s="127">
        <v>38</v>
      </c>
      <c r="B39" s="152" t="s">
        <v>357</v>
      </c>
      <c r="C39" s="153" t="s">
        <v>2165</v>
      </c>
      <c r="D39" s="153" t="s">
        <v>2166</v>
      </c>
      <c r="E39" s="153" t="s">
        <v>4948</v>
      </c>
      <c r="F39" s="6"/>
      <c r="G39" s="6"/>
      <c r="H39" s="128">
        <f t="shared" si="1"/>
        <v>0</v>
      </c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29"/>
      <c r="AG39" s="129"/>
      <c r="AH39" s="129"/>
      <c r="AI39" s="129"/>
      <c r="AJ39" s="129"/>
      <c r="AK39" s="129"/>
      <c r="AL39" s="129"/>
      <c r="AM39" s="129"/>
    </row>
    <row r="40" spans="1:39" hidden="1" x14ac:dyDescent="0.25">
      <c r="A40" s="127">
        <v>39</v>
      </c>
      <c r="B40" s="152" t="s">
        <v>247</v>
      </c>
      <c r="C40" s="153" t="s">
        <v>2167</v>
      </c>
      <c r="D40" s="153" t="s">
        <v>2168</v>
      </c>
      <c r="E40" s="153" t="s">
        <v>4948</v>
      </c>
      <c r="F40" s="6"/>
      <c r="G40" s="6"/>
      <c r="H40" s="128">
        <f t="shared" si="1"/>
        <v>0</v>
      </c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129"/>
      <c r="AB40" s="129"/>
      <c r="AC40" s="129"/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</row>
    <row r="41" spans="1:39" hidden="1" x14ac:dyDescent="0.25">
      <c r="A41" s="127">
        <v>40</v>
      </c>
      <c r="B41" s="152" t="s">
        <v>2058</v>
      </c>
      <c r="C41" s="153" t="s">
        <v>2169</v>
      </c>
      <c r="D41" s="153" t="s">
        <v>2170</v>
      </c>
      <c r="E41" s="153" t="s">
        <v>2135</v>
      </c>
      <c r="F41" s="6"/>
      <c r="G41" s="6"/>
      <c r="H41" s="128">
        <f t="shared" si="1"/>
        <v>0</v>
      </c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  <c r="AA41" s="129"/>
      <c r="AB41" s="129"/>
      <c r="AC41" s="129"/>
      <c r="AD41" s="129"/>
      <c r="AE41" s="129"/>
      <c r="AF41" s="129"/>
      <c r="AG41" s="129"/>
      <c r="AH41" s="129"/>
      <c r="AI41" s="129"/>
      <c r="AJ41" s="129"/>
      <c r="AK41" s="129"/>
      <c r="AL41" s="129"/>
      <c r="AM41" s="129"/>
    </row>
    <row r="42" spans="1:39" hidden="1" x14ac:dyDescent="0.25">
      <c r="A42" s="127">
        <v>41</v>
      </c>
      <c r="B42" s="152" t="s">
        <v>929</v>
      </c>
      <c r="C42" s="153" t="s">
        <v>2171</v>
      </c>
      <c r="D42" s="153" t="s">
        <v>2172</v>
      </c>
      <c r="E42" s="153" t="s">
        <v>4948</v>
      </c>
      <c r="F42" s="6"/>
      <c r="G42" s="6"/>
      <c r="H42" s="128">
        <f t="shared" si="1"/>
        <v>0</v>
      </c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  <c r="AK42" s="129"/>
      <c r="AL42" s="129"/>
      <c r="AM42" s="129"/>
    </row>
    <row r="43" spans="1:39" hidden="1" x14ac:dyDescent="0.25">
      <c r="A43" s="127">
        <v>42</v>
      </c>
      <c r="B43" s="152" t="s">
        <v>1044</v>
      </c>
      <c r="C43" s="153" t="s">
        <v>2173</v>
      </c>
      <c r="D43" s="153" t="s">
        <v>2174</v>
      </c>
      <c r="E43" s="153" t="s">
        <v>2135</v>
      </c>
      <c r="F43" s="6"/>
      <c r="G43" s="6"/>
      <c r="H43" s="128">
        <f t="shared" si="1"/>
        <v>0</v>
      </c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  <c r="AA43" s="129"/>
      <c r="AB43" s="129"/>
      <c r="AC43" s="129"/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</row>
    <row r="44" spans="1:39" hidden="1" x14ac:dyDescent="0.25">
      <c r="A44" s="127">
        <v>43</v>
      </c>
      <c r="B44" s="152" t="s">
        <v>1039</v>
      </c>
      <c r="C44" s="153" t="s">
        <v>2175</v>
      </c>
      <c r="D44" s="153" t="s">
        <v>2176</v>
      </c>
      <c r="E44" s="153" t="s">
        <v>2135</v>
      </c>
      <c r="F44" s="6"/>
      <c r="G44" s="6"/>
      <c r="H44" s="128">
        <f t="shared" si="1"/>
        <v>50000</v>
      </c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>
        <v>50000</v>
      </c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</row>
    <row r="45" spans="1:39" hidden="1" x14ac:dyDescent="0.25">
      <c r="A45" s="127">
        <v>44</v>
      </c>
      <c r="B45" s="152" t="s">
        <v>846</v>
      </c>
      <c r="C45" s="153" t="s">
        <v>2177</v>
      </c>
      <c r="D45" s="153" t="s">
        <v>2178</v>
      </c>
      <c r="E45" s="153" t="s">
        <v>2086</v>
      </c>
      <c r="F45" s="6"/>
      <c r="G45" s="6"/>
      <c r="H45" s="128">
        <f t="shared" si="1"/>
        <v>0</v>
      </c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</row>
    <row r="46" spans="1:39" hidden="1" x14ac:dyDescent="0.25">
      <c r="A46" s="127">
        <v>45</v>
      </c>
      <c r="B46" s="152" t="s">
        <v>669</v>
      </c>
      <c r="C46" s="153" t="s">
        <v>2179</v>
      </c>
      <c r="D46" s="153" t="s">
        <v>2180</v>
      </c>
      <c r="E46" s="153" t="s">
        <v>4948</v>
      </c>
      <c r="F46" s="6"/>
      <c r="G46" s="6"/>
      <c r="H46" s="128">
        <f t="shared" si="1"/>
        <v>0</v>
      </c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129"/>
      <c r="AB46" s="129"/>
      <c r="AC46" s="129"/>
      <c r="AD46" s="129"/>
      <c r="AE46" s="129"/>
      <c r="AF46" s="129"/>
      <c r="AG46" s="129"/>
      <c r="AH46" s="129"/>
      <c r="AI46" s="129"/>
      <c r="AJ46" s="129"/>
      <c r="AK46" s="129"/>
      <c r="AL46" s="129"/>
      <c r="AM46" s="129"/>
    </row>
    <row r="47" spans="1:39" hidden="1" x14ac:dyDescent="0.25">
      <c r="A47" s="127">
        <v>46</v>
      </c>
      <c r="B47" s="152" t="s">
        <v>1574</v>
      </c>
      <c r="C47" s="153" t="s">
        <v>2181</v>
      </c>
      <c r="D47" s="153" t="s">
        <v>2182</v>
      </c>
      <c r="E47" s="153" t="s">
        <v>2086</v>
      </c>
      <c r="F47" s="6"/>
      <c r="G47" s="6"/>
      <c r="H47" s="128">
        <f t="shared" si="1"/>
        <v>0</v>
      </c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29"/>
      <c r="AL47" s="129"/>
      <c r="AM47" s="129"/>
    </row>
    <row r="48" spans="1:39" hidden="1" x14ac:dyDescent="0.25">
      <c r="A48" s="127">
        <v>47</v>
      </c>
      <c r="B48" s="152" t="s">
        <v>1578</v>
      </c>
      <c r="C48" s="153" t="s">
        <v>2183</v>
      </c>
      <c r="D48" s="153" t="s">
        <v>2184</v>
      </c>
      <c r="E48" s="153" t="s">
        <v>2086</v>
      </c>
      <c r="F48" s="6"/>
      <c r="G48" s="6"/>
      <c r="H48" s="128">
        <f t="shared" si="1"/>
        <v>0</v>
      </c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</row>
    <row r="49" spans="1:39" hidden="1" x14ac:dyDescent="0.25">
      <c r="A49" s="127">
        <v>48</v>
      </c>
      <c r="B49" s="152" t="s">
        <v>767</v>
      </c>
      <c r="C49" s="153" t="s">
        <v>2185</v>
      </c>
      <c r="D49" s="153" t="s">
        <v>2186</v>
      </c>
      <c r="E49" s="153" t="s">
        <v>2135</v>
      </c>
      <c r="F49" s="6"/>
      <c r="G49" s="6"/>
      <c r="H49" s="128">
        <f t="shared" si="1"/>
        <v>0</v>
      </c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</row>
    <row r="50" spans="1:39" hidden="1" x14ac:dyDescent="0.25">
      <c r="A50" s="127">
        <v>49</v>
      </c>
      <c r="B50" s="152" t="s">
        <v>1280</v>
      </c>
      <c r="C50" s="153" t="s">
        <v>2187</v>
      </c>
      <c r="D50" s="153" t="s">
        <v>2188</v>
      </c>
      <c r="E50" s="153" t="s">
        <v>2111</v>
      </c>
      <c r="F50" s="6"/>
      <c r="G50" s="6"/>
      <c r="H50" s="128">
        <f t="shared" si="1"/>
        <v>0</v>
      </c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</row>
    <row r="51" spans="1:39" hidden="1" x14ac:dyDescent="0.25">
      <c r="A51" s="127">
        <v>50</v>
      </c>
      <c r="B51" s="152" t="s">
        <v>347</v>
      </c>
      <c r="C51" s="153" t="s">
        <v>2189</v>
      </c>
      <c r="D51" s="153" t="s">
        <v>2190</v>
      </c>
      <c r="E51" s="153" t="s">
        <v>2086</v>
      </c>
      <c r="F51" s="6"/>
      <c r="G51" s="6"/>
      <c r="H51" s="128">
        <f t="shared" si="1"/>
        <v>0</v>
      </c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</row>
    <row r="52" spans="1:39" hidden="1" x14ac:dyDescent="0.25">
      <c r="A52" s="127">
        <v>51</v>
      </c>
      <c r="B52" s="152" t="s">
        <v>1065</v>
      </c>
      <c r="C52" s="153" t="s">
        <v>2191</v>
      </c>
      <c r="D52" s="153" t="s">
        <v>2192</v>
      </c>
      <c r="E52" s="153" t="s">
        <v>2086</v>
      </c>
      <c r="F52" s="6"/>
      <c r="G52" s="6"/>
      <c r="H52" s="128">
        <f t="shared" si="1"/>
        <v>0</v>
      </c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</row>
    <row r="53" spans="1:39" hidden="1" x14ac:dyDescent="0.25">
      <c r="A53" s="127">
        <v>52</v>
      </c>
      <c r="B53" s="152" t="s">
        <v>250</v>
      </c>
      <c r="C53" s="153" t="s">
        <v>2193</v>
      </c>
      <c r="D53" s="153" t="s">
        <v>2194</v>
      </c>
      <c r="E53" s="153" t="s">
        <v>4948</v>
      </c>
      <c r="F53" s="6"/>
      <c r="G53" s="6"/>
      <c r="H53" s="128">
        <f t="shared" si="1"/>
        <v>0</v>
      </c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</row>
    <row r="54" spans="1:39" hidden="1" x14ac:dyDescent="0.25">
      <c r="A54" s="127">
        <v>53</v>
      </c>
      <c r="B54" s="152" t="s">
        <v>2195</v>
      </c>
      <c r="C54" s="153" t="s">
        <v>2196</v>
      </c>
      <c r="D54" s="153" t="s">
        <v>2197</v>
      </c>
      <c r="E54" s="153" t="s">
        <v>4948</v>
      </c>
      <c r="F54" s="6"/>
      <c r="G54" s="6"/>
      <c r="H54" s="128">
        <f t="shared" si="1"/>
        <v>0</v>
      </c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</row>
    <row r="55" spans="1:39" hidden="1" x14ac:dyDescent="0.25">
      <c r="A55" s="127">
        <v>54</v>
      </c>
      <c r="B55" s="152" t="s">
        <v>1746</v>
      </c>
      <c r="C55" s="153" t="s">
        <v>2198</v>
      </c>
      <c r="D55" s="153" t="s">
        <v>2199</v>
      </c>
      <c r="E55" s="153" t="s">
        <v>4948</v>
      </c>
      <c r="F55" s="6"/>
      <c r="G55" s="6"/>
      <c r="H55" s="128">
        <f t="shared" si="1"/>
        <v>0</v>
      </c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</row>
    <row r="56" spans="1:39" hidden="1" x14ac:dyDescent="0.25">
      <c r="A56" s="127">
        <v>55</v>
      </c>
      <c r="B56" s="152" t="s">
        <v>721</v>
      </c>
      <c r="C56" s="153" t="s">
        <v>2200</v>
      </c>
      <c r="D56" s="153" t="s">
        <v>2201</v>
      </c>
      <c r="E56" s="153" t="s">
        <v>64</v>
      </c>
      <c r="F56" s="6"/>
      <c r="G56" s="6"/>
      <c r="H56" s="128">
        <f t="shared" si="1"/>
        <v>0</v>
      </c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</row>
    <row r="57" spans="1:39" hidden="1" x14ac:dyDescent="0.25">
      <c r="A57" s="127">
        <v>56</v>
      </c>
      <c r="B57" s="152" t="s">
        <v>704</v>
      </c>
      <c r="C57" s="153" t="s">
        <v>2202</v>
      </c>
      <c r="D57" s="153" t="s">
        <v>2203</v>
      </c>
      <c r="E57" s="153" t="s">
        <v>2111</v>
      </c>
      <c r="F57" s="6"/>
      <c r="G57" s="6"/>
      <c r="H57" s="128">
        <f t="shared" si="1"/>
        <v>0</v>
      </c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</row>
    <row r="58" spans="1:39" hidden="1" x14ac:dyDescent="0.25">
      <c r="A58" s="127">
        <v>57</v>
      </c>
      <c r="B58" s="152" t="s">
        <v>841</v>
      </c>
      <c r="C58" s="153" t="s">
        <v>2204</v>
      </c>
      <c r="D58" s="153" t="s">
        <v>2205</v>
      </c>
      <c r="E58" s="153" t="s">
        <v>4948</v>
      </c>
      <c r="F58" s="6"/>
      <c r="G58" s="6"/>
      <c r="H58" s="128">
        <f t="shared" si="1"/>
        <v>0</v>
      </c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  <c r="AA58" s="129"/>
      <c r="AB58" s="129"/>
      <c r="AC58" s="129"/>
      <c r="AD58" s="129"/>
      <c r="AE58" s="129"/>
      <c r="AF58" s="129"/>
      <c r="AG58" s="129"/>
      <c r="AH58" s="129"/>
      <c r="AI58" s="129"/>
      <c r="AJ58" s="129"/>
      <c r="AK58" s="129"/>
      <c r="AL58" s="129"/>
      <c r="AM58" s="129"/>
    </row>
    <row r="59" spans="1:39" hidden="1" x14ac:dyDescent="0.25">
      <c r="A59" s="127">
        <v>58</v>
      </c>
      <c r="B59" s="152" t="s">
        <v>2206</v>
      </c>
      <c r="C59" s="153" t="s">
        <v>2207</v>
      </c>
      <c r="D59" s="153" t="s">
        <v>2208</v>
      </c>
      <c r="E59" s="153" t="s">
        <v>2086</v>
      </c>
      <c r="F59" s="6"/>
      <c r="G59" s="6"/>
      <c r="H59" s="128">
        <f t="shared" si="1"/>
        <v>0</v>
      </c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  <c r="AA59" s="129"/>
      <c r="AB59" s="129"/>
      <c r="AC59" s="129"/>
      <c r="AD59" s="129"/>
      <c r="AE59" s="129"/>
      <c r="AF59" s="129"/>
      <c r="AG59" s="129"/>
      <c r="AH59" s="129"/>
      <c r="AI59" s="129"/>
      <c r="AJ59" s="129"/>
      <c r="AK59" s="129"/>
      <c r="AL59" s="129"/>
      <c r="AM59" s="129"/>
    </row>
    <row r="60" spans="1:39" hidden="1" x14ac:dyDescent="0.25">
      <c r="A60" s="127">
        <v>59</v>
      </c>
      <c r="B60" s="152" t="s">
        <v>1900</v>
      </c>
      <c r="C60" s="153" t="s">
        <v>2209</v>
      </c>
      <c r="D60" s="153" t="s">
        <v>2210</v>
      </c>
      <c r="E60" s="153" t="s">
        <v>4948</v>
      </c>
      <c r="F60" s="6"/>
      <c r="G60" s="6"/>
      <c r="H60" s="128">
        <f t="shared" si="1"/>
        <v>0</v>
      </c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  <c r="AA60" s="129"/>
      <c r="AB60" s="129"/>
      <c r="AC60" s="129"/>
      <c r="AD60" s="129"/>
      <c r="AE60" s="129"/>
      <c r="AF60" s="129"/>
      <c r="AG60" s="129"/>
      <c r="AH60" s="129"/>
      <c r="AI60" s="129"/>
      <c r="AJ60" s="129"/>
      <c r="AK60" s="129"/>
      <c r="AL60" s="129"/>
      <c r="AM60" s="129"/>
    </row>
    <row r="61" spans="1:39" hidden="1" x14ac:dyDescent="0.25">
      <c r="A61" s="127">
        <v>60</v>
      </c>
      <c r="B61" s="152" t="s">
        <v>307</v>
      </c>
      <c r="C61" s="153" t="s">
        <v>2211</v>
      </c>
      <c r="D61" s="153" t="s">
        <v>2212</v>
      </c>
      <c r="E61" s="153" t="s">
        <v>4948</v>
      </c>
      <c r="F61" s="6"/>
      <c r="G61" s="6"/>
      <c r="H61" s="128">
        <f t="shared" si="1"/>
        <v>0</v>
      </c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  <c r="AL61" s="129"/>
      <c r="AM61" s="129"/>
    </row>
    <row r="62" spans="1:39" hidden="1" x14ac:dyDescent="0.25">
      <c r="A62" s="127">
        <v>61</v>
      </c>
      <c r="B62" s="152" t="s">
        <v>881</v>
      </c>
      <c r="C62" s="153" t="s">
        <v>2213</v>
      </c>
      <c r="D62" s="153" t="s">
        <v>2214</v>
      </c>
      <c r="E62" s="153" t="s">
        <v>2086</v>
      </c>
      <c r="F62" s="6"/>
      <c r="G62" s="6"/>
      <c r="H62" s="128">
        <f t="shared" si="1"/>
        <v>0</v>
      </c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29"/>
      <c r="AI62" s="129"/>
      <c r="AJ62" s="129"/>
      <c r="AK62" s="129"/>
      <c r="AL62" s="129"/>
      <c r="AM62" s="129"/>
    </row>
    <row r="63" spans="1:39" hidden="1" x14ac:dyDescent="0.25">
      <c r="A63" s="127">
        <v>62</v>
      </c>
      <c r="B63" s="152" t="s">
        <v>2215</v>
      </c>
      <c r="C63" s="153" t="s">
        <v>2216</v>
      </c>
      <c r="D63" s="153" t="s">
        <v>2217</v>
      </c>
      <c r="E63" s="153" t="s">
        <v>4948</v>
      </c>
      <c r="F63" s="6"/>
      <c r="G63" s="6"/>
      <c r="H63" s="128">
        <f t="shared" si="1"/>
        <v>0</v>
      </c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29"/>
      <c r="AI63" s="129"/>
      <c r="AJ63" s="129"/>
      <c r="AK63" s="129"/>
      <c r="AL63" s="129"/>
      <c r="AM63" s="129"/>
    </row>
    <row r="64" spans="1:39" hidden="1" x14ac:dyDescent="0.25">
      <c r="A64" s="127">
        <v>63</v>
      </c>
      <c r="B64" s="152" t="s">
        <v>2218</v>
      </c>
      <c r="C64" s="153" t="s">
        <v>2219</v>
      </c>
      <c r="D64" s="153" t="s">
        <v>2220</v>
      </c>
      <c r="E64" s="153" t="s">
        <v>4948</v>
      </c>
      <c r="F64" s="6"/>
      <c r="G64" s="6"/>
      <c r="H64" s="128">
        <f t="shared" si="1"/>
        <v>0</v>
      </c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29"/>
      <c r="AI64" s="129"/>
      <c r="AJ64" s="129"/>
      <c r="AK64" s="129"/>
      <c r="AL64" s="129"/>
      <c r="AM64" s="129"/>
    </row>
    <row r="65" spans="1:39" hidden="1" x14ac:dyDescent="0.25">
      <c r="A65" s="127">
        <v>64</v>
      </c>
      <c r="B65" s="152" t="s">
        <v>1073</v>
      </c>
      <c r="C65" s="153" t="s">
        <v>2221</v>
      </c>
      <c r="D65" s="153" t="s">
        <v>2222</v>
      </c>
      <c r="E65" s="153" t="s">
        <v>4948</v>
      </c>
      <c r="F65" s="6"/>
      <c r="G65" s="6"/>
      <c r="H65" s="128">
        <f t="shared" si="1"/>
        <v>0</v>
      </c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  <c r="AA65" s="129"/>
      <c r="AB65" s="129"/>
      <c r="AC65" s="129"/>
      <c r="AD65" s="129"/>
      <c r="AE65" s="129"/>
      <c r="AF65" s="129"/>
      <c r="AG65" s="129"/>
      <c r="AH65" s="129"/>
      <c r="AI65" s="129"/>
      <c r="AJ65" s="129"/>
      <c r="AK65" s="129"/>
      <c r="AL65" s="129"/>
      <c r="AM65" s="129"/>
    </row>
    <row r="66" spans="1:39" hidden="1" x14ac:dyDescent="0.25">
      <c r="A66" s="127">
        <v>65</v>
      </c>
      <c r="B66" s="152" t="s">
        <v>950</v>
      </c>
      <c r="C66" s="153" t="s">
        <v>2223</v>
      </c>
      <c r="D66" s="153" t="s">
        <v>2224</v>
      </c>
      <c r="E66" s="153" t="s">
        <v>2086</v>
      </c>
      <c r="F66" s="6"/>
      <c r="G66" s="6"/>
      <c r="H66" s="128">
        <f t="shared" ref="H66:H129" si="2">SUM(I66:AM66)</f>
        <v>0</v>
      </c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  <c r="AD66" s="129"/>
      <c r="AE66" s="129"/>
      <c r="AF66" s="129"/>
      <c r="AG66" s="129"/>
      <c r="AH66" s="129"/>
      <c r="AI66" s="129"/>
      <c r="AJ66" s="129"/>
      <c r="AK66" s="129"/>
      <c r="AL66" s="129"/>
      <c r="AM66" s="129"/>
    </row>
    <row r="67" spans="1:39" hidden="1" x14ac:dyDescent="0.25">
      <c r="A67" s="127">
        <v>66</v>
      </c>
      <c r="B67" s="152" t="s">
        <v>2225</v>
      </c>
      <c r="C67" s="153" t="s">
        <v>2226</v>
      </c>
      <c r="D67" s="153" t="s">
        <v>2227</v>
      </c>
      <c r="E67" s="153" t="s">
        <v>4948</v>
      </c>
      <c r="F67" s="6"/>
      <c r="G67" s="6"/>
      <c r="H67" s="128">
        <f t="shared" si="2"/>
        <v>0</v>
      </c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  <c r="AA67" s="129"/>
      <c r="AB67" s="129"/>
      <c r="AC67" s="129"/>
      <c r="AD67" s="129"/>
      <c r="AE67" s="129"/>
      <c r="AF67" s="129"/>
      <c r="AG67" s="129"/>
      <c r="AH67" s="129"/>
      <c r="AI67" s="129"/>
      <c r="AJ67" s="129"/>
      <c r="AK67" s="129"/>
      <c r="AL67" s="129"/>
      <c r="AM67" s="129"/>
    </row>
    <row r="68" spans="1:39" hidden="1" x14ac:dyDescent="0.25">
      <c r="A68" s="127">
        <v>67</v>
      </c>
      <c r="B68" s="152" t="s">
        <v>667</v>
      </c>
      <c r="C68" s="153" t="s">
        <v>2228</v>
      </c>
      <c r="D68" s="153" t="s">
        <v>2229</v>
      </c>
      <c r="E68" s="153" t="s">
        <v>4948</v>
      </c>
      <c r="F68" s="6"/>
      <c r="G68" s="6"/>
      <c r="H68" s="128">
        <f t="shared" si="2"/>
        <v>0</v>
      </c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  <c r="AA68" s="129"/>
      <c r="AB68" s="129"/>
      <c r="AC68" s="129"/>
      <c r="AD68" s="129"/>
      <c r="AE68" s="129"/>
      <c r="AF68" s="129"/>
      <c r="AG68" s="129"/>
      <c r="AH68" s="129"/>
      <c r="AI68" s="129"/>
      <c r="AJ68" s="129"/>
      <c r="AK68" s="129"/>
      <c r="AL68" s="129"/>
      <c r="AM68" s="129"/>
    </row>
    <row r="69" spans="1:39" hidden="1" x14ac:dyDescent="0.25">
      <c r="A69" s="127">
        <v>68</v>
      </c>
      <c r="B69" s="152" t="s">
        <v>680</v>
      </c>
      <c r="C69" s="153" t="s">
        <v>2230</v>
      </c>
      <c r="D69" s="153" t="s">
        <v>2231</v>
      </c>
      <c r="E69" s="153" t="s">
        <v>4948</v>
      </c>
      <c r="F69" s="6"/>
      <c r="G69" s="6"/>
      <c r="H69" s="128">
        <f t="shared" si="2"/>
        <v>0</v>
      </c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  <c r="AA69" s="129"/>
      <c r="AB69" s="129"/>
      <c r="AC69" s="129"/>
      <c r="AD69" s="129"/>
      <c r="AE69" s="129"/>
      <c r="AF69" s="129"/>
      <c r="AG69" s="129"/>
      <c r="AH69" s="129"/>
      <c r="AI69" s="129"/>
      <c r="AJ69" s="129"/>
      <c r="AK69" s="129"/>
      <c r="AL69" s="129"/>
      <c r="AM69" s="129"/>
    </row>
    <row r="70" spans="1:39" hidden="1" x14ac:dyDescent="0.25">
      <c r="A70" s="127">
        <v>69</v>
      </c>
      <c r="B70" s="152" t="s">
        <v>2232</v>
      </c>
      <c r="C70" s="153" t="s">
        <v>2233</v>
      </c>
      <c r="D70" s="153" t="s">
        <v>2234</v>
      </c>
      <c r="E70" s="153" t="s">
        <v>4948</v>
      </c>
      <c r="F70" s="6"/>
      <c r="G70" s="6"/>
      <c r="H70" s="128">
        <f t="shared" si="2"/>
        <v>0</v>
      </c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  <c r="AA70" s="129"/>
      <c r="AB70" s="129"/>
      <c r="AC70" s="129"/>
      <c r="AD70" s="129"/>
      <c r="AE70" s="129"/>
      <c r="AF70" s="129"/>
      <c r="AG70" s="129"/>
      <c r="AH70" s="129"/>
      <c r="AI70" s="129"/>
      <c r="AJ70" s="129"/>
      <c r="AK70" s="129"/>
      <c r="AL70" s="129"/>
      <c r="AM70" s="129"/>
    </row>
    <row r="71" spans="1:39" hidden="1" x14ac:dyDescent="0.25">
      <c r="A71" s="127">
        <v>70</v>
      </c>
      <c r="B71" s="152" t="s">
        <v>2235</v>
      </c>
      <c r="C71" s="153" t="s">
        <v>2236</v>
      </c>
      <c r="D71" s="153" t="s">
        <v>2237</v>
      </c>
      <c r="E71" s="153" t="s">
        <v>4948</v>
      </c>
      <c r="F71" s="6"/>
      <c r="G71" s="6"/>
      <c r="H71" s="128">
        <f t="shared" si="2"/>
        <v>0</v>
      </c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  <c r="AA71" s="129"/>
      <c r="AB71" s="129"/>
      <c r="AC71" s="129"/>
      <c r="AD71" s="129"/>
      <c r="AE71" s="129"/>
      <c r="AF71" s="129"/>
      <c r="AG71" s="129"/>
      <c r="AH71" s="129"/>
      <c r="AI71" s="129"/>
      <c r="AJ71" s="129"/>
      <c r="AK71" s="129"/>
      <c r="AL71" s="129"/>
      <c r="AM71" s="129"/>
    </row>
    <row r="72" spans="1:39" hidden="1" x14ac:dyDescent="0.25">
      <c r="A72" s="127">
        <v>71</v>
      </c>
      <c r="B72" s="152" t="s">
        <v>2238</v>
      </c>
      <c r="C72" s="153" t="s">
        <v>2239</v>
      </c>
      <c r="D72" s="153" t="s">
        <v>2240</v>
      </c>
      <c r="E72" s="153" t="s">
        <v>2086</v>
      </c>
      <c r="F72" s="6"/>
      <c r="G72" s="6"/>
      <c r="H72" s="128">
        <f t="shared" si="2"/>
        <v>0</v>
      </c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  <c r="AA72" s="129"/>
      <c r="AB72" s="129"/>
      <c r="AC72" s="129"/>
      <c r="AD72" s="129"/>
      <c r="AE72" s="129"/>
      <c r="AF72" s="129"/>
      <c r="AG72" s="129"/>
      <c r="AH72" s="129"/>
      <c r="AI72" s="129"/>
      <c r="AJ72" s="129"/>
      <c r="AK72" s="129"/>
      <c r="AL72" s="129"/>
      <c r="AM72" s="129"/>
    </row>
    <row r="73" spans="1:39" hidden="1" x14ac:dyDescent="0.25">
      <c r="A73" s="127">
        <v>72</v>
      </c>
      <c r="B73" s="152" t="s">
        <v>2241</v>
      </c>
      <c r="C73" s="153" t="s">
        <v>2242</v>
      </c>
      <c r="D73" s="153" t="s">
        <v>2243</v>
      </c>
      <c r="E73" s="153" t="s">
        <v>4948</v>
      </c>
      <c r="F73" s="6"/>
      <c r="G73" s="6"/>
      <c r="H73" s="128">
        <f t="shared" si="2"/>
        <v>0</v>
      </c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  <c r="AC73" s="129"/>
      <c r="AD73" s="129"/>
      <c r="AE73" s="129"/>
      <c r="AF73" s="129"/>
      <c r="AG73" s="129"/>
      <c r="AH73" s="129"/>
      <c r="AI73" s="129"/>
      <c r="AJ73" s="129"/>
      <c r="AK73" s="129"/>
      <c r="AL73" s="129"/>
      <c r="AM73" s="129"/>
    </row>
    <row r="74" spans="1:39" hidden="1" x14ac:dyDescent="0.25">
      <c r="A74" s="127">
        <v>73</v>
      </c>
      <c r="B74" s="152" t="s">
        <v>290</v>
      </c>
      <c r="C74" s="153" t="s">
        <v>2244</v>
      </c>
      <c r="D74" s="153" t="s">
        <v>2245</v>
      </c>
      <c r="E74" s="153" t="s">
        <v>4948</v>
      </c>
      <c r="F74" s="6"/>
      <c r="G74" s="6"/>
      <c r="H74" s="128">
        <f t="shared" si="2"/>
        <v>0</v>
      </c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  <c r="AA74" s="129"/>
      <c r="AB74" s="129"/>
      <c r="AC74" s="129"/>
      <c r="AD74" s="129"/>
      <c r="AE74" s="129"/>
      <c r="AF74" s="129"/>
      <c r="AG74" s="129"/>
      <c r="AH74" s="129"/>
      <c r="AI74" s="129"/>
      <c r="AJ74" s="129"/>
      <c r="AK74" s="129"/>
      <c r="AL74" s="129"/>
      <c r="AM74" s="129"/>
    </row>
    <row r="75" spans="1:39" hidden="1" x14ac:dyDescent="0.25">
      <c r="A75" s="127">
        <v>74</v>
      </c>
      <c r="B75" s="152" t="s">
        <v>2246</v>
      </c>
      <c r="C75" s="153" t="s">
        <v>2247</v>
      </c>
      <c r="D75" s="153" t="s">
        <v>2248</v>
      </c>
      <c r="E75" s="153" t="s">
        <v>4948</v>
      </c>
      <c r="F75" s="6"/>
      <c r="G75" s="6"/>
      <c r="H75" s="128">
        <f t="shared" si="2"/>
        <v>0</v>
      </c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  <c r="AD75" s="129"/>
      <c r="AE75" s="129"/>
      <c r="AF75" s="129"/>
      <c r="AG75" s="129"/>
      <c r="AH75" s="129"/>
      <c r="AI75" s="129"/>
      <c r="AJ75" s="129"/>
      <c r="AK75" s="129"/>
      <c r="AL75" s="129"/>
      <c r="AM75" s="129"/>
    </row>
    <row r="76" spans="1:39" hidden="1" x14ac:dyDescent="0.25">
      <c r="A76" s="127">
        <v>75</v>
      </c>
      <c r="B76" s="152" t="s">
        <v>1011</v>
      </c>
      <c r="C76" s="153" t="s">
        <v>2249</v>
      </c>
      <c r="D76" s="153" t="s">
        <v>2250</v>
      </c>
      <c r="E76" s="153" t="s">
        <v>2086</v>
      </c>
      <c r="F76" s="6"/>
      <c r="G76" s="6"/>
      <c r="H76" s="128">
        <f t="shared" si="2"/>
        <v>0</v>
      </c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  <c r="AA76" s="129"/>
      <c r="AB76" s="129"/>
      <c r="AC76" s="129"/>
      <c r="AD76" s="129"/>
      <c r="AE76" s="129"/>
      <c r="AF76" s="129"/>
      <c r="AG76" s="129"/>
      <c r="AH76" s="129"/>
      <c r="AI76" s="129"/>
      <c r="AJ76" s="129"/>
      <c r="AK76" s="129"/>
      <c r="AL76" s="129"/>
      <c r="AM76" s="129"/>
    </row>
    <row r="77" spans="1:39" hidden="1" x14ac:dyDescent="0.25">
      <c r="A77" s="127">
        <v>76</v>
      </c>
      <c r="B77" s="152" t="s">
        <v>285</v>
      </c>
      <c r="C77" s="153" t="s">
        <v>2251</v>
      </c>
      <c r="D77" s="153" t="s">
        <v>2252</v>
      </c>
      <c r="E77" s="153" t="s">
        <v>4948</v>
      </c>
      <c r="F77" s="6"/>
      <c r="G77" s="6"/>
      <c r="H77" s="128">
        <f t="shared" si="2"/>
        <v>0</v>
      </c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  <c r="AA77" s="129"/>
      <c r="AB77" s="129"/>
      <c r="AC77" s="129"/>
      <c r="AD77" s="129"/>
      <c r="AE77" s="129"/>
      <c r="AF77" s="129"/>
      <c r="AG77" s="129"/>
      <c r="AH77" s="129"/>
      <c r="AI77" s="129"/>
      <c r="AJ77" s="129"/>
      <c r="AK77" s="129"/>
      <c r="AL77" s="129"/>
      <c r="AM77" s="129"/>
    </row>
    <row r="78" spans="1:39" hidden="1" x14ac:dyDescent="0.25">
      <c r="A78" s="127">
        <v>77</v>
      </c>
      <c r="B78" s="152" t="s">
        <v>2253</v>
      </c>
      <c r="C78" s="153" t="s">
        <v>2254</v>
      </c>
      <c r="D78" s="153" t="s">
        <v>2255</v>
      </c>
      <c r="E78" s="153" t="s">
        <v>4948</v>
      </c>
      <c r="F78" s="6"/>
      <c r="G78" s="6"/>
      <c r="H78" s="128">
        <f t="shared" si="2"/>
        <v>0</v>
      </c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  <c r="AA78" s="129"/>
      <c r="AB78" s="129"/>
      <c r="AC78" s="129"/>
      <c r="AD78" s="129"/>
      <c r="AE78" s="129"/>
      <c r="AF78" s="129"/>
      <c r="AG78" s="129"/>
      <c r="AH78" s="129"/>
      <c r="AI78" s="129"/>
      <c r="AJ78" s="129"/>
      <c r="AK78" s="129"/>
      <c r="AL78" s="129"/>
      <c r="AM78" s="129"/>
    </row>
    <row r="79" spans="1:39" hidden="1" x14ac:dyDescent="0.25">
      <c r="A79" s="127">
        <v>78</v>
      </c>
      <c r="B79" s="152" t="s">
        <v>2256</v>
      </c>
      <c r="C79" s="153" t="s">
        <v>2257</v>
      </c>
      <c r="D79" s="153" t="s">
        <v>2258</v>
      </c>
      <c r="E79" s="153" t="s">
        <v>4948</v>
      </c>
      <c r="F79" s="6"/>
      <c r="G79" s="6"/>
      <c r="H79" s="128">
        <f t="shared" si="2"/>
        <v>0</v>
      </c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  <c r="AA79" s="129"/>
      <c r="AB79" s="129"/>
      <c r="AC79" s="129"/>
      <c r="AD79" s="129"/>
      <c r="AE79" s="129"/>
      <c r="AF79" s="129"/>
      <c r="AG79" s="129"/>
      <c r="AH79" s="129"/>
      <c r="AI79" s="129"/>
      <c r="AJ79" s="129"/>
      <c r="AK79" s="129"/>
      <c r="AL79" s="129"/>
      <c r="AM79" s="129"/>
    </row>
    <row r="80" spans="1:39" hidden="1" x14ac:dyDescent="0.25">
      <c r="A80" s="127">
        <v>79</v>
      </c>
      <c r="B80" s="152" t="s">
        <v>2259</v>
      </c>
      <c r="C80" s="153" t="s">
        <v>2260</v>
      </c>
      <c r="D80" s="153" t="s">
        <v>2261</v>
      </c>
      <c r="E80" s="153" t="s">
        <v>4948</v>
      </c>
      <c r="F80" s="6"/>
      <c r="G80" s="6"/>
      <c r="H80" s="128">
        <f t="shared" si="2"/>
        <v>0</v>
      </c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  <c r="AA80" s="129"/>
      <c r="AB80" s="129"/>
      <c r="AC80" s="129"/>
      <c r="AD80" s="129"/>
      <c r="AE80" s="129"/>
      <c r="AF80" s="129"/>
      <c r="AG80" s="129"/>
      <c r="AH80" s="129"/>
      <c r="AI80" s="129"/>
      <c r="AJ80" s="129"/>
      <c r="AK80" s="129"/>
      <c r="AL80" s="129"/>
      <c r="AM80" s="129"/>
    </row>
    <row r="81" spans="1:39" hidden="1" x14ac:dyDescent="0.25">
      <c r="A81" s="127">
        <v>80</v>
      </c>
      <c r="B81" s="152" t="s">
        <v>2262</v>
      </c>
      <c r="C81" s="153" t="s">
        <v>2263</v>
      </c>
      <c r="D81" s="153" t="s">
        <v>2264</v>
      </c>
      <c r="E81" s="153" t="s">
        <v>2086</v>
      </c>
      <c r="F81" s="6"/>
      <c r="G81" s="6"/>
      <c r="H81" s="128">
        <f t="shared" si="2"/>
        <v>0</v>
      </c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  <c r="AA81" s="129"/>
      <c r="AB81" s="129"/>
      <c r="AC81" s="129"/>
      <c r="AD81" s="129"/>
      <c r="AE81" s="129"/>
      <c r="AF81" s="129"/>
      <c r="AG81" s="129"/>
      <c r="AH81" s="129"/>
      <c r="AI81" s="129"/>
      <c r="AJ81" s="129"/>
      <c r="AK81" s="129"/>
      <c r="AL81" s="129"/>
      <c r="AM81" s="129"/>
    </row>
    <row r="82" spans="1:39" hidden="1" x14ac:dyDescent="0.25">
      <c r="A82" s="127">
        <v>81</v>
      </c>
      <c r="B82" s="152" t="s">
        <v>2265</v>
      </c>
      <c r="C82" s="153" t="s">
        <v>2266</v>
      </c>
      <c r="D82" s="153" t="s">
        <v>2267</v>
      </c>
      <c r="E82" s="153" t="s">
        <v>4948</v>
      </c>
      <c r="F82" s="6"/>
      <c r="G82" s="6"/>
      <c r="H82" s="128">
        <f t="shared" si="2"/>
        <v>0</v>
      </c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</row>
    <row r="83" spans="1:39" hidden="1" x14ac:dyDescent="0.25">
      <c r="A83" s="127">
        <v>82</v>
      </c>
      <c r="B83" s="152" t="s">
        <v>2268</v>
      </c>
      <c r="C83" s="153" t="s">
        <v>2269</v>
      </c>
      <c r="D83" s="153" t="s">
        <v>2270</v>
      </c>
      <c r="E83" s="153" t="s">
        <v>4948</v>
      </c>
      <c r="F83" s="6"/>
      <c r="G83" s="6"/>
      <c r="H83" s="128">
        <f t="shared" si="2"/>
        <v>0</v>
      </c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</row>
    <row r="84" spans="1:39" hidden="1" x14ac:dyDescent="0.25">
      <c r="A84" s="127">
        <v>83</v>
      </c>
      <c r="B84" s="152" t="s">
        <v>2271</v>
      </c>
      <c r="C84" s="153" t="s">
        <v>2272</v>
      </c>
      <c r="D84" s="153" t="s">
        <v>2273</v>
      </c>
      <c r="E84" s="153" t="s">
        <v>4948</v>
      </c>
      <c r="F84" s="6"/>
      <c r="G84" s="6"/>
      <c r="H84" s="128">
        <f t="shared" si="2"/>
        <v>0</v>
      </c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29"/>
      <c r="AD84" s="129"/>
      <c r="AE84" s="129"/>
      <c r="AF84" s="129"/>
      <c r="AG84" s="129"/>
      <c r="AH84" s="129"/>
      <c r="AI84" s="129"/>
      <c r="AJ84" s="129"/>
      <c r="AK84" s="129"/>
      <c r="AL84" s="129"/>
      <c r="AM84" s="129"/>
    </row>
    <row r="85" spans="1:39" hidden="1" x14ac:dyDescent="0.25">
      <c r="A85" s="127">
        <v>84</v>
      </c>
      <c r="B85" s="152" t="s">
        <v>2274</v>
      </c>
      <c r="C85" s="153" t="s">
        <v>2275</v>
      </c>
      <c r="D85" s="153" t="s">
        <v>2276</v>
      </c>
      <c r="E85" s="153" t="s">
        <v>4948</v>
      </c>
      <c r="F85" s="6"/>
      <c r="G85" s="6"/>
      <c r="H85" s="128">
        <f t="shared" si="2"/>
        <v>0</v>
      </c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29"/>
      <c r="AL85" s="129"/>
      <c r="AM85" s="129"/>
    </row>
    <row r="86" spans="1:39" hidden="1" x14ac:dyDescent="0.25">
      <c r="A86" s="127">
        <v>85</v>
      </c>
      <c r="B86" s="152" t="s">
        <v>2277</v>
      </c>
      <c r="C86" s="153" t="s">
        <v>2278</v>
      </c>
      <c r="D86" s="153" t="s">
        <v>2279</v>
      </c>
      <c r="E86" s="153" t="s">
        <v>4948</v>
      </c>
      <c r="F86" s="6"/>
      <c r="G86" s="6"/>
      <c r="H86" s="128">
        <f t="shared" si="2"/>
        <v>0</v>
      </c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</row>
    <row r="87" spans="1:39" hidden="1" x14ac:dyDescent="0.25">
      <c r="A87" s="127">
        <v>86</v>
      </c>
      <c r="B87" s="152" t="s">
        <v>831</v>
      </c>
      <c r="C87" s="153" t="s">
        <v>2280</v>
      </c>
      <c r="D87" s="153" t="s">
        <v>2281</v>
      </c>
      <c r="E87" s="153" t="s">
        <v>2086</v>
      </c>
      <c r="F87" s="6"/>
      <c r="G87" s="6"/>
      <c r="H87" s="128">
        <f t="shared" si="2"/>
        <v>0</v>
      </c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</row>
    <row r="88" spans="1:39" hidden="1" x14ac:dyDescent="0.25">
      <c r="A88" s="127">
        <v>87</v>
      </c>
      <c r="B88" s="152" t="s">
        <v>2282</v>
      </c>
      <c r="C88" s="153" t="s">
        <v>2283</v>
      </c>
      <c r="D88" s="153" t="s">
        <v>2284</v>
      </c>
      <c r="E88" s="153" t="s">
        <v>2086</v>
      </c>
      <c r="F88" s="6"/>
      <c r="G88" s="6"/>
      <c r="H88" s="128">
        <f t="shared" si="2"/>
        <v>0</v>
      </c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</row>
    <row r="89" spans="1:39" hidden="1" x14ac:dyDescent="0.25">
      <c r="A89" s="127">
        <v>88</v>
      </c>
      <c r="B89" s="152" t="s">
        <v>1154</v>
      </c>
      <c r="C89" s="153" t="s">
        <v>2285</v>
      </c>
      <c r="D89" s="153" t="s">
        <v>2286</v>
      </c>
      <c r="E89" s="153" t="s">
        <v>2086</v>
      </c>
      <c r="F89" s="6"/>
      <c r="G89" s="6"/>
      <c r="H89" s="128">
        <f t="shared" si="2"/>
        <v>0</v>
      </c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</row>
    <row r="90" spans="1:39" hidden="1" x14ac:dyDescent="0.25">
      <c r="A90" s="127">
        <v>89</v>
      </c>
      <c r="B90" s="152" t="s">
        <v>1434</v>
      </c>
      <c r="C90" s="153" t="s">
        <v>2287</v>
      </c>
      <c r="D90" s="153" t="s">
        <v>2288</v>
      </c>
      <c r="E90" s="153" t="s">
        <v>2086</v>
      </c>
      <c r="F90" s="6"/>
      <c r="G90" s="6"/>
      <c r="H90" s="128">
        <f t="shared" si="2"/>
        <v>0</v>
      </c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</row>
    <row r="91" spans="1:39" hidden="1" x14ac:dyDescent="0.25">
      <c r="A91" s="127">
        <v>90</v>
      </c>
      <c r="B91" s="152" t="s">
        <v>2289</v>
      </c>
      <c r="C91" s="153" t="s">
        <v>2290</v>
      </c>
      <c r="D91" s="153" t="s">
        <v>2291</v>
      </c>
      <c r="E91" s="153" t="s">
        <v>4948</v>
      </c>
      <c r="F91" s="6"/>
      <c r="G91" s="6"/>
      <c r="H91" s="128">
        <f t="shared" si="2"/>
        <v>300000</v>
      </c>
      <c r="I91" s="129">
        <v>300000</v>
      </c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</row>
    <row r="92" spans="1:39" hidden="1" x14ac:dyDescent="0.25">
      <c r="A92" s="127">
        <v>91</v>
      </c>
      <c r="B92" s="152" t="s">
        <v>676</v>
      </c>
      <c r="C92" s="153" t="s">
        <v>2292</v>
      </c>
      <c r="D92" s="153" t="s">
        <v>2293</v>
      </c>
      <c r="E92" s="153" t="s">
        <v>4948</v>
      </c>
      <c r="F92" s="6"/>
      <c r="G92" s="6"/>
      <c r="H92" s="128">
        <f t="shared" si="2"/>
        <v>0</v>
      </c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</row>
    <row r="93" spans="1:39" hidden="1" x14ac:dyDescent="0.25">
      <c r="A93" s="127">
        <v>92</v>
      </c>
      <c r="B93" s="152" t="s">
        <v>1163</v>
      </c>
      <c r="C93" s="153" t="s">
        <v>2294</v>
      </c>
      <c r="D93" s="153" t="s">
        <v>2295</v>
      </c>
      <c r="E93" s="153" t="s">
        <v>2086</v>
      </c>
      <c r="F93" s="6"/>
      <c r="G93" s="6"/>
      <c r="H93" s="128">
        <f t="shared" si="2"/>
        <v>0</v>
      </c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</row>
    <row r="94" spans="1:39" hidden="1" x14ac:dyDescent="0.25">
      <c r="A94" s="127">
        <v>93</v>
      </c>
      <c r="B94" s="152" t="s">
        <v>886</v>
      </c>
      <c r="C94" s="153" t="s">
        <v>2296</v>
      </c>
      <c r="D94" s="153" t="s">
        <v>2297</v>
      </c>
      <c r="E94" s="153" t="s">
        <v>4948</v>
      </c>
      <c r="F94" s="6"/>
      <c r="G94" s="6"/>
      <c r="H94" s="128">
        <f t="shared" si="2"/>
        <v>0</v>
      </c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</row>
    <row r="95" spans="1:39" hidden="1" x14ac:dyDescent="0.25">
      <c r="A95" s="127">
        <v>94</v>
      </c>
      <c r="B95" s="152" t="s">
        <v>333</v>
      </c>
      <c r="C95" s="153" t="s">
        <v>2298</v>
      </c>
      <c r="D95" s="153" t="s">
        <v>2299</v>
      </c>
      <c r="E95" s="153" t="s">
        <v>2086</v>
      </c>
      <c r="F95" s="6"/>
      <c r="G95" s="6"/>
      <c r="H95" s="128">
        <f t="shared" si="2"/>
        <v>0</v>
      </c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</row>
    <row r="96" spans="1:39" hidden="1" x14ac:dyDescent="0.25">
      <c r="A96" s="127">
        <v>95</v>
      </c>
      <c r="B96" s="152" t="s">
        <v>2300</v>
      </c>
      <c r="C96" s="153" t="s">
        <v>2301</v>
      </c>
      <c r="D96" s="153" t="s">
        <v>2302</v>
      </c>
      <c r="E96" s="153" t="s">
        <v>2086</v>
      </c>
      <c r="F96" s="6"/>
      <c r="G96" s="6"/>
      <c r="H96" s="128">
        <f t="shared" si="2"/>
        <v>0</v>
      </c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  <c r="AA96" s="129"/>
      <c r="AB96" s="129"/>
      <c r="AC96" s="129"/>
      <c r="AD96" s="129"/>
      <c r="AE96" s="129"/>
      <c r="AF96" s="129"/>
      <c r="AG96" s="129"/>
      <c r="AH96" s="129"/>
      <c r="AI96" s="129"/>
      <c r="AJ96" s="129"/>
      <c r="AK96" s="129"/>
      <c r="AL96" s="129"/>
      <c r="AM96" s="129"/>
    </row>
    <row r="97" spans="1:39" hidden="1" x14ac:dyDescent="0.25">
      <c r="A97" s="127">
        <v>96</v>
      </c>
      <c r="B97" s="152" t="s">
        <v>1572</v>
      </c>
      <c r="C97" s="153" t="s">
        <v>2303</v>
      </c>
      <c r="D97" s="153" t="s">
        <v>2304</v>
      </c>
      <c r="E97" s="153" t="s">
        <v>2086</v>
      </c>
      <c r="F97" s="6"/>
      <c r="G97" s="6"/>
      <c r="H97" s="128">
        <f t="shared" si="2"/>
        <v>0</v>
      </c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  <c r="AA97" s="129"/>
      <c r="AB97" s="129"/>
      <c r="AC97" s="129"/>
      <c r="AD97" s="129"/>
      <c r="AE97" s="129"/>
      <c r="AF97" s="129"/>
      <c r="AG97" s="129"/>
      <c r="AH97" s="129"/>
      <c r="AI97" s="129"/>
      <c r="AJ97" s="129"/>
      <c r="AK97" s="129"/>
      <c r="AL97" s="129"/>
      <c r="AM97" s="129"/>
    </row>
    <row r="98" spans="1:39" hidden="1" x14ac:dyDescent="0.25">
      <c r="A98" s="127">
        <v>97</v>
      </c>
      <c r="B98" s="152" t="s">
        <v>707</v>
      </c>
      <c r="C98" s="153" t="s">
        <v>2305</v>
      </c>
      <c r="D98" s="153" t="s">
        <v>2306</v>
      </c>
      <c r="E98" s="153" t="s">
        <v>4948</v>
      </c>
      <c r="F98" s="6"/>
      <c r="G98" s="6"/>
      <c r="H98" s="128">
        <f t="shared" si="2"/>
        <v>0</v>
      </c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  <c r="AA98" s="129"/>
      <c r="AB98" s="129"/>
      <c r="AC98" s="129"/>
      <c r="AD98" s="129"/>
      <c r="AE98" s="129"/>
      <c r="AF98" s="129"/>
      <c r="AG98" s="129"/>
      <c r="AH98" s="129"/>
      <c r="AI98" s="129"/>
      <c r="AJ98" s="129"/>
      <c r="AK98" s="129"/>
      <c r="AL98" s="129"/>
      <c r="AM98" s="129"/>
    </row>
    <row r="99" spans="1:39" hidden="1" x14ac:dyDescent="0.25">
      <c r="A99" s="127">
        <v>98</v>
      </c>
      <c r="B99" s="152" t="s">
        <v>279</v>
      </c>
      <c r="C99" s="153" t="s">
        <v>2307</v>
      </c>
      <c r="D99" s="153" t="s">
        <v>2308</v>
      </c>
      <c r="E99" s="153" t="s">
        <v>4948</v>
      </c>
      <c r="F99" s="6"/>
      <c r="G99" s="6"/>
      <c r="H99" s="128">
        <f t="shared" si="2"/>
        <v>0</v>
      </c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  <c r="AA99" s="129"/>
      <c r="AB99" s="129"/>
      <c r="AC99" s="129"/>
      <c r="AD99" s="129"/>
      <c r="AE99" s="129"/>
      <c r="AF99" s="129"/>
      <c r="AG99" s="129"/>
      <c r="AH99" s="129"/>
      <c r="AI99" s="129"/>
      <c r="AJ99" s="129"/>
      <c r="AK99" s="129"/>
      <c r="AL99" s="129"/>
      <c r="AM99" s="129"/>
    </row>
    <row r="100" spans="1:39" hidden="1" x14ac:dyDescent="0.25">
      <c r="A100" s="127">
        <v>99</v>
      </c>
      <c r="B100" s="152" t="s">
        <v>1418</v>
      </c>
      <c r="C100" s="153" t="s">
        <v>2309</v>
      </c>
      <c r="D100" s="153" t="s">
        <v>2310</v>
      </c>
      <c r="E100" s="153" t="s">
        <v>64</v>
      </c>
      <c r="F100" s="6"/>
      <c r="G100" s="6"/>
      <c r="H100" s="128">
        <f t="shared" si="2"/>
        <v>0</v>
      </c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29"/>
      <c r="AH100" s="129"/>
      <c r="AI100" s="129"/>
      <c r="AJ100" s="129"/>
      <c r="AK100" s="129"/>
      <c r="AL100" s="129"/>
      <c r="AM100" s="129"/>
    </row>
    <row r="101" spans="1:39" hidden="1" x14ac:dyDescent="0.25">
      <c r="A101" s="127">
        <v>100</v>
      </c>
      <c r="B101" s="152" t="s">
        <v>2311</v>
      </c>
      <c r="C101" s="153" t="s">
        <v>2312</v>
      </c>
      <c r="D101" s="153" t="s">
        <v>2313</v>
      </c>
      <c r="E101" s="153" t="s">
        <v>4948</v>
      </c>
      <c r="F101" s="6"/>
      <c r="G101" s="6"/>
      <c r="H101" s="128">
        <f t="shared" si="2"/>
        <v>0</v>
      </c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  <c r="AA101" s="129"/>
      <c r="AB101" s="129"/>
      <c r="AC101" s="129"/>
      <c r="AD101" s="129"/>
      <c r="AE101" s="129"/>
      <c r="AF101" s="129"/>
      <c r="AG101" s="129"/>
      <c r="AH101" s="129"/>
      <c r="AI101" s="129"/>
      <c r="AJ101" s="129"/>
      <c r="AK101" s="129"/>
      <c r="AL101" s="129"/>
      <c r="AM101" s="129"/>
    </row>
    <row r="102" spans="1:39" hidden="1" x14ac:dyDescent="0.25">
      <c r="A102" s="127">
        <v>101</v>
      </c>
      <c r="B102" s="152" t="s">
        <v>1376</v>
      </c>
      <c r="C102" s="153" t="s">
        <v>2314</v>
      </c>
      <c r="D102" s="153" t="s">
        <v>2315</v>
      </c>
      <c r="E102" s="153" t="s">
        <v>2086</v>
      </c>
      <c r="F102" s="6"/>
      <c r="G102" s="6"/>
      <c r="H102" s="128">
        <f t="shared" si="2"/>
        <v>0</v>
      </c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  <c r="AA102" s="129"/>
      <c r="AB102" s="129"/>
      <c r="AC102" s="129"/>
      <c r="AD102" s="129"/>
      <c r="AE102" s="129"/>
      <c r="AF102" s="129"/>
      <c r="AG102" s="129"/>
      <c r="AH102" s="129"/>
      <c r="AI102" s="129"/>
      <c r="AJ102" s="129"/>
      <c r="AK102" s="129"/>
      <c r="AL102" s="129"/>
      <c r="AM102" s="129"/>
    </row>
    <row r="103" spans="1:39" hidden="1" x14ac:dyDescent="0.25">
      <c r="A103" s="127">
        <v>102</v>
      </c>
      <c r="B103" s="152" t="s">
        <v>269</v>
      </c>
      <c r="C103" s="153" t="s">
        <v>2316</v>
      </c>
      <c r="D103" s="153" t="s">
        <v>2317</v>
      </c>
      <c r="E103" s="153" t="s">
        <v>4948</v>
      </c>
      <c r="F103" s="6"/>
      <c r="G103" s="6"/>
      <c r="H103" s="128">
        <f t="shared" si="2"/>
        <v>0</v>
      </c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29"/>
      <c r="AH103" s="129"/>
      <c r="AI103" s="129"/>
      <c r="AJ103" s="129"/>
      <c r="AK103" s="129"/>
      <c r="AL103" s="129"/>
      <c r="AM103" s="129"/>
    </row>
    <row r="104" spans="1:39" hidden="1" x14ac:dyDescent="0.25">
      <c r="A104" s="127">
        <v>103</v>
      </c>
      <c r="B104" s="152" t="s">
        <v>275</v>
      </c>
      <c r="C104" s="153" t="s">
        <v>2318</v>
      </c>
      <c r="D104" s="153" t="s">
        <v>2319</v>
      </c>
      <c r="E104" s="153" t="s">
        <v>2086</v>
      </c>
      <c r="F104" s="6"/>
      <c r="G104" s="6"/>
      <c r="H104" s="128">
        <f t="shared" si="2"/>
        <v>0</v>
      </c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  <c r="AA104" s="129"/>
      <c r="AB104" s="129"/>
      <c r="AC104" s="129"/>
      <c r="AD104" s="129"/>
      <c r="AE104" s="129"/>
      <c r="AF104" s="129"/>
      <c r="AG104" s="129"/>
      <c r="AH104" s="129"/>
      <c r="AI104" s="129"/>
      <c r="AJ104" s="129"/>
      <c r="AK104" s="129"/>
      <c r="AL104" s="129"/>
      <c r="AM104" s="129"/>
    </row>
    <row r="105" spans="1:39" hidden="1" x14ac:dyDescent="0.25">
      <c r="A105" s="127">
        <v>104</v>
      </c>
      <c r="B105" s="152" t="s">
        <v>946</v>
      </c>
      <c r="C105" s="153" t="s">
        <v>2320</v>
      </c>
      <c r="D105" s="153" t="s">
        <v>2321</v>
      </c>
      <c r="E105" s="153" t="s">
        <v>4948</v>
      </c>
      <c r="F105" s="6"/>
      <c r="G105" s="6"/>
      <c r="H105" s="128">
        <f t="shared" si="2"/>
        <v>0</v>
      </c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  <c r="AA105" s="129"/>
      <c r="AB105" s="129"/>
      <c r="AC105" s="129"/>
      <c r="AD105" s="129"/>
      <c r="AE105" s="129"/>
      <c r="AF105" s="129"/>
      <c r="AG105" s="129"/>
      <c r="AH105" s="129"/>
      <c r="AI105" s="129"/>
      <c r="AJ105" s="129"/>
      <c r="AK105" s="129"/>
      <c r="AL105" s="129"/>
      <c r="AM105" s="129"/>
    </row>
    <row r="106" spans="1:39" hidden="1" x14ac:dyDescent="0.25">
      <c r="A106" s="127">
        <v>105</v>
      </c>
      <c r="B106" s="152" t="s">
        <v>1476</v>
      </c>
      <c r="C106" s="153" t="s">
        <v>2322</v>
      </c>
      <c r="D106" s="153" t="s">
        <v>2323</v>
      </c>
      <c r="E106" s="153" t="s">
        <v>2086</v>
      </c>
      <c r="F106" s="6"/>
      <c r="G106" s="6"/>
      <c r="H106" s="128">
        <f t="shared" si="2"/>
        <v>0</v>
      </c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29"/>
      <c r="AH106" s="129"/>
      <c r="AI106" s="129"/>
      <c r="AJ106" s="129"/>
      <c r="AK106" s="129"/>
      <c r="AL106" s="129"/>
      <c r="AM106" s="129"/>
    </row>
    <row r="107" spans="1:39" hidden="1" x14ac:dyDescent="0.25">
      <c r="A107" s="127">
        <v>106</v>
      </c>
      <c r="B107" s="152" t="s">
        <v>1983</v>
      </c>
      <c r="C107" s="153" t="s">
        <v>2324</v>
      </c>
      <c r="D107" s="153" t="s">
        <v>2325</v>
      </c>
      <c r="E107" s="153" t="s">
        <v>2086</v>
      </c>
      <c r="F107" s="6"/>
      <c r="G107" s="6"/>
      <c r="H107" s="128">
        <f t="shared" si="2"/>
        <v>0</v>
      </c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29"/>
      <c r="AH107" s="129"/>
      <c r="AI107" s="129"/>
      <c r="AJ107" s="129"/>
      <c r="AK107" s="129"/>
      <c r="AL107" s="129"/>
      <c r="AM107" s="129"/>
    </row>
    <row r="108" spans="1:39" hidden="1" x14ac:dyDescent="0.25">
      <c r="A108" s="127">
        <v>107</v>
      </c>
      <c r="B108" s="152" t="s">
        <v>2326</v>
      </c>
      <c r="C108" s="153" t="s">
        <v>2327</v>
      </c>
      <c r="D108" s="153" t="s">
        <v>2328</v>
      </c>
      <c r="E108" s="153" t="s">
        <v>4948</v>
      </c>
      <c r="F108" s="6"/>
      <c r="G108" s="6"/>
      <c r="H108" s="128">
        <f t="shared" si="2"/>
        <v>0</v>
      </c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  <c r="AA108" s="129"/>
      <c r="AB108" s="129"/>
      <c r="AC108" s="129"/>
      <c r="AD108" s="129"/>
      <c r="AE108" s="129"/>
      <c r="AF108" s="129"/>
      <c r="AG108" s="129"/>
      <c r="AH108" s="129"/>
      <c r="AI108" s="129"/>
      <c r="AJ108" s="129"/>
      <c r="AK108" s="129"/>
      <c r="AL108" s="129"/>
      <c r="AM108" s="129"/>
    </row>
    <row r="109" spans="1:39" hidden="1" x14ac:dyDescent="0.25">
      <c r="A109" s="127">
        <v>108</v>
      </c>
      <c r="B109" s="152" t="s">
        <v>281</v>
      </c>
      <c r="C109" s="153" t="s">
        <v>2329</v>
      </c>
      <c r="D109" s="153" t="s">
        <v>2330</v>
      </c>
      <c r="E109" s="153" t="s">
        <v>4948</v>
      </c>
      <c r="F109" s="6"/>
      <c r="G109" s="6"/>
      <c r="H109" s="128">
        <f t="shared" si="2"/>
        <v>0</v>
      </c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  <c r="AA109" s="129"/>
      <c r="AB109" s="129"/>
      <c r="AC109" s="129"/>
      <c r="AD109" s="129"/>
      <c r="AE109" s="129"/>
      <c r="AF109" s="129"/>
      <c r="AG109" s="129"/>
      <c r="AH109" s="129"/>
      <c r="AI109" s="129"/>
      <c r="AJ109" s="129"/>
      <c r="AK109" s="129"/>
      <c r="AL109" s="129"/>
      <c r="AM109" s="129"/>
    </row>
    <row r="110" spans="1:39" hidden="1" x14ac:dyDescent="0.25">
      <c r="A110" s="127">
        <v>109</v>
      </c>
      <c r="B110" s="152" t="s">
        <v>2331</v>
      </c>
      <c r="C110" s="153" t="s">
        <v>2332</v>
      </c>
      <c r="D110" s="153" t="s">
        <v>2333</v>
      </c>
      <c r="E110" s="153" t="s">
        <v>2086</v>
      </c>
      <c r="F110" s="6"/>
      <c r="G110" s="6"/>
      <c r="H110" s="128">
        <f t="shared" si="2"/>
        <v>0</v>
      </c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29"/>
      <c r="AH110" s="129"/>
      <c r="AI110" s="129"/>
      <c r="AJ110" s="129"/>
      <c r="AK110" s="129"/>
      <c r="AL110" s="129"/>
      <c r="AM110" s="129"/>
    </row>
    <row r="111" spans="1:39" hidden="1" x14ac:dyDescent="0.25">
      <c r="A111" s="127">
        <v>110</v>
      </c>
      <c r="B111" s="152" t="s">
        <v>266</v>
      </c>
      <c r="C111" s="153" t="s">
        <v>2334</v>
      </c>
      <c r="D111" s="153" t="s">
        <v>2335</v>
      </c>
      <c r="E111" s="153" t="s">
        <v>4948</v>
      </c>
      <c r="F111" s="6"/>
      <c r="G111" s="6"/>
      <c r="H111" s="128">
        <f t="shared" si="2"/>
        <v>0</v>
      </c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  <c r="AA111" s="129"/>
      <c r="AB111" s="129"/>
      <c r="AC111" s="129"/>
      <c r="AD111" s="129"/>
      <c r="AE111" s="129"/>
      <c r="AF111" s="129"/>
      <c r="AG111" s="129"/>
      <c r="AH111" s="129"/>
      <c r="AI111" s="129"/>
      <c r="AJ111" s="129"/>
      <c r="AK111" s="129"/>
      <c r="AL111" s="129"/>
      <c r="AM111" s="129"/>
    </row>
    <row r="112" spans="1:39" hidden="1" x14ac:dyDescent="0.25">
      <c r="A112" s="127">
        <v>111</v>
      </c>
      <c r="B112" s="152" t="s">
        <v>1922</v>
      </c>
      <c r="C112" s="153" t="s">
        <v>2336</v>
      </c>
      <c r="D112" s="153" t="s">
        <v>2337</v>
      </c>
      <c r="E112" s="153" t="s">
        <v>4948</v>
      </c>
      <c r="F112" s="6"/>
      <c r="G112" s="6"/>
      <c r="H112" s="128">
        <f t="shared" si="2"/>
        <v>0</v>
      </c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  <c r="AA112" s="129"/>
      <c r="AB112" s="129"/>
      <c r="AC112" s="129"/>
      <c r="AD112" s="129"/>
      <c r="AE112" s="129"/>
      <c r="AF112" s="129"/>
      <c r="AG112" s="129"/>
      <c r="AH112" s="129"/>
      <c r="AI112" s="129"/>
      <c r="AJ112" s="129"/>
      <c r="AK112" s="129"/>
      <c r="AL112" s="129"/>
      <c r="AM112" s="129"/>
    </row>
    <row r="113" spans="1:39" hidden="1" x14ac:dyDescent="0.25">
      <c r="A113" s="127">
        <v>112</v>
      </c>
      <c r="B113" s="152" t="s">
        <v>2338</v>
      </c>
      <c r="C113" s="153" t="s">
        <v>2339</v>
      </c>
      <c r="D113" s="153" t="s">
        <v>2340</v>
      </c>
      <c r="E113" s="153" t="s">
        <v>2086</v>
      </c>
      <c r="F113" s="6"/>
      <c r="G113" s="6"/>
      <c r="H113" s="128">
        <f t="shared" si="2"/>
        <v>0</v>
      </c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  <c r="AA113" s="129"/>
      <c r="AB113" s="129"/>
      <c r="AC113" s="129"/>
      <c r="AD113" s="129"/>
      <c r="AE113" s="129"/>
      <c r="AF113" s="129"/>
      <c r="AG113" s="129"/>
      <c r="AH113" s="129"/>
      <c r="AI113" s="129"/>
      <c r="AJ113" s="129"/>
      <c r="AK113" s="129"/>
      <c r="AL113" s="129"/>
      <c r="AM113" s="129"/>
    </row>
    <row r="114" spans="1:39" hidden="1" x14ac:dyDescent="0.25">
      <c r="A114" s="127">
        <v>113</v>
      </c>
      <c r="B114" s="152" t="s">
        <v>2341</v>
      </c>
      <c r="C114" s="153" t="s">
        <v>2342</v>
      </c>
      <c r="D114" s="153" t="s">
        <v>2343</v>
      </c>
      <c r="E114" s="153" t="s">
        <v>4948</v>
      </c>
      <c r="F114" s="6"/>
      <c r="G114" s="6"/>
      <c r="H114" s="128">
        <f t="shared" si="2"/>
        <v>0</v>
      </c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  <c r="AA114" s="129"/>
      <c r="AB114" s="129"/>
      <c r="AC114" s="129"/>
      <c r="AD114" s="129"/>
      <c r="AE114" s="129"/>
      <c r="AF114" s="129"/>
      <c r="AG114" s="129"/>
      <c r="AH114" s="129"/>
      <c r="AI114" s="129"/>
      <c r="AJ114" s="129"/>
      <c r="AK114" s="129"/>
      <c r="AL114" s="129"/>
      <c r="AM114" s="129"/>
    </row>
    <row r="115" spans="1:39" hidden="1" x14ac:dyDescent="0.25">
      <c r="A115" s="127">
        <v>114</v>
      </c>
      <c r="B115" s="152" t="s">
        <v>2344</v>
      </c>
      <c r="C115" s="153" t="s">
        <v>2345</v>
      </c>
      <c r="D115" s="153" t="s">
        <v>2346</v>
      </c>
      <c r="E115" s="153" t="s">
        <v>4948</v>
      </c>
      <c r="F115" s="6"/>
      <c r="G115" s="6"/>
      <c r="H115" s="128">
        <f t="shared" si="2"/>
        <v>0</v>
      </c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  <c r="AA115" s="129"/>
      <c r="AB115" s="129"/>
      <c r="AC115" s="129"/>
      <c r="AD115" s="129"/>
      <c r="AE115" s="129"/>
      <c r="AF115" s="129"/>
      <c r="AG115" s="129"/>
      <c r="AH115" s="129"/>
      <c r="AI115" s="129"/>
      <c r="AJ115" s="129"/>
      <c r="AK115" s="129"/>
      <c r="AL115" s="129"/>
      <c r="AM115" s="129"/>
    </row>
    <row r="116" spans="1:39" hidden="1" x14ac:dyDescent="0.25">
      <c r="A116" s="127">
        <v>115</v>
      </c>
      <c r="B116" s="152" t="s">
        <v>1124</v>
      </c>
      <c r="C116" s="153" t="s">
        <v>2347</v>
      </c>
      <c r="D116" s="153" t="s">
        <v>2348</v>
      </c>
      <c r="E116" s="153" t="s">
        <v>2086</v>
      </c>
      <c r="F116" s="6"/>
      <c r="G116" s="6"/>
      <c r="H116" s="128">
        <f t="shared" si="2"/>
        <v>0</v>
      </c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  <c r="AA116" s="129"/>
      <c r="AB116" s="129"/>
      <c r="AC116" s="129"/>
      <c r="AD116" s="129"/>
      <c r="AE116" s="129"/>
      <c r="AF116" s="129"/>
      <c r="AG116" s="129"/>
      <c r="AH116" s="129"/>
      <c r="AI116" s="129"/>
      <c r="AJ116" s="129"/>
      <c r="AK116" s="129"/>
      <c r="AL116" s="129"/>
      <c r="AM116" s="129"/>
    </row>
    <row r="117" spans="1:39" hidden="1" x14ac:dyDescent="0.25">
      <c r="A117" s="127">
        <v>116</v>
      </c>
      <c r="B117" s="152" t="s">
        <v>362</v>
      </c>
      <c r="C117" s="153" t="s">
        <v>2349</v>
      </c>
      <c r="D117" s="153" t="s">
        <v>2350</v>
      </c>
      <c r="E117" s="153" t="s">
        <v>4948</v>
      </c>
      <c r="F117" s="6"/>
      <c r="G117" s="6"/>
      <c r="H117" s="128">
        <f t="shared" si="2"/>
        <v>0</v>
      </c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  <c r="AA117" s="129"/>
      <c r="AB117" s="129"/>
      <c r="AC117" s="129"/>
      <c r="AD117" s="129"/>
      <c r="AE117" s="129"/>
      <c r="AF117" s="129"/>
      <c r="AG117" s="129"/>
      <c r="AH117" s="129"/>
      <c r="AI117" s="129"/>
      <c r="AJ117" s="129"/>
      <c r="AK117" s="129"/>
      <c r="AL117" s="129"/>
      <c r="AM117" s="129"/>
    </row>
    <row r="118" spans="1:39" hidden="1" x14ac:dyDescent="0.25">
      <c r="A118" s="127">
        <v>117</v>
      </c>
      <c r="B118" s="152" t="s">
        <v>1928</v>
      </c>
      <c r="C118" s="153" t="s">
        <v>2351</v>
      </c>
      <c r="D118" s="153" t="s">
        <v>2352</v>
      </c>
      <c r="E118" s="153" t="s">
        <v>4948</v>
      </c>
      <c r="F118" s="6"/>
      <c r="G118" s="6"/>
      <c r="H118" s="128">
        <f t="shared" si="2"/>
        <v>0</v>
      </c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29"/>
      <c r="AH118" s="129"/>
      <c r="AI118" s="129"/>
      <c r="AJ118" s="129"/>
      <c r="AK118" s="129"/>
      <c r="AL118" s="129"/>
      <c r="AM118" s="129"/>
    </row>
    <row r="119" spans="1:39" hidden="1" x14ac:dyDescent="0.25">
      <c r="A119" s="127">
        <v>118</v>
      </c>
      <c r="B119" s="152" t="s">
        <v>2353</v>
      </c>
      <c r="C119" s="153" t="s">
        <v>2354</v>
      </c>
      <c r="D119" s="153" t="s">
        <v>2355</v>
      </c>
      <c r="E119" s="153" t="s">
        <v>2086</v>
      </c>
      <c r="F119" s="6"/>
      <c r="G119" s="6"/>
      <c r="H119" s="128">
        <f t="shared" si="2"/>
        <v>0</v>
      </c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  <c r="AA119" s="129"/>
      <c r="AB119" s="129"/>
      <c r="AC119" s="129"/>
      <c r="AD119" s="129"/>
      <c r="AE119" s="129"/>
      <c r="AF119" s="129"/>
      <c r="AG119" s="129"/>
      <c r="AH119" s="129"/>
      <c r="AI119" s="129"/>
      <c r="AJ119" s="129"/>
      <c r="AK119" s="129"/>
      <c r="AL119" s="129"/>
      <c r="AM119" s="129"/>
    </row>
    <row r="120" spans="1:39" hidden="1" x14ac:dyDescent="0.25">
      <c r="A120" s="127">
        <v>119</v>
      </c>
      <c r="B120" s="152" t="s">
        <v>2356</v>
      </c>
      <c r="C120" s="153" t="s">
        <v>2357</v>
      </c>
      <c r="D120" s="153" t="s">
        <v>2358</v>
      </c>
      <c r="E120" s="153" t="s">
        <v>2086</v>
      </c>
      <c r="F120" s="6"/>
      <c r="G120" s="6"/>
      <c r="H120" s="128">
        <f t="shared" si="2"/>
        <v>0</v>
      </c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</row>
    <row r="121" spans="1:39" hidden="1" x14ac:dyDescent="0.25">
      <c r="A121" s="127">
        <v>120</v>
      </c>
      <c r="B121" s="152" t="s">
        <v>995</v>
      </c>
      <c r="C121" s="153" t="s">
        <v>2359</v>
      </c>
      <c r="D121" s="153" t="s">
        <v>996</v>
      </c>
      <c r="E121" s="153" t="s">
        <v>2086</v>
      </c>
      <c r="F121" s="6"/>
      <c r="G121" s="6"/>
      <c r="H121" s="128">
        <f t="shared" si="2"/>
        <v>0</v>
      </c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</row>
    <row r="122" spans="1:39" hidden="1" x14ac:dyDescent="0.25">
      <c r="A122" s="127">
        <v>121</v>
      </c>
      <c r="B122" s="152" t="s">
        <v>2360</v>
      </c>
      <c r="C122" s="153" t="s">
        <v>2361</v>
      </c>
      <c r="D122" s="153" t="s">
        <v>2362</v>
      </c>
      <c r="E122" s="153" t="s">
        <v>4948</v>
      </c>
      <c r="F122" s="6"/>
      <c r="G122" s="6"/>
      <c r="H122" s="128">
        <f t="shared" si="2"/>
        <v>0</v>
      </c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  <c r="AA122" s="129"/>
      <c r="AB122" s="129"/>
      <c r="AC122" s="129"/>
      <c r="AD122" s="129"/>
      <c r="AE122" s="129"/>
      <c r="AF122" s="129"/>
      <c r="AG122" s="129"/>
      <c r="AH122" s="129"/>
      <c r="AI122" s="129"/>
      <c r="AJ122" s="129"/>
      <c r="AK122" s="129"/>
      <c r="AL122" s="129"/>
      <c r="AM122" s="129"/>
    </row>
    <row r="123" spans="1:39" hidden="1" x14ac:dyDescent="0.25">
      <c r="A123" s="127">
        <v>122</v>
      </c>
      <c r="B123" s="152" t="s">
        <v>335</v>
      </c>
      <c r="C123" s="153" t="s">
        <v>2363</v>
      </c>
      <c r="D123" s="153" t="s">
        <v>2364</v>
      </c>
      <c r="E123" s="153" t="s">
        <v>4948</v>
      </c>
      <c r="F123" s="6"/>
      <c r="G123" s="6"/>
      <c r="H123" s="128">
        <f t="shared" si="2"/>
        <v>0</v>
      </c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29"/>
      <c r="AL123" s="129"/>
      <c r="AM123" s="129"/>
    </row>
    <row r="124" spans="1:39" hidden="1" x14ac:dyDescent="0.25">
      <c r="A124" s="127">
        <v>123</v>
      </c>
      <c r="B124" s="152" t="s">
        <v>2365</v>
      </c>
      <c r="C124" s="153" t="s">
        <v>2366</v>
      </c>
      <c r="D124" s="153" t="s">
        <v>2367</v>
      </c>
      <c r="E124" s="153" t="s">
        <v>4948</v>
      </c>
      <c r="F124" s="6"/>
      <c r="G124" s="6"/>
      <c r="H124" s="128">
        <f t="shared" si="2"/>
        <v>0</v>
      </c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</row>
    <row r="125" spans="1:39" hidden="1" x14ac:dyDescent="0.25">
      <c r="A125" s="127">
        <v>124</v>
      </c>
      <c r="B125" s="152" t="s">
        <v>2368</v>
      </c>
      <c r="C125" s="153" t="s">
        <v>2369</v>
      </c>
      <c r="D125" s="153" t="s">
        <v>2370</v>
      </c>
      <c r="E125" s="153" t="s">
        <v>2111</v>
      </c>
      <c r="F125" s="6"/>
      <c r="G125" s="6"/>
      <c r="H125" s="128">
        <f t="shared" si="2"/>
        <v>0</v>
      </c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</row>
    <row r="126" spans="1:39" hidden="1" x14ac:dyDescent="0.25">
      <c r="A126" s="127">
        <v>125</v>
      </c>
      <c r="B126" s="152" t="s">
        <v>2371</v>
      </c>
      <c r="C126" s="153" t="s">
        <v>2372</v>
      </c>
      <c r="D126" s="153" t="s">
        <v>2373</v>
      </c>
      <c r="E126" s="153" t="s">
        <v>2111</v>
      </c>
      <c r="F126" s="6"/>
      <c r="G126" s="6"/>
      <c r="H126" s="128">
        <f t="shared" si="2"/>
        <v>0</v>
      </c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</row>
    <row r="127" spans="1:39" hidden="1" x14ac:dyDescent="0.25">
      <c r="A127" s="127">
        <v>126</v>
      </c>
      <c r="B127" s="152" t="s">
        <v>2374</v>
      </c>
      <c r="C127" s="153" t="s">
        <v>2375</v>
      </c>
      <c r="D127" s="153" t="s">
        <v>2376</v>
      </c>
      <c r="E127" s="153" t="s">
        <v>2086</v>
      </c>
      <c r="F127" s="6"/>
      <c r="G127" s="6"/>
      <c r="H127" s="128">
        <f t="shared" si="2"/>
        <v>0</v>
      </c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</row>
    <row r="128" spans="1:39" hidden="1" x14ac:dyDescent="0.25">
      <c r="A128" s="127">
        <v>127</v>
      </c>
      <c r="B128" s="152" t="s">
        <v>1199</v>
      </c>
      <c r="C128" s="153" t="s">
        <v>2377</v>
      </c>
      <c r="D128" s="153" t="s">
        <v>2378</v>
      </c>
      <c r="E128" s="153" t="s">
        <v>64</v>
      </c>
      <c r="F128" s="6"/>
      <c r="G128" s="6"/>
      <c r="H128" s="128">
        <f t="shared" si="2"/>
        <v>0</v>
      </c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</row>
    <row r="129" spans="1:39" hidden="1" x14ac:dyDescent="0.25">
      <c r="A129" s="127">
        <v>128</v>
      </c>
      <c r="B129" s="152" t="s">
        <v>964</v>
      </c>
      <c r="C129" s="153" t="s">
        <v>2379</v>
      </c>
      <c r="D129" s="153" t="s">
        <v>2380</v>
      </c>
      <c r="E129" s="153" t="s">
        <v>64</v>
      </c>
      <c r="F129" s="6"/>
      <c r="G129" s="6"/>
      <c r="H129" s="128">
        <f t="shared" si="2"/>
        <v>2500</v>
      </c>
      <c r="I129" s="129">
        <v>2500</v>
      </c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</row>
    <row r="130" spans="1:39" hidden="1" x14ac:dyDescent="0.25">
      <c r="A130" s="127">
        <v>129</v>
      </c>
      <c r="B130" s="152" t="s">
        <v>2381</v>
      </c>
      <c r="C130" s="153" t="s">
        <v>2382</v>
      </c>
      <c r="D130" s="153" t="s">
        <v>2383</v>
      </c>
      <c r="E130" s="153" t="s">
        <v>2086</v>
      </c>
      <c r="F130" s="6"/>
      <c r="G130" s="6"/>
      <c r="H130" s="128">
        <f t="shared" ref="H130:H193" si="3">SUM(I130:AM130)</f>
        <v>0</v>
      </c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</row>
    <row r="131" spans="1:39" hidden="1" x14ac:dyDescent="0.25">
      <c r="A131" s="127">
        <v>130</v>
      </c>
      <c r="B131" s="152" t="s">
        <v>2384</v>
      </c>
      <c r="C131" s="153" t="s">
        <v>2385</v>
      </c>
      <c r="D131" s="153" t="s">
        <v>2386</v>
      </c>
      <c r="E131" s="153" t="s">
        <v>2086</v>
      </c>
      <c r="F131" s="6"/>
      <c r="G131" s="6"/>
      <c r="H131" s="128">
        <f t="shared" si="3"/>
        <v>0</v>
      </c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</row>
    <row r="132" spans="1:39" hidden="1" x14ac:dyDescent="0.25">
      <c r="A132" s="127">
        <v>131</v>
      </c>
      <c r="B132" s="152" t="s">
        <v>2387</v>
      </c>
      <c r="C132" s="153" t="s">
        <v>2388</v>
      </c>
      <c r="D132" s="153" t="s">
        <v>2389</v>
      </c>
      <c r="E132" s="153" t="s">
        <v>4948</v>
      </c>
      <c r="F132" s="6"/>
      <c r="G132" s="6"/>
      <c r="H132" s="128">
        <f t="shared" si="3"/>
        <v>0</v>
      </c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</row>
    <row r="133" spans="1:39" hidden="1" x14ac:dyDescent="0.25">
      <c r="A133" s="127">
        <v>132</v>
      </c>
      <c r="B133" s="152" t="s">
        <v>365</v>
      </c>
      <c r="C133" s="153" t="s">
        <v>2390</v>
      </c>
      <c r="D133" s="153" t="s">
        <v>2391</v>
      </c>
      <c r="E133" s="153" t="s">
        <v>2086</v>
      </c>
      <c r="F133" s="6"/>
      <c r="G133" s="6"/>
      <c r="H133" s="128">
        <f t="shared" si="3"/>
        <v>0</v>
      </c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</row>
    <row r="134" spans="1:39" hidden="1" x14ac:dyDescent="0.25">
      <c r="A134" s="127">
        <v>133</v>
      </c>
      <c r="B134" s="152" t="s">
        <v>2392</v>
      </c>
      <c r="C134" s="153" t="s">
        <v>2393</v>
      </c>
      <c r="D134" s="153" t="s">
        <v>2394</v>
      </c>
      <c r="E134" s="153" t="s">
        <v>4948</v>
      </c>
      <c r="F134" s="6"/>
      <c r="G134" s="6"/>
      <c r="H134" s="128">
        <f t="shared" si="3"/>
        <v>0</v>
      </c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29"/>
      <c r="AH134" s="129"/>
      <c r="AI134" s="129"/>
      <c r="AJ134" s="129"/>
      <c r="AK134" s="129"/>
      <c r="AL134" s="129"/>
      <c r="AM134" s="129"/>
    </row>
    <row r="135" spans="1:39" hidden="1" x14ac:dyDescent="0.25">
      <c r="A135" s="127">
        <v>134</v>
      </c>
      <c r="B135" s="152" t="s">
        <v>925</v>
      </c>
      <c r="C135" s="153" t="s">
        <v>2395</v>
      </c>
      <c r="D135" s="153" t="s">
        <v>2396</v>
      </c>
      <c r="E135" s="153" t="s">
        <v>4948</v>
      </c>
      <c r="F135" s="6"/>
      <c r="G135" s="6"/>
      <c r="H135" s="128">
        <f t="shared" si="3"/>
        <v>0</v>
      </c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  <c r="AA135" s="129"/>
      <c r="AB135" s="129"/>
      <c r="AC135" s="129"/>
      <c r="AD135" s="129"/>
      <c r="AE135" s="129"/>
      <c r="AF135" s="129"/>
      <c r="AG135" s="129"/>
      <c r="AH135" s="129"/>
      <c r="AI135" s="129"/>
      <c r="AJ135" s="129"/>
      <c r="AK135" s="129"/>
      <c r="AL135" s="129"/>
      <c r="AM135" s="129"/>
    </row>
    <row r="136" spans="1:39" hidden="1" x14ac:dyDescent="0.25">
      <c r="A136" s="127">
        <v>135</v>
      </c>
      <c r="B136" s="152" t="s">
        <v>71</v>
      </c>
      <c r="C136" s="153" t="s">
        <v>2397</v>
      </c>
      <c r="D136" s="153" t="s">
        <v>2398</v>
      </c>
      <c r="E136" s="153" t="s">
        <v>2086</v>
      </c>
      <c r="F136" s="6"/>
      <c r="G136" s="6"/>
      <c r="H136" s="128">
        <f t="shared" si="3"/>
        <v>0</v>
      </c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  <c r="AA136" s="129"/>
      <c r="AB136" s="129"/>
      <c r="AC136" s="129"/>
      <c r="AD136" s="129"/>
      <c r="AE136" s="129"/>
      <c r="AF136" s="129"/>
      <c r="AG136" s="129"/>
      <c r="AH136" s="129"/>
      <c r="AI136" s="129"/>
      <c r="AJ136" s="129"/>
      <c r="AK136" s="129"/>
      <c r="AL136" s="129"/>
      <c r="AM136" s="129"/>
    </row>
    <row r="137" spans="1:39" hidden="1" x14ac:dyDescent="0.25">
      <c r="A137" s="127">
        <v>136</v>
      </c>
      <c r="B137" s="152" t="s">
        <v>292</v>
      </c>
      <c r="C137" s="153" t="s">
        <v>2399</v>
      </c>
      <c r="D137" s="153" t="s">
        <v>2400</v>
      </c>
      <c r="E137" s="153" t="s">
        <v>4948</v>
      </c>
      <c r="F137" s="6"/>
      <c r="G137" s="6"/>
      <c r="H137" s="128">
        <f t="shared" si="3"/>
        <v>0</v>
      </c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  <c r="AA137" s="129"/>
      <c r="AB137" s="129"/>
      <c r="AC137" s="129"/>
      <c r="AD137" s="129"/>
      <c r="AE137" s="129"/>
      <c r="AF137" s="129"/>
      <c r="AG137" s="129"/>
      <c r="AH137" s="129"/>
      <c r="AI137" s="129"/>
      <c r="AJ137" s="129"/>
      <c r="AK137" s="129"/>
      <c r="AL137" s="129"/>
      <c r="AM137" s="129"/>
    </row>
    <row r="138" spans="1:39" hidden="1" x14ac:dyDescent="0.25">
      <c r="A138" s="127">
        <v>137</v>
      </c>
      <c r="B138" s="152" t="s">
        <v>2401</v>
      </c>
      <c r="C138" s="153" t="s">
        <v>2402</v>
      </c>
      <c r="D138" s="153" t="s">
        <v>2403</v>
      </c>
      <c r="E138" s="153" t="s">
        <v>4948</v>
      </c>
      <c r="F138" s="6"/>
      <c r="G138" s="6"/>
      <c r="H138" s="128">
        <f t="shared" si="3"/>
        <v>0</v>
      </c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29"/>
      <c r="AH138" s="129"/>
      <c r="AI138" s="129"/>
      <c r="AJ138" s="129"/>
      <c r="AK138" s="129"/>
      <c r="AL138" s="129"/>
      <c r="AM138" s="129"/>
    </row>
    <row r="139" spans="1:39" hidden="1" x14ac:dyDescent="0.25">
      <c r="A139" s="127">
        <v>138</v>
      </c>
      <c r="B139" s="152" t="s">
        <v>1238</v>
      </c>
      <c r="C139" s="153" t="s">
        <v>2404</v>
      </c>
      <c r="D139" s="153" t="s">
        <v>2405</v>
      </c>
      <c r="E139" s="153" t="s">
        <v>4948</v>
      </c>
      <c r="F139" s="6"/>
      <c r="G139" s="6"/>
      <c r="H139" s="128">
        <f t="shared" si="3"/>
        <v>0</v>
      </c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29"/>
      <c r="AH139" s="129"/>
      <c r="AI139" s="129"/>
      <c r="AJ139" s="129"/>
      <c r="AK139" s="129"/>
      <c r="AL139" s="129"/>
      <c r="AM139" s="129"/>
    </row>
    <row r="140" spans="1:39" hidden="1" x14ac:dyDescent="0.25">
      <c r="A140" s="127">
        <v>139</v>
      </c>
      <c r="B140" s="152" t="s">
        <v>877</v>
      </c>
      <c r="C140" s="153" t="s">
        <v>2406</v>
      </c>
      <c r="D140" s="153" t="s">
        <v>2407</v>
      </c>
      <c r="E140" s="153" t="s">
        <v>2086</v>
      </c>
      <c r="F140" s="6"/>
      <c r="G140" s="6"/>
      <c r="H140" s="128">
        <f t="shared" si="3"/>
        <v>0</v>
      </c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29"/>
      <c r="AH140" s="129"/>
      <c r="AI140" s="129"/>
      <c r="AJ140" s="129"/>
      <c r="AK140" s="129"/>
      <c r="AL140" s="129"/>
      <c r="AM140" s="129"/>
    </row>
    <row r="141" spans="1:39" hidden="1" x14ac:dyDescent="0.25">
      <c r="A141" s="127">
        <v>140</v>
      </c>
      <c r="B141" s="152" t="s">
        <v>2408</v>
      </c>
      <c r="C141" s="153" t="s">
        <v>2409</v>
      </c>
      <c r="D141" s="153" t="s">
        <v>2410</v>
      </c>
      <c r="E141" s="153" t="s">
        <v>4948</v>
      </c>
      <c r="F141" s="6"/>
      <c r="G141" s="6"/>
      <c r="H141" s="128">
        <f t="shared" si="3"/>
        <v>0</v>
      </c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29"/>
      <c r="AH141" s="129"/>
      <c r="AI141" s="129"/>
      <c r="AJ141" s="129"/>
      <c r="AK141" s="129"/>
      <c r="AL141" s="129"/>
      <c r="AM141" s="129"/>
    </row>
    <row r="142" spans="1:39" hidden="1" x14ac:dyDescent="0.25">
      <c r="A142" s="127">
        <v>141</v>
      </c>
      <c r="B142" s="152" t="s">
        <v>344</v>
      </c>
      <c r="C142" s="153" t="s">
        <v>2411</v>
      </c>
      <c r="D142" s="153" t="s">
        <v>2412</v>
      </c>
      <c r="E142" s="153" t="s">
        <v>2086</v>
      </c>
      <c r="F142" s="6"/>
      <c r="G142" s="6"/>
      <c r="H142" s="128">
        <f t="shared" si="3"/>
        <v>0</v>
      </c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29"/>
      <c r="AH142" s="129"/>
      <c r="AI142" s="129"/>
      <c r="AJ142" s="129"/>
      <c r="AK142" s="129"/>
      <c r="AL142" s="129"/>
      <c r="AM142" s="129"/>
    </row>
    <row r="143" spans="1:39" hidden="1" x14ac:dyDescent="0.25">
      <c r="A143" s="127">
        <v>142</v>
      </c>
      <c r="B143" s="152" t="s">
        <v>2413</v>
      </c>
      <c r="C143" s="153" t="s">
        <v>2414</v>
      </c>
      <c r="D143" s="153" t="s">
        <v>2415</v>
      </c>
      <c r="E143" s="153" t="s">
        <v>4948</v>
      </c>
      <c r="F143" s="6"/>
      <c r="G143" s="6"/>
      <c r="H143" s="128">
        <f t="shared" si="3"/>
        <v>0</v>
      </c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29"/>
      <c r="AH143" s="129"/>
      <c r="AI143" s="129"/>
      <c r="AJ143" s="129"/>
      <c r="AK143" s="129"/>
      <c r="AL143" s="129"/>
      <c r="AM143" s="129"/>
    </row>
    <row r="144" spans="1:39" hidden="1" x14ac:dyDescent="0.25">
      <c r="A144" s="127">
        <v>143</v>
      </c>
      <c r="B144" s="152" t="s">
        <v>255</v>
      </c>
      <c r="C144" s="153" t="s">
        <v>2416</v>
      </c>
      <c r="D144" s="153" t="s">
        <v>2417</v>
      </c>
      <c r="E144" s="153" t="s">
        <v>4948</v>
      </c>
      <c r="F144" s="6"/>
      <c r="G144" s="6"/>
      <c r="H144" s="128">
        <f t="shared" si="3"/>
        <v>0</v>
      </c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29"/>
      <c r="AH144" s="129"/>
      <c r="AI144" s="129"/>
      <c r="AJ144" s="129"/>
      <c r="AK144" s="129"/>
      <c r="AL144" s="129"/>
      <c r="AM144" s="129"/>
    </row>
    <row r="145" spans="1:39" hidden="1" x14ac:dyDescent="0.25">
      <c r="A145" s="127">
        <v>144</v>
      </c>
      <c r="B145" s="152" t="s">
        <v>739</v>
      </c>
      <c r="C145" s="153" t="s">
        <v>2418</v>
      </c>
      <c r="D145" s="153" t="s">
        <v>2419</v>
      </c>
      <c r="E145" s="153" t="s">
        <v>2086</v>
      </c>
      <c r="F145" s="6"/>
      <c r="G145" s="6"/>
      <c r="H145" s="128">
        <f t="shared" si="3"/>
        <v>0</v>
      </c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29"/>
      <c r="AH145" s="129"/>
      <c r="AI145" s="129"/>
      <c r="AJ145" s="129"/>
      <c r="AK145" s="129"/>
      <c r="AL145" s="129"/>
      <c r="AM145" s="129"/>
    </row>
    <row r="146" spans="1:39" hidden="1" x14ac:dyDescent="0.25">
      <c r="A146" s="127">
        <v>145</v>
      </c>
      <c r="B146" s="152" t="s">
        <v>784</v>
      </c>
      <c r="C146" s="153" t="s">
        <v>2420</v>
      </c>
      <c r="D146" s="153" t="s">
        <v>2421</v>
      </c>
      <c r="E146" s="153" t="s">
        <v>4948</v>
      </c>
      <c r="F146" s="6"/>
      <c r="G146" s="6"/>
      <c r="H146" s="128">
        <f t="shared" si="3"/>
        <v>0</v>
      </c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29"/>
      <c r="AH146" s="129"/>
      <c r="AI146" s="129"/>
      <c r="AJ146" s="129"/>
      <c r="AK146" s="129"/>
      <c r="AL146" s="129"/>
      <c r="AM146" s="129"/>
    </row>
    <row r="147" spans="1:39" hidden="1" x14ac:dyDescent="0.25">
      <c r="A147" s="127">
        <v>146</v>
      </c>
      <c r="B147" s="152" t="s">
        <v>678</v>
      </c>
      <c r="C147" s="153" t="s">
        <v>2422</v>
      </c>
      <c r="D147" s="153" t="s">
        <v>2423</v>
      </c>
      <c r="E147" s="153" t="s">
        <v>2086</v>
      </c>
      <c r="F147" s="6"/>
      <c r="G147" s="6"/>
      <c r="H147" s="128">
        <f t="shared" si="3"/>
        <v>0</v>
      </c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29"/>
      <c r="AH147" s="129"/>
      <c r="AI147" s="129"/>
      <c r="AJ147" s="129"/>
      <c r="AK147" s="129"/>
      <c r="AL147" s="129"/>
      <c r="AM147" s="129"/>
    </row>
    <row r="148" spans="1:39" hidden="1" x14ac:dyDescent="0.25">
      <c r="A148" s="127">
        <v>147</v>
      </c>
      <c r="B148" s="152" t="s">
        <v>2424</v>
      </c>
      <c r="C148" s="153" t="s">
        <v>2425</v>
      </c>
      <c r="D148" s="153" t="s">
        <v>2426</v>
      </c>
      <c r="E148" s="153" t="s">
        <v>2086</v>
      </c>
      <c r="F148" s="6"/>
      <c r="G148" s="6"/>
      <c r="H148" s="128">
        <f t="shared" si="3"/>
        <v>0</v>
      </c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29"/>
      <c r="AH148" s="129"/>
      <c r="AI148" s="129"/>
      <c r="AJ148" s="129"/>
      <c r="AK148" s="129"/>
      <c r="AL148" s="129"/>
      <c r="AM148" s="129"/>
    </row>
    <row r="149" spans="1:39" hidden="1" x14ac:dyDescent="0.25">
      <c r="A149" s="127">
        <v>148</v>
      </c>
      <c r="B149" s="152" t="s">
        <v>760</v>
      </c>
      <c r="C149" s="153" t="s">
        <v>2427</v>
      </c>
      <c r="D149" s="153" t="s">
        <v>2428</v>
      </c>
      <c r="E149" s="153" t="s">
        <v>4948</v>
      </c>
      <c r="F149" s="6"/>
      <c r="G149" s="6"/>
      <c r="H149" s="128">
        <f t="shared" si="3"/>
        <v>0</v>
      </c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29"/>
      <c r="AH149" s="129"/>
      <c r="AI149" s="129"/>
      <c r="AJ149" s="129"/>
      <c r="AK149" s="129"/>
      <c r="AL149" s="129"/>
      <c r="AM149" s="129"/>
    </row>
    <row r="150" spans="1:39" hidden="1" x14ac:dyDescent="0.25">
      <c r="A150" s="127">
        <v>149</v>
      </c>
      <c r="B150" s="152" t="s">
        <v>1337</v>
      </c>
      <c r="C150" s="153" t="s">
        <v>2429</v>
      </c>
      <c r="D150" s="153" t="s">
        <v>2430</v>
      </c>
      <c r="E150" s="153" t="s">
        <v>2086</v>
      </c>
      <c r="F150" s="6"/>
      <c r="G150" s="6"/>
      <c r="H150" s="128">
        <f t="shared" si="3"/>
        <v>0</v>
      </c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29"/>
      <c r="AH150" s="129"/>
      <c r="AI150" s="129"/>
      <c r="AJ150" s="129"/>
      <c r="AK150" s="129"/>
      <c r="AL150" s="129"/>
      <c r="AM150" s="129"/>
    </row>
    <row r="151" spans="1:39" hidden="1" x14ac:dyDescent="0.25">
      <c r="A151" s="127">
        <v>150</v>
      </c>
      <c r="B151" s="152" t="s">
        <v>2431</v>
      </c>
      <c r="C151" s="153" t="s">
        <v>2432</v>
      </c>
      <c r="D151" s="153" t="s">
        <v>2433</v>
      </c>
      <c r="E151" s="153" t="s">
        <v>2086</v>
      </c>
      <c r="F151" s="6"/>
      <c r="G151" s="6"/>
      <c r="H151" s="128">
        <f t="shared" si="3"/>
        <v>0</v>
      </c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29"/>
      <c r="AH151" s="129"/>
      <c r="AI151" s="129"/>
      <c r="AJ151" s="129"/>
      <c r="AK151" s="129"/>
      <c r="AL151" s="129"/>
      <c r="AM151" s="129"/>
    </row>
    <row r="152" spans="1:39" hidden="1" x14ac:dyDescent="0.25">
      <c r="A152" s="127">
        <v>151</v>
      </c>
      <c r="B152" s="152" t="s">
        <v>671</v>
      </c>
      <c r="C152" s="153" t="s">
        <v>2434</v>
      </c>
      <c r="D152" s="153" t="s">
        <v>672</v>
      </c>
      <c r="E152" s="153" t="s">
        <v>4948</v>
      </c>
      <c r="F152" s="6"/>
      <c r="G152" s="6"/>
      <c r="H152" s="128">
        <f t="shared" si="3"/>
        <v>0</v>
      </c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29"/>
      <c r="AH152" s="129"/>
      <c r="AI152" s="129"/>
      <c r="AJ152" s="129"/>
      <c r="AK152" s="129"/>
      <c r="AL152" s="129"/>
      <c r="AM152" s="129"/>
    </row>
    <row r="153" spans="1:39" hidden="1" x14ac:dyDescent="0.25">
      <c r="A153" s="127">
        <v>152</v>
      </c>
      <c r="B153" s="152" t="s">
        <v>755</v>
      </c>
      <c r="C153" s="153" t="s">
        <v>2435</v>
      </c>
      <c r="D153" s="153" t="s">
        <v>2436</v>
      </c>
      <c r="E153" s="153" t="s">
        <v>4948</v>
      </c>
      <c r="F153" s="6"/>
      <c r="G153" s="6"/>
      <c r="H153" s="128">
        <f t="shared" si="3"/>
        <v>0</v>
      </c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29"/>
      <c r="AH153" s="129"/>
      <c r="AI153" s="129"/>
      <c r="AJ153" s="129"/>
      <c r="AK153" s="129"/>
      <c r="AL153" s="129"/>
      <c r="AM153" s="129"/>
    </row>
    <row r="154" spans="1:39" hidden="1" x14ac:dyDescent="0.25">
      <c r="A154" s="127">
        <v>153</v>
      </c>
      <c r="B154" s="152" t="s">
        <v>1230</v>
      </c>
      <c r="C154" s="153" t="s">
        <v>2437</v>
      </c>
      <c r="D154" s="153" t="s">
        <v>2438</v>
      </c>
      <c r="E154" s="153" t="s">
        <v>2086</v>
      </c>
      <c r="F154" s="6"/>
      <c r="G154" s="6"/>
      <c r="H154" s="128">
        <f t="shared" si="3"/>
        <v>0</v>
      </c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29"/>
      <c r="AH154" s="129"/>
      <c r="AI154" s="129"/>
      <c r="AJ154" s="129"/>
      <c r="AK154" s="129"/>
      <c r="AL154" s="129"/>
      <c r="AM154" s="129"/>
    </row>
    <row r="155" spans="1:39" hidden="1" x14ac:dyDescent="0.25">
      <c r="A155" s="127">
        <v>154</v>
      </c>
      <c r="B155" s="152" t="s">
        <v>1384</v>
      </c>
      <c r="C155" s="153" t="s">
        <v>2439</v>
      </c>
      <c r="D155" s="153" t="s">
        <v>2440</v>
      </c>
      <c r="E155" s="153" t="s">
        <v>2086</v>
      </c>
      <c r="F155" s="6"/>
      <c r="G155" s="6"/>
      <c r="H155" s="128">
        <f t="shared" si="3"/>
        <v>0</v>
      </c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29"/>
      <c r="AH155" s="129"/>
      <c r="AI155" s="129"/>
      <c r="AJ155" s="129"/>
      <c r="AK155" s="129"/>
      <c r="AL155" s="129"/>
      <c r="AM155" s="129"/>
    </row>
    <row r="156" spans="1:39" hidden="1" x14ac:dyDescent="0.25">
      <c r="A156" s="127">
        <v>155</v>
      </c>
      <c r="B156" s="152" t="s">
        <v>2441</v>
      </c>
      <c r="C156" s="153" t="s">
        <v>2442</v>
      </c>
      <c r="D156" s="153" t="s">
        <v>2443</v>
      </c>
      <c r="E156" s="153" t="s">
        <v>4948</v>
      </c>
      <c r="F156" s="6"/>
      <c r="G156" s="6"/>
      <c r="H156" s="128">
        <f t="shared" si="3"/>
        <v>0</v>
      </c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29"/>
      <c r="AH156" s="129"/>
      <c r="AI156" s="129"/>
      <c r="AJ156" s="129"/>
      <c r="AK156" s="129"/>
      <c r="AL156" s="129"/>
      <c r="AM156" s="129"/>
    </row>
    <row r="157" spans="1:39" hidden="1" x14ac:dyDescent="0.25">
      <c r="A157" s="127">
        <v>156</v>
      </c>
      <c r="B157" s="152" t="s">
        <v>1426</v>
      </c>
      <c r="C157" s="153" t="s">
        <v>2444</v>
      </c>
      <c r="D157" s="153" t="s">
        <v>2445</v>
      </c>
      <c r="E157" s="153" t="s">
        <v>2086</v>
      </c>
      <c r="F157" s="6"/>
      <c r="G157" s="6"/>
      <c r="H157" s="128">
        <f t="shared" si="3"/>
        <v>0</v>
      </c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29"/>
      <c r="AH157" s="129"/>
      <c r="AI157" s="129"/>
      <c r="AJ157" s="129"/>
      <c r="AK157" s="129"/>
      <c r="AL157" s="129"/>
      <c r="AM157" s="129"/>
    </row>
    <row r="158" spans="1:39" hidden="1" x14ac:dyDescent="0.25">
      <c r="A158" s="127">
        <v>157</v>
      </c>
      <c r="B158" s="152" t="s">
        <v>2446</v>
      </c>
      <c r="C158" s="153" t="s">
        <v>2447</v>
      </c>
      <c r="D158" s="153" t="s">
        <v>2448</v>
      </c>
      <c r="E158" s="153" t="s">
        <v>2086</v>
      </c>
      <c r="F158" s="6"/>
      <c r="G158" s="6"/>
      <c r="H158" s="128">
        <f t="shared" si="3"/>
        <v>0</v>
      </c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</row>
    <row r="159" spans="1:39" hidden="1" x14ac:dyDescent="0.25">
      <c r="A159" s="127">
        <v>158</v>
      </c>
      <c r="B159" s="152" t="s">
        <v>283</v>
      </c>
      <c r="C159" s="153" t="s">
        <v>2449</v>
      </c>
      <c r="D159" s="153" t="s">
        <v>2450</v>
      </c>
      <c r="E159" s="153" t="s">
        <v>4948</v>
      </c>
      <c r="F159" s="6"/>
      <c r="G159" s="6"/>
      <c r="H159" s="128">
        <f t="shared" si="3"/>
        <v>0</v>
      </c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</row>
    <row r="160" spans="1:39" hidden="1" x14ac:dyDescent="0.25">
      <c r="A160" s="127">
        <v>159</v>
      </c>
      <c r="B160" s="152" t="s">
        <v>2451</v>
      </c>
      <c r="C160" s="153" t="s">
        <v>2452</v>
      </c>
      <c r="D160" s="153" t="s">
        <v>2453</v>
      </c>
      <c r="E160" s="153" t="s">
        <v>4948</v>
      </c>
      <c r="F160" s="6"/>
      <c r="G160" s="6"/>
      <c r="H160" s="128">
        <f t="shared" si="3"/>
        <v>0</v>
      </c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29"/>
      <c r="AH160" s="129"/>
      <c r="AI160" s="129"/>
      <c r="AJ160" s="129"/>
      <c r="AK160" s="129"/>
      <c r="AL160" s="129"/>
      <c r="AM160" s="129"/>
    </row>
    <row r="161" spans="1:39" hidden="1" x14ac:dyDescent="0.25">
      <c r="A161" s="127">
        <v>160</v>
      </c>
      <c r="B161" s="152" t="s">
        <v>2454</v>
      </c>
      <c r="C161" s="153" t="s">
        <v>2455</v>
      </c>
      <c r="D161" s="153" t="s">
        <v>2456</v>
      </c>
      <c r="E161" s="153" t="s">
        <v>4948</v>
      </c>
      <c r="F161" s="6"/>
      <c r="G161" s="6"/>
      <c r="H161" s="128">
        <f t="shared" si="3"/>
        <v>0</v>
      </c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29"/>
      <c r="AL161" s="129"/>
      <c r="AM161" s="129"/>
    </row>
    <row r="162" spans="1:39" hidden="1" x14ac:dyDescent="0.25">
      <c r="A162" s="127">
        <v>161</v>
      </c>
      <c r="B162" s="152" t="s">
        <v>1000</v>
      </c>
      <c r="C162" s="153" t="s">
        <v>2457</v>
      </c>
      <c r="D162" s="153" t="s">
        <v>2458</v>
      </c>
      <c r="E162" s="153" t="s">
        <v>2086</v>
      </c>
      <c r="F162" s="6"/>
      <c r="G162" s="6"/>
      <c r="H162" s="128">
        <f t="shared" si="3"/>
        <v>0</v>
      </c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</row>
    <row r="163" spans="1:39" hidden="1" x14ac:dyDescent="0.25">
      <c r="A163" s="127">
        <v>162</v>
      </c>
      <c r="B163" s="152" t="s">
        <v>303</v>
      </c>
      <c r="C163" s="153" t="s">
        <v>2459</v>
      </c>
      <c r="D163" s="153" t="s">
        <v>2460</v>
      </c>
      <c r="E163" s="153" t="s">
        <v>4948</v>
      </c>
      <c r="F163" s="6"/>
      <c r="G163" s="6"/>
      <c r="H163" s="128">
        <f t="shared" si="3"/>
        <v>0</v>
      </c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</row>
    <row r="164" spans="1:39" hidden="1" x14ac:dyDescent="0.25">
      <c r="A164" s="127">
        <v>163</v>
      </c>
      <c r="B164" s="152" t="s">
        <v>2461</v>
      </c>
      <c r="C164" s="153" t="s">
        <v>2462</v>
      </c>
      <c r="D164" s="153" t="s">
        <v>2463</v>
      </c>
      <c r="E164" s="153" t="s">
        <v>2086</v>
      </c>
      <c r="F164" s="6"/>
      <c r="G164" s="6"/>
      <c r="H164" s="128">
        <f t="shared" si="3"/>
        <v>0</v>
      </c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</row>
    <row r="165" spans="1:39" hidden="1" x14ac:dyDescent="0.25">
      <c r="A165" s="127">
        <v>164</v>
      </c>
      <c r="B165" s="152" t="s">
        <v>271</v>
      </c>
      <c r="C165" s="153" t="s">
        <v>2464</v>
      </c>
      <c r="D165" s="153" t="s">
        <v>2465</v>
      </c>
      <c r="E165" s="153" t="s">
        <v>2086</v>
      </c>
      <c r="F165" s="6"/>
      <c r="G165" s="6"/>
      <c r="H165" s="128">
        <f t="shared" si="3"/>
        <v>0</v>
      </c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</row>
    <row r="166" spans="1:39" hidden="1" x14ac:dyDescent="0.25">
      <c r="A166" s="127">
        <v>165</v>
      </c>
      <c r="B166" s="152" t="s">
        <v>1171</v>
      </c>
      <c r="C166" s="153" t="s">
        <v>2466</v>
      </c>
      <c r="D166" s="153" t="s">
        <v>2467</v>
      </c>
      <c r="E166" s="153" t="s">
        <v>2086</v>
      </c>
      <c r="F166" s="6"/>
      <c r="G166" s="6"/>
      <c r="H166" s="128">
        <f t="shared" si="3"/>
        <v>0</v>
      </c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</row>
    <row r="167" spans="1:39" hidden="1" x14ac:dyDescent="0.25">
      <c r="A167" s="127">
        <v>166</v>
      </c>
      <c r="B167" s="152" t="s">
        <v>273</v>
      </c>
      <c r="C167" s="153" t="s">
        <v>2468</v>
      </c>
      <c r="D167" s="153" t="s">
        <v>2469</v>
      </c>
      <c r="E167" s="153" t="s">
        <v>2086</v>
      </c>
      <c r="F167" s="6"/>
      <c r="G167" s="6"/>
      <c r="H167" s="128">
        <f t="shared" si="3"/>
        <v>0</v>
      </c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</row>
    <row r="168" spans="1:39" hidden="1" x14ac:dyDescent="0.25">
      <c r="A168" s="127">
        <v>167</v>
      </c>
      <c r="B168" s="152" t="s">
        <v>1333</v>
      </c>
      <c r="C168" s="153" t="s">
        <v>2470</v>
      </c>
      <c r="D168" s="153" t="s">
        <v>2471</v>
      </c>
      <c r="E168" s="153" t="s">
        <v>2086</v>
      </c>
      <c r="F168" s="6"/>
      <c r="G168" s="6"/>
      <c r="H168" s="128">
        <f t="shared" si="3"/>
        <v>0</v>
      </c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</row>
    <row r="169" spans="1:39" hidden="1" x14ac:dyDescent="0.25">
      <c r="A169" s="127">
        <v>168</v>
      </c>
      <c r="B169" s="152" t="s">
        <v>277</v>
      </c>
      <c r="C169" s="153" t="s">
        <v>2472</v>
      </c>
      <c r="D169" s="153" t="s">
        <v>2473</v>
      </c>
      <c r="E169" s="153" t="s">
        <v>4948</v>
      </c>
      <c r="F169" s="6"/>
      <c r="G169" s="6"/>
      <c r="H169" s="128">
        <f t="shared" si="3"/>
        <v>0</v>
      </c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</row>
    <row r="170" spans="1:39" hidden="1" x14ac:dyDescent="0.25">
      <c r="A170" s="127">
        <v>169</v>
      </c>
      <c r="B170" s="152" t="s">
        <v>1108</v>
      </c>
      <c r="C170" s="153" t="s">
        <v>2474</v>
      </c>
      <c r="D170" s="153" t="s">
        <v>2475</v>
      </c>
      <c r="E170" s="153" t="s">
        <v>4948</v>
      </c>
      <c r="F170" s="6"/>
      <c r="G170" s="6"/>
      <c r="H170" s="128">
        <f t="shared" si="3"/>
        <v>0</v>
      </c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</row>
    <row r="171" spans="1:39" hidden="1" x14ac:dyDescent="0.25">
      <c r="A171" s="127">
        <v>170</v>
      </c>
      <c r="B171" s="152" t="s">
        <v>2476</v>
      </c>
      <c r="C171" s="153" t="s">
        <v>2477</v>
      </c>
      <c r="D171" s="153" t="s">
        <v>2478</v>
      </c>
      <c r="E171" s="153" t="s">
        <v>4948</v>
      </c>
      <c r="F171" s="6"/>
      <c r="G171" s="6"/>
      <c r="H171" s="128">
        <f t="shared" si="3"/>
        <v>0</v>
      </c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</row>
    <row r="172" spans="1:39" hidden="1" x14ac:dyDescent="0.25">
      <c r="A172" s="127">
        <v>171</v>
      </c>
      <c r="B172" s="152" t="s">
        <v>2479</v>
      </c>
      <c r="C172" s="153" t="s">
        <v>2480</v>
      </c>
      <c r="D172" s="153" t="s">
        <v>2481</v>
      </c>
      <c r="E172" s="153" t="s">
        <v>4948</v>
      </c>
      <c r="F172" s="6"/>
      <c r="G172" s="6"/>
      <c r="H172" s="128">
        <f t="shared" si="3"/>
        <v>0</v>
      </c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29"/>
      <c r="AH172" s="129"/>
      <c r="AI172" s="129"/>
      <c r="AJ172" s="129"/>
      <c r="AK172" s="129"/>
      <c r="AL172" s="129"/>
      <c r="AM172" s="129"/>
    </row>
    <row r="173" spans="1:39" hidden="1" x14ac:dyDescent="0.25">
      <c r="A173" s="127">
        <v>172</v>
      </c>
      <c r="B173" s="152" t="s">
        <v>2482</v>
      </c>
      <c r="C173" s="153" t="s">
        <v>2483</v>
      </c>
      <c r="D173" s="153" t="s">
        <v>2484</v>
      </c>
      <c r="E173" s="153" t="s">
        <v>2086</v>
      </c>
      <c r="F173" s="6"/>
      <c r="G173" s="6"/>
      <c r="H173" s="128">
        <f t="shared" si="3"/>
        <v>0</v>
      </c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29"/>
      <c r="AH173" s="129"/>
      <c r="AI173" s="129"/>
      <c r="AJ173" s="129"/>
      <c r="AK173" s="129"/>
      <c r="AL173" s="129"/>
      <c r="AM173" s="129"/>
    </row>
    <row r="174" spans="1:39" hidden="1" x14ac:dyDescent="0.25">
      <c r="A174" s="127">
        <v>173</v>
      </c>
      <c r="B174" s="152" t="s">
        <v>2485</v>
      </c>
      <c r="C174" s="153" t="s">
        <v>2486</v>
      </c>
      <c r="D174" s="153" t="s">
        <v>2487</v>
      </c>
      <c r="E174" s="153" t="s">
        <v>4948</v>
      </c>
      <c r="F174" s="6"/>
      <c r="G174" s="6"/>
      <c r="H174" s="128">
        <f t="shared" si="3"/>
        <v>0</v>
      </c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29"/>
      <c r="AH174" s="129"/>
      <c r="AI174" s="129"/>
      <c r="AJ174" s="129"/>
      <c r="AK174" s="129"/>
      <c r="AL174" s="129"/>
      <c r="AM174" s="129"/>
    </row>
    <row r="175" spans="1:39" hidden="1" x14ac:dyDescent="0.25">
      <c r="A175" s="127">
        <v>174</v>
      </c>
      <c r="B175" s="152" t="s">
        <v>2488</v>
      </c>
      <c r="C175" s="153" t="s">
        <v>2489</v>
      </c>
      <c r="D175" s="153" t="s">
        <v>2490</v>
      </c>
      <c r="E175" s="153" t="s">
        <v>2086</v>
      </c>
      <c r="F175" s="6"/>
      <c r="G175" s="6"/>
      <c r="H175" s="128">
        <f t="shared" si="3"/>
        <v>0</v>
      </c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29"/>
      <c r="AH175" s="129"/>
      <c r="AI175" s="129"/>
      <c r="AJ175" s="129"/>
      <c r="AK175" s="129"/>
      <c r="AL175" s="129"/>
      <c r="AM175" s="129"/>
    </row>
    <row r="176" spans="1:39" hidden="1" x14ac:dyDescent="0.25">
      <c r="A176" s="127">
        <v>175</v>
      </c>
      <c r="B176" s="152" t="s">
        <v>237</v>
      </c>
      <c r="C176" s="153" t="s">
        <v>2491</v>
      </c>
      <c r="D176" s="153" t="s">
        <v>2492</v>
      </c>
      <c r="E176" s="153" t="s">
        <v>4948</v>
      </c>
      <c r="F176" s="6"/>
      <c r="G176" s="6"/>
      <c r="H176" s="128">
        <f t="shared" si="3"/>
        <v>0</v>
      </c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29"/>
      <c r="AH176" s="129"/>
      <c r="AI176" s="129"/>
      <c r="AJ176" s="129"/>
      <c r="AK176" s="129"/>
      <c r="AL176" s="129"/>
      <c r="AM176" s="129"/>
    </row>
    <row r="177" spans="1:39" hidden="1" x14ac:dyDescent="0.25">
      <c r="A177" s="127">
        <v>176</v>
      </c>
      <c r="B177" s="152" t="s">
        <v>2493</v>
      </c>
      <c r="C177" s="153" t="s">
        <v>2494</v>
      </c>
      <c r="D177" s="153" t="s">
        <v>2495</v>
      </c>
      <c r="E177" s="153" t="s">
        <v>4948</v>
      </c>
      <c r="F177" s="6"/>
      <c r="G177" s="6"/>
      <c r="H177" s="128">
        <f t="shared" si="3"/>
        <v>0</v>
      </c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29"/>
      <c r="AH177" s="129"/>
      <c r="AI177" s="129"/>
      <c r="AJ177" s="129"/>
      <c r="AK177" s="129"/>
      <c r="AL177" s="129"/>
      <c r="AM177" s="129"/>
    </row>
    <row r="178" spans="1:39" hidden="1" x14ac:dyDescent="0.25">
      <c r="A178" s="127">
        <v>177</v>
      </c>
      <c r="B178" s="152" t="s">
        <v>1741</v>
      </c>
      <c r="C178" s="153" t="s">
        <v>2496</v>
      </c>
      <c r="D178" s="153" t="s">
        <v>2497</v>
      </c>
      <c r="E178" s="153" t="s">
        <v>2086</v>
      </c>
      <c r="F178" s="6"/>
      <c r="G178" s="6"/>
      <c r="H178" s="128">
        <f t="shared" si="3"/>
        <v>0</v>
      </c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29"/>
      <c r="AH178" s="129"/>
      <c r="AI178" s="129"/>
      <c r="AJ178" s="129"/>
      <c r="AK178" s="129"/>
      <c r="AL178" s="129"/>
      <c r="AM178" s="129"/>
    </row>
    <row r="179" spans="1:39" hidden="1" x14ac:dyDescent="0.25">
      <c r="A179" s="127">
        <v>178</v>
      </c>
      <c r="B179" s="152" t="s">
        <v>2498</v>
      </c>
      <c r="C179" s="153" t="s">
        <v>2499</v>
      </c>
      <c r="D179" s="153" t="s">
        <v>2500</v>
      </c>
      <c r="E179" s="153" t="s">
        <v>4948</v>
      </c>
      <c r="F179" s="6"/>
      <c r="G179" s="6"/>
      <c r="H179" s="128">
        <f t="shared" si="3"/>
        <v>0</v>
      </c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29"/>
      <c r="AH179" s="129"/>
      <c r="AI179" s="129"/>
      <c r="AJ179" s="129"/>
      <c r="AK179" s="129"/>
      <c r="AL179" s="129"/>
      <c r="AM179" s="129"/>
    </row>
    <row r="180" spans="1:39" hidden="1" x14ac:dyDescent="0.25">
      <c r="A180" s="127">
        <v>179</v>
      </c>
      <c r="B180" s="152" t="s">
        <v>2501</v>
      </c>
      <c r="C180" s="153" t="s">
        <v>2502</v>
      </c>
      <c r="D180" s="153" t="s">
        <v>2503</v>
      </c>
      <c r="E180" s="153" t="s">
        <v>4948</v>
      </c>
      <c r="F180" s="6"/>
      <c r="G180" s="6"/>
      <c r="H180" s="128">
        <f t="shared" si="3"/>
        <v>0</v>
      </c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29"/>
      <c r="AH180" s="129"/>
      <c r="AI180" s="129"/>
      <c r="AJ180" s="129"/>
      <c r="AK180" s="129"/>
      <c r="AL180" s="129"/>
      <c r="AM180" s="129"/>
    </row>
    <row r="181" spans="1:39" hidden="1" x14ac:dyDescent="0.25">
      <c r="A181" s="127">
        <v>180</v>
      </c>
      <c r="B181" s="152" t="s">
        <v>2504</v>
      </c>
      <c r="C181" s="153" t="s">
        <v>2505</v>
      </c>
      <c r="D181" s="153" t="s">
        <v>2506</v>
      </c>
      <c r="E181" s="153" t="s">
        <v>4948</v>
      </c>
      <c r="F181" s="6"/>
      <c r="G181" s="6"/>
      <c r="H181" s="128">
        <f t="shared" si="3"/>
        <v>163</v>
      </c>
      <c r="I181" s="129">
        <v>163</v>
      </c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29"/>
      <c r="AH181" s="129"/>
      <c r="AI181" s="129"/>
      <c r="AJ181" s="129"/>
      <c r="AK181" s="129"/>
      <c r="AL181" s="129"/>
      <c r="AM181" s="129"/>
    </row>
    <row r="182" spans="1:39" hidden="1" x14ac:dyDescent="0.25">
      <c r="A182" s="127">
        <v>181</v>
      </c>
      <c r="B182" s="152" t="s">
        <v>2507</v>
      </c>
      <c r="C182" s="153" t="s">
        <v>2508</v>
      </c>
      <c r="D182" s="153" t="s">
        <v>2509</v>
      </c>
      <c r="E182" s="153" t="s">
        <v>4948</v>
      </c>
      <c r="F182" s="6"/>
      <c r="G182" s="6"/>
      <c r="H182" s="128">
        <f t="shared" si="3"/>
        <v>0</v>
      </c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29"/>
      <c r="AH182" s="129"/>
      <c r="AI182" s="129"/>
      <c r="AJ182" s="129"/>
      <c r="AK182" s="129"/>
      <c r="AL182" s="129"/>
      <c r="AM182" s="129"/>
    </row>
    <row r="183" spans="1:39" hidden="1" x14ac:dyDescent="0.25">
      <c r="A183" s="127">
        <v>182</v>
      </c>
      <c r="B183" s="152" t="s">
        <v>342</v>
      </c>
      <c r="C183" s="153" t="s">
        <v>2510</v>
      </c>
      <c r="D183" s="153" t="s">
        <v>2511</v>
      </c>
      <c r="E183" s="153" t="s">
        <v>4948</v>
      </c>
      <c r="F183" s="6"/>
      <c r="G183" s="6"/>
      <c r="H183" s="128">
        <f t="shared" si="3"/>
        <v>0</v>
      </c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29"/>
      <c r="AH183" s="129"/>
      <c r="AI183" s="129"/>
      <c r="AJ183" s="129"/>
      <c r="AK183" s="129"/>
      <c r="AL183" s="129"/>
      <c r="AM183" s="129"/>
    </row>
    <row r="184" spans="1:39" hidden="1" x14ac:dyDescent="0.25">
      <c r="A184" s="127">
        <v>183</v>
      </c>
      <c r="B184" s="152" t="s">
        <v>2512</v>
      </c>
      <c r="C184" s="153" t="s">
        <v>2513</v>
      </c>
      <c r="D184" s="153" t="s">
        <v>2514</v>
      </c>
      <c r="E184" s="153" t="s">
        <v>4948</v>
      </c>
      <c r="F184" s="6"/>
      <c r="G184" s="6"/>
      <c r="H184" s="128">
        <f t="shared" si="3"/>
        <v>0</v>
      </c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29"/>
      <c r="AH184" s="129"/>
      <c r="AI184" s="129"/>
      <c r="AJ184" s="129"/>
      <c r="AK184" s="129"/>
      <c r="AL184" s="129"/>
      <c r="AM184" s="129"/>
    </row>
    <row r="185" spans="1:39" hidden="1" x14ac:dyDescent="0.25">
      <c r="A185" s="127">
        <v>184</v>
      </c>
      <c r="B185" s="152" t="s">
        <v>2515</v>
      </c>
      <c r="C185" s="153" t="s">
        <v>2516</v>
      </c>
      <c r="D185" s="153" t="s">
        <v>2517</v>
      </c>
      <c r="E185" s="153" t="s">
        <v>4948</v>
      </c>
      <c r="F185" s="6"/>
      <c r="G185" s="6"/>
      <c r="H185" s="128">
        <f t="shared" si="3"/>
        <v>0</v>
      </c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29"/>
      <c r="AH185" s="129"/>
      <c r="AI185" s="129"/>
      <c r="AJ185" s="129"/>
      <c r="AK185" s="129"/>
      <c r="AL185" s="129"/>
      <c r="AM185" s="129"/>
    </row>
    <row r="186" spans="1:39" hidden="1" x14ac:dyDescent="0.25">
      <c r="A186" s="127">
        <v>185</v>
      </c>
      <c r="B186" s="152" t="s">
        <v>2518</v>
      </c>
      <c r="C186" s="153" t="s">
        <v>2519</v>
      </c>
      <c r="D186" s="153" t="s">
        <v>2520</v>
      </c>
      <c r="E186" s="153" t="s">
        <v>2086</v>
      </c>
      <c r="F186" s="6"/>
      <c r="G186" s="6"/>
      <c r="H186" s="128">
        <f t="shared" si="3"/>
        <v>0</v>
      </c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29"/>
      <c r="AH186" s="129"/>
      <c r="AI186" s="129"/>
      <c r="AJ186" s="129"/>
      <c r="AK186" s="129"/>
      <c r="AL186" s="129"/>
      <c r="AM186" s="129"/>
    </row>
    <row r="187" spans="1:39" hidden="1" x14ac:dyDescent="0.25">
      <c r="A187" s="127">
        <v>186</v>
      </c>
      <c r="B187" s="152" t="s">
        <v>2521</v>
      </c>
      <c r="C187" s="153" t="s">
        <v>2522</v>
      </c>
      <c r="D187" s="153" t="s">
        <v>2523</v>
      </c>
      <c r="E187" s="153" t="s">
        <v>2086</v>
      </c>
      <c r="F187" s="6"/>
      <c r="G187" s="6"/>
      <c r="H187" s="128">
        <f t="shared" si="3"/>
        <v>0</v>
      </c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29"/>
      <c r="AH187" s="129"/>
      <c r="AI187" s="129"/>
      <c r="AJ187" s="129"/>
      <c r="AK187" s="129"/>
      <c r="AL187" s="129"/>
      <c r="AM187" s="129"/>
    </row>
    <row r="188" spans="1:39" hidden="1" x14ac:dyDescent="0.25">
      <c r="A188" s="127">
        <v>187</v>
      </c>
      <c r="B188" s="152" t="s">
        <v>329</v>
      </c>
      <c r="C188" s="153" t="s">
        <v>2524</v>
      </c>
      <c r="D188" s="153" t="s">
        <v>2525</v>
      </c>
      <c r="E188" s="153" t="s">
        <v>4948</v>
      </c>
      <c r="F188" s="6"/>
      <c r="G188" s="6"/>
      <c r="H188" s="128">
        <f t="shared" si="3"/>
        <v>0</v>
      </c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29"/>
      <c r="AH188" s="129"/>
      <c r="AI188" s="129"/>
      <c r="AJ188" s="129"/>
      <c r="AK188" s="129"/>
      <c r="AL188" s="129"/>
      <c r="AM188" s="129"/>
    </row>
    <row r="189" spans="1:39" hidden="1" x14ac:dyDescent="0.25">
      <c r="A189" s="127">
        <v>188</v>
      </c>
      <c r="B189" s="152" t="s">
        <v>2526</v>
      </c>
      <c r="C189" s="153" t="s">
        <v>2527</v>
      </c>
      <c r="D189" s="153" t="s">
        <v>2528</v>
      </c>
      <c r="E189" s="153" t="s">
        <v>2086</v>
      </c>
      <c r="F189" s="6"/>
      <c r="G189" s="6"/>
      <c r="H189" s="128">
        <f t="shared" si="3"/>
        <v>0</v>
      </c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29"/>
      <c r="AH189" s="129"/>
      <c r="AI189" s="129"/>
      <c r="AJ189" s="129"/>
      <c r="AK189" s="129"/>
      <c r="AL189" s="129"/>
      <c r="AM189" s="129"/>
    </row>
    <row r="190" spans="1:39" hidden="1" x14ac:dyDescent="0.25">
      <c r="A190" s="127">
        <v>189</v>
      </c>
      <c r="B190" s="152" t="s">
        <v>331</v>
      </c>
      <c r="C190" s="153" t="s">
        <v>2529</v>
      </c>
      <c r="D190" s="153" t="s">
        <v>2530</v>
      </c>
      <c r="E190" s="153" t="s">
        <v>4948</v>
      </c>
      <c r="F190" s="6"/>
      <c r="G190" s="6"/>
      <c r="H190" s="128">
        <f t="shared" si="3"/>
        <v>0</v>
      </c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29"/>
      <c r="AH190" s="129"/>
      <c r="AI190" s="129"/>
      <c r="AJ190" s="129"/>
      <c r="AK190" s="129"/>
      <c r="AL190" s="129"/>
      <c r="AM190" s="129"/>
    </row>
    <row r="191" spans="1:39" hidden="1" x14ac:dyDescent="0.25">
      <c r="A191" s="127">
        <v>190</v>
      </c>
      <c r="B191" s="152" t="s">
        <v>2531</v>
      </c>
      <c r="C191" s="153" t="s">
        <v>2532</v>
      </c>
      <c r="D191" s="153" t="s">
        <v>2533</v>
      </c>
      <c r="E191" s="153" t="s">
        <v>4948</v>
      </c>
      <c r="F191" s="6"/>
      <c r="G191" s="6"/>
      <c r="H191" s="128">
        <f t="shared" si="3"/>
        <v>0</v>
      </c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29"/>
      <c r="AH191" s="129"/>
      <c r="AI191" s="129"/>
      <c r="AJ191" s="129"/>
      <c r="AK191" s="129"/>
      <c r="AL191" s="129"/>
      <c r="AM191" s="129"/>
    </row>
    <row r="192" spans="1:39" hidden="1" x14ac:dyDescent="0.25">
      <c r="A192" s="127">
        <v>191</v>
      </c>
      <c r="B192" s="152" t="s">
        <v>2534</v>
      </c>
      <c r="C192" s="153" t="s">
        <v>2535</v>
      </c>
      <c r="D192" s="153" t="s">
        <v>2536</v>
      </c>
      <c r="E192" s="153" t="s">
        <v>4948</v>
      </c>
      <c r="F192" s="6"/>
      <c r="G192" s="6"/>
      <c r="H192" s="128">
        <f t="shared" si="3"/>
        <v>0</v>
      </c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29"/>
      <c r="AH192" s="129"/>
      <c r="AI192" s="129"/>
      <c r="AJ192" s="129"/>
      <c r="AK192" s="129"/>
      <c r="AL192" s="129"/>
      <c r="AM192" s="129"/>
    </row>
    <row r="193" spans="1:39" hidden="1" x14ac:dyDescent="0.25">
      <c r="A193" s="127">
        <v>192</v>
      </c>
      <c r="B193" s="152" t="s">
        <v>245</v>
      </c>
      <c r="C193" s="153" t="s">
        <v>2537</v>
      </c>
      <c r="D193" s="153" t="s">
        <v>2538</v>
      </c>
      <c r="E193" s="153" t="s">
        <v>4948</v>
      </c>
      <c r="F193" s="6"/>
      <c r="G193" s="6"/>
      <c r="H193" s="128">
        <f t="shared" si="3"/>
        <v>0</v>
      </c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29"/>
      <c r="AH193" s="129"/>
      <c r="AI193" s="129"/>
      <c r="AJ193" s="129"/>
      <c r="AK193" s="129"/>
      <c r="AL193" s="129"/>
      <c r="AM193" s="129"/>
    </row>
    <row r="194" spans="1:39" hidden="1" x14ac:dyDescent="0.25">
      <c r="A194" s="127">
        <v>193</v>
      </c>
      <c r="B194" s="152" t="s">
        <v>2539</v>
      </c>
      <c r="C194" s="153" t="s">
        <v>2540</v>
      </c>
      <c r="D194" s="153" t="s">
        <v>2541</v>
      </c>
      <c r="E194" s="153" t="s">
        <v>4948</v>
      </c>
      <c r="F194" s="6"/>
      <c r="G194" s="6"/>
      <c r="H194" s="128">
        <f t="shared" ref="H194:H257" si="4">SUM(I194:AM194)</f>
        <v>0</v>
      </c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29"/>
      <c r="AH194" s="129"/>
      <c r="AI194" s="129"/>
      <c r="AJ194" s="129"/>
      <c r="AK194" s="129"/>
      <c r="AL194" s="129"/>
      <c r="AM194" s="129"/>
    </row>
    <row r="195" spans="1:39" hidden="1" x14ac:dyDescent="0.25">
      <c r="A195" s="127">
        <v>194</v>
      </c>
      <c r="B195" s="152" t="s">
        <v>2542</v>
      </c>
      <c r="C195" s="153" t="s">
        <v>2543</v>
      </c>
      <c r="D195" s="153" t="s">
        <v>2544</v>
      </c>
      <c r="E195" s="153" t="s">
        <v>4948</v>
      </c>
      <c r="F195" s="6"/>
      <c r="G195" s="6"/>
      <c r="H195" s="128">
        <f t="shared" si="4"/>
        <v>0</v>
      </c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29"/>
      <c r="AH195" s="129"/>
      <c r="AI195" s="129"/>
      <c r="AJ195" s="129"/>
      <c r="AK195" s="129"/>
      <c r="AL195" s="129"/>
      <c r="AM195" s="129"/>
    </row>
    <row r="196" spans="1:39" hidden="1" x14ac:dyDescent="0.25">
      <c r="A196" s="127">
        <v>195</v>
      </c>
      <c r="B196" s="152" t="s">
        <v>2545</v>
      </c>
      <c r="C196" s="153" t="s">
        <v>2546</v>
      </c>
      <c r="D196" s="153" t="s">
        <v>2547</v>
      </c>
      <c r="E196" s="153" t="s">
        <v>4948</v>
      </c>
      <c r="F196" s="6"/>
      <c r="G196" s="6"/>
      <c r="H196" s="128">
        <f t="shared" si="4"/>
        <v>0</v>
      </c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</row>
    <row r="197" spans="1:39" hidden="1" x14ac:dyDescent="0.25">
      <c r="A197" s="127">
        <v>196</v>
      </c>
      <c r="B197" s="152" t="s">
        <v>2548</v>
      </c>
      <c r="C197" s="153" t="s">
        <v>2549</v>
      </c>
      <c r="D197" s="153" t="s">
        <v>2550</v>
      </c>
      <c r="E197" s="153" t="s">
        <v>4948</v>
      </c>
      <c r="F197" s="6"/>
      <c r="G197" s="6"/>
      <c r="H197" s="128">
        <f t="shared" si="4"/>
        <v>0</v>
      </c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</row>
    <row r="198" spans="1:39" hidden="1" x14ac:dyDescent="0.25">
      <c r="A198" s="127">
        <v>197</v>
      </c>
      <c r="B198" s="152" t="s">
        <v>2551</v>
      </c>
      <c r="C198" s="153" t="s">
        <v>2552</v>
      </c>
      <c r="D198" s="153" t="s">
        <v>2553</v>
      </c>
      <c r="E198" s="153" t="s">
        <v>2086</v>
      </c>
      <c r="F198" s="6"/>
      <c r="G198" s="6"/>
      <c r="H198" s="128">
        <f t="shared" si="4"/>
        <v>0</v>
      </c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29"/>
      <c r="AH198" s="129"/>
      <c r="AI198" s="129"/>
      <c r="AJ198" s="129"/>
      <c r="AK198" s="129"/>
      <c r="AL198" s="129"/>
      <c r="AM198" s="129"/>
    </row>
    <row r="199" spans="1:39" hidden="1" x14ac:dyDescent="0.25">
      <c r="A199" s="127">
        <v>198</v>
      </c>
      <c r="B199" s="152" t="s">
        <v>2554</v>
      </c>
      <c r="C199" s="153" t="s">
        <v>2555</v>
      </c>
      <c r="D199" s="153" t="s">
        <v>2556</v>
      </c>
      <c r="E199" s="153" t="s">
        <v>2086</v>
      </c>
      <c r="F199" s="6"/>
      <c r="G199" s="6"/>
      <c r="H199" s="128">
        <f t="shared" si="4"/>
        <v>0</v>
      </c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29"/>
      <c r="AL199" s="129"/>
      <c r="AM199" s="129"/>
    </row>
    <row r="200" spans="1:39" hidden="1" x14ac:dyDescent="0.25">
      <c r="A200" s="127">
        <v>199</v>
      </c>
      <c r="B200" s="152" t="s">
        <v>2557</v>
      </c>
      <c r="C200" s="153" t="s">
        <v>2558</v>
      </c>
      <c r="D200" s="153" t="s">
        <v>2559</v>
      </c>
      <c r="E200" s="153" t="s">
        <v>4948</v>
      </c>
      <c r="F200" s="6"/>
      <c r="G200" s="6"/>
      <c r="H200" s="128">
        <f t="shared" si="4"/>
        <v>0</v>
      </c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</row>
    <row r="201" spans="1:39" hidden="1" x14ac:dyDescent="0.25">
      <c r="A201" s="127">
        <v>200</v>
      </c>
      <c r="B201" s="152" t="s">
        <v>2560</v>
      </c>
      <c r="C201" s="153" t="s">
        <v>2561</v>
      </c>
      <c r="D201" s="153" t="s">
        <v>2562</v>
      </c>
      <c r="E201" s="153" t="s">
        <v>4948</v>
      </c>
      <c r="F201" s="6"/>
      <c r="G201" s="6"/>
      <c r="H201" s="128">
        <f t="shared" si="4"/>
        <v>0</v>
      </c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</row>
    <row r="202" spans="1:39" hidden="1" x14ac:dyDescent="0.25">
      <c r="A202" s="127">
        <v>201</v>
      </c>
      <c r="B202" s="152" t="s">
        <v>1771</v>
      </c>
      <c r="C202" s="153" t="s">
        <v>2563</v>
      </c>
      <c r="D202" s="153" t="s">
        <v>2564</v>
      </c>
      <c r="E202" s="153" t="s">
        <v>64</v>
      </c>
      <c r="F202" s="6"/>
      <c r="G202" s="6"/>
      <c r="H202" s="128">
        <f t="shared" si="4"/>
        <v>0</v>
      </c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</row>
    <row r="203" spans="1:39" hidden="1" x14ac:dyDescent="0.25">
      <c r="A203" s="127">
        <v>202</v>
      </c>
      <c r="B203" s="152" t="s">
        <v>2565</v>
      </c>
      <c r="C203" s="153" t="s">
        <v>2566</v>
      </c>
      <c r="D203" s="153" t="s">
        <v>2567</v>
      </c>
      <c r="E203" s="153" t="s">
        <v>4948</v>
      </c>
      <c r="F203" s="6"/>
      <c r="G203" s="6"/>
      <c r="H203" s="128">
        <f t="shared" si="4"/>
        <v>0</v>
      </c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</row>
    <row r="204" spans="1:39" hidden="1" x14ac:dyDescent="0.25">
      <c r="A204" s="127">
        <v>203</v>
      </c>
      <c r="B204" s="152" t="s">
        <v>2568</v>
      </c>
      <c r="C204" s="153" t="s">
        <v>2569</v>
      </c>
      <c r="D204" s="153" t="s">
        <v>2570</v>
      </c>
      <c r="E204" s="153" t="s">
        <v>4948</v>
      </c>
      <c r="F204" s="6"/>
      <c r="G204" s="6"/>
      <c r="H204" s="128">
        <f t="shared" si="4"/>
        <v>0</v>
      </c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</row>
    <row r="205" spans="1:39" hidden="1" x14ac:dyDescent="0.25">
      <c r="A205" s="127">
        <v>204</v>
      </c>
      <c r="B205" s="152" t="s">
        <v>2571</v>
      </c>
      <c r="C205" s="153" t="s">
        <v>2572</v>
      </c>
      <c r="D205" s="153" t="s">
        <v>2573</v>
      </c>
      <c r="E205" s="153" t="s">
        <v>2086</v>
      </c>
      <c r="F205" s="6"/>
      <c r="G205" s="6"/>
      <c r="H205" s="128">
        <f t="shared" si="4"/>
        <v>0</v>
      </c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</row>
    <row r="206" spans="1:39" hidden="1" x14ac:dyDescent="0.25">
      <c r="A206" s="127">
        <v>205</v>
      </c>
      <c r="B206" s="152" t="s">
        <v>2574</v>
      </c>
      <c r="C206" s="153" t="s">
        <v>2575</v>
      </c>
      <c r="D206" s="153" t="s">
        <v>2576</v>
      </c>
      <c r="E206" s="153" t="s">
        <v>2086</v>
      </c>
      <c r="F206" s="6"/>
      <c r="G206" s="6"/>
      <c r="H206" s="128">
        <f t="shared" si="4"/>
        <v>0</v>
      </c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</row>
    <row r="207" spans="1:39" hidden="1" x14ac:dyDescent="0.25">
      <c r="A207" s="127">
        <v>206</v>
      </c>
      <c r="B207" s="152" t="s">
        <v>2577</v>
      </c>
      <c r="C207" s="153" t="s">
        <v>2578</v>
      </c>
      <c r="D207" s="153" t="s">
        <v>2579</v>
      </c>
      <c r="E207" s="153" t="s">
        <v>2086</v>
      </c>
      <c r="F207" s="6"/>
      <c r="G207" s="6"/>
      <c r="H207" s="128">
        <f t="shared" si="4"/>
        <v>0</v>
      </c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</row>
    <row r="208" spans="1:39" hidden="1" x14ac:dyDescent="0.25">
      <c r="A208" s="127">
        <v>207</v>
      </c>
      <c r="B208" s="152" t="s">
        <v>2580</v>
      </c>
      <c r="C208" s="153" t="s">
        <v>2581</v>
      </c>
      <c r="D208" s="153" t="s">
        <v>2582</v>
      </c>
      <c r="E208" s="153" t="s">
        <v>2086</v>
      </c>
      <c r="F208" s="6"/>
      <c r="G208" s="6"/>
      <c r="H208" s="128">
        <f t="shared" si="4"/>
        <v>0</v>
      </c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</row>
    <row r="209" spans="1:39" hidden="1" x14ac:dyDescent="0.25">
      <c r="A209" s="127">
        <v>208</v>
      </c>
      <c r="B209" s="152" t="s">
        <v>2583</v>
      </c>
      <c r="C209" s="153" t="s">
        <v>2584</v>
      </c>
      <c r="D209" s="153" t="s">
        <v>2585</v>
      </c>
      <c r="E209" s="153" t="s">
        <v>4948</v>
      </c>
      <c r="F209" s="6"/>
      <c r="G209" s="6"/>
      <c r="H209" s="128">
        <f t="shared" si="4"/>
        <v>0</v>
      </c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</row>
    <row r="210" spans="1:39" hidden="1" x14ac:dyDescent="0.25">
      <c r="A210" s="127">
        <v>209</v>
      </c>
      <c r="B210" s="152" t="s">
        <v>2586</v>
      </c>
      <c r="C210" s="153" t="s">
        <v>2587</v>
      </c>
      <c r="D210" s="153" t="s">
        <v>2588</v>
      </c>
      <c r="E210" s="153" t="s">
        <v>4948</v>
      </c>
      <c r="F210" s="6"/>
      <c r="G210" s="6"/>
      <c r="H210" s="128">
        <f t="shared" si="4"/>
        <v>0</v>
      </c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29"/>
      <c r="AH210" s="129"/>
      <c r="AI210" s="129"/>
      <c r="AJ210" s="129"/>
      <c r="AK210" s="129"/>
      <c r="AL210" s="129"/>
      <c r="AM210" s="129"/>
    </row>
    <row r="211" spans="1:39" hidden="1" x14ac:dyDescent="0.25">
      <c r="A211" s="127">
        <v>210</v>
      </c>
      <c r="B211" s="152" t="s">
        <v>2589</v>
      </c>
      <c r="C211" s="153" t="s">
        <v>2590</v>
      </c>
      <c r="D211" s="153" t="s">
        <v>2591</v>
      </c>
      <c r="E211" s="153" t="s">
        <v>2086</v>
      </c>
      <c r="F211" s="6"/>
      <c r="G211" s="6"/>
      <c r="H211" s="128">
        <f t="shared" si="4"/>
        <v>0</v>
      </c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29"/>
      <c r="AH211" s="129"/>
      <c r="AI211" s="129"/>
      <c r="AJ211" s="129"/>
      <c r="AK211" s="129"/>
      <c r="AL211" s="129"/>
      <c r="AM211" s="129"/>
    </row>
    <row r="212" spans="1:39" hidden="1" x14ac:dyDescent="0.25">
      <c r="A212" s="127">
        <v>211</v>
      </c>
      <c r="B212" s="152" t="s">
        <v>2592</v>
      </c>
      <c r="C212" s="153" t="s">
        <v>2593</v>
      </c>
      <c r="D212" s="153" t="s">
        <v>2594</v>
      </c>
      <c r="E212" s="153" t="s">
        <v>2086</v>
      </c>
      <c r="F212" s="6"/>
      <c r="G212" s="6"/>
      <c r="H212" s="128">
        <f t="shared" si="4"/>
        <v>0</v>
      </c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29"/>
      <c r="AH212" s="129"/>
      <c r="AI212" s="129"/>
      <c r="AJ212" s="129"/>
      <c r="AK212" s="129"/>
      <c r="AL212" s="129"/>
      <c r="AM212" s="129"/>
    </row>
    <row r="213" spans="1:39" hidden="1" x14ac:dyDescent="0.25">
      <c r="A213" s="127">
        <v>212</v>
      </c>
      <c r="B213" s="152" t="s">
        <v>2595</v>
      </c>
      <c r="C213" s="153" t="s">
        <v>2596</v>
      </c>
      <c r="D213" s="153" t="s">
        <v>2597</v>
      </c>
      <c r="E213" s="153" t="s">
        <v>2086</v>
      </c>
      <c r="F213" s="6"/>
      <c r="G213" s="6"/>
      <c r="H213" s="128">
        <f t="shared" si="4"/>
        <v>0</v>
      </c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29"/>
      <c r="AH213" s="129"/>
      <c r="AI213" s="129"/>
      <c r="AJ213" s="129"/>
      <c r="AK213" s="129"/>
      <c r="AL213" s="129"/>
      <c r="AM213" s="129"/>
    </row>
    <row r="214" spans="1:39" hidden="1" x14ac:dyDescent="0.25">
      <c r="A214" s="127">
        <v>213</v>
      </c>
      <c r="B214" s="152" t="s">
        <v>2598</v>
      </c>
      <c r="C214" s="153" t="s">
        <v>2599</v>
      </c>
      <c r="D214" s="153" t="s">
        <v>2600</v>
      </c>
      <c r="E214" s="153" t="s">
        <v>2086</v>
      </c>
      <c r="F214" s="6"/>
      <c r="G214" s="6"/>
      <c r="H214" s="128">
        <f t="shared" si="4"/>
        <v>0</v>
      </c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29"/>
      <c r="AH214" s="129"/>
      <c r="AI214" s="129"/>
      <c r="AJ214" s="129"/>
      <c r="AK214" s="129"/>
      <c r="AL214" s="129"/>
      <c r="AM214" s="129"/>
    </row>
    <row r="215" spans="1:39" hidden="1" x14ac:dyDescent="0.25">
      <c r="A215" s="127">
        <v>214</v>
      </c>
      <c r="B215" s="152" t="s">
        <v>2601</v>
      </c>
      <c r="C215" s="153" t="s">
        <v>2602</v>
      </c>
      <c r="D215" s="153" t="s">
        <v>2603</v>
      </c>
      <c r="E215" s="153" t="s">
        <v>2086</v>
      </c>
      <c r="F215" s="6"/>
      <c r="G215" s="6"/>
      <c r="H215" s="128">
        <f t="shared" si="4"/>
        <v>0</v>
      </c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29"/>
      <c r="AH215" s="129"/>
      <c r="AI215" s="129"/>
      <c r="AJ215" s="129"/>
      <c r="AK215" s="129"/>
      <c r="AL215" s="129"/>
      <c r="AM215" s="129"/>
    </row>
    <row r="216" spans="1:39" hidden="1" x14ac:dyDescent="0.25">
      <c r="A216" s="127">
        <v>215</v>
      </c>
      <c r="B216" s="152" t="s">
        <v>2604</v>
      </c>
      <c r="C216" s="153" t="s">
        <v>2605</v>
      </c>
      <c r="D216" s="153" t="s">
        <v>2606</v>
      </c>
      <c r="E216" s="153" t="s">
        <v>4948</v>
      </c>
      <c r="F216" s="6"/>
      <c r="G216" s="6"/>
      <c r="H216" s="128">
        <f t="shared" si="4"/>
        <v>0</v>
      </c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29"/>
      <c r="AH216" s="129"/>
      <c r="AI216" s="129"/>
      <c r="AJ216" s="129"/>
      <c r="AK216" s="129"/>
      <c r="AL216" s="129"/>
      <c r="AM216" s="129"/>
    </row>
    <row r="217" spans="1:39" hidden="1" x14ac:dyDescent="0.25">
      <c r="A217" s="127">
        <v>216</v>
      </c>
      <c r="B217" s="152" t="s">
        <v>2607</v>
      </c>
      <c r="C217" s="153" t="s">
        <v>2608</v>
      </c>
      <c r="D217" s="153" t="s">
        <v>2609</v>
      </c>
      <c r="E217" s="153" t="s">
        <v>4948</v>
      </c>
      <c r="F217" s="6"/>
      <c r="G217" s="6"/>
      <c r="H217" s="128">
        <f t="shared" si="4"/>
        <v>0</v>
      </c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29"/>
      <c r="AH217" s="129"/>
      <c r="AI217" s="129"/>
      <c r="AJ217" s="129"/>
      <c r="AK217" s="129"/>
      <c r="AL217" s="129"/>
      <c r="AM217" s="129"/>
    </row>
    <row r="218" spans="1:39" hidden="1" x14ac:dyDescent="0.25">
      <c r="A218" s="127">
        <v>217</v>
      </c>
      <c r="B218" s="152" t="s">
        <v>2610</v>
      </c>
      <c r="C218" s="153" t="s">
        <v>2611</v>
      </c>
      <c r="D218" s="153" t="s">
        <v>2612</v>
      </c>
      <c r="E218" s="153" t="s">
        <v>4948</v>
      </c>
      <c r="F218" s="6"/>
      <c r="G218" s="6"/>
      <c r="H218" s="128">
        <f t="shared" si="4"/>
        <v>0</v>
      </c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29"/>
      <c r="AH218" s="129"/>
      <c r="AI218" s="129"/>
      <c r="AJ218" s="129"/>
      <c r="AK218" s="129"/>
      <c r="AL218" s="129"/>
      <c r="AM218" s="129"/>
    </row>
    <row r="219" spans="1:39" hidden="1" x14ac:dyDescent="0.25">
      <c r="A219" s="127">
        <v>218</v>
      </c>
      <c r="B219" s="152" t="s">
        <v>2613</v>
      </c>
      <c r="C219" s="153" t="s">
        <v>2614</v>
      </c>
      <c r="D219" s="153" t="s">
        <v>2615</v>
      </c>
      <c r="E219" s="153" t="s">
        <v>2086</v>
      </c>
      <c r="F219" s="6"/>
      <c r="G219" s="6"/>
      <c r="H219" s="128">
        <f t="shared" si="4"/>
        <v>0</v>
      </c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29"/>
      <c r="AH219" s="129"/>
      <c r="AI219" s="129"/>
      <c r="AJ219" s="129"/>
      <c r="AK219" s="129"/>
      <c r="AL219" s="129"/>
      <c r="AM219" s="129"/>
    </row>
    <row r="220" spans="1:39" hidden="1" x14ac:dyDescent="0.25">
      <c r="A220" s="127">
        <v>219</v>
      </c>
      <c r="B220" s="152" t="s">
        <v>2616</v>
      </c>
      <c r="C220" s="153" t="s">
        <v>2617</v>
      </c>
      <c r="D220" s="153" t="s">
        <v>2618</v>
      </c>
      <c r="E220" s="153" t="s">
        <v>2086</v>
      </c>
      <c r="F220" s="6"/>
      <c r="G220" s="6"/>
      <c r="H220" s="128">
        <f t="shared" si="4"/>
        <v>0</v>
      </c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29"/>
      <c r="AH220" s="129"/>
      <c r="AI220" s="129"/>
      <c r="AJ220" s="129"/>
      <c r="AK220" s="129"/>
      <c r="AL220" s="129"/>
      <c r="AM220" s="129"/>
    </row>
    <row r="221" spans="1:39" hidden="1" x14ac:dyDescent="0.25">
      <c r="A221" s="127">
        <v>220</v>
      </c>
      <c r="B221" s="152" t="s">
        <v>2619</v>
      </c>
      <c r="C221" s="153" t="s">
        <v>2620</v>
      </c>
      <c r="D221" s="153" t="s">
        <v>2621</v>
      </c>
      <c r="E221" s="153" t="s">
        <v>2086</v>
      </c>
      <c r="F221" s="6"/>
      <c r="G221" s="6"/>
      <c r="H221" s="128">
        <f t="shared" si="4"/>
        <v>0</v>
      </c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29"/>
      <c r="AH221" s="129"/>
      <c r="AI221" s="129"/>
      <c r="AJ221" s="129"/>
      <c r="AK221" s="129"/>
      <c r="AL221" s="129"/>
      <c r="AM221" s="129"/>
    </row>
    <row r="222" spans="1:39" hidden="1" x14ac:dyDescent="0.25">
      <c r="A222" s="127">
        <v>221</v>
      </c>
      <c r="B222" s="152" t="s">
        <v>2622</v>
      </c>
      <c r="C222" s="153" t="s">
        <v>2623</v>
      </c>
      <c r="D222" s="153" t="s">
        <v>2624</v>
      </c>
      <c r="E222" s="153" t="s">
        <v>2086</v>
      </c>
      <c r="F222" s="6"/>
      <c r="G222" s="6"/>
      <c r="H222" s="128">
        <f t="shared" si="4"/>
        <v>0</v>
      </c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29"/>
      <c r="AH222" s="129"/>
      <c r="AI222" s="129"/>
      <c r="AJ222" s="129"/>
      <c r="AK222" s="129"/>
      <c r="AL222" s="129"/>
      <c r="AM222" s="129"/>
    </row>
    <row r="223" spans="1:39" hidden="1" x14ac:dyDescent="0.25">
      <c r="A223" s="127">
        <v>222</v>
      </c>
      <c r="B223" s="152" t="s">
        <v>2625</v>
      </c>
      <c r="C223" s="153" t="s">
        <v>2626</v>
      </c>
      <c r="D223" s="153" t="s">
        <v>2627</v>
      </c>
      <c r="E223" s="153" t="s">
        <v>4948</v>
      </c>
      <c r="F223" s="6"/>
      <c r="G223" s="6"/>
      <c r="H223" s="128">
        <f t="shared" si="4"/>
        <v>0</v>
      </c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29"/>
      <c r="AH223" s="129"/>
      <c r="AI223" s="129"/>
      <c r="AJ223" s="129"/>
      <c r="AK223" s="129"/>
      <c r="AL223" s="129"/>
      <c r="AM223" s="129"/>
    </row>
    <row r="224" spans="1:39" hidden="1" x14ac:dyDescent="0.25">
      <c r="A224" s="127">
        <v>223</v>
      </c>
      <c r="B224" s="152" t="s">
        <v>2628</v>
      </c>
      <c r="C224" s="153" t="s">
        <v>2629</v>
      </c>
      <c r="D224" s="153" t="s">
        <v>2630</v>
      </c>
      <c r="E224" s="153" t="s">
        <v>4948</v>
      </c>
      <c r="F224" s="6"/>
      <c r="G224" s="6"/>
      <c r="H224" s="128">
        <f t="shared" si="4"/>
        <v>0</v>
      </c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29"/>
      <c r="AH224" s="129"/>
      <c r="AI224" s="129"/>
      <c r="AJ224" s="129"/>
      <c r="AK224" s="129"/>
      <c r="AL224" s="129"/>
      <c r="AM224" s="129"/>
    </row>
    <row r="225" spans="1:39" hidden="1" x14ac:dyDescent="0.25">
      <c r="A225" s="127">
        <v>224</v>
      </c>
      <c r="B225" s="152" t="s">
        <v>1734</v>
      </c>
      <c r="C225" s="153" t="s">
        <v>2631</v>
      </c>
      <c r="D225" s="153" t="s">
        <v>2632</v>
      </c>
      <c r="E225" s="153" t="s">
        <v>2086</v>
      </c>
      <c r="F225" s="6"/>
      <c r="G225" s="6"/>
      <c r="H225" s="128">
        <f t="shared" si="4"/>
        <v>0</v>
      </c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29"/>
      <c r="AH225" s="129"/>
      <c r="AI225" s="129"/>
      <c r="AJ225" s="129"/>
      <c r="AK225" s="129"/>
      <c r="AL225" s="129"/>
      <c r="AM225" s="129"/>
    </row>
    <row r="226" spans="1:39" hidden="1" x14ac:dyDescent="0.25">
      <c r="A226" s="127">
        <v>225</v>
      </c>
      <c r="B226" s="152" t="s">
        <v>2633</v>
      </c>
      <c r="C226" s="153" t="s">
        <v>2634</v>
      </c>
      <c r="D226" s="153" t="s">
        <v>2635</v>
      </c>
      <c r="E226" s="153" t="s">
        <v>4948</v>
      </c>
      <c r="F226" s="6"/>
      <c r="G226" s="6"/>
      <c r="H226" s="128">
        <f t="shared" si="4"/>
        <v>0</v>
      </c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29"/>
      <c r="AH226" s="129"/>
      <c r="AI226" s="129"/>
      <c r="AJ226" s="129"/>
      <c r="AK226" s="129"/>
      <c r="AL226" s="129"/>
      <c r="AM226" s="129"/>
    </row>
    <row r="227" spans="1:39" hidden="1" x14ac:dyDescent="0.25">
      <c r="A227" s="127">
        <v>226</v>
      </c>
      <c r="B227" s="152" t="s">
        <v>2636</v>
      </c>
      <c r="C227" s="153" t="s">
        <v>2637</v>
      </c>
      <c r="D227" s="153" t="s">
        <v>2638</v>
      </c>
      <c r="E227" s="153" t="s">
        <v>4948</v>
      </c>
      <c r="F227" s="6"/>
      <c r="G227" s="6"/>
      <c r="H227" s="128">
        <f t="shared" si="4"/>
        <v>0</v>
      </c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29"/>
      <c r="AH227" s="129"/>
      <c r="AI227" s="129"/>
      <c r="AJ227" s="129"/>
      <c r="AK227" s="129"/>
      <c r="AL227" s="129"/>
      <c r="AM227" s="129"/>
    </row>
    <row r="228" spans="1:39" hidden="1" x14ac:dyDescent="0.25">
      <c r="A228" s="127">
        <v>227</v>
      </c>
      <c r="B228" s="152" t="s">
        <v>2639</v>
      </c>
      <c r="C228" s="153" t="s">
        <v>2640</v>
      </c>
      <c r="D228" s="153" t="s">
        <v>2641</v>
      </c>
      <c r="E228" s="153" t="s">
        <v>4948</v>
      </c>
      <c r="F228" s="6"/>
      <c r="G228" s="6"/>
      <c r="H228" s="128">
        <f t="shared" si="4"/>
        <v>0</v>
      </c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  <c r="AD228" s="129"/>
      <c r="AE228" s="129"/>
      <c r="AF228" s="129"/>
      <c r="AG228" s="129"/>
      <c r="AH228" s="129"/>
      <c r="AI228" s="129"/>
      <c r="AJ228" s="129"/>
      <c r="AK228" s="129"/>
      <c r="AL228" s="129"/>
      <c r="AM228" s="129"/>
    </row>
    <row r="229" spans="1:39" hidden="1" x14ac:dyDescent="0.25">
      <c r="A229" s="127">
        <v>228</v>
      </c>
      <c r="B229" s="152" t="s">
        <v>2642</v>
      </c>
      <c r="C229" s="153" t="s">
        <v>2643</v>
      </c>
      <c r="D229" s="153" t="s">
        <v>2644</v>
      </c>
      <c r="E229" s="153" t="s">
        <v>2086</v>
      </c>
      <c r="F229" s="6"/>
      <c r="G229" s="6"/>
      <c r="H229" s="128">
        <f t="shared" si="4"/>
        <v>0</v>
      </c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29"/>
      <c r="AH229" s="129"/>
      <c r="AI229" s="129"/>
      <c r="AJ229" s="129"/>
      <c r="AK229" s="129"/>
      <c r="AL229" s="129"/>
      <c r="AM229" s="129"/>
    </row>
    <row r="230" spans="1:39" hidden="1" x14ac:dyDescent="0.25">
      <c r="A230" s="127">
        <v>229</v>
      </c>
      <c r="B230" s="152" t="s">
        <v>2645</v>
      </c>
      <c r="C230" s="153" t="s">
        <v>2646</v>
      </c>
      <c r="D230" s="153" t="s">
        <v>2647</v>
      </c>
      <c r="E230" s="153" t="s">
        <v>2086</v>
      </c>
      <c r="F230" s="6"/>
      <c r="G230" s="6"/>
      <c r="H230" s="128">
        <f t="shared" si="4"/>
        <v>0</v>
      </c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29"/>
      <c r="AH230" s="129"/>
      <c r="AI230" s="129"/>
      <c r="AJ230" s="129"/>
      <c r="AK230" s="129"/>
      <c r="AL230" s="129"/>
      <c r="AM230" s="129"/>
    </row>
    <row r="231" spans="1:39" hidden="1" x14ac:dyDescent="0.25">
      <c r="A231" s="127">
        <v>230</v>
      </c>
      <c r="B231" s="152" t="s">
        <v>2648</v>
      </c>
      <c r="C231" s="153" t="s">
        <v>2649</v>
      </c>
      <c r="D231" s="153" t="s">
        <v>2650</v>
      </c>
      <c r="E231" s="153" t="s">
        <v>4948</v>
      </c>
      <c r="F231" s="6"/>
      <c r="G231" s="6"/>
      <c r="H231" s="128">
        <f t="shared" si="4"/>
        <v>0</v>
      </c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29"/>
      <c r="AH231" s="129"/>
      <c r="AI231" s="129"/>
      <c r="AJ231" s="129"/>
      <c r="AK231" s="129"/>
      <c r="AL231" s="129"/>
      <c r="AM231" s="129"/>
    </row>
    <row r="232" spans="1:39" hidden="1" x14ac:dyDescent="0.25">
      <c r="A232" s="127">
        <v>231</v>
      </c>
      <c r="B232" s="152" t="s">
        <v>2652</v>
      </c>
      <c r="C232" s="153" t="s">
        <v>2653</v>
      </c>
      <c r="D232" s="153" t="s">
        <v>2654</v>
      </c>
      <c r="E232" s="153" t="s">
        <v>4948</v>
      </c>
      <c r="F232" s="6"/>
      <c r="G232" s="6"/>
      <c r="H232" s="128">
        <f t="shared" si="4"/>
        <v>0</v>
      </c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29"/>
      <c r="AH232" s="129"/>
      <c r="AI232" s="129"/>
      <c r="AJ232" s="129"/>
      <c r="AK232" s="129"/>
      <c r="AL232" s="129"/>
      <c r="AM232" s="129"/>
    </row>
    <row r="233" spans="1:39" hidden="1" x14ac:dyDescent="0.25">
      <c r="A233" s="127">
        <v>232</v>
      </c>
      <c r="B233" s="152" t="s">
        <v>2655</v>
      </c>
      <c r="C233" s="153" t="s">
        <v>2656</v>
      </c>
      <c r="D233" s="153" t="s">
        <v>2657</v>
      </c>
      <c r="E233" s="153" t="s">
        <v>4948</v>
      </c>
      <c r="F233" s="6"/>
      <c r="G233" s="6"/>
      <c r="H233" s="128">
        <f t="shared" si="4"/>
        <v>0</v>
      </c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29"/>
      <c r="AH233" s="129"/>
      <c r="AI233" s="129"/>
      <c r="AJ233" s="129"/>
      <c r="AK233" s="129"/>
      <c r="AL233" s="129"/>
      <c r="AM233" s="129"/>
    </row>
    <row r="234" spans="1:39" hidden="1" x14ac:dyDescent="0.25">
      <c r="A234" s="127">
        <v>233</v>
      </c>
      <c r="B234" s="152" t="s">
        <v>2658</v>
      </c>
      <c r="C234" s="153" t="s">
        <v>2659</v>
      </c>
      <c r="D234" s="153" t="s">
        <v>2660</v>
      </c>
      <c r="E234" s="153" t="s">
        <v>4948</v>
      </c>
      <c r="F234" s="6"/>
      <c r="G234" s="6"/>
      <c r="H234" s="128">
        <f t="shared" si="4"/>
        <v>0</v>
      </c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</row>
    <row r="235" spans="1:39" hidden="1" x14ac:dyDescent="0.25">
      <c r="A235" s="127">
        <v>234</v>
      </c>
      <c r="B235" s="152" t="s">
        <v>2661</v>
      </c>
      <c r="C235" s="153" t="s">
        <v>2662</v>
      </c>
      <c r="D235" s="153" t="s">
        <v>2663</v>
      </c>
      <c r="E235" s="153" t="s">
        <v>4948</v>
      </c>
      <c r="F235" s="6"/>
      <c r="G235" s="6"/>
      <c r="H235" s="128">
        <f t="shared" si="4"/>
        <v>0</v>
      </c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</row>
    <row r="236" spans="1:39" hidden="1" x14ac:dyDescent="0.25">
      <c r="A236" s="127">
        <v>235</v>
      </c>
      <c r="B236" s="152" t="s">
        <v>2664</v>
      </c>
      <c r="C236" s="153" t="s">
        <v>2665</v>
      </c>
      <c r="D236" s="153" t="s">
        <v>2666</v>
      </c>
      <c r="E236" s="153" t="s">
        <v>4948</v>
      </c>
      <c r="F236" s="6"/>
      <c r="G236" s="6"/>
      <c r="H236" s="128">
        <f t="shared" si="4"/>
        <v>0</v>
      </c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  <c r="AD236" s="129"/>
      <c r="AE236" s="129"/>
      <c r="AF236" s="129"/>
      <c r="AG236" s="129"/>
      <c r="AH236" s="129"/>
      <c r="AI236" s="129"/>
      <c r="AJ236" s="129"/>
      <c r="AK236" s="129"/>
      <c r="AL236" s="129"/>
      <c r="AM236" s="129"/>
    </row>
    <row r="237" spans="1:39" hidden="1" x14ac:dyDescent="0.25">
      <c r="A237" s="127">
        <v>236</v>
      </c>
      <c r="B237" s="152" t="s">
        <v>2667</v>
      </c>
      <c r="C237" s="153" t="s">
        <v>2668</v>
      </c>
      <c r="D237" s="153" t="s">
        <v>2669</v>
      </c>
      <c r="E237" s="153" t="s">
        <v>2086</v>
      </c>
      <c r="F237" s="6"/>
      <c r="G237" s="6"/>
      <c r="H237" s="128">
        <f t="shared" si="4"/>
        <v>0</v>
      </c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29"/>
      <c r="AL237" s="129"/>
      <c r="AM237" s="129"/>
    </row>
    <row r="238" spans="1:39" hidden="1" x14ac:dyDescent="0.25">
      <c r="A238" s="127">
        <v>237</v>
      </c>
      <c r="B238" s="152" t="s">
        <v>2670</v>
      </c>
      <c r="C238" s="153" t="s">
        <v>2671</v>
      </c>
      <c r="D238" s="153" t="s">
        <v>2672</v>
      </c>
      <c r="E238" s="153" t="s">
        <v>4948</v>
      </c>
      <c r="F238" s="6"/>
      <c r="G238" s="6"/>
      <c r="H238" s="128">
        <f t="shared" si="4"/>
        <v>0</v>
      </c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</row>
    <row r="239" spans="1:39" hidden="1" x14ac:dyDescent="0.25">
      <c r="A239" s="127">
        <v>238</v>
      </c>
      <c r="B239" s="152" t="s">
        <v>2673</v>
      </c>
      <c r="C239" s="153" t="s">
        <v>2674</v>
      </c>
      <c r="D239" s="153" t="s">
        <v>2675</v>
      </c>
      <c r="E239" s="153" t="s">
        <v>4948</v>
      </c>
      <c r="F239" s="6"/>
      <c r="G239" s="6"/>
      <c r="H239" s="128">
        <f t="shared" si="4"/>
        <v>0</v>
      </c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</row>
    <row r="240" spans="1:39" hidden="1" x14ac:dyDescent="0.25">
      <c r="A240" s="127">
        <v>239</v>
      </c>
      <c r="B240" s="152" t="s">
        <v>2676</v>
      </c>
      <c r="C240" s="153" t="s">
        <v>2677</v>
      </c>
      <c r="D240" s="153" t="s">
        <v>2678</v>
      </c>
      <c r="E240" s="153" t="s">
        <v>4948</v>
      </c>
      <c r="F240" s="6"/>
      <c r="G240" s="6"/>
      <c r="H240" s="128">
        <f t="shared" si="4"/>
        <v>0</v>
      </c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</row>
    <row r="241" spans="1:39" hidden="1" x14ac:dyDescent="0.25">
      <c r="A241" s="127">
        <v>240</v>
      </c>
      <c r="B241" s="152" t="s">
        <v>2679</v>
      </c>
      <c r="C241" s="153" t="s">
        <v>2680</v>
      </c>
      <c r="D241" s="153" t="s">
        <v>2681</v>
      </c>
      <c r="E241" s="153" t="s">
        <v>4948</v>
      </c>
      <c r="F241" s="6"/>
      <c r="G241" s="6"/>
      <c r="H241" s="128">
        <f t="shared" si="4"/>
        <v>0</v>
      </c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</row>
    <row r="242" spans="1:39" hidden="1" x14ac:dyDescent="0.25">
      <c r="A242" s="127">
        <v>241</v>
      </c>
      <c r="B242" s="152" t="s">
        <v>2682</v>
      </c>
      <c r="C242" s="153" t="s">
        <v>2683</v>
      </c>
      <c r="D242" s="153" t="s">
        <v>2684</v>
      </c>
      <c r="E242" s="153" t="s">
        <v>4948</v>
      </c>
      <c r="F242" s="6"/>
      <c r="G242" s="6"/>
      <c r="H242" s="128">
        <f t="shared" si="4"/>
        <v>0</v>
      </c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</row>
    <row r="243" spans="1:39" hidden="1" x14ac:dyDescent="0.25">
      <c r="A243" s="127">
        <v>242</v>
      </c>
      <c r="B243" s="152" t="s">
        <v>2685</v>
      </c>
      <c r="C243" s="153" t="s">
        <v>2686</v>
      </c>
      <c r="D243" s="153" t="s">
        <v>2687</v>
      </c>
      <c r="E243" s="153" t="s">
        <v>4948</v>
      </c>
      <c r="F243" s="6"/>
      <c r="G243" s="6"/>
      <c r="H243" s="128">
        <f t="shared" si="4"/>
        <v>0</v>
      </c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</row>
    <row r="244" spans="1:39" hidden="1" x14ac:dyDescent="0.25">
      <c r="A244" s="127">
        <v>243</v>
      </c>
      <c r="B244" s="152" t="s">
        <v>2688</v>
      </c>
      <c r="C244" s="153" t="s">
        <v>2689</v>
      </c>
      <c r="D244" s="153" t="s">
        <v>2690</v>
      </c>
      <c r="E244" s="153" t="s">
        <v>4948</v>
      </c>
      <c r="F244" s="6"/>
      <c r="G244" s="6"/>
      <c r="H244" s="128">
        <f t="shared" si="4"/>
        <v>0</v>
      </c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</row>
    <row r="245" spans="1:39" hidden="1" x14ac:dyDescent="0.25">
      <c r="A245" s="127">
        <v>244</v>
      </c>
      <c r="B245" s="152" t="s">
        <v>2691</v>
      </c>
      <c r="C245" s="153" t="s">
        <v>2692</v>
      </c>
      <c r="D245" s="153" t="s">
        <v>2693</v>
      </c>
      <c r="E245" s="153" t="s">
        <v>4948</v>
      </c>
      <c r="F245" s="6"/>
      <c r="G245" s="6"/>
      <c r="H245" s="128">
        <f t="shared" si="4"/>
        <v>0</v>
      </c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</row>
    <row r="246" spans="1:39" hidden="1" x14ac:dyDescent="0.25">
      <c r="A246" s="127">
        <v>245</v>
      </c>
      <c r="B246" s="152" t="s">
        <v>2694</v>
      </c>
      <c r="C246" s="153" t="s">
        <v>2695</v>
      </c>
      <c r="D246" s="153" t="s">
        <v>2696</v>
      </c>
      <c r="E246" s="153" t="s">
        <v>4948</v>
      </c>
      <c r="F246" s="6"/>
      <c r="G246" s="6"/>
      <c r="H246" s="128">
        <f t="shared" si="4"/>
        <v>0</v>
      </c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</row>
    <row r="247" spans="1:39" hidden="1" x14ac:dyDescent="0.25">
      <c r="A247" s="127">
        <v>246</v>
      </c>
      <c r="B247" s="152" t="s">
        <v>2697</v>
      </c>
      <c r="C247" s="153" t="s">
        <v>2698</v>
      </c>
      <c r="D247" s="153" t="s">
        <v>2699</v>
      </c>
      <c r="E247" s="153" t="s">
        <v>4948</v>
      </c>
      <c r="F247" s="6"/>
      <c r="G247" s="6"/>
      <c r="H247" s="128">
        <f t="shared" si="4"/>
        <v>0</v>
      </c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</row>
    <row r="248" spans="1:39" hidden="1" x14ac:dyDescent="0.25">
      <c r="A248" s="127">
        <v>247</v>
      </c>
      <c r="B248" s="152" t="s">
        <v>2700</v>
      </c>
      <c r="C248" s="153" t="s">
        <v>2701</v>
      </c>
      <c r="D248" s="153" t="s">
        <v>2702</v>
      </c>
      <c r="E248" s="153" t="s">
        <v>4948</v>
      </c>
      <c r="F248" s="6"/>
      <c r="G248" s="6"/>
      <c r="H248" s="128">
        <f t="shared" si="4"/>
        <v>0</v>
      </c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  <c r="AA248" s="129"/>
      <c r="AB248" s="129"/>
      <c r="AC248" s="129"/>
      <c r="AD248" s="129"/>
      <c r="AE248" s="129"/>
      <c r="AF248" s="129"/>
      <c r="AG248" s="129"/>
      <c r="AH248" s="129"/>
      <c r="AI248" s="129"/>
      <c r="AJ248" s="129"/>
      <c r="AK248" s="129"/>
      <c r="AL248" s="129"/>
      <c r="AM248" s="129"/>
    </row>
    <row r="249" spans="1:39" hidden="1" x14ac:dyDescent="0.25">
      <c r="A249" s="127">
        <v>248</v>
      </c>
      <c r="B249" s="152" t="s">
        <v>2703</v>
      </c>
      <c r="C249" s="153" t="s">
        <v>2704</v>
      </c>
      <c r="D249" s="153" t="s">
        <v>2705</v>
      </c>
      <c r="E249" s="153" t="s">
        <v>4948</v>
      </c>
      <c r="F249" s="6"/>
      <c r="G249" s="6"/>
      <c r="H249" s="128">
        <f t="shared" si="4"/>
        <v>0</v>
      </c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  <c r="AA249" s="129"/>
      <c r="AB249" s="129"/>
      <c r="AC249" s="129"/>
      <c r="AD249" s="129"/>
      <c r="AE249" s="129"/>
      <c r="AF249" s="129"/>
      <c r="AG249" s="129"/>
      <c r="AH249" s="129"/>
      <c r="AI249" s="129"/>
      <c r="AJ249" s="129"/>
      <c r="AK249" s="129"/>
      <c r="AL249" s="129"/>
      <c r="AM249" s="129"/>
    </row>
    <row r="250" spans="1:39" hidden="1" x14ac:dyDescent="0.25">
      <c r="A250" s="127">
        <v>249</v>
      </c>
      <c r="B250" s="152" t="s">
        <v>2706</v>
      </c>
      <c r="C250" s="153" t="s">
        <v>2707</v>
      </c>
      <c r="D250" s="153" t="s">
        <v>2708</v>
      </c>
      <c r="E250" s="153" t="s">
        <v>4948</v>
      </c>
      <c r="F250" s="6"/>
      <c r="G250" s="6"/>
      <c r="H250" s="128">
        <f t="shared" si="4"/>
        <v>0</v>
      </c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  <c r="AA250" s="129"/>
      <c r="AB250" s="129"/>
      <c r="AC250" s="129"/>
      <c r="AD250" s="129"/>
      <c r="AE250" s="129"/>
      <c r="AF250" s="129"/>
      <c r="AG250" s="129"/>
      <c r="AH250" s="129"/>
      <c r="AI250" s="129"/>
      <c r="AJ250" s="129"/>
      <c r="AK250" s="129"/>
      <c r="AL250" s="129"/>
      <c r="AM250" s="129"/>
    </row>
    <row r="251" spans="1:39" hidden="1" x14ac:dyDescent="0.25">
      <c r="A251" s="127">
        <v>250</v>
      </c>
      <c r="B251" s="152" t="s">
        <v>2709</v>
      </c>
      <c r="C251" s="153" t="s">
        <v>2710</v>
      </c>
      <c r="D251" s="153" t="s">
        <v>2711</v>
      </c>
      <c r="E251" s="153" t="s">
        <v>4948</v>
      </c>
      <c r="F251" s="6"/>
      <c r="G251" s="6"/>
      <c r="H251" s="128">
        <f t="shared" si="4"/>
        <v>0</v>
      </c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  <c r="AA251" s="129"/>
      <c r="AB251" s="129"/>
      <c r="AC251" s="129"/>
      <c r="AD251" s="129"/>
      <c r="AE251" s="129"/>
      <c r="AF251" s="129"/>
      <c r="AG251" s="129"/>
      <c r="AH251" s="129"/>
      <c r="AI251" s="129"/>
      <c r="AJ251" s="129"/>
      <c r="AK251" s="129"/>
      <c r="AL251" s="129"/>
      <c r="AM251" s="129"/>
    </row>
    <row r="252" spans="1:39" hidden="1" x14ac:dyDescent="0.25">
      <c r="A252" s="127">
        <v>251</v>
      </c>
      <c r="B252" s="152" t="s">
        <v>2712</v>
      </c>
      <c r="C252" s="153" t="s">
        <v>2713</v>
      </c>
      <c r="D252" s="153" t="s">
        <v>2714</v>
      </c>
      <c r="E252" s="153" t="s">
        <v>4948</v>
      </c>
      <c r="F252" s="6"/>
      <c r="G252" s="6"/>
      <c r="H252" s="128">
        <f t="shared" si="4"/>
        <v>0</v>
      </c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  <c r="AA252" s="129"/>
      <c r="AB252" s="129"/>
      <c r="AC252" s="129"/>
      <c r="AD252" s="129"/>
      <c r="AE252" s="129"/>
      <c r="AF252" s="129"/>
      <c r="AG252" s="129"/>
      <c r="AH252" s="129"/>
      <c r="AI252" s="129"/>
      <c r="AJ252" s="129"/>
      <c r="AK252" s="129"/>
      <c r="AL252" s="129"/>
      <c r="AM252" s="129"/>
    </row>
    <row r="253" spans="1:39" hidden="1" x14ac:dyDescent="0.25">
      <c r="A253" s="127">
        <v>252</v>
      </c>
      <c r="B253" s="152" t="s">
        <v>2715</v>
      </c>
      <c r="C253" s="153" t="s">
        <v>2716</v>
      </c>
      <c r="D253" s="153" t="s">
        <v>2717</v>
      </c>
      <c r="E253" s="153" t="s">
        <v>4948</v>
      </c>
      <c r="F253" s="6"/>
      <c r="G253" s="6"/>
      <c r="H253" s="128">
        <f t="shared" si="4"/>
        <v>0</v>
      </c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  <c r="AA253" s="129"/>
      <c r="AB253" s="129"/>
      <c r="AC253" s="129"/>
      <c r="AD253" s="129"/>
      <c r="AE253" s="129"/>
      <c r="AF253" s="129"/>
      <c r="AG253" s="129"/>
      <c r="AH253" s="129"/>
      <c r="AI253" s="129"/>
      <c r="AJ253" s="129"/>
      <c r="AK253" s="129"/>
      <c r="AL253" s="129"/>
      <c r="AM253" s="129"/>
    </row>
    <row r="254" spans="1:39" hidden="1" x14ac:dyDescent="0.25">
      <c r="A254" s="127">
        <v>253</v>
      </c>
      <c r="B254" s="152" t="s">
        <v>2718</v>
      </c>
      <c r="C254" s="153" t="s">
        <v>2719</v>
      </c>
      <c r="D254" s="153" t="s">
        <v>2720</v>
      </c>
      <c r="E254" s="153" t="s">
        <v>4948</v>
      </c>
      <c r="F254" s="6"/>
      <c r="G254" s="6"/>
      <c r="H254" s="128">
        <f t="shared" si="4"/>
        <v>0</v>
      </c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  <c r="AA254" s="129"/>
      <c r="AB254" s="129"/>
      <c r="AC254" s="129"/>
      <c r="AD254" s="129"/>
      <c r="AE254" s="129"/>
      <c r="AF254" s="129"/>
      <c r="AG254" s="129"/>
      <c r="AH254" s="129"/>
      <c r="AI254" s="129"/>
      <c r="AJ254" s="129"/>
      <c r="AK254" s="129"/>
      <c r="AL254" s="129"/>
      <c r="AM254" s="129"/>
    </row>
    <row r="255" spans="1:39" hidden="1" x14ac:dyDescent="0.25">
      <c r="A255" s="127">
        <v>254</v>
      </c>
      <c r="B255" s="152" t="s">
        <v>2721</v>
      </c>
      <c r="C255" s="153" t="s">
        <v>2722</v>
      </c>
      <c r="D255" s="153" t="s">
        <v>2723</v>
      </c>
      <c r="E255" s="153" t="s">
        <v>2086</v>
      </c>
      <c r="F255" s="6"/>
      <c r="G255" s="6"/>
      <c r="H255" s="128">
        <f t="shared" si="4"/>
        <v>0</v>
      </c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  <c r="AA255" s="129"/>
      <c r="AB255" s="129"/>
      <c r="AC255" s="129"/>
      <c r="AD255" s="129"/>
      <c r="AE255" s="129"/>
      <c r="AF255" s="129"/>
      <c r="AG255" s="129"/>
      <c r="AH255" s="129"/>
      <c r="AI255" s="129"/>
      <c r="AJ255" s="129"/>
      <c r="AK255" s="129"/>
      <c r="AL255" s="129"/>
      <c r="AM255" s="129"/>
    </row>
    <row r="256" spans="1:39" hidden="1" x14ac:dyDescent="0.25">
      <c r="A256" s="127">
        <v>255</v>
      </c>
      <c r="B256" s="152" t="s">
        <v>2724</v>
      </c>
      <c r="C256" s="153" t="s">
        <v>2725</v>
      </c>
      <c r="D256" s="153" t="s">
        <v>2726</v>
      </c>
      <c r="E256" s="153" t="s">
        <v>4948</v>
      </c>
      <c r="F256" s="6"/>
      <c r="G256" s="6"/>
      <c r="H256" s="128">
        <f t="shared" si="4"/>
        <v>0</v>
      </c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  <c r="AA256" s="129"/>
      <c r="AB256" s="129"/>
      <c r="AC256" s="129"/>
      <c r="AD256" s="129"/>
      <c r="AE256" s="129"/>
      <c r="AF256" s="129"/>
      <c r="AG256" s="129"/>
      <c r="AH256" s="129"/>
      <c r="AI256" s="129"/>
      <c r="AJ256" s="129"/>
      <c r="AK256" s="129"/>
      <c r="AL256" s="129"/>
      <c r="AM256" s="129"/>
    </row>
    <row r="257" spans="1:39" hidden="1" x14ac:dyDescent="0.25">
      <c r="A257" s="127">
        <v>256</v>
      </c>
      <c r="B257" s="152" t="s">
        <v>2728</v>
      </c>
      <c r="C257" s="153" t="s">
        <v>2729</v>
      </c>
      <c r="D257" s="153" t="s">
        <v>2730</v>
      </c>
      <c r="E257" s="153" t="s">
        <v>4948</v>
      </c>
      <c r="F257" s="6"/>
      <c r="G257" s="6"/>
      <c r="H257" s="128">
        <f t="shared" si="4"/>
        <v>0</v>
      </c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  <c r="AA257" s="129"/>
      <c r="AB257" s="129"/>
      <c r="AC257" s="129"/>
      <c r="AD257" s="129"/>
      <c r="AE257" s="129"/>
      <c r="AF257" s="129"/>
      <c r="AG257" s="129"/>
      <c r="AH257" s="129"/>
      <c r="AI257" s="129"/>
      <c r="AJ257" s="129"/>
      <c r="AK257" s="129"/>
      <c r="AL257" s="129"/>
      <c r="AM257" s="129"/>
    </row>
    <row r="258" spans="1:39" hidden="1" x14ac:dyDescent="0.25">
      <c r="A258" s="127">
        <v>257</v>
      </c>
      <c r="B258" s="152" t="s">
        <v>2731</v>
      </c>
      <c r="C258" s="153" t="s">
        <v>2732</v>
      </c>
      <c r="D258" s="153" t="s">
        <v>2733</v>
      </c>
      <c r="E258" s="153" t="s">
        <v>4948</v>
      </c>
      <c r="F258" s="6"/>
      <c r="G258" s="6"/>
      <c r="H258" s="128">
        <f t="shared" ref="H258:H321" si="5">SUM(I258:AM258)</f>
        <v>0</v>
      </c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  <c r="AA258" s="129"/>
      <c r="AB258" s="129"/>
      <c r="AC258" s="129"/>
      <c r="AD258" s="129"/>
      <c r="AE258" s="129"/>
      <c r="AF258" s="129"/>
      <c r="AG258" s="129"/>
      <c r="AH258" s="129"/>
      <c r="AI258" s="129"/>
      <c r="AJ258" s="129"/>
      <c r="AK258" s="129"/>
      <c r="AL258" s="129"/>
      <c r="AM258" s="129"/>
    </row>
    <row r="259" spans="1:39" hidden="1" x14ac:dyDescent="0.25">
      <c r="A259" s="127">
        <v>258</v>
      </c>
      <c r="B259" s="152" t="s">
        <v>2734</v>
      </c>
      <c r="C259" s="153" t="s">
        <v>2735</v>
      </c>
      <c r="D259" s="153" t="s">
        <v>2736</v>
      </c>
      <c r="E259" s="153" t="s">
        <v>4948</v>
      </c>
      <c r="F259" s="6"/>
      <c r="G259" s="6"/>
      <c r="H259" s="128">
        <f t="shared" si="5"/>
        <v>0</v>
      </c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  <c r="AA259" s="129"/>
      <c r="AB259" s="129"/>
      <c r="AC259" s="129"/>
      <c r="AD259" s="129"/>
      <c r="AE259" s="129"/>
      <c r="AF259" s="129"/>
      <c r="AG259" s="129"/>
      <c r="AH259" s="129"/>
      <c r="AI259" s="129"/>
      <c r="AJ259" s="129"/>
      <c r="AK259" s="129"/>
      <c r="AL259" s="129"/>
      <c r="AM259" s="129"/>
    </row>
    <row r="260" spans="1:39" hidden="1" x14ac:dyDescent="0.25">
      <c r="A260" s="127">
        <v>259</v>
      </c>
      <c r="B260" s="152" t="s">
        <v>2737</v>
      </c>
      <c r="C260" s="153" t="s">
        <v>2738</v>
      </c>
      <c r="D260" s="153" t="s">
        <v>2739</v>
      </c>
      <c r="E260" s="153" t="s">
        <v>4948</v>
      </c>
      <c r="F260" s="6"/>
      <c r="G260" s="6"/>
      <c r="H260" s="128">
        <f t="shared" si="5"/>
        <v>0</v>
      </c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  <c r="AA260" s="129"/>
      <c r="AB260" s="129"/>
      <c r="AC260" s="129"/>
      <c r="AD260" s="129"/>
      <c r="AE260" s="129"/>
      <c r="AF260" s="129"/>
      <c r="AG260" s="129"/>
      <c r="AH260" s="129"/>
      <c r="AI260" s="129"/>
      <c r="AJ260" s="129"/>
      <c r="AK260" s="129"/>
      <c r="AL260" s="129"/>
      <c r="AM260" s="129"/>
    </row>
    <row r="261" spans="1:39" hidden="1" x14ac:dyDescent="0.25">
      <c r="A261" s="127">
        <v>260</v>
      </c>
      <c r="B261" s="152" t="s">
        <v>2740</v>
      </c>
      <c r="C261" s="153" t="s">
        <v>2741</v>
      </c>
      <c r="D261" s="153" t="s">
        <v>2742</v>
      </c>
      <c r="E261" s="153" t="s">
        <v>4948</v>
      </c>
      <c r="F261" s="6"/>
      <c r="G261" s="6"/>
      <c r="H261" s="128">
        <f t="shared" si="5"/>
        <v>0</v>
      </c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  <c r="AA261" s="129"/>
      <c r="AB261" s="129"/>
      <c r="AC261" s="129"/>
      <c r="AD261" s="129"/>
      <c r="AE261" s="129"/>
      <c r="AF261" s="129"/>
      <c r="AG261" s="129"/>
      <c r="AH261" s="129"/>
      <c r="AI261" s="129"/>
      <c r="AJ261" s="129"/>
      <c r="AK261" s="129"/>
      <c r="AL261" s="129"/>
      <c r="AM261" s="129"/>
    </row>
    <row r="262" spans="1:39" hidden="1" x14ac:dyDescent="0.25">
      <c r="A262" s="127">
        <v>261</v>
      </c>
      <c r="B262" s="152" t="s">
        <v>2743</v>
      </c>
      <c r="C262" s="153" t="s">
        <v>2744</v>
      </c>
      <c r="D262" s="153" t="s">
        <v>2745</v>
      </c>
      <c r="E262" s="153" t="s">
        <v>4948</v>
      </c>
      <c r="F262" s="6"/>
      <c r="G262" s="6"/>
      <c r="H262" s="128">
        <f t="shared" si="5"/>
        <v>0</v>
      </c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  <c r="AA262" s="129"/>
      <c r="AB262" s="129"/>
      <c r="AC262" s="129"/>
      <c r="AD262" s="129"/>
      <c r="AE262" s="129"/>
      <c r="AF262" s="129"/>
      <c r="AG262" s="129"/>
      <c r="AH262" s="129"/>
      <c r="AI262" s="129"/>
      <c r="AJ262" s="129"/>
      <c r="AK262" s="129"/>
      <c r="AL262" s="129"/>
      <c r="AM262" s="129"/>
    </row>
    <row r="263" spans="1:39" hidden="1" x14ac:dyDescent="0.25">
      <c r="A263" s="127">
        <v>262</v>
      </c>
      <c r="B263" s="152" t="s">
        <v>2747</v>
      </c>
      <c r="C263" s="153" t="s">
        <v>2748</v>
      </c>
      <c r="D263" s="153" t="s">
        <v>2749</v>
      </c>
      <c r="E263" s="153" t="s">
        <v>4948</v>
      </c>
      <c r="F263" s="6"/>
      <c r="G263" s="6"/>
      <c r="H263" s="128">
        <f t="shared" si="5"/>
        <v>0</v>
      </c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  <c r="AA263" s="129"/>
      <c r="AB263" s="129"/>
      <c r="AC263" s="129"/>
      <c r="AD263" s="129"/>
      <c r="AE263" s="129"/>
      <c r="AF263" s="129"/>
      <c r="AG263" s="129"/>
      <c r="AH263" s="129"/>
      <c r="AI263" s="129"/>
      <c r="AJ263" s="129"/>
      <c r="AK263" s="129"/>
      <c r="AL263" s="129"/>
      <c r="AM263" s="129"/>
    </row>
    <row r="264" spans="1:39" hidden="1" x14ac:dyDescent="0.25">
      <c r="A264" s="127">
        <v>263</v>
      </c>
      <c r="B264" s="152" t="s">
        <v>2750</v>
      </c>
      <c r="C264" s="153" t="s">
        <v>2751</v>
      </c>
      <c r="D264" s="153" t="s">
        <v>2752</v>
      </c>
      <c r="E264" s="153" t="s">
        <v>4948</v>
      </c>
      <c r="F264" s="6"/>
      <c r="G264" s="6"/>
      <c r="H264" s="128">
        <f t="shared" si="5"/>
        <v>0</v>
      </c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  <c r="AA264" s="129"/>
      <c r="AB264" s="129"/>
      <c r="AC264" s="129"/>
      <c r="AD264" s="129"/>
      <c r="AE264" s="129"/>
      <c r="AF264" s="129"/>
      <c r="AG264" s="129"/>
      <c r="AH264" s="129"/>
      <c r="AI264" s="129"/>
      <c r="AJ264" s="129"/>
      <c r="AK264" s="129"/>
      <c r="AL264" s="129"/>
      <c r="AM264" s="129"/>
    </row>
    <row r="265" spans="1:39" hidden="1" x14ac:dyDescent="0.25">
      <c r="A265" s="127">
        <v>264</v>
      </c>
      <c r="B265" s="152" t="s">
        <v>2753</v>
      </c>
      <c r="C265" s="153" t="s">
        <v>2754</v>
      </c>
      <c r="D265" s="153" t="s">
        <v>2755</v>
      </c>
      <c r="E265" s="153" t="s">
        <v>4948</v>
      </c>
      <c r="F265" s="6"/>
      <c r="G265" s="6"/>
      <c r="H265" s="128">
        <f t="shared" si="5"/>
        <v>0</v>
      </c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  <c r="AA265" s="129"/>
      <c r="AB265" s="129"/>
      <c r="AC265" s="129"/>
      <c r="AD265" s="129"/>
      <c r="AE265" s="129"/>
      <c r="AF265" s="129"/>
      <c r="AG265" s="129"/>
      <c r="AH265" s="129"/>
      <c r="AI265" s="129"/>
      <c r="AJ265" s="129"/>
      <c r="AK265" s="129"/>
      <c r="AL265" s="129"/>
      <c r="AM265" s="129"/>
    </row>
    <row r="266" spans="1:39" hidden="1" x14ac:dyDescent="0.25">
      <c r="A266" s="127">
        <v>265</v>
      </c>
      <c r="B266" s="152" t="s">
        <v>2756</v>
      </c>
      <c r="C266" s="153" t="s">
        <v>2757</v>
      </c>
      <c r="D266" s="153" t="s">
        <v>2758</v>
      </c>
      <c r="E266" s="153" t="s">
        <v>4948</v>
      </c>
      <c r="F266" s="6"/>
      <c r="G266" s="6"/>
      <c r="H266" s="128">
        <f t="shared" si="5"/>
        <v>0</v>
      </c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  <c r="AA266" s="129"/>
      <c r="AB266" s="129"/>
      <c r="AC266" s="129"/>
      <c r="AD266" s="129"/>
      <c r="AE266" s="129"/>
      <c r="AF266" s="129"/>
      <c r="AG266" s="129"/>
      <c r="AH266" s="129"/>
      <c r="AI266" s="129"/>
      <c r="AJ266" s="129"/>
      <c r="AK266" s="129"/>
      <c r="AL266" s="129"/>
      <c r="AM266" s="129"/>
    </row>
    <row r="267" spans="1:39" hidden="1" x14ac:dyDescent="0.25">
      <c r="A267" s="127">
        <v>266</v>
      </c>
      <c r="B267" s="152" t="s">
        <v>2759</v>
      </c>
      <c r="C267" s="153" t="s">
        <v>2760</v>
      </c>
      <c r="D267" s="153" t="s">
        <v>2761</v>
      </c>
      <c r="E267" s="153" t="s">
        <v>4948</v>
      </c>
      <c r="F267" s="6"/>
      <c r="G267" s="6"/>
      <c r="H267" s="128">
        <f t="shared" si="5"/>
        <v>0</v>
      </c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  <c r="AA267" s="129"/>
      <c r="AB267" s="129"/>
      <c r="AC267" s="129"/>
      <c r="AD267" s="129"/>
      <c r="AE267" s="129"/>
      <c r="AF267" s="129"/>
      <c r="AG267" s="129"/>
      <c r="AH267" s="129"/>
      <c r="AI267" s="129"/>
      <c r="AJ267" s="129"/>
      <c r="AK267" s="129"/>
      <c r="AL267" s="129"/>
      <c r="AM267" s="129"/>
    </row>
    <row r="268" spans="1:39" hidden="1" x14ac:dyDescent="0.25">
      <c r="A268" s="127">
        <v>267</v>
      </c>
      <c r="B268" s="152" t="s">
        <v>2762</v>
      </c>
      <c r="C268" s="153" t="s">
        <v>2763</v>
      </c>
      <c r="D268" s="153" t="s">
        <v>2764</v>
      </c>
      <c r="E268" s="153" t="s">
        <v>4948</v>
      </c>
      <c r="F268" s="6"/>
      <c r="G268" s="6"/>
      <c r="H268" s="128">
        <f t="shared" si="5"/>
        <v>0</v>
      </c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  <c r="AA268" s="129"/>
      <c r="AB268" s="129"/>
      <c r="AC268" s="129"/>
      <c r="AD268" s="129"/>
      <c r="AE268" s="129"/>
      <c r="AF268" s="129"/>
      <c r="AG268" s="129"/>
      <c r="AH268" s="129"/>
      <c r="AI268" s="129"/>
      <c r="AJ268" s="129"/>
      <c r="AK268" s="129"/>
      <c r="AL268" s="129"/>
      <c r="AM268" s="129"/>
    </row>
    <row r="269" spans="1:39" hidden="1" x14ac:dyDescent="0.25">
      <c r="A269" s="127">
        <v>268</v>
      </c>
      <c r="B269" s="152" t="s">
        <v>2765</v>
      </c>
      <c r="C269" s="153" t="s">
        <v>2766</v>
      </c>
      <c r="D269" s="153" t="s">
        <v>2767</v>
      </c>
      <c r="E269" s="153" t="s">
        <v>4948</v>
      </c>
      <c r="F269" s="6"/>
      <c r="G269" s="6"/>
      <c r="H269" s="128">
        <f t="shared" si="5"/>
        <v>0</v>
      </c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  <c r="AA269" s="129"/>
      <c r="AB269" s="129"/>
      <c r="AC269" s="129"/>
      <c r="AD269" s="129"/>
      <c r="AE269" s="129"/>
      <c r="AF269" s="129"/>
      <c r="AG269" s="129"/>
      <c r="AH269" s="129"/>
      <c r="AI269" s="129"/>
      <c r="AJ269" s="129"/>
      <c r="AK269" s="129"/>
      <c r="AL269" s="129"/>
      <c r="AM269" s="129"/>
    </row>
    <row r="270" spans="1:39" hidden="1" x14ac:dyDescent="0.25">
      <c r="A270" s="127">
        <v>269</v>
      </c>
      <c r="B270" s="152" t="s">
        <v>2768</v>
      </c>
      <c r="C270" s="153" t="s">
        <v>2769</v>
      </c>
      <c r="D270" s="153" t="s">
        <v>2770</v>
      </c>
      <c r="E270" s="153" t="s">
        <v>4948</v>
      </c>
      <c r="F270" s="6"/>
      <c r="G270" s="6"/>
      <c r="H270" s="128">
        <f t="shared" si="5"/>
        <v>0</v>
      </c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  <c r="AA270" s="129"/>
      <c r="AB270" s="129"/>
      <c r="AC270" s="129"/>
      <c r="AD270" s="129"/>
      <c r="AE270" s="129"/>
      <c r="AF270" s="129"/>
      <c r="AG270" s="129"/>
      <c r="AH270" s="129"/>
      <c r="AI270" s="129"/>
      <c r="AJ270" s="129"/>
      <c r="AK270" s="129"/>
      <c r="AL270" s="129"/>
      <c r="AM270" s="129"/>
    </row>
    <row r="271" spans="1:39" hidden="1" x14ac:dyDescent="0.25">
      <c r="A271" s="127">
        <v>270</v>
      </c>
      <c r="B271" s="152" t="s">
        <v>2771</v>
      </c>
      <c r="C271" s="153" t="s">
        <v>2772</v>
      </c>
      <c r="D271" s="153" t="s">
        <v>2773</v>
      </c>
      <c r="E271" s="153" t="s">
        <v>4948</v>
      </c>
      <c r="F271" s="6"/>
      <c r="G271" s="6"/>
      <c r="H271" s="128">
        <f t="shared" si="5"/>
        <v>0</v>
      </c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  <c r="AA271" s="129"/>
      <c r="AB271" s="129"/>
      <c r="AC271" s="129"/>
      <c r="AD271" s="129"/>
      <c r="AE271" s="129"/>
      <c r="AF271" s="129"/>
      <c r="AG271" s="129"/>
      <c r="AH271" s="129"/>
      <c r="AI271" s="129"/>
      <c r="AJ271" s="129"/>
      <c r="AK271" s="129"/>
      <c r="AL271" s="129"/>
      <c r="AM271" s="129"/>
    </row>
    <row r="272" spans="1:39" hidden="1" x14ac:dyDescent="0.25">
      <c r="A272" s="127">
        <v>271</v>
      </c>
      <c r="B272" s="155" t="s">
        <v>2774</v>
      </c>
      <c r="C272" s="156" t="s">
        <v>2775</v>
      </c>
      <c r="D272" s="156" t="s">
        <v>2776</v>
      </c>
      <c r="E272" s="153" t="s">
        <v>4948</v>
      </c>
      <c r="F272" s="6"/>
      <c r="G272" s="6"/>
      <c r="H272" s="128">
        <f t="shared" si="5"/>
        <v>0</v>
      </c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</row>
    <row r="273" spans="1:39" hidden="1" x14ac:dyDescent="0.25">
      <c r="A273" s="127">
        <v>272</v>
      </c>
      <c r="B273" s="152" t="s">
        <v>2777</v>
      </c>
      <c r="C273" s="153" t="s">
        <v>2778</v>
      </c>
      <c r="D273" s="153" t="s">
        <v>2779</v>
      </c>
      <c r="E273" s="153" t="s">
        <v>4948</v>
      </c>
      <c r="F273" s="6"/>
      <c r="G273" s="6"/>
      <c r="H273" s="128">
        <f t="shared" si="5"/>
        <v>0</v>
      </c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</row>
    <row r="274" spans="1:39" hidden="1" x14ac:dyDescent="0.25">
      <c r="A274" s="127">
        <v>273</v>
      </c>
      <c r="B274" s="152" t="s">
        <v>2780</v>
      </c>
      <c r="C274" s="153" t="s">
        <v>2781</v>
      </c>
      <c r="D274" s="153" t="s">
        <v>2782</v>
      </c>
      <c r="E274" s="153" t="s">
        <v>4948</v>
      </c>
      <c r="F274" s="6"/>
      <c r="G274" s="6"/>
      <c r="H274" s="128">
        <f t="shared" si="5"/>
        <v>0</v>
      </c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  <c r="AA274" s="129"/>
      <c r="AB274" s="129"/>
      <c r="AC274" s="129"/>
      <c r="AD274" s="129"/>
      <c r="AE274" s="129"/>
      <c r="AF274" s="129"/>
      <c r="AG274" s="129"/>
      <c r="AH274" s="129"/>
      <c r="AI274" s="129"/>
      <c r="AJ274" s="129"/>
      <c r="AK274" s="129"/>
      <c r="AL274" s="129"/>
      <c r="AM274" s="129"/>
    </row>
    <row r="275" spans="1:39" hidden="1" x14ac:dyDescent="0.25">
      <c r="A275" s="127">
        <v>274</v>
      </c>
      <c r="B275" s="152" t="s">
        <v>2783</v>
      </c>
      <c r="C275" s="153" t="s">
        <v>2784</v>
      </c>
      <c r="D275" s="153" t="s">
        <v>2785</v>
      </c>
      <c r="E275" s="153" t="s">
        <v>4948</v>
      </c>
      <c r="F275" s="6"/>
      <c r="G275" s="6"/>
      <c r="H275" s="128">
        <f t="shared" si="5"/>
        <v>0</v>
      </c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29"/>
      <c r="AL275" s="129"/>
      <c r="AM275" s="129"/>
    </row>
    <row r="276" spans="1:39" hidden="1" x14ac:dyDescent="0.25">
      <c r="A276" s="127">
        <v>275</v>
      </c>
      <c r="B276" s="152" t="s">
        <v>2786</v>
      </c>
      <c r="C276" s="153" t="s">
        <v>2787</v>
      </c>
      <c r="D276" s="153" t="s">
        <v>2788</v>
      </c>
      <c r="E276" s="153" t="s">
        <v>4948</v>
      </c>
      <c r="F276" s="6"/>
      <c r="G276" s="6"/>
      <c r="H276" s="128">
        <f t="shared" si="5"/>
        <v>0</v>
      </c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</row>
    <row r="277" spans="1:39" hidden="1" x14ac:dyDescent="0.25">
      <c r="A277" s="127">
        <v>276</v>
      </c>
      <c r="B277" s="152" t="s">
        <v>2789</v>
      </c>
      <c r="C277" s="153" t="s">
        <v>2790</v>
      </c>
      <c r="D277" s="153">
        <v>0</v>
      </c>
      <c r="E277" s="153" t="s">
        <v>4948</v>
      </c>
      <c r="F277" s="6"/>
      <c r="G277" s="6"/>
      <c r="H277" s="128">
        <f t="shared" si="5"/>
        <v>0</v>
      </c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</row>
    <row r="278" spans="1:39" hidden="1" x14ac:dyDescent="0.25">
      <c r="A278" s="127">
        <v>277</v>
      </c>
      <c r="B278" s="152" t="s">
        <v>2791</v>
      </c>
      <c r="C278" s="153" t="s">
        <v>2792</v>
      </c>
      <c r="D278" s="153" t="s">
        <v>2793</v>
      </c>
      <c r="E278" s="153" t="s">
        <v>4948</v>
      </c>
      <c r="F278" s="6"/>
      <c r="G278" s="6"/>
      <c r="H278" s="128">
        <f t="shared" si="5"/>
        <v>0</v>
      </c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</row>
    <row r="279" spans="1:39" hidden="1" x14ac:dyDescent="0.25">
      <c r="A279" s="127">
        <v>278</v>
      </c>
      <c r="B279" s="152" t="s">
        <v>2794</v>
      </c>
      <c r="C279" s="153" t="s">
        <v>2795</v>
      </c>
      <c r="D279" s="153" t="s">
        <v>2796</v>
      </c>
      <c r="E279" s="153" t="s">
        <v>4948</v>
      </c>
      <c r="F279" s="6"/>
      <c r="G279" s="6"/>
      <c r="H279" s="128">
        <f t="shared" si="5"/>
        <v>0</v>
      </c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</row>
    <row r="280" spans="1:39" hidden="1" x14ac:dyDescent="0.25">
      <c r="A280" s="127">
        <v>279</v>
      </c>
      <c r="B280" s="152" t="s">
        <v>2797</v>
      </c>
      <c r="C280" s="153" t="s">
        <v>2798</v>
      </c>
      <c r="D280" s="153" t="s">
        <v>2799</v>
      </c>
      <c r="E280" s="153" t="s">
        <v>4948</v>
      </c>
      <c r="F280" s="6"/>
      <c r="G280" s="6"/>
      <c r="H280" s="128">
        <f t="shared" si="5"/>
        <v>0</v>
      </c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</row>
    <row r="281" spans="1:39" hidden="1" x14ac:dyDescent="0.25">
      <c r="A281" s="127">
        <v>280</v>
      </c>
      <c r="B281" s="152" t="s">
        <v>2800</v>
      </c>
      <c r="C281" s="153" t="s">
        <v>2801</v>
      </c>
      <c r="D281" s="153" t="s">
        <v>2802</v>
      </c>
      <c r="E281" s="153" t="s">
        <v>4948</v>
      </c>
      <c r="F281" s="6"/>
      <c r="G281" s="6"/>
      <c r="H281" s="128">
        <f t="shared" si="5"/>
        <v>0</v>
      </c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</row>
    <row r="282" spans="1:39" hidden="1" x14ac:dyDescent="0.25">
      <c r="A282" s="127">
        <v>281</v>
      </c>
      <c r="B282" s="152" t="s">
        <v>2803</v>
      </c>
      <c r="C282" s="153" t="s">
        <v>2804</v>
      </c>
      <c r="D282" s="153" t="s">
        <v>2805</v>
      </c>
      <c r="E282" s="153" t="s">
        <v>4948</v>
      </c>
      <c r="F282" s="6"/>
      <c r="G282" s="6"/>
      <c r="H282" s="128">
        <f t="shared" si="5"/>
        <v>0</v>
      </c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</row>
    <row r="283" spans="1:39" hidden="1" x14ac:dyDescent="0.25">
      <c r="A283" s="127">
        <v>282</v>
      </c>
      <c r="B283" s="152" t="s">
        <v>2806</v>
      </c>
      <c r="C283" s="153" t="s">
        <v>2807</v>
      </c>
      <c r="D283" s="153" t="s">
        <v>2808</v>
      </c>
      <c r="E283" s="153" t="s">
        <v>4948</v>
      </c>
      <c r="F283" s="6"/>
      <c r="G283" s="6"/>
      <c r="H283" s="128">
        <f t="shared" si="5"/>
        <v>0</v>
      </c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</row>
    <row r="284" spans="1:39" hidden="1" x14ac:dyDescent="0.25">
      <c r="A284" s="127">
        <v>283</v>
      </c>
      <c r="B284" s="152" t="s">
        <v>2809</v>
      </c>
      <c r="C284" s="153" t="s">
        <v>2810</v>
      </c>
      <c r="D284" s="153" t="s">
        <v>2811</v>
      </c>
      <c r="E284" s="153" t="s">
        <v>4948</v>
      </c>
      <c r="F284" s="6"/>
      <c r="G284" s="6"/>
      <c r="H284" s="128">
        <f t="shared" si="5"/>
        <v>0</v>
      </c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</row>
    <row r="285" spans="1:39" hidden="1" x14ac:dyDescent="0.25">
      <c r="A285" s="127">
        <v>284</v>
      </c>
      <c r="B285" s="152" t="s">
        <v>2812</v>
      </c>
      <c r="C285" s="153" t="s">
        <v>2813</v>
      </c>
      <c r="D285" s="153" t="s">
        <v>2814</v>
      </c>
      <c r="E285" s="153" t="s">
        <v>4948</v>
      </c>
      <c r="F285" s="6"/>
      <c r="G285" s="6"/>
      <c r="H285" s="128">
        <f t="shared" si="5"/>
        <v>0</v>
      </c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</row>
    <row r="286" spans="1:39" hidden="1" x14ac:dyDescent="0.25">
      <c r="A286" s="127">
        <v>285</v>
      </c>
      <c r="B286" s="152" t="s">
        <v>2815</v>
      </c>
      <c r="C286" s="153" t="s">
        <v>2816</v>
      </c>
      <c r="D286" s="153">
        <v>0</v>
      </c>
      <c r="E286" s="153" t="s">
        <v>4948</v>
      </c>
      <c r="F286" s="6"/>
      <c r="G286" s="6"/>
      <c r="H286" s="128">
        <f t="shared" si="5"/>
        <v>0</v>
      </c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  <c r="AA286" s="129"/>
      <c r="AB286" s="129"/>
      <c r="AC286" s="129"/>
      <c r="AD286" s="129"/>
      <c r="AE286" s="129"/>
      <c r="AF286" s="129"/>
      <c r="AG286" s="129"/>
      <c r="AH286" s="129"/>
      <c r="AI286" s="129"/>
      <c r="AJ286" s="129"/>
      <c r="AK286" s="129"/>
      <c r="AL286" s="129"/>
      <c r="AM286" s="129"/>
    </row>
    <row r="287" spans="1:39" hidden="1" x14ac:dyDescent="0.25">
      <c r="A287" s="127">
        <v>286</v>
      </c>
      <c r="B287" s="152" t="s">
        <v>2817</v>
      </c>
      <c r="C287" s="153" t="s">
        <v>2818</v>
      </c>
      <c r="D287" s="153">
        <v>0</v>
      </c>
      <c r="E287" s="153" t="s">
        <v>4948</v>
      </c>
      <c r="F287" s="6"/>
      <c r="G287" s="6"/>
      <c r="H287" s="128">
        <f t="shared" si="5"/>
        <v>0</v>
      </c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  <c r="AA287" s="129"/>
      <c r="AB287" s="129"/>
      <c r="AC287" s="129"/>
      <c r="AD287" s="129"/>
      <c r="AE287" s="129"/>
      <c r="AF287" s="129"/>
      <c r="AG287" s="129"/>
      <c r="AH287" s="129"/>
      <c r="AI287" s="129"/>
      <c r="AJ287" s="129"/>
      <c r="AK287" s="129"/>
      <c r="AL287" s="129"/>
      <c r="AM287" s="129"/>
    </row>
    <row r="288" spans="1:39" hidden="1" x14ac:dyDescent="0.25">
      <c r="A288" s="127">
        <v>287</v>
      </c>
      <c r="B288" s="152" t="s">
        <v>2819</v>
      </c>
      <c r="C288" s="153" t="s">
        <v>2820</v>
      </c>
      <c r="D288" s="153" t="s">
        <v>2821</v>
      </c>
      <c r="E288" s="153" t="s">
        <v>4948</v>
      </c>
      <c r="F288" s="6"/>
      <c r="G288" s="6"/>
      <c r="H288" s="128">
        <f t="shared" si="5"/>
        <v>0</v>
      </c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  <c r="AA288" s="129"/>
      <c r="AB288" s="129"/>
      <c r="AC288" s="129"/>
      <c r="AD288" s="129"/>
      <c r="AE288" s="129"/>
      <c r="AF288" s="129"/>
      <c r="AG288" s="129"/>
      <c r="AH288" s="129"/>
      <c r="AI288" s="129"/>
      <c r="AJ288" s="129"/>
      <c r="AK288" s="129"/>
      <c r="AL288" s="129"/>
      <c r="AM288" s="129"/>
    </row>
    <row r="289" spans="1:39" hidden="1" x14ac:dyDescent="0.25">
      <c r="A289" s="127">
        <v>288</v>
      </c>
      <c r="B289" s="152" t="s">
        <v>2822</v>
      </c>
      <c r="C289" s="153" t="s">
        <v>2823</v>
      </c>
      <c r="D289" s="153" t="s">
        <v>2824</v>
      </c>
      <c r="E289" s="153" t="s">
        <v>4948</v>
      </c>
      <c r="F289" s="6"/>
      <c r="G289" s="6"/>
      <c r="H289" s="128">
        <f t="shared" si="5"/>
        <v>0</v>
      </c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  <c r="AA289" s="129"/>
      <c r="AB289" s="129"/>
      <c r="AC289" s="129"/>
      <c r="AD289" s="129"/>
      <c r="AE289" s="129"/>
      <c r="AF289" s="129"/>
      <c r="AG289" s="129"/>
      <c r="AH289" s="129"/>
      <c r="AI289" s="129"/>
      <c r="AJ289" s="129"/>
      <c r="AK289" s="129"/>
      <c r="AL289" s="129"/>
      <c r="AM289" s="129"/>
    </row>
    <row r="290" spans="1:39" hidden="1" x14ac:dyDescent="0.25">
      <c r="A290" s="127">
        <v>289</v>
      </c>
      <c r="B290" s="152" t="s">
        <v>2825</v>
      </c>
      <c r="C290" s="153" t="s">
        <v>2826</v>
      </c>
      <c r="D290" s="153" t="s">
        <v>2827</v>
      </c>
      <c r="E290" s="153" t="s">
        <v>4948</v>
      </c>
      <c r="F290" s="6"/>
      <c r="G290" s="6"/>
      <c r="H290" s="128">
        <f t="shared" si="5"/>
        <v>0</v>
      </c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  <c r="AA290" s="129"/>
      <c r="AB290" s="129"/>
      <c r="AC290" s="129"/>
      <c r="AD290" s="129"/>
      <c r="AE290" s="129"/>
      <c r="AF290" s="129"/>
      <c r="AG290" s="129"/>
      <c r="AH290" s="129"/>
      <c r="AI290" s="129"/>
      <c r="AJ290" s="129"/>
      <c r="AK290" s="129"/>
      <c r="AL290" s="129"/>
      <c r="AM290" s="129"/>
    </row>
    <row r="291" spans="1:39" hidden="1" x14ac:dyDescent="0.25">
      <c r="A291" s="127">
        <v>290</v>
      </c>
      <c r="B291" s="152" t="s">
        <v>2828</v>
      </c>
      <c r="C291" s="153" t="s">
        <v>2829</v>
      </c>
      <c r="D291" s="153" t="s">
        <v>2830</v>
      </c>
      <c r="E291" s="153" t="s">
        <v>4948</v>
      </c>
      <c r="F291" s="6"/>
      <c r="G291" s="6"/>
      <c r="H291" s="128">
        <f t="shared" si="5"/>
        <v>0</v>
      </c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  <c r="AA291" s="129"/>
      <c r="AB291" s="129"/>
      <c r="AC291" s="129"/>
      <c r="AD291" s="129"/>
      <c r="AE291" s="129"/>
      <c r="AF291" s="129"/>
      <c r="AG291" s="129"/>
      <c r="AH291" s="129"/>
      <c r="AI291" s="129"/>
      <c r="AJ291" s="129"/>
      <c r="AK291" s="129"/>
      <c r="AL291" s="129"/>
      <c r="AM291" s="129"/>
    </row>
    <row r="292" spans="1:39" hidden="1" x14ac:dyDescent="0.25">
      <c r="A292" s="127">
        <v>291</v>
      </c>
      <c r="B292" s="152" t="s">
        <v>2831</v>
      </c>
      <c r="C292" s="153" t="s">
        <v>2832</v>
      </c>
      <c r="D292" s="153" t="s">
        <v>2833</v>
      </c>
      <c r="E292" s="153" t="s">
        <v>4948</v>
      </c>
      <c r="F292" s="6"/>
      <c r="G292" s="6"/>
      <c r="H292" s="128">
        <f t="shared" si="5"/>
        <v>0</v>
      </c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  <c r="AA292" s="129"/>
      <c r="AB292" s="129"/>
      <c r="AC292" s="129"/>
      <c r="AD292" s="129"/>
      <c r="AE292" s="129"/>
      <c r="AF292" s="129"/>
      <c r="AG292" s="129"/>
      <c r="AH292" s="129"/>
      <c r="AI292" s="129"/>
      <c r="AJ292" s="129"/>
      <c r="AK292" s="129"/>
      <c r="AL292" s="129"/>
      <c r="AM292" s="129"/>
    </row>
    <row r="293" spans="1:39" hidden="1" x14ac:dyDescent="0.25">
      <c r="A293" s="127">
        <v>292</v>
      </c>
      <c r="B293" s="152" t="s">
        <v>2834</v>
      </c>
      <c r="C293" s="153" t="s">
        <v>2835</v>
      </c>
      <c r="D293" s="153" t="s">
        <v>2836</v>
      </c>
      <c r="E293" s="153" t="s">
        <v>4948</v>
      </c>
      <c r="F293" s="6"/>
      <c r="G293" s="6"/>
      <c r="H293" s="128">
        <f t="shared" si="5"/>
        <v>0</v>
      </c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  <c r="AA293" s="129"/>
      <c r="AB293" s="129"/>
      <c r="AC293" s="129"/>
      <c r="AD293" s="129"/>
      <c r="AE293" s="129"/>
      <c r="AF293" s="129"/>
      <c r="AG293" s="129"/>
      <c r="AH293" s="129"/>
      <c r="AI293" s="129"/>
      <c r="AJ293" s="129"/>
      <c r="AK293" s="129"/>
      <c r="AL293" s="129"/>
      <c r="AM293" s="129"/>
    </row>
    <row r="294" spans="1:39" hidden="1" x14ac:dyDescent="0.25">
      <c r="A294" s="127">
        <v>293</v>
      </c>
      <c r="B294" s="152" t="s">
        <v>2837</v>
      </c>
      <c r="C294" s="153" t="s">
        <v>2838</v>
      </c>
      <c r="D294" s="153" t="s">
        <v>2839</v>
      </c>
      <c r="E294" s="153" t="s">
        <v>4948</v>
      </c>
      <c r="F294" s="6"/>
      <c r="G294" s="6"/>
      <c r="H294" s="128">
        <f t="shared" si="5"/>
        <v>0</v>
      </c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  <c r="AA294" s="129"/>
      <c r="AB294" s="129"/>
      <c r="AC294" s="129"/>
      <c r="AD294" s="129"/>
      <c r="AE294" s="129"/>
      <c r="AF294" s="129"/>
      <c r="AG294" s="129"/>
      <c r="AH294" s="129"/>
      <c r="AI294" s="129"/>
      <c r="AJ294" s="129"/>
      <c r="AK294" s="129"/>
      <c r="AL294" s="129"/>
      <c r="AM294" s="129"/>
    </row>
    <row r="295" spans="1:39" hidden="1" x14ac:dyDescent="0.25">
      <c r="A295" s="127">
        <v>294</v>
      </c>
      <c r="B295" s="152" t="s">
        <v>2840</v>
      </c>
      <c r="C295" s="153" t="s">
        <v>2841</v>
      </c>
      <c r="D295" s="153" t="s">
        <v>2842</v>
      </c>
      <c r="E295" s="153" t="s">
        <v>4948</v>
      </c>
      <c r="F295" s="6"/>
      <c r="G295" s="6"/>
      <c r="H295" s="128">
        <f t="shared" si="5"/>
        <v>0</v>
      </c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  <c r="AA295" s="129"/>
      <c r="AB295" s="129"/>
      <c r="AC295" s="129"/>
      <c r="AD295" s="129"/>
      <c r="AE295" s="129"/>
      <c r="AF295" s="129"/>
      <c r="AG295" s="129"/>
      <c r="AH295" s="129"/>
      <c r="AI295" s="129"/>
      <c r="AJ295" s="129"/>
      <c r="AK295" s="129"/>
      <c r="AL295" s="129"/>
      <c r="AM295" s="129"/>
    </row>
    <row r="296" spans="1:39" hidden="1" x14ac:dyDescent="0.25">
      <c r="A296" s="127">
        <v>295</v>
      </c>
      <c r="B296" s="152" t="s">
        <v>2843</v>
      </c>
      <c r="C296" s="153" t="s">
        <v>2844</v>
      </c>
      <c r="D296" s="153" t="s">
        <v>2845</v>
      </c>
      <c r="E296" s="153" t="s">
        <v>4948</v>
      </c>
      <c r="F296" s="6"/>
      <c r="G296" s="6"/>
      <c r="H296" s="128">
        <f t="shared" si="5"/>
        <v>0</v>
      </c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  <c r="AA296" s="129"/>
      <c r="AB296" s="129"/>
      <c r="AC296" s="129"/>
      <c r="AD296" s="129"/>
      <c r="AE296" s="129"/>
      <c r="AF296" s="129"/>
      <c r="AG296" s="129"/>
      <c r="AH296" s="129"/>
      <c r="AI296" s="129"/>
      <c r="AJ296" s="129"/>
      <c r="AK296" s="129"/>
      <c r="AL296" s="129"/>
      <c r="AM296" s="129"/>
    </row>
    <row r="297" spans="1:39" hidden="1" x14ac:dyDescent="0.25">
      <c r="A297" s="127">
        <v>296</v>
      </c>
      <c r="B297" s="152" t="s">
        <v>2846</v>
      </c>
      <c r="C297" s="153" t="s">
        <v>2847</v>
      </c>
      <c r="D297" s="153" t="s">
        <v>2848</v>
      </c>
      <c r="E297" s="153" t="s">
        <v>4948</v>
      </c>
      <c r="F297" s="6"/>
      <c r="G297" s="6"/>
      <c r="H297" s="128">
        <f t="shared" si="5"/>
        <v>0</v>
      </c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  <c r="AA297" s="129"/>
      <c r="AB297" s="129"/>
      <c r="AC297" s="129"/>
      <c r="AD297" s="129"/>
      <c r="AE297" s="129"/>
      <c r="AF297" s="129"/>
      <c r="AG297" s="129"/>
      <c r="AH297" s="129"/>
      <c r="AI297" s="129"/>
      <c r="AJ297" s="129"/>
      <c r="AK297" s="129"/>
      <c r="AL297" s="129"/>
      <c r="AM297" s="129"/>
    </row>
    <row r="298" spans="1:39" hidden="1" x14ac:dyDescent="0.25">
      <c r="A298" s="127">
        <v>297</v>
      </c>
      <c r="B298" s="152" t="s">
        <v>2849</v>
      </c>
      <c r="C298" s="153" t="s">
        <v>2850</v>
      </c>
      <c r="D298" s="153" t="s">
        <v>2851</v>
      </c>
      <c r="E298" s="153" t="s">
        <v>4948</v>
      </c>
      <c r="F298" s="6"/>
      <c r="G298" s="6"/>
      <c r="H298" s="128">
        <f t="shared" si="5"/>
        <v>0</v>
      </c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  <c r="AA298" s="129"/>
      <c r="AB298" s="129"/>
      <c r="AC298" s="129"/>
      <c r="AD298" s="129"/>
      <c r="AE298" s="129"/>
      <c r="AF298" s="129"/>
      <c r="AG298" s="129"/>
      <c r="AH298" s="129"/>
      <c r="AI298" s="129"/>
      <c r="AJ298" s="129"/>
      <c r="AK298" s="129"/>
      <c r="AL298" s="129"/>
      <c r="AM298" s="129"/>
    </row>
    <row r="299" spans="1:39" hidden="1" x14ac:dyDescent="0.25">
      <c r="A299" s="127">
        <v>298</v>
      </c>
      <c r="B299" s="152" t="s">
        <v>2852</v>
      </c>
      <c r="C299" s="153" t="s">
        <v>2853</v>
      </c>
      <c r="D299" s="153" t="s">
        <v>2854</v>
      </c>
      <c r="E299" s="153" t="s">
        <v>4948</v>
      </c>
      <c r="F299" s="6"/>
      <c r="G299" s="6"/>
      <c r="H299" s="128">
        <f t="shared" si="5"/>
        <v>0</v>
      </c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  <c r="AA299" s="129"/>
      <c r="AB299" s="129"/>
      <c r="AC299" s="129"/>
      <c r="AD299" s="129"/>
      <c r="AE299" s="129"/>
      <c r="AF299" s="129"/>
      <c r="AG299" s="129"/>
      <c r="AH299" s="129"/>
      <c r="AI299" s="129"/>
      <c r="AJ299" s="129"/>
      <c r="AK299" s="129"/>
      <c r="AL299" s="129"/>
      <c r="AM299" s="129"/>
    </row>
    <row r="300" spans="1:39" hidden="1" x14ac:dyDescent="0.25">
      <c r="A300" s="127">
        <v>299</v>
      </c>
      <c r="B300" s="152" t="s">
        <v>2855</v>
      </c>
      <c r="C300" s="153" t="s">
        <v>2856</v>
      </c>
      <c r="D300" s="153" t="s">
        <v>2857</v>
      </c>
      <c r="E300" s="153" t="s">
        <v>4948</v>
      </c>
      <c r="F300" s="6"/>
      <c r="G300" s="6"/>
      <c r="H300" s="128">
        <f t="shared" si="5"/>
        <v>0</v>
      </c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  <c r="AA300" s="129"/>
      <c r="AB300" s="129"/>
      <c r="AC300" s="129"/>
      <c r="AD300" s="129"/>
      <c r="AE300" s="129"/>
      <c r="AF300" s="129"/>
      <c r="AG300" s="129"/>
      <c r="AH300" s="129"/>
      <c r="AI300" s="129"/>
      <c r="AJ300" s="129"/>
      <c r="AK300" s="129"/>
      <c r="AL300" s="129"/>
      <c r="AM300" s="129"/>
    </row>
    <row r="301" spans="1:39" hidden="1" x14ac:dyDescent="0.25">
      <c r="A301" s="127">
        <v>300</v>
      </c>
      <c r="B301" s="152" t="s">
        <v>2858</v>
      </c>
      <c r="C301" s="153" t="s">
        <v>2859</v>
      </c>
      <c r="D301" s="153" t="s">
        <v>2860</v>
      </c>
      <c r="E301" s="153" t="s">
        <v>4948</v>
      </c>
      <c r="F301" s="6"/>
      <c r="G301" s="6"/>
      <c r="H301" s="128">
        <f t="shared" si="5"/>
        <v>0</v>
      </c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  <c r="AA301" s="129"/>
      <c r="AB301" s="129"/>
      <c r="AC301" s="129"/>
      <c r="AD301" s="129"/>
      <c r="AE301" s="129"/>
      <c r="AF301" s="129"/>
      <c r="AG301" s="129"/>
      <c r="AH301" s="129"/>
      <c r="AI301" s="129"/>
      <c r="AJ301" s="129"/>
      <c r="AK301" s="129"/>
      <c r="AL301" s="129"/>
      <c r="AM301" s="129"/>
    </row>
    <row r="302" spans="1:39" hidden="1" x14ac:dyDescent="0.25">
      <c r="A302" s="127">
        <v>301</v>
      </c>
      <c r="B302" s="152" t="s">
        <v>2861</v>
      </c>
      <c r="C302" s="153" t="s">
        <v>2862</v>
      </c>
      <c r="D302" s="153" t="s">
        <v>2863</v>
      </c>
      <c r="E302" s="153" t="s">
        <v>4948</v>
      </c>
      <c r="F302" s="6"/>
      <c r="G302" s="6"/>
      <c r="H302" s="128">
        <f t="shared" si="5"/>
        <v>0</v>
      </c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  <c r="AA302" s="129"/>
      <c r="AB302" s="129"/>
      <c r="AC302" s="129"/>
      <c r="AD302" s="129"/>
      <c r="AE302" s="129"/>
      <c r="AF302" s="129"/>
      <c r="AG302" s="129"/>
      <c r="AH302" s="129"/>
      <c r="AI302" s="129"/>
      <c r="AJ302" s="129"/>
      <c r="AK302" s="129"/>
      <c r="AL302" s="129"/>
      <c r="AM302" s="129"/>
    </row>
    <row r="303" spans="1:39" hidden="1" x14ac:dyDescent="0.25">
      <c r="A303" s="127">
        <v>302</v>
      </c>
      <c r="B303" s="152" t="s">
        <v>2864</v>
      </c>
      <c r="C303" s="153" t="s">
        <v>2865</v>
      </c>
      <c r="D303" s="153" t="s">
        <v>2866</v>
      </c>
      <c r="E303" s="153" t="s">
        <v>4948</v>
      </c>
      <c r="F303" s="6"/>
      <c r="G303" s="6"/>
      <c r="H303" s="128">
        <f t="shared" si="5"/>
        <v>0</v>
      </c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  <c r="AA303" s="129"/>
      <c r="AB303" s="129"/>
      <c r="AC303" s="129"/>
      <c r="AD303" s="129"/>
      <c r="AE303" s="129"/>
      <c r="AF303" s="129"/>
      <c r="AG303" s="129"/>
      <c r="AH303" s="129"/>
      <c r="AI303" s="129"/>
      <c r="AJ303" s="129"/>
      <c r="AK303" s="129"/>
      <c r="AL303" s="129"/>
      <c r="AM303" s="129"/>
    </row>
    <row r="304" spans="1:39" hidden="1" x14ac:dyDescent="0.25">
      <c r="A304" s="127">
        <v>303</v>
      </c>
      <c r="B304" s="152" t="s">
        <v>2867</v>
      </c>
      <c r="C304" s="153" t="s">
        <v>2868</v>
      </c>
      <c r="D304" s="153">
        <v>0</v>
      </c>
      <c r="E304" s="153" t="s">
        <v>4948</v>
      </c>
      <c r="F304" s="6"/>
      <c r="G304" s="6"/>
      <c r="H304" s="128">
        <f t="shared" si="5"/>
        <v>0</v>
      </c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  <c r="AA304" s="129"/>
      <c r="AB304" s="129"/>
      <c r="AC304" s="129"/>
      <c r="AD304" s="129"/>
      <c r="AE304" s="129"/>
      <c r="AF304" s="129"/>
      <c r="AG304" s="129"/>
      <c r="AH304" s="129"/>
      <c r="AI304" s="129"/>
      <c r="AJ304" s="129"/>
      <c r="AK304" s="129"/>
      <c r="AL304" s="129"/>
      <c r="AM304" s="129"/>
    </row>
    <row r="305" spans="1:39" hidden="1" x14ac:dyDescent="0.25">
      <c r="A305" s="127">
        <v>304</v>
      </c>
      <c r="B305" s="152" t="s">
        <v>2869</v>
      </c>
      <c r="C305" s="153" t="s">
        <v>2870</v>
      </c>
      <c r="D305" s="153" t="s">
        <v>2871</v>
      </c>
      <c r="E305" s="153" t="s">
        <v>4948</v>
      </c>
      <c r="F305" s="6"/>
      <c r="G305" s="6"/>
      <c r="H305" s="128">
        <f t="shared" si="5"/>
        <v>0</v>
      </c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  <c r="AA305" s="129"/>
      <c r="AB305" s="129"/>
      <c r="AC305" s="129"/>
      <c r="AD305" s="129"/>
      <c r="AE305" s="129"/>
      <c r="AF305" s="129"/>
      <c r="AG305" s="129"/>
      <c r="AH305" s="129"/>
      <c r="AI305" s="129"/>
      <c r="AJ305" s="129"/>
      <c r="AK305" s="129"/>
      <c r="AL305" s="129"/>
      <c r="AM305" s="129"/>
    </row>
    <row r="306" spans="1:39" hidden="1" x14ac:dyDescent="0.25">
      <c r="A306" s="127">
        <v>305</v>
      </c>
      <c r="B306" s="152" t="s">
        <v>2872</v>
      </c>
      <c r="C306" s="153" t="s">
        <v>2873</v>
      </c>
      <c r="D306" s="153" t="s">
        <v>2874</v>
      </c>
      <c r="E306" s="153" t="s">
        <v>4948</v>
      </c>
      <c r="F306" s="6"/>
      <c r="G306" s="6"/>
      <c r="H306" s="128">
        <f t="shared" si="5"/>
        <v>0</v>
      </c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  <c r="AA306" s="129"/>
      <c r="AB306" s="129"/>
      <c r="AC306" s="129"/>
      <c r="AD306" s="129"/>
      <c r="AE306" s="129"/>
      <c r="AF306" s="129"/>
      <c r="AG306" s="129"/>
      <c r="AH306" s="129"/>
      <c r="AI306" s="129"/>
      <c r="AJ306" s="129"/>
      <c r="AK306" s="129"/>
      <c r="AL306" s="129"/>
      <c r="AM306" s="129"/>
    </row>
    <row r="307" spans="1:39" hidden="1" x14ac:dyDescent="0.25">
      <c r="A307" s="127">
        <v>306</v>
      </c>
      <c r="B307" s="152" t="s">
        <v>2875</v>
      </c>
      <c r="C307" s="153" t="s">
        <v>2876</v>
      </c>
      <c r="D307" s="153" t="s">
        <v>2877</v>
      </c>
      <c r="E307" s="153" t="s">
        <v>4948</v>
      </c>
      <c r="F307" s="6"/>
      <c r="G307" s="6"/>
      <c r="H307" s="128">
        <f t="shared" si="5"/>
        <v>0</v>
      </c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  <c r="AA307" s="129"/>
      <c r="AB307" s="129"/>
      <c r="AC307" s="129"/>
      <c r="AD307" s="129"/>
      <c r="AE307" s="129"/>
      <c r="AF307" s="129"/>
      <c r="AG307" s="129"/>
      <c r="AH307" s="129"/>
      <c r="AI307" s="129"/>
      <c r="AJ307" s="129"/>
      <c r="AK307" s="129"/>
      <c r="AL307" s="129"/>
      <c r="AM307" s="129"/>
    </row>
    <row r="308" spans="1:39" hidden="1" x14ac:dyDescent="0.25">
      <c r="A308" s="127">
        <v>307</v>
      </c>
      <c r="B308" s="152" t="s">
        <v>2878</v>
      </c>
      <c r="C308" s="153" t="s">
        <v>2879</v>
      </c>
      <c r="D308" s="153" t="s">
        <v>2880</v>
      </c>
      <c r="E308" s="153" t="s">
        <v>4948</v>
      </c>
      <c r="F308" s="6"/>
      <c r="G308" s="6"/>
      <c r="H308" s="128">
        <f t="shared" si="5"/>
        <v>0</v>
      </c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  <c r="AA308" s="129"/>
      <c r="AB308" s="129"/>
      <c r="AC308" s="129"/>
      <c r="AD308" s="129"/>
      <c r="AE308" s="129"/>
      <c r="AF308" s="129"/>
      <c r="AG308" s="129"/>
      <c r="AH308" s="129"/>
      <c r="AI308" s="129"/>
      <c r="AJ308" s="129"/>
      <c r="AK308" s="129"/>
      <c r="AL308" s="129"/>
      <c r="AM308" s="129"/>
    </row>
    <row r="309" spans="1:39" hidden="1" x14ac:dyDescent="0.25">
      <c r="A309" s="127">
        <v>308</v>
      </c>
      <c r="B309" s="152" t="s">
        <v>2881</v>
      </c>
      <c r="C309" s="153" t="s">
        <v>2882</v>
      </c>
      <c r="D309" s="153" t="s">
        <v>2883</v>
      </c>
      <c r="E309" s="153" t="s">
        <v>4948</v>
      </c>
      <c r="F309" s="6"/>
      <c r="G309" s="6"/>
      <c r="H309" s="128">
        <f t="shared" si="5"/>
        <v>0</v>
      </c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  <c r="AA309" s="129"/>
      <c r="AB309" s="129"/>
      <c r="AC309" s="129"/>
      <c r="AD309" s="129"/>
      <c r="AE309" s="129"/>
      <c r="AF309" s="129"/>
      <c r="AG309" s="129"/>
      <c r="AH309" s="129"/>
      <c r="AI309" s="129"/>
      <c r="AJ309" s="129"/>
      <c r="AK309" s="129"/>
      <c r="AL309" s="129"/>
      <c r="AM309" s="129"/>
    </row>
    <row r="310" spans="1:39" hidden="1" x14ac:dyDescent="0.25">
      <c r="A310" s="127">
        <v>309</v>
      </c>
      <c r="B310" s="152" t="s">
        <v>2884</v>
      </c>
      <c r="C310" s="153" t="s">
        <v>2885</v>
      </c>
      <c r="D310" s="153" t="s">
        <v>2886</v>
      </c>
      <c r="E310" s="153" t="s">
        <v>4948</v>
      </c>
      <c r="F310" s="6"/>
      <c r="G310" s="6"/>
      <c r="H310" s="128">
        <f t="shared" si="5"/>
        <v>0</v>
      </c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</row>
    <row r="311" spans="1:39" hidden="1" x14ac:dyDescent="0.25">
      <c r="A311" s="127">
        <v>310</v>
      </c>
      <c r="B311" s="152" t="s">
        <v>2887</v>
      </c>
      <c r="C311" s="153" t="s">
        <v>2888</v>
      </c>
      <c r="D311" s="153" t="s">
        <v>2889</v>
      </c>
      <c r="E311" s="153" t="s">
        <v>4948</v>
      </c>
      <c r="F311" s="6"/>
      <c r="G311" s="6"/>
      <c r="H311" s="128">
        <f t="shared" si="5"/>
        <v>0</v>
      </c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</row>
    <row r="312" spans="1:39" hidden="1" x14ac:dyDescent="0.25">
      <c r="A312" s="127">
        <v>311</v>
      </c>
      <c r="B312" s="152" t="s">
        <v>2890</v>
      </c>
      <c r="C312" s="153" t="s">
        <v>2891</v>
      </c>
      <c r="D312" s="153" t="s">
        <v>2892</v>
      </c>
      <c r="E312" s="153" t="s">
        <v>4948</v>
      </c>
      <c r="F312" s="6"/>
      <c r="G312" s="6"/>
      <c r="H312" s="128">
        <f t="shared" si="5"/>
        <v>0</v>
      </c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  <c r="AA312" s="129"/>
      <c r="AB312" s="129"/>
      <c r="AC312" s="129"/>
      <c r="AD312" s="129"/>
      <c r="AE312" s="129"/>
      <c r="AF312" s="129"/>
      <c r="AG312" s="129"/>
      <c r="AH312" s="129"/>
      <c r="AI312" s="129"/>
      <c r="AJ312" s="129"/>
      <c r="AK312" s="129"/>
      <c r="AL312" s="129"/>
      <c r="AM312" s="129"/>
    </row>
    <row r="313" spans="1:39" hidden="1" x14ac:dyDescent="0.25">
      <c r="A313" s="127">
        <v>312</v>
      </c>
      <c r="B313" s="152" t="s">
        <v>2893</v>
      </c>
      <c r="C313" s="153" t="s">
        <v>2894</v>
      </c>
      <c r="D313" s="153" t="s">
        <v>2895</v>
      </c>
      <c r="E313" s="153" t="s">
        <v>4948</v>
      </c>
      <c r="F313" s="6"/>
      <c r="G313" s="6"/>
      <c r="H313" s="128">
        <f t="shared" si="5"/>
        <v>0</v>
      </c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29"/>
      <c r="AL313" s="129"/>
      <c r="AM313" s="129"/>
    </row>
    <row r="314" spans="1:39" hidden="1" x14ac:dyDescent="0.25">
      <c r="A314" s="127">
        <v>313</v>
      </c>
      <c r="B314" s="152" t="s">
        <v>2896</v>
      </c>
      <c r="C314" s="153" t="s">
        <v>2897</v>
      </c>
      <c r="D314" s="153" t="s">
        <v>2898</v>
      </c>
      <c r="E314" s="153" t="s">
        <v>4948</v>
      </c>
      <c r="F314" s="6"/>
      <c r="G314" s="6"/>
      <c r="H314" s="128">
        <f t="shared" si="5"/>
        <v>0</v>
      </c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</row>
    <row r="315" spans="1:39" hidden="1" x14ac:dyDescent="0.25">
      <c r="A315" s="127">
        <v>314</v>
      </c>
      <c r="B315" s="155" t="s">
        <v>695</v>
      </c>
      <c r="C315" s="156" t="s">
        <v>2899</v>
      </c>
      <c r="D315" s="156" t="s">
        <v>2900</v>
      </c>
      <c r="E315" s="153" t="s">
        <v>2135</v>
      </c>
      <c r="F315" s="6"/>
      <c r="G315" s="6"/>
      <c r="H315" s="128">
        <f t="shared" si="5"/>
        <v>750</v>
      </c>
      <c r="I315" s="129">
        <v>750</v>
      </c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</row>
    <row r="316" spans="1:39" hidden="1" x14ac:dyDescent="0.25">
      <c r="A316" s="127">
        <v>315</v>
      </c>
      <c r="B316" s="152" t="s">
        <v>1619</v>
      </c>
      <c r="C316" s="153" t="s">
        <v>2901</v>
      </c>
      <c r="D316" s="153" t="s">
        <v>2902</v>
      </c>
      <c r="E316" s="153" t="s">
        <v>2086</v>
      </c>
      <c r="F316" s="6"/>
      <c r="G316" s="6"/>
      <c r="H316" s="128">
        <f t="shared" si="5"/>
        <v>0</v>
      </c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</row>
    <row r="317" spans="1:39" hidden="1" x14ac:dyDescent="0.25">
      <c r="A317" s="127">
        <v>316</v>
      </c>
      <c r="B317" s="152" t="s">
        <v>1621</v>
      </c>
      <c r="C317" s="153" t="s">
        <v>2903</v>
      </c>
      <c r="D317" s="153" t="s">
        <v>2904</v>
      </c>
      <c r="E317" s="153" t="s">
        <v>4948</v>
      </c>
      <c r="F317" s="6"/>
      <c r="G317" s="6"/>
      <c r="H317" s="128">
        <f t="shared" si="5"/>
        <v>0</v>
      </c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</row>
    <row r="318" spans="1:39" hidden="1" x14ac:dyDescent="0.25">
      <c r="A318" s="127">
        <v>317</v>
      </c>
      <c r="B318" s="152" t="s">
        <v>1266</v>
      </c>
      <c r="C318" s="153" t="s">
        <v>2905</v>
      </c>
      <c r="D318" s="153" t="s">
        <v>2906</v>
      </c>
      <c r="E318" s="153" t="s">
        <v>2086</v>
      </c>
      <c r="F318" s="6"/>
      <c r="G318" s="6"/>
      <c r="H318" s="128">
        <f t="shared" si="5"/>
        <v>30000</v>
      </c>
      <c r="I318" s="129">
        <v>30000</v>
      </c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</row>
    <row r="319" spans="1:39" hidden="1" x14ac:dyDescent="0.25">
      <c r="A319" s="127">
        <v>318</v>
      </c>
      <c r="B319" s="152" t="s">
        <v>1628</v>
      </c>
      <c r="C319" s="153" t="s">
        <v>2907</v>
      </c>
      <c r="D319" s="153" t="s">
        <v>2908</v>
      </c>
      <c r="E319" s="153" t="s">
        <v>4948</v>
      </c>
      <c r="F319" s="6"/>
      <c r="G319" s="6"/>
      <c r="H319" s="128">
        <f t="shared" si="5"/>
        <v>0</v>
      </c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</row>
    <row r="320" spans="1:39" hidden="1" x14ac:dyDescent="0.25">
      <c r="A320" s="127">
        <v>319</v>
      </c>
      <c r="B320" s="152" t="s">
        <v>974</v>
      </c>
      <c r="C320" s="153" t="s">
        <v>2909</v>
      </c>
      <c r="D320" s="153" t="s">
        <v>2910</v>
      </c>
      <c r="E320" s="153" t="s">
        <v>2086</v>
      </c>
      <c r="F320" s="6"/>
      <c r="G320" s="6"/>
      <c r="H320" s="128">
        <f t="shared" si="5"/>
        <v>23000</v>
      </c>
      <c r="I320" s="129"/>
      <c r="J320" s="129"/>
      <c r="K320" s="129"/>
      <c r="L320" s="129"/>
      <c r="M320" s="129"/>
      <c r="N320" s="129"/>
      <c r="O320" s="129"/>
      <c r="P320" s="129"/>
      <c r="Q320" s="129">
        <v>23000</v>
      </c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</row>
    <row r="321" spans="1:39" hidden="1" x14ac:dyDescent="0.25">
      <c r="A321" s="127">
        <v>320</v>
      </c>
      <c r="B321" s="152" t="s">
        <v>956</v>
      </c>
      <c r="C321" s="153" t="s">
        <v>2911</v>
      </c>
      <c r="D321" s="153" t="s">
        <v>2912</v>
      </c>
      <c r="E321" s="153" t="s">
        <v>4948</v>
      </c>
      <c r="F321" s="6"/>
      <c r="G321" s="6"/>
      <c r="H321" s="128">
        <f t="shared" si="5"/>
        <v>80500</v>
      </c>
      <c r="I321" s="129"/>
      <c r="J321" s="129"/>
      <c r="K321" s="129"/>
      <c r="L321" s="129"/>
      <c r="M321" s="129"/>
      <c r="N321" s="129"/>
      <c r="O321" s="129"/>
      <c r="P321" s="129"/>
      <c r="Q321" s="129">
        <f>60000+20500</f>
        <v>80500</v>
      </c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</row>
    <row r="322" spans="1:39" hidden="1" x14ac:dyDescent="0.25">
      <c r="A322" s="127">
        <v>321</v>
      </c>
      <c r="B322" s="155" t="s">
        <v>2054</v>
      </c>
      <c r="C322" s="156" t="s">
        <v>2913</v>
      </c>
      <c r="D322" s="156" t="s">
        <v>2914</v>
      </c>
      <c r="E322" s="153" t="s">
        <v>4948</v>
      </c>
      <c r="F322" s="6"/>
      <c r="G322" s="6"/>
      <c r="H322" s="128">
        <f t="shared" ref="H322:H385" si="6">SUM(I322:AM322)</f>
        <v>5000</v>
      </c>
      <c r="I322" s="129"/>
      <c r="J322" s="129"/>
      <c r="K322" s="129"/>
      <c r="L322" s="129"/>
      <c r="M322" s="129"/>
      <c r="N322" s="129"/>
      <c r="O322" s="129"/>
      <c r="P322" s="129">
        <v>5000</v>
      </c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</row>
    <row r="323" spans="1:39" hidden="1" x14ac:dyDescent="0.25">
      <c r="A323" s="127">
        <v>322</v>
      </c>
      <c r="B323" s="155" t="s">
        <v>2052</v>
      </c>
      <c r="C323" s="156" t="s">
        <v>2915</v>
      </c>
      <c r="D323" s="156" t="s">
        <v>2916</v>
      </c>
      <c r="E323" s="153" t="s">
        <v>4948</v>
      </c>
      <c r="F323" s="6"/>
      <c r="G323" s="6"/>
      <c r="H323" s="128">
        <f t="shared" si="6"/>
        <v>10000</v>
      </c>
      <c r="I323" s="129"/>
      <c r="J323" s="129"/>
      <c r="K323" s="129"/>
      <c r="L323" s="129"/>
      <c r="M323" s="129"/>
      <c r="N323" s="129"/>
      <c r="O323" s="129"/>
      <c r="P323" s="129">
        <v>10000</v>
      </c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</row>
    <row r="324" spans="1:39" hidden="1" x14ac:dyDescent="0.25">
      <c r="A324" s="127">
        <v>323</v>
      </c>
      <c r="B324" s="152" t="s">
        <v>2917</v>
      </c>
      <c r="C324" s="153" t="s">
        <v>2918</v>
      </c>
      <c r="D324" s="153" t="s">
        <v>2919</v>
      </c>
      <c r="E324" s="153" t="s">
        <v>4948</v>
      </c>
      <c r="F324" s="6"/>
      <c r="G324" s="6"/>
      <c r="H324" s="128">
        <f t="shared" si="6"/>
        <v>30000</v>
      </c>
      <c r="I324" s="129"/>
      <c r="J324" s="129"/>
      <c r="K324" s="129"/>
      <c r="L324" s="129"/>
      <c r="M324" s="129"/>
      <c r="N324" s="129"/>
      <c r="O324" s="129"/>
      <c r="P324" s="129">
        <v>30000</v>
      </c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  <c r="AA324" s="129"/>
      <c r="AB324" s="129"/>
      <c r="AC324" s="129"/>
      <c r="AD324" s="129"/>
      <c r="AE324" s="129"/>
      <c r="AF324" s="129"/>
      <c r="AG324" s="129"/>
      <c r="AH324" s="129"/>
      <c r="AI324" s="129"/>
      <c r="AJ324" s="129"/>
      <c r="AK324" s="129"/>
      <c r="AL324" s="129"/>
      <c r="AM324" s="129"/>
    </row>
    <row r="325" spans="1:39" hidden="1" x14ac:dyDescent="0.25">
      <c r="A325" s="127">
        <v>324</v>
      </c>
      <c r="B325" s="152" t="s">
        <v>1626</v>
      </c>
      <c r="C325" s="153" t="s">
        <v>2920</v>
      </c>
      <c r="D325" s="153" t="s">
        <v>2921</v>
      </c>
      <c r="E325" s="153" t="s">
        <v>2086</v>
      </c>
      <c r="F325" s="6"/>
      <c r="G325" s="6"/>
      <c r="H325" s="128">
        <f t="shared" si="6"/>
        <v>0</v>
      </c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  <c r="AA325" s="129"/>
      <c r="AB325" s="129"/>
      <c r="AC325" s="129"/>
      <c r="AD325" s="129"/>
      <c r="AE325" s="129"/>
      <c r="AF325" s="129"/>
      <c r="AG325" s="129"/>
      <c r="AH325" s="129"/>
      <c r="AI325" s="129"/>
      <c r="AJ325" s="129"/>
      <c r="AK325" s="129"/>
      <c r="AL325" s="129"/>
      <c r="AM325" s="129"/>
    </row>
    <row r="326" spans="1:39" hidden="1" x14ac:dyDescent="0.25">
      <c r="A326" s="127">
        <v>325</v>
      </c>
      <c r="B326" s="152" t="s">
        <v>1363</v>
      </c>
      <c r="C326" s="153" t="s">
        <v>2922</v>
      </c>
      <c r="D326" s="153" t="s">
        <v>2923</v>
      </c>
      <c r="E326" s="153" t="s">
        <v>2086</v>
      </c>
      <c r="F326" s="6"/>
      <c r="G326" s="6"/>
      <c r="H326" s="128">
        <f t="shared" si="6"/>
        <v>0</v>
      </c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  <c r="AA326" s="129"/>
      <c r="AB326" s="129"/>
      <c r="AC326" s="129"/>
      <c r="AD326" s="129"/>
      <c r="AE326" s="129"/>
      <c r="AF326" s="129"/>
      <c r="AG326" s="129"/>
      <c r="AH326" s="129"/>
      <c r="AI326" s="129"/>
      <c r="AJ326" s="129"/>
      <c r="AK326" s="129"/>
      <c r="AL326" s="129"/>
      <c r="AM326" s="129"/>
    </row>
    <row r="327" spans="1:39" hidden="1" x14ac:dyDescent="0.25">
      <c r="A327" s="127">
        <v>326</v>
      </c>
      <c r="B327" s="152" t="s">
        <v>1339</v>
      </c>
      <c r="C327" s="153" t="s">
        <v>2924</v>
      </c>
      <c r="D327" s="153" t="s">
        <v>2925</v>
      </c>
      <c r="E327" s="153" t="s">
        <v>2086</v>
      </c>
      <c r="F327" s="6"/>
      <c r="G327" s="6"/>
      <c r="H327" s="128">
        <f t="shared" si="6"/>
        <v>0</v>
      </c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  <c r="AA327" s="129"/>
      <c r="AB327" s="129"/>
      <c r="AC327" s="129"/>
      <c r="AD327" s="129"/>
      <c r="AE327" s="129"/>
      <c r="AF327" s="129"/>
      <c r="AG327" s="129"/>
      <c r="AH327" s="129"/>
      <c r="AI327" s="129"/>
      <c r="AJ327" s="129"/>
      <c r="AK327" s="129"/>
      <c r="AL327" s="129"/>
      <c r="AM327" s="129"/>
    </row>
    <row r="328" spans="1:39" hidden="1" x14ac:dyDescent="0.25">
      <c r="A328" s="127">
        <v>327</v>
      </c>
      <c r="B328" s="152" t="s">
        <v>1371</v>
      </c>
      <c r="C328" s="153" t="s">
        <v>2926</v>
      </c>
      <c r="D328" s="153" t="s">
        <v>2927</v>
      </c>
      <c r="E328" s="153" t="s">
        <v>2086</v>
      </c>
      <c r="F328" s="6"/>
      <c r="G328" s="6"/>
      <c r="H328" s="128">
        <f t="shared" si="6"/>
        <v>0</v>
      </c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  <c r="AA328" s="129"/>
      <c r="AB328" s="129"/>
      <c r="AC328" s="129"/>
      <c r="AD328" s="129"/>
      <c r="AE328" s="129"/>
      <c r="AF328" s="129"/>
      <c r="AG328" s="129"/>
      <c r="AH328" s="129"/>
      <c r="AI328" s="129"/>
      <c r="AJ328" s="129"/>
      <c r="AK328" s="129"/>
      <c r="AL328" s="129"/>
      <c r="AM328" s="129"/>
    </row>
    <row r="329" spans="1:39" hidden="1" x14ac:dyDescent="0.25">
      <c r="A329" s="127">
        <v>328</v>
      </c>
      <c r="B329" s="152" t="s">
        <v>1117</v>
      </c>
      <c r="C329" s="153" t="s">
        <v>2928</v>
      </c>
      <c r="D329" s="153" t="s">
        <v>2929</v>
      </c>
      <c r="E329" s="153" t="s">
        <v>2086</v>
      </c>
      <c r="F329" s="6"/>
      <c r="G329" s="6"/>
      <c r="H329" s="128">
        <f t="shared" si="6"/>
        <v>0</v>
      </c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  <c r="AA329" s="129"/>
      <c r="AB329" s="129"/>
      <c r="AC329" s="129"/>
      <c r="AD329" s="129"/>
      <c r="AE329" s="129"/>
      <c r="AF329" s="129"/>
      <c r="AG329" s="129"/>
      <c r="AH329" s="129"/>
      <c r="AI329" s="129"/>
      <c r="AJ329" s="129"/>
      <c r="AK329" s="129"/>
      <c r="AL329" s="129"/>
      <c r="AM329" s="129"/>
    </row>
    <row r="330" spans="1:39" hidden="1" x14ac:dyDescent="0.25">
      <c r="A330" s="127">
        <v>329</v>
      </c>
      <c r="B330" s="152" t="s">
        <v>2930</v>
      </c>
      <c r="C330" s="153" t="s">
        <v>2931</v>
      </c>
      <c r="D330" s="153" t="s">
        <v>2932</v>
      </c>
      <c r="E330" s="153" t="s">
        <v>2086</v>
      </c>
      <c r="F330" s="6"/>
      <c r="G330" s="6"/>
      <c r="H330" s="128">
        <f t="shared" si="6"/>
        <v>0</v>
      </c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  <c r="AA330" s="129"/>
      <c r="AB330" s="129"/>
      <c r="AC330" s="129"/>
      <c r="AD330" s="129"/>
      <c r="AE330" s="129"/>
      <c r="AF330" s="129"/>
      <c r="AG330" s="129"/>
      <c r="AH330" s="129"/>
      <c r="AI330" s="129"/>
      <c r="AJ330" s="129"/>
      <c r="AK330" s="129"/>
      <c r="AL330" s="129"/>
      <c r="AM330" s="129"/>
    </row>
    <row r="331" spans="1:39" hidden="1" x14ac:dyDescent="0.25">
      <c r="A331" s="127">
        <v>330</v>
      </c>
      <c r="B331" s="152" t="s">
        <v>774</v>
      </c>
      <c r="C331" s="153" t="s">
        <v>2933</v>
      </c>
      <c r="D331" s="153" t="s">
        <v>2934</v>
      </c>
      <c r="E331" s="153" t="s">
        <v>2086</v>
      </c>
      <c r="F331" s="6"/>
      <c r="G331" s="6"/>
      <c r="H331" s="128">
        <f t="shared" si="6"/>
        <v>59600</v>
      </c>
      <c r="I331" s="129"/>
      <c r="J331" s="129"/>
      <c r="K331" s="129"/>
      <c r="L331" s="129"/>
      <c r="M331" s="129"/>
      <c r="N331" s="129"/>
      <c r="O331" s="129"/>
      <c r="P331" s="129"/>
      <c r="Q331" s="129">
        <f>40000+19600</f>
        <v>59600</v>
      </c>
      <c r="R331" s="129"/>
      <c r="S331" s="129"/>
      <c r="T331" s="129"/>
      <c r="U331" s="129"/>
      <c r="V331" s="129"/>
      <c r="W331" s="129"/>
      <c r="X331" s="129"/>
      <c r="Y331" s="129"/>
      <c r="Z331" s="129"/>
      <c r="AA331" s="129"/>
      <c r="AB331" s="129"/>
      <c r="AC331" s="129"/>
      <c r="AD331" s="129"/>
      <c r="AE331" s="129"/>
      <c r="AF331" s="129"/>
      <c r="AG331" s="129"/>
      <c r="AH331" s="129"/>
      <c r="AI331" s="129"/>
      <c r="AJ331" s="129"/>
      <c r="AK331" s="129"/>
      <c r="AL331" s="129"/>
      <c r="AM331" s="129"/>
    </row>
    <row r="332" spans="1:39" hidden="1" x14ac:dyDescent="0.25">
      <c r="A332" s="127">
        <v>331</v>
      </c>
      <c r="B332" s="155" t="s">
        <v>2935</v>
      </c>
      <c r="C332" s="156" t="s">
        <v>2936</v>
      </c>
      <c r="D332" s="156" t="s">
        <v>2937</v>
      </c>
      <c r="E332" s="153" t="s">
        <v>4948</v>
      </c>
      <c r="F332" s="6"/>
      <c r="G332" s="6"/>
      <c r="H332" s="128">
        <f t="shared" si="6"/>
        <v>0</v>
      </c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  <c r="AA332" s="129"/>
      <c r="AB332" s="129"/>
      <c r="AC332" s="129"/>
      <c r="AD332" s="129"/>
      <c r="AE332" s="129"/>
      <c r="AF332" s="129"/>
      <c r="AG332" s="129"/>
      <c r="AH332" s="129"/>
      <c r="AI332" s="129"/>
      <c r="AJ332" s="129"/>
      <c r="AK332" s="129"/>
      <c r="AL332" s="129"/>
      <c r="AM332" s="129"/>
    </row>
    <row r="333" spans="1:39" hidden="1" x14ac:dyDescent="0.25">
      <c r="A333" s="127">
        <v>332</v>
      </c>
      <c r="B333" s="152" t="s">
        <v>224</v>
      </c>
      <c r="C333" s="153" t="s">
        <v>2938</v>
      </c>
      <c r="D333" s="153" t="s">
        <v>2939</v>
      </c>
      <c r="E333" s="153" t="s">
        <v>2086</v>
      </c>
      <c r="F333" s="6"/>
      <c r="G333" s="6"/>
      <c r="H333" s="128">
        <f t="shared" si="6"/>
        <v>0</v>
      </c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  <c r="AA333" s="129"/>
      <c r="AB333" s="129"/>
      <c r="AC333" s="129"/>
      <c r="AD333" s="129"/>
      <c r="AE333" s="129"/>
      <c r="AF333" s="129"/>
      <c r="AG333" s="129"/>
      <c r="AH333" s="129"/>
      <c r="AI333" s="129"/>
      <c r="AJ333" s="129"/>
      <c r="AK333" s="129"/>
      <c r="AL333" s="129"/>
      <c r="AM333" s="129"/>
    </row>
    <row r="334" spans="1:39" hidden="1" x14ac:dyDescent="0.25">
      <c r="A334" s="127">
        <v>333</v>
      </c>
      <c r="B334" s="152" t="s">
        <v>206</v>
      </c>
      <c r="C334" s="153" t="s">
        <v>2940</v>
      </c>
      <c r="D334" s="153" t="s">
        <v>2941</v>
      </c>
      <c r="E334" s="153" t="s">
        <v>4948</v>
      </c>
      <c r="F334" s="6"/>
      <c r="G334" s="6"/>
      <c r="H334" s="128">
        <f t="shared" si="6"/>
        <v>0</v>
      </c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  <c r="AA334" s="129"/>
      <c r="AB334" s="129"/>
      <c r="AC334" s="129"/>
      <c r="AD334" s="129"/>
      <c r="AE334" s="129"/>
      <c r="AF334" s="129"/>
      <c r="AG334" s="129"/>
      <c r="AH334" s="129"/>
      <c r="AI334" s="129"/>
      <c r="AJ334" s="129"/>
      <c r="AK334" s="129"/>
      <c r="AL334" s="129"/>
      <c r="AM334" s="129"/>
    </row>
    <row r="335" spans="1:39" hidden="1" x14ac:dyDescent="0.25">
      <c r="A335" s="127">
        <v>334</v>
      </c>
      <c r="B335" s="152" t="s">
        <v>2942</v>
      </c>
      <c r="C335" s="153" t="s">
        <v>2943</v>
      </c>
      <c r="D335" s="153" t="s">
        <v>2944</v>
      </c>
      <c r="E335" s="153" t="s">
        <v>4948</v>
      </c>
      <c r="F335" s="6"/>
      <c r="G335" s="6"/>
      <c r="H335" s="128">
        <f t="shared" si="6"/>
        <v>0</v>
      </c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  <c r="AA335" s="129"/>
      <c r="AB335" s="129"/>
      <c r="AC335" s="129"/>
      <c r="AD335" s="129"/>
      <c r="AE335" s="129"/>
      <c r="AF335" s="129"/>
      <c r="AG335" s="129"/>
      <c r="AH335" s="129"/>
      <c r="AI335" s="129"/>
      <c r="AJ335" s="129"/>
      <c r="AK335" s="129"/>
      <c r="AL335" s="129"/>
      <c r="AM335" s="129"/>
    </row>
    <row r="336" spans="1:39" hidden="1" x14ac:dyDescent="0.25">
      <c r="A336" s="127">
        <v>335</v>
      </c>
      <c r="B336" s="152" t="s">
        <v>1205</v>
      </c>
      <c r="C336" s="153" t="s">
        <v>2945</v>
      </c>
      <c r="D336" s="153" t="s">
        <v>2946</v>
      </c>
      <c r="E336" s="153" t="s">
        <v>4948</v>
      </c>
      <c r="F336" s="6"/>
      <c r="G336" s="6"/>
      <c r="H336" s="128">
        <f t="shared" si="6"/>
        <v>12250</v>
      </c>
      <c r="I336" s="129"/>
      <c r="J336" s="129"/>
      <c r="K336" s="129"/>
      <c r="L336" s="129"/>
      <c r="M336" s="129"/>
      <c r="N336" s="129"/>
      <c r="O336" s="129"/>
      <c r="P336" s="129">
        <v>12250</v>
      </c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  <c r="AA336" s="129"/>
      <c r="AB336" s="129"/>
      <c r="AC336" s="129"/>
      <c r="AD336" s="129"/>
      <c r="AE336" s="129"/>
      <c r="AF336" s="129"/>
      <c r="AG336" s="129"/>
      <c r="AH336" s="129"/>
      <c r="AI336" s="129"/>
      <c r="AJ336" s="129"/>
      <c r="AK336" s="129"/>
      <c r="AL336" s="129"/>
      <c r="AM336" s="129"/>
    </row>
    <row r="337" spans="1:39" hidden="1" x14ac:dyDescent="0.25">
      <c r="A337" s="127">
        <v>336</v>
      </c>
      <c r="B337" s="152" t="s">
        <v>802</v>
      </c>
      <c r="C337" s="153" t="s">
        <v>2947</v>
      </c>
      <c r="D337" s="153" t="s">
        <v>2948</v>
      </c>
      <c r="E337" s="153" t="s">
        <v>2086</v>
      </c>
      <c r="F337" s="6"/>
      <c r="G337" s="6"/>
      <c r="H337" s="128">
        <f t="shared" si="6"/>
        <v>44460</v>
      </c>
      <c r="I337" s="129">
        <v>22500</v>
      </c>
      <c r="J337" s="129"/>
      <c r="K337" s="129"/>
      <c r="L337" s="129"/>
      <c r="M337" s="129"/>
      <c r="N337" s="129"/>
      <c r="O337" s="129"/>
      <c r="P337" s="129">
        <v>21960</v>
      </c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  <c r="AA337" s="129"/>
      <c r="AB337" s="129"/>
      <c r="AC337" s="129"/>
      <c r="AD337" s="129"/>
      <c r="AE337" s="129"/>
      <c r="AF337" s="129"/>
      <c r="AG337" s="129"/>
      <c r="AH337" s="129"/>
      <c r="AI337" s="129"/>
      <c r="AJ337" s="129"/>
      <c r="AK337" s="129"/>
      <c r="AL337" s="129"/>
      <c r="AM337" s="129"/>
    </row>
    <row r="338" spans="1:39" hidden="1" x14ac:dyDescent="0.25">
      <c r="A338" s="127">
        <v>337</v>
      </c>
      <c r="B338" s="152" t="s">
        <v>31</v>
      </c>
      <c r="C338" s="153" t="s">
        <v>2949</v>
      </c>
      <c r="D338" s="153" t="s">
        <v>2950</v>
      </c>
      <c r="E338" s="153" t="s">
        <v>4948</v>
      </c>
      <c r="F338" s="6"/>
      <c r="G338" s="6"/>
      <c r="H338" s="128">
        <f t="shared" si="6"/>
        <v>0</v>
      </c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  <c r="AA338" s="129"/>
      <c r="AB338" s="129"/>
      <c r="AC338" s="129"/>
      <c r="AD338" s="129"/>
      <c r="AE338" s="129"/>
      <c r="AF338" s="129"/>
      <c r="AG338" s="129"/>
      <c r="AH338" s="129"/>
      <c r="AI338" s="129"/>
      <c r="AJ338" s="129"/>
      <c r="AK338" s="129"/>
      <c r="AL338" s="129"/>
      <c r="AM338" s="129"/>
    </row>
    <row r="339" spans="1:39" hidden="1" x14ac:dyDescent="0.25">
      <c r="A339" s="127">
        <v>338</v>
      </c>
      <c r="B339" s="152" t="s">
        <v>848</v>
      </c>
      <c r="C339" s="153" t="s">
        <v>2951</v>
      </c>
      <c r="D339" s="153" t="s">
        <v>2952</v>
      </c>
      <c r="E339" s="153" t="s">
        <v>2086</v>
      </c>
      <c r="F339" s="6"/>
      <c r="G339" s="6"/>
      <c r="H339" s="128">
        <f t="shared" si="6"/>
        <v>24105</v>
      </c>
      <c r="I339" s="129"/>
      <c r="J339" s="129"/>
      <c r="K339" s="129"/>
      <c r="L339" s="129"/>
      <c r="M339" s="129"/>
      <c r="N339" s="129"/>
      <c r="O339" s="129"/>
      <c r="P339" s="129">
        <v>24105</v>
      </c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  <c r="AA339" s="129"/>
      <c r="AB339" s="129"/>
      <c r="AC339" s="129"/>
      <c r="AD339" s="129"/>
      <c r="AE339" s="129"/>
      <c r="AF339" s="129"/>
      <c r="AG339" s="129"/>
      <c r="AH339" s="129"/>
      <c r="AI339" s="129"/>
      <c r="AJ339" s="129"/>
      <c r="AK339" s="129"/>
      <c r="AL339" s="129"/>
      <c r="AM339" s="129"/>
    </row>
    <row r="340" spans="1:39" hidden="1" x14ac:dyDescent="0.25">
      <c r="A340" s="127">
        <v>339</v>
      </c>
      <c r="B340" s="152" t="s">
        <v>909</v>
      </c>
      <c r="C340" s="153" t="s">
        <v>2953</v>
      </c>
      <c r="D340" s="153" t="s">
        <v>2954</v>
      </c>
      <c r="E340" s="153" t="s">
        <v>2086</v>
      </c>
      <c r="F340" s="6"/>
      <c r="G340" s="6"/>
      <c r="H340" s="128">
        <f t="shared" si="6"/>
        <v>0</v>
      </c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  <c r="AA340" s="129"/>
      <c r="AB340" s="129"/>
      <c r="AC340" s="129"/>
      <c r="AD340" s="129"/>
      <c r="AE340" s="129"/>
      <c r="AF340" s="129"/>
      <c r="AG340" s="129"/>
      <c r="AH340" s="129"/>
      <c r="AI340" s="129"/>
      <c r="AJ340" s="129"/>
      <c r="AK340" s="129"/>
      <c r="AL340" s="129"/>
      <c r="AM340" s="129"/>
    </row>
    <row r="341" spans="1:39" hidden="1" x14ac:dyDescent="0.25">
      <c r="A341" s="127">
        <v>340</v>
      </c>
      <c r="B341" s="152" t="s">
        <v>2955</v>
      </c>
      <c r="C341" s="153" t="s">
        <v>2956</v>
      </c>
      <c r="D341" s="153" t="s">
        <v>2957</v>
      </c>
      <c r="E341" s="153" t="s">
        <v>2086</v>
      </c>
      <c r="F341" s="6"/>
      <c r="G341" s="6"/>
      <c r="H341" s="128">
        <f t="shared" si="6"/>
        <v>0</v>
      </c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  <c r="AA341" s="129"/>
      <c r="AB341" s="129"/>
      <c r="AC341" s="129"/>
      <c r="AD341" s="129"/>
      <c r="AE341" s="129"/>
      <c r="AF341" s="129"/>
      <c r="AG341" s="129"/>
      <c r="AH341" s="129"/>
      <c r="AI341" s="129"/>
      <c r="AJ341" s="129"/>
      <c r="AK341" s="129"/>
      <c r="AL341" s="129"/>
      <c r="AM341" s="129"/>
    </row>
    <row r="342" spans="1:39" hidden="1" x14ac:dyDescent="0.25">
      <c r="A342" s="127">
        <v>341</v>
      </c>
      <c r="B342" s="152" t="s">
        <v>1474</v>
      </c>
      <c r="C342" s="153" t="s">
        <v>2958</v>
      </c>
      <c r="D342" s="153" t="s">
        <v>2959</v>
      </c>
      <c r="E342" s="153" t="s">
        <v>2086</v>
      </c>
      <c r="F342" s="6"/>
      <c r="G342" s="6"/>
      <c r="H342" s="128">
        <f t="shared" si="6"/>
        <v>0</v>
      </c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  <c r="AA342" s="129"/>
      <c r="AB342" s="129"/>
      <c r="AC342" s="129"/>
      <c r="AD342" s="129"/>
      <c r="AE342" s="129"/>
      <c r="AF342" s="129"/>
      <c r="AG342" s="129"/>
      <c r="AH342" s="129"/>
      <c r="AI342" s="129"/>
      <c r="AJ342" s="129"/>
      <c r="AK342" s="129"/>
      <c r="AL342" s="129"/>
      <c r="AM342" s="129"/>
    </row>
    <row r="343" spans="1:39" hidden="1" x14ac:dyDescent="0.25">
      <c r="A343" s="127">
        <v>342</v>
      </c>
      <c r="B343" s="152" t="s">
        <v>1084</v>
      </c>
      <c r="C343" s="153" t="s">
        <v>2960</v>
      </c>
      <c r="D343" s="153" t="s">
        <v>2961</v>
      </c>
      <c r="E343" s="153" t="s">
        <v>2086</v>
      </c>
      <c r="F343" s="6"/>
      <c r="G343" s="6"/>
      <c r="H343" s="128">
        <f t="shared" si="6"/>
        <v>0</v>
      </c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  <c r="AA343" s="129"/>
      <c r="AB343" s="129"/>
      <c r="AC343" s="129"/>
      <c r="AD343" s="129"/>
      <c r="AE343" s="129"/>
      <c r="AF343" s="129"/>
      <c r="AG343" s="129"/>
      <c r="AH343" s="129"/>
      <c r="AI343" s="129"/>
      <c r="AJ343" s="129"/>
      <c r="AK343" s="129"/>
      <c r="AL343" s="129"/>
      <c r="AM343" s="129"/>
    </row>
    <row r="344" spans="1:39" hidden="1" x14ac:dyDescent="0.25">
      <c r="A344" s="127">
        <v>343</v>
      </c>
      <c r="B344" s="152" t="s">
        <v>2962</v>
      </c>
      <c r="C344" s="153" t="s">
        <v>2963</v>
      </c>
      <c r="D344" s="153" t="s">
        <v>2964</v>
      </c>
      <c r="E344" s="153" t="s">
        <v>4948</v>
      </c>
      <c r="F344" s="6"/>
      <c r="G344" s="6"/>
      <c r="H344" s="128">
        <f t="shared" si="6"/>
        <v>0</v>
      </c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  <c r="AA344" s="129"/>
      <c r="AB344" s="129"/>
      <c r="AC344" s="129"/>
      <c r="AD344" s="129"/>
      <c r="AE344" s="129"/>
      <c r="AF344" s="129"/>
      <c r="AG344" s="129"/>
      <c r="AH344" s="129"/>
      <c r="AI344" s="129"/>
      <c r="AJ344" s="129"/>
      <c r="AK344" s="129"/>
      <c r="AL344" s="129"/>
      <c r="AM344" s="129"/>
    </row>
    <row r="345" spans="1:39" hidden="1" x14ac:dyDescent="0.25">
      <c r="A345" s="127">
        <v>344</v>
      </c>
      <c r="B345" s="152" t="s">
        <v>953</v>
      </c>
      <c r="C345" s="153" t="s">
        <v>2965</v>
      </c>
      <c r="D345" s="153" t="s">
        <v>2966</v>
      </c>
      <c r="E345" s="153" t="s">
        <v>2086</v>
      </c>
      <c r="F345" s="6"/>
      <c r="G345" s="6"/>
      <c r="H345" s="128">
        <f t="shared" si="6"/>
        <v>97835</v>
      </c>
      <c r="I345" s="129">
        <v>80000</v>
      </c>
      <c r="J345" s="129"/>
      <c r="K345" s="129"/>
      <c r="L345" s="129"/>
      <c r="M345" s="129"/>
      <c r="N345" s="129"/>
      <c r="O345" s="129"/>
      <c r="P345" s="129">
        <v>17835</v>
      </c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  <c r="AA345" s="129"/>
      <c r="AB345" s="129"/>
      <c r="AC345" s="129"/>
      <c r="AD345" s="129"/>
      <c r="AE345" s="129"/>
      <c r="AF345" s="129"/>
      <c r="AG345" s="129"/>
      <c r="AH345" s="129"/>
      <c r="AI345" s="129"/>
      <c r="AJ345" s="129"/>
      <c r="AK345" s="129"/>
      <c r="AL345" s="129"/>
      <c r="AM345" s="129"/>
    </row>
    <row r="346" spans="1:39" hidden="1" x14ac:dyDescent="0.25">
      <c r="A346" s="127">
        <v>345</v>
      </c>
      <c r="B346" s="152" t="s">
        <v>1423</v>
      </c>
      <c r="C346" s="153" t="s">
        <v>2967</v>
      </c>
      <c r="D346" s="153" t="s">
        <v>2968</v>
      </c>
      <c r="E346" s="153" t="s">
        <v>2086</v>
      </c>
      <c r="F346" s="6"/>
      <c r="G346" s="6"/>
      <c r="H346" s="128">
        <f t="shared" si="6"/>
        <v>0</v>
      </c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  <c r="AA346" s="129"/>
      <c r="AB346" s="129"/>
      <c r="AC346" s="129"/>
      <c r="AD346" s="129"/>
      <c r="AE346" s="129"/>
      <c r="AF346" s="129"/>
      <c r="AG346" s="129"/>
      <c r="AH346" s="129"/>
      <c r="AI346" s="129"/>
      <c r="AJ346" s="129"/>
      <c r="AK346" s="129"/>
      <c r="AL346" s="129"/>
      <c r="AM346" s="129"/>
    </row>
    <row r="347" spans="1:39" hidden="1" x14ac:dyDescent="0.25">
      <c r="A347" s="127">
        <v>346</v>
      </c>
      <c r="B347" s="152" t="s">
        <v>2969</v>
      </c>
      <c r="C347" s="153" t="s">
        <v>2970</v>
      </c>
      <c r="D347" s="153" t="s">
        <v>2971</v>
      </c>
      <c r="E347" s="153" t="s">
        <v>2086</v>
      </c>
      <c r="F347" s="6"/>
      <c r="G347" s="6"/>
      <c r="H347" s="128">
        <f t="shared" si="6"/>
        <v>0</v>
      </c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  <c r="AA347" s="129"/>
      <c r="AB347" s="129"/>
      <c r="AC347" s="129"/>
      <c r="AD347" s="129"/>
      <c r="AE347" s="129"/>
      <c r="AF347" s="129"/>
      <c r="AG347" s="129"/>
      <c r="AH347" s="129"/>
      <c r="AI347" s="129"/>
      <c r="AJ347" s="129"/>
      <c r="AK347" s="129"/>
      <c r="AL347" s="129"/>
      <c r="AM347" s="129"/>
    </row>
    <row r="348" spans="1:39" hidden="1" x14ac:dyDescent="0.25">
      <c r="A348" s="127">
        <v>347</v>
      </c>
      <c r="B348" s="155" t="s">
        <v>2972</v>
      </c>
      <c r="C348" s="156" t="s">
        <v>2973</v>
      </c>
      <c r="D348" s="156" t="s">
        <v>2974</v>
      </c>
      <c r="E348" s="153" t="s">
        <v>4948</v>
      </c>
      <c r="F348" s="6"/>
      <c r="G348" s="6"/>
      <c r="H348" s="128">
        <f t="shared" si="6"/>
        <v>0</v>
      </c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</row>
    <row r="349" spans="1:39" hidden="1" x14ac:dyDescent="0.25">
      <c r="A349" s="127">
        <v>348</v>
      </c>
      <c r="B349" s="152" t="s">
        <v>1240</v>
      </c>
      <c r="C349" s="153" t="s">
        <v>2975</v>
      </c>
      <c r="D349" s="153" t="s">
        <v>2976</v>
      </c>
      <c r="E349" s="153" t="s">
        <v>2086</v>
      </c>
      <c r="F349" s="6"/>
      <c r="G349" s="6"/>
      <c r="H349" s="128">
        <f t="shared" si="6"/>
        <v>0</v>
      </c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</row>
    <row r="350" spans="1:39" hidden="1" x14ac:dyDescent="0.25">
      <c r="A350" s="127">
        <v>349</v>
      </c>
      <c r="B350" s="152" t="s">
        <v>1885</v>
      </c>
      <c r="C350" s="153" t="s">
        <v>2977</v>
      </c>
      <c r="D350" s="153" t="s">
        <v>2978</v>
      </c>
      <c r="E350" s="153" t="s">
        <v>2086</v>
      </c>
      <c r="F350" s="6"/>
      <c r="G350" s="6"/>
      <c r="H350" s="128">
        <f t="shared" si="6"/>
        <v>0</v>
      </c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  <c r="AA350" s="129"/>
      <c r="AB350" s="129"/>
      <c r="AC350" s="129"/>
      <c r="AD350" s="129"/>
      <c r="AE350" s="129"/>
      <c r="AF350" s="129"/>
      <c r="AG350" s="129"/>
      <c r="AH350" s="129"/>
      <c r="AI350" s="129"/>
      <c r="AJ350" s="129"/>
      <c r="AK350" s="129"/>
      <c r="AL350" s="129"/>
      <c r="AM350" s="129"/>
    </row>
    <row r="351" spans="1:39" hidden="1" x14ac:dyDescent="0.25">
      <c r="A351" s="127">
        <v>350</v>
      </c>
      <c r="B351" s="152" t="s">
        <v>1873</v>
      </c>
      <c r="C351" s="153" t="s">
        <v>2979</v>
      </c>
      <c r="D351" s="153" t="s">
        <v>2980</v>
      </c>
      <c r="E351" s="153" t="s">
        <v>2086</v>
      </c>
      <c r="F351" s="6"/>
      <c r="G351" s="6"/>
      <c r="H351" s="128">
        <f t="shared" si="6"/>
        <v>4000</v>
      </c>
      <c r="I351" s="129">
        <v>4000</v>
      </c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29"/>
      <c r="AL351" s="129"/>
      <c r="AM351" s="129"/>
    </row>
    <row r="352" spans="1:39" hidden="1" x14ac:dyDescent="0.25">
      <c r="A352" s="127">
        <v>351</v>
      </c>
      <c r="B352" s="152" t="s">
        <v>1183</v>
      </c>
      <c r="C352" s="153" t="s">
        <v>2981</v>
      </c>
      <c r="D352" s="153" t="s">
        <v>2982</v>
      </c>
      <c r="E352" s="153" t="s">
        <v>2086</v>
      </c>
      <c r="F352" s="6"/>
      <c r="G352" s="6"/>
      <c r="H352" s="128">
        <f t="shared" si="6"/>
        <v>0</v>
      </c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</row>
    <row r="353" spans="1:39" hidden="1" x14ac:dyDescent="0.25">
      <c r="A353" s="127">
        <v>352</v>
      </c>
      <c r="B353" s="152" t="s">
        <v>1866</v>
      </c>
      <c r="C353" s="153" t="s">
        <v>2983</v>
      </c>
      <c r="D353" s="153" t="s">
        <v>2984</v>
      </c>
      <c r="E353" s="153" t="s">
        <v>2086</v>
      </c>
      <c r="F353" s="6"/>
      <c r="G353" s="6"/>
      <c r="H353" s="128">
        <f t="shared" si="6"/>
        <v>0</v>
      </c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</row>
    <row r="354" spans="1:39" hidden="1" x14ac:dyDescent="0.25">
      <c r="A354" s="127">
        <v>353</v>
      </c>
      <c r="B354" s="155" t="s">
        <v>2985</v>
      </c>
      <c r="C354" s="156" t="s">
        <v>2986</v>
      </c>
      <c r="D354" s="156" t="s">
        <v>2987</v>
      </c>
      <c r="E354" s="153" t="s">
        <v>4948</v>
      </c>
      <c r="F354" s="6"/>
      <c r="G354" s="6"/>
      <c r="H354" s="128">
        <f t="shared" si="6"/>
        <v>0</v>
      </c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</row>
    <row r="355" spans="1:39" hidden="1" x14ac:dyDescent="0.25">
      <c r="A355" s="127">
        <v>354</v>
      </c>
      <c r="B355" s="152" t="s">
        <v>1879</v>
      </c>
      <c r="C355" s="153" t="s">
        <v>2988</v>
      </c>
      <c r="D355" s="153" t="s">
        <v>2989</v>
      </c>
      <c r="E355" s="153" t="s">
        <v>2086</v>
      </c>
      <c r="F355" s="6"/>
      <c r="G355" s="6"/>
      <c r="H355" s="128">
        <f t="shared" si="6"/>
        <v>0</v>
      </c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</row>
    <row r="356" spans="1:39" hidden="1" x14ac:dyDescent="0.25">
      <c r="A356" s="127">
        <v>355</v>
      </c>
      <c r="B356" s="152" t="s">
        <v>2990</v>
      </c>
      <c r="C356" s="153" t="s">
        <v>2991</v>
      </c>
      <c r="D356" s="153" t="s">
        <v>2992</v>
      </c>
      <c r="E356" s="153" t="s">
        <v>4948</v>
      </c>
      <c r="F356" s="6"/>
      <c r="G356" s="6"/>
      <c r="H356" s="128">
        <f t="shared" si="6"/>
        <v>0</v>
      </c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</row>
    <row r="357" spans="1:39" hidden="1" x14ac:dyDescent="0.25">
      <c r="A357" s="127">
        <v>356</v>
      </c>
      <c r="B357" s="152" t="s">
        <v>798</v>
      </c>
      <c r="C357" s="153" t="s">
        <v>2993</v>
      </c>
      <c r="D357" s="153" t="s">
        <v>2994</v>
      </c>
      <c r="E357" s="153" t="s">
        <v>2086</v>
      </c>
      <c r="F357" s="6"/>
      <c r="G357" s="6"/>
      <c r="H357" s="128">
        <f t="shared" si="6"/>
        <v>0</v>
      </c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</row>
    <row r="358" spans="1:39" hidden="1" x14ac:dyDescent="0.25">
      <c r="A358" s="127">
        <v>357</v>
      </c>
      <c r="B358" s="152" t="s">
        <v>1013</v>
      </c>
      <c r="C358" s="153" t="s">
        <v>2995</v>
      </c>
      <c r="D358" s="153" t="s">
        <v>2996</v>
      </c>
      <c r="E358" s="153" t="s">
        <v>4948</v>
      </c>
      <c r="F358" s="6"/>
      <c r="G358" s="6"/>
      <c r="H358" s="128">
        <f t="shared" si="6"/>
        <v>0</v>
      </c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</row>
    <row r="359" spans="1:39" hidden="1" x14ac:dyDescent="0.25">
      <c r="A359" s="127">
        <v>358</v>
      </c>
      <c r="B359" s="152" t="s">
        <v>1033</v>
      </c>
      <c r="C359" s="153" t="s">
        <v>2997</v>
      </c>
      <c r="D359" s="153" t="s">
        <v>2998</v>
      </c>
      <c r="E359" s="153" t="s">
        <v>2086</v>
      </c>
      <c r="F359" s="6"/>
      <c r="G359" s="6"/>
      <c r="H359" s="128">
        <f t="shared" si="6"/>
        <v>0</v>
      </c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</row>
    <row r="360" spans="1:39" hidden="1" x14ac:dyDescent="0.25">
      <c r="A360" s="127">
        <v>359</v>
      </c>
      <c r="B360" s="152" t="s">
        <v>2999</v>
      </c>
      <c r="C360" s="153" t="s">
        <v>3000</v>
      </c>
      <c r="D360" s="153" t="s">
        <v>3001</v>
      </c>
      <c r="E360" s="153" t="s">
        <v>4948</v>
      </c>
      <c r="F360" s="6"/>
      <c r="G360" s="6"/>
      <c r="H360" s="128">
        <f t="shared" si="6"/>
        <v>0</v>
      </c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</row>
    <row r="361" spans="1:39" hidden="1" x14ac:dyDescent="0.25">
      <c r="A361" s="127">
        <v>360</v>
      </c>
      <c r="B361" s="152" t="s">
        <v>1882</v>
      </c>
      <c r="C361" s="153" t="s">
        <v>3002</v>
      </c>
      <c r="D361" s="153" t="s">
        <v>3003</v>
      </c>
      <c r="E361" s="153" t="s">
        <v>2086</v>
      </c>
      <c r="F361" s="6"/>
      <c r="G361" s="6"/>
      <c r="H361" s="128">
        <f t="shared" si="6"/>
        <v>0</v>
      </c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</row>
    <row r="362" spans="1:39" hidden="1" x14ac:dyDescent="0.25">
      <c r="A362" s="127">
        <v>361</v>
      </c>
      <c r="B362" s="152" t="s">
        <v>1565</v>
      </c>
      <c r="C362" s="153" t="s">
        <v>3004</v>
      </c>
      <c r="D362" s="153" t="s">
        <v>3005</v>
      </c>
      <c r="E362" s="153" t="s">
        <v>2086</v>
      </c>
      <c r="F362" s="6"/>
      <c r="G362" s="6"/>
      <c r="H362" s="128">
        <f t="shared" si="6"/>
        <v>0</v>
      </c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  <c r="AA362" s="129"/>
      <c r="AB362" s="129"/>
      <c r="AC362" s="129"/>
      <c r="AD362" s="129"/>
      <c r="AE362" s="129"/>
      <c r="AF362" s="129"/>
      <c r="AG362" s="129"/>
      <c r="AH362" s="129"/>
      <c r="AI362" s="129"/>
      <c r="AJ362" s="129"/>
      <c r="AK362" s="129"/>
      <c r="AL362" s="129"/>
      <c r="AM362" s="129"/>
    </row>
    <row r="363" spans="1:39" hidden="1" x14ac:dyDescent="0.25">
      <c r="A363" s="127">
        <v>362</v>
      </c>
      <c r="B363" s="152" t="s">
        <v>1919</v>
      </c>
      <c r="C363" s="153" t="s">
        <v>3006</v>
      </c>
      <c r="D363" s="153" t="s">
        <v>3007</v>
      </c>
      <c r="E363" s="153" t="s">
        <v>2086</v>
      </c>
      <c r="F363" s="6"/>
      <c r="G363" s="6"/>
      <c r="H363" s="128">
        <f t="shared" si="6"/>
        <v>450</v>
      </c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>
        <v>450</v>
      </c>
      <c r="T363" s="129"/>
      <c r="U363" s="129"/>
      <c r="V363" s="129"/>
      <c r="W363" s="129"/>
      <c r="X363" s="129"/>
      <c r="Y363" s="129"/>
      <c r="Z363" s="129"/>
      <c r="AA363" s="129"/>
      <c r="AB363" s="129"/>
      <c r="AC363" s="129"/>
      <c r="AD363" s="129"/>
      <c r="AE363" s="129"/>
      <c r="AF363" s="129"/>
      <c r="AG363" s="129"/>
      <c r="AH363" s="129"/>
      <c r="AI363" s="129"/>
      <c r="AJ363" s="129"/>
      <c r="AK363" s="129"/>
      <c r="AL363" s="129"/>
      <c r="AM363" s="129"/>
    </row>
    <row r="364" spans="1:39" hidden="1" x14ac:dyDescent="0.25">
      <c r="A364" s="127">
        <v>363</v>
      </c>
      <c r="B364" s="152" t="s">
        <v>197</v>
      </c>
      <c r="C364" s="153" t="s">
        <v>3008</v>
      </c>
      <c r="D364" s="153" t="s">
        <v>3009</v>
      </c>
      <c r="E364" s="153" t="s">
        <v>4948</v>
      </c>
      <c r="F364" s="6"/>
      <c r="G364" s="6"/>
      <c r="H364" s="128">
        <f t="shared" si="6"/>
        <v>0</v>
      </c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  <c r="AA364" s="129"/>
      <c r="AB364" s="129"/>
      <c r="AC364" s="129"/>
      <c r="AD364" s="129"/>
      <c r="AE364" s="129"/>
      <c r="AF364" s="129"/>
      <c r="AG364" s="129"/>
      <c r="AH364" s="129"/>
      <c r="AI364" s="129"/>
      <c r="AJ364" s="129"/>
      <c r="AK364" s="129"/>
      <c r="AL364" s="129"/>
      <c r="AM364" s="129"/>
    </row>
    <row r="365" spans="1:39" hidden="1" x14ac:dyDescent="0.25">
      <c r="A365" s="127">
        <v>364</v>
      </c>
      <c r="B365" s="152" t="s">
        <v>3010</v>
      </c>
      <c r="C365" s="153" t="s">
        <v>3011</v>
      </c>
      <c r="D365" s="153" t="s">
        <v>3012</v>
      </c>
      <c r="E365" s="153" t="s">
        <v>2086</v>
      </c>
      <c r="F365" s="6"/>
      <c r="G365" s="6"/>
      <c r="H365" s="128">
        <f t="shared" si="6"/>
        <v>0</v>
      </c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  <c r="AA365" s="129"/>
      <c r="AB365" s="129"/>
      <c r="AC365" s="129"/>
      <c r="AD365" s="129"/>
      <c r="AE365" s="129"/>
      <c r="AF365" s="129"/>
      <c r="AG365" s="129"/>
      <c r="AH365" s="129"/>
      <c r="AI365" s="129"/>
      <c r="AJ365" s="129"/>
      <c r="AK365" s="129"/>
      <c r="AL365" s="129"/>
      <c r="AM365" s="129"/>
    </row>
    <row r="366" spans="1:39" hidden="1" x14ac:dyDescent="0.25">
      <c r="A366" s="127">
        <v>365</v>
      </c>
      <c r="B366" s="152" t="s">
        <v>3013</v>
      </c>
      <c r="C366" s="153" t="s">
        <v>3014</v>
      </c>
      <c r="D366" s="153" t="s">
        <v>3015</v>
      </c>
      <c r="E366" s="153" t="s">
        <v>2086</v>
      </c>
      <c r="F366" s="6"/>
      <c r="G366" s="6"/>
      <c r="H366" s="128">
        <f t="shared" si="6"/>
        <v>0</v>
      </c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  <c r="AA366" s="129"/>
      <c r="AB366" s="129"/>
      <c r="AC366" s="129"/>
      <c r="AD366" s="129"/>
      <c r="AE366" s="129"/>
      <c r="AF366" s="129"/>
      <c r="AG366" s="129"/>
      <c r="AH366" s="129"/>
      <c r="AI366" s="129"/>
      <c r="AJ366" s="129"/>
      <c r="AK366" s="129"/>
      <c r="AL366" s="129"/>
      <c r="AM366" s="129"/>
    </row>
    <row r="367" spans="1:39" hidden="1" x14ac:dyDescent="0.25">
      <c r="A367" s="127">
        <v>366</v>
      </c>
      <c r="B367" s="152" t="s">
        <v>3016</v>
      </c>
      <c r="C367" s="153" t="s">
        <v>3017</v>
      </c>
      <c r="D367" s="153" t="s">
        <v>3018</v>
      </c>
      <c r="E367" s="153" t="s">
        <v>2086</v>
      </c>
      <c r="F367" s="6"/>
      <c r="G367" s="6"/>
      <c r="H367" s="128">
        <f t="shared" si="6"/>
        <v>0</v>
      </c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  <c r="AA367" s="129"/>
      <c r="AB367" s="129"/>
      <c r="AC367" s="129"/>
      <c r="AD367" s="129"/>
      <c r="AE367" s="129"/>
      <c r="AF367" s="129"/>
      <c r="AG367" s="129"/>
      <c r="AH367" s="129"/>
      <c r="AI367" s="129"/>
      <c r="AJ367" s="129"/>
      <c r="AK367" s="129"/>
      <c r="AL367" s="129"/>
      <c r="AM367" s="129"/>
    </row>
    <row r="368" spans="1:39" hidden="1" x14ac:dyDescent="0.25">
      <c r="A368" s="127">
        <v>367</v>
      </c>
      <c r="B368" s="152" t="s">
        <v>1833</v>
      </c>
      <c r="C368" s="153" t="s">
        <v>3019</v>
      </c>
      <c r="D368" s="153" t="s">
        <v>3020</v>
      </c>
      <c r="E368" s="153" t="s">
        <v>4948</v>
      </c>
      <c r="F368" s="6"/>
      <c r="G368" s="6"/>
      <c r="H368" s="128">
        <f t="shared" si="6"/>
        <v>0</v>
      </c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  <c r="AA368" s="129"/>
      <c r="AB368" s="129"/>
      <c r="AC368" s="129"/>
      <c r="AD368" s="129"/>
      <c r="AE368" s="129"/>
      <c r="AF368" s="129"/>
      <c r="AG368" s="129"/>
      <c r="AH368" s="129"/>
      <c r="AI368" s="129"/>
      <c r="AJ368" s="129"/>
      <c r="AK368" s="129"/>
      <c r="AL368" s="129"/>
      <c r="AM368" s="129"/>
    </row>
    <row r="369" spans="1:39" hidden="1" x14ac:dyDescent="0.25">
      <c r="A369" s="127">
        <v>368</v>
      </c>
      <c r="B369" s="155" t="s">
        <v>1869</v>
      </c>
      <c r="C369" s="156" t="s">
        <v>3021</v>
      </c>
      <c r="D369" s="156" t="s">
        <v>3022</v>
      </c>
      <c r="E369" s="153" t="s">
        <v>2086</v>
      </c>
      <c r="F369" s="6"/>
      <c r="G369" s="6"/>
      <c r="H369" s="128">
        <f t="shared" si="6"/>
        <v>0</v>
      </c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  <c r="AA369" s="129"/>
      <c r="AB369" s="129"/>
      <c r="AC369" s="129"/>
      <c r="AD369" s="129"/>
      <c r="AE369" s="129"/>
      <c r="AF369" s="129"/>
      <c r="AG369" s="129"/>
      <c r="AH369" s="129"/>
      <c r="AI369" s="129"/>
      <c r="AJ369" s="129"/>
      <c r="AK369" s="129"/>
      <c r="AL369" s="129"/>
      <c r="AM369" s="129"/>
    </row>
    <row r="370" spans="1:39" hidden="1" x14ac:dyDescent="0.25">
      <c r="A370" s="127">
        <v>369</v>
      </c>
      <c r="B370" s="152" t="s">
        <v>3023</v>
      </c>
      <c r="C370" s="153" t="s">
        <v>3024</v>
      </c>
      <c r="D370" s="153" t="s">
        <v>3025</v>
      </c>
      <c r="E370" s="153" t="s">
        <v>4948</v>
      </c>
      <c r="F370" s="6"/>
      <c r="G370" s="6"/>
      <c r="H370" s="128">
        <f t="shared" si="6"/>
        <v>0</v>
      </c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  <c r="AA370" s="129"/>
      <c r="AB370" s="129"/>
      <c r="AC370" s="129"/>
      <c r="AD370" s="129"/>
      <c r="AE370" s="129"/>
      <c r="AF370" s="129"/>
      <c r="AG370" s="129"/>
      <c r="AH370" s="129"/>
      <c r="AI370" s="129"/>
      <c r="AJ370" s="129"/>
      <c r="AK370" s="129"/>
      <c r="AL370" s="129"/>
      <c r="AM370" s="129"/>
    </row>
    <row r="371" spans="1:39" hidden="1" x14ac:dyDescent="0.25">
      <c r="A371" s="127">
        <v>370</v>
      </c>
      <c r="B371" s="155" t="s">
        <v>3026</v>
      </c>
      <c r="C371" s="156" t="s">
        <v>3027</v>
      </c>
      <c r="D371" s="156" t="s">
        <v>3028</v>
      </c>
      <c r="E371" s="153" t="s">
        <v>4948</v>
      </c>
      <c r="F371" s="6"/>
      <c r="G371" s="6"/>
      <c r="H371" s="128">
        <f t="shared" si="6"/>
        <v>0</v>
      </c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  <c r="AA371" s="129"/>
      <c r="AB371" s="129"/>
      <c r="AC371" s="129"/>
      <c r="AD371" s="129"/>
      <c r="AE371" s="129"/>
      <c r="AF371" s="129"/>
      <c r="AG371" s="129"/>
      <c r="AH371" s="129"/>
      <c r="AI371" s="129"/>
      <c r="AJ371" s="129"/>
      <c r="AK371" s="129"/>
      <c r="AL371" s="129"/>
      <c r="AM371" s="129"/>
    </row>
    <row r="372" spans="1:39" hidden="1" x14ac:dyDescent="0.25">
      <c r="A372" s="127">
        <v>371</v>
      </c>
      <c r="B372" s="152" t="s">
        <v>1912</v>
      </c>
      <c r="C372" s="153" t="s">
        <v>3029</v>
      </c>
      <c r="D372" s="153" t="s">
        <v>3030</v>
      </c>
      <c r="E372" s="153" t="s">
        <v>2086</v>
      </c>
      <c r="F372" s="6"/>
      <c r="G372" s="6"/>
      <c r="H372" s="128">
        <f t="shared" si="6"/>
        <v>0</v>
      </c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  <c r="AA372" s="129"/>
      <c r="AB372" s="129"/>
      <c r="AC372" s="129"/>
      <c r="AD372" s="129"/>
      <c r="AE372" s="129"/>
      <c r="AF372" s="129"/>
      <c r="AG372" s="129"/>
      <c r="AH372" s="129"/>
      <c r="AI372" s="129"/>
      <c r="AJ372" s="129"/>
      <c r="AK372" s="129"/>
      <c r="AL372" s="129"/>
      <c r="AM372" s="129"/>
    </row>
    <row r="373" spans="1:39" hidden="1" x14ac:dyDescent="0.25">
      <c r="A373" s="127">
        <v>372</v>
      </c>
      <c r="B373" s="152" t="s">
        <v>3031</v>
      </c>
      <c r="C373" s="153" t="s">
        <v>3032</v>
      </c>
      <c r="D373" s="153" t="s">
        <v>3033</v>
      </c>
      <c r="E373" s="153" t="s">
        <v>4948</v>
      </c>
      <c r="F373" s="6"/>
      <c r="G373" s="6"/>
      <c r="H373" s="128">
        <f t="shared" si="6"/>
        <v>0</v>
      </c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  <c r="AA373" s="129"/>
      <c r="AB373" s="129"/>
      <c r="AC373" s="129"/>
      <c r="AD373" s="129"/>
      <c r="AE373" s="129"/>
      <c r="AF373" s="129"/>
      <c r="AG373" s="129"/>
      <c r="AH373" s="129"/>
      <c r="AI373" s="129"/>
      <c r="AJ373" s="129"/>
      <c r="AK373" s="129"/>
      <c r="AL373" s="129"/>
      <c r="AM373" s="129"/>
    </row>
    <row r="374" spans="1:39" hidden="1" x14ac:dyDescent="0.25">
      <c r="A374" s="127">
        <v>373</v>
      </c>
      <c r="B374" s="152" t="s">
        <v>1249</v>
      </c>
      <c r="C374" s="153" t="s">
        <v>3034</v>
      </c>
      <c r="D374" s="153" t="s">
        <v>3035</v>
      </c>
      <c r="E374" s="153" t="s">
        <v>2086</v>
      </c>
      <c r="F374" s="6"/>
      <c r="G374" s="6"/>
      <c r="H374" s="128">
        <f t="shared" si="6"/>
        <v>0</v>
      </c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  <c r="AA374" s="129"/>
      <c r="AB374" s="129"/>
      <c r="AC374" s="129"/>
      <c r="AD374" s="129"/>
      <c r="AE374" s="129"/>
      <c r="AF374" s="129"/>
      <c r="AG374" s="129"/>
      <c r="AH374" s="129"/>
      <c r="AI374" s="129"/>
      <c r="AJ374" s="129"/>
      <c r="AK374" s="129"/>
      <c r="AL374" s="129"/>
      <c r="AM374" s="129"/>
    </row>
    <row r="375" spans="1:39" hidden="1" x14ac:dyDescent="0.25">
      <c r="A375" s="127">
        <v>374</v>
      </c>
      <c r="B375" s="152" t="s">
        <v>1173</v>
      </c>
      <c r="C375" s="153" t="s">
        <v>3036</v>
      </c>
      <c r="D375" s="153" t="s">
        <v>3037</v>
      </c>
      <c r="E375" s="153" t="s">
        <v>2086</v>
      </c>
      <c r="F375" s="6"/>
      <c r="G375" s="6"/>
      <c r="H375" s="128">
        <f t="shared" si="6"/>
        <v>0</v>
      </c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  <c r="AA375" s="129"/>
      <c r="AB375" s="129"/>
      <c r="AC375" s="129"/>
      <c r="AD375" s="129"/>
      <c r="AE375" s="129"/>
      <c r="AF375" s="129"/>
      <c r="AG375" s="129"/>
      <c r="AH375" s="129"/>
      <c r="AI375" s="129"/>
      <c r="AJ375" s="129"/>
      <c r="AK375" s="129"/>
      <c r="AL375" s="129"/>
      <c r="AM375" s="129"/>
    </row>
    <row r="376" spans="1:39" hidden="1" x14ac:dyDescent="0.25">
      <c r="A376" s="127">
        <v>375</v>
      </c>
      <c r="B376" s="152" t="s">
        <v>43</v>
      </c>
      <c r="C376" s="153" t="s">
        <v>3038</v>
      </c>
      <c r="D376" s="153" t="s">
        <v>3039</v>
      </c>
      <c r="E376" s="153" t="s">
        <v>4948</v>
      </c>
      <c r="F376" s="6"/>
      <c r="G376" s="6"/>
      <c r="H376" s="128">
        <f t="shared" si="6"/>
        <v>0</v>
      </c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  <c r="AA376" s="129"/>
      <c r="AB376" s="129"/>
      <c r="AC376" s="129"/>
      <c r="AD376" s="129"/>
      <c r="AE376" s="129"/>
      <c r="AF376" s="129"/>
      <c r="AG376" s="129"/>
      <c r="AH376" s="129"/>
      <c r="AI376" s="129"/>
      <c r="AJ376" s="129"/>
      <c r="AK376" s="129"/>
      <c r="AL376" s="129"/>
      <c r="AM376" s="129"/>
    </row>
    <row r="377" spans="1:39" hidden="1" x14ac:dyDescent="0.25">
      <c r="A377" s="127">
        <v>376</v>
      </c>
      <c r="B377" s="152" t="s">
        <v>3040</v>
      </c>
      <c r="C377" s="153" t="s">
        <v>3041</v>
      </c>
      <c r="D377" s="153" t="s">
        <v>3042</v>
      </c>
      <c r="E377" s="153" t="s">
        <v>4948</v>
      </c>
      <c r="F377" s="6"/>
      <c r="G377" s="6"/>
      <c r="H377" s="128">
        <f t="shared" si="6"/>
        <v>0</v>
      </c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  <c r="AA377" s="129"/>
      <c r="AB377" s="129"/>
      <c r="AC377" s="129"/>
      <c r="AD377" s="129"/>
      <c r="AE377" s="129"/>
      <c r="AF377" s="129"/>
      <c r="AG377" s="129"/>
      <c r="AH377" s="129"/>
      <c r="AI377" s="129"/>
      <c r="AJ377" s="129"/>
      <c r="AK377" s="129"/>
      <c r="AL377" s="129"/>
      <c r="AM377" s="129"/>
    </row>
    <row r="378" spans="1:39" hidden="1" x14ac:dyDescent="0.25">
      <c r="A378" s="127">
        <v>377</v>
      </c>
      <c r="B378" s="152" t="s">
        <v>3043</v>
      </c>
      <c r="C378" s="153" t="s">
        <v>3044</v>
      </c>
      <c r="D378" s="153" t="s">
        <v>3045</v>
      </c>
      <c r="E378" s="153" t="s">
        <v>2086</v>
      </c>
      <c r="F378" s="6"/>
      <c r="G378" s="6"/>
      <c r="H378" s="128">
        <f t="shared" si="6"/>
        <v>0</v>
      </c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  <c r="AA378" s="129"/>
      <c r="AB378" s="129"/>
      <c r="AC378" s="129"/>
      <c r="AD378" s="129"/>
      <c r="AE378" s="129"/>
      <c r="AF378" s="129"/>
      <c r="AG378" s="129"/>
      <c r="AH378" s="129"/>
      <c r="AI378" s="129"/>
      <c r="AJ378" s="129"/>
      <c r="AK378" s="129"/>
      <c r="AL378" s="129"/>
      <c r="AM378" s="129"/>
    </row>
    <row r="379" spans="1:39" hidden="1" x14ac:dyDescent="0.25">
      <c r="A379" s="127">
        <v>378</v>
      </c>
      <c r="B379" s="152" t="s">
        <v>1570</v>
      </c>
      <c r="C379" s="153" t="s">
        <v>3046</v>
      </c>
      <c r="D379" s="153" t="s">
        <v>3047</v>
      </c>
      <c r="E379" s="153" t="s">
        <v>2086</v>
      </c>
      <c r="F379" s="6"/>
      <c r="G379" s="6"/>
      <c r="H379" s="128">
        <f t="shared" si="6"/>
        <v>0</v>
      </c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  <c r="AA379" s="129"/>
      <c r="AB379" s="129"/>
      <c r="AC379" s="129"/>
      <c r="AD379" s="129"/>
      <c r="AE379" s="129"/>
      <c r="AF379" s="129"/>
      <c r="AG379" s="129"/>
      <c r="AH379" s="129"/>
      <c r="AI379" s="129"/>
      <c r="AJ379" s="129"/>
      <c r="AK379" s="129"/>
      <c r="AL379" s="129"/>
      <c r="AM379" s="129"/>
    </row>
    <row r="380" spans="1:39" hidden="1" x14ac:dyDescent="0.25">
      <c r="A380" s="127">
        <v>379</v>
      </c>
      <c r="B380" s="152" t="s">
        <v>3048</v>
      </c>
      <c r="C380" s="153" t="s">
        <v>3049</v>
      </c>
      <c r="D380" s="153" t="s">
        <v>3050</v>
      </c>
      <c r="E380" s="153" t="s">
        <v>2086</v>
      </c>
      <c r="F380" s="6"/>
      <c r="G380" s="6"/>
      <c r="H380" s="128">
        <f t="shared" si="6"/>
        <v>33000</v>
      </c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>
        <f>29000+4000</f>
        <v>33000</v>
      </c>
      <c r="T380" s="129"/>
      <c r="U380" s="129"/>
      <c r="V380" s="129"/>
      <c r="W380" s="129"/>
      <c r="X380" s="129"/>
      <c r="Y380" s="129"/>
      <c r="Z380" s="129"/>
      <c r="AA380" s="129"/>
      <c r="AB380" s="129"/>
      <c r="AC380" s="129"/>
      <c r="AD380" s="129"/>
      <c r="AE380" s="129"/>
      <c r="AF380" s="129"/>
      <c r="AG380" s="129"/>
      <c r="AH380" s="129"/>
      <c r="AI380" s="129"/>
      <c r="AJ380" s="129"/>
      <c r="AK380" s="129"/>
      <c r="AL380" s="129"/>
      <c r="AM380" s="129"/>
    </row>
    <row r="381" spans="1:39" hidden="1" x14ac:dyDescent="0.25">
      <c r="A381" s="127">
        <v>380</v>
      </c>
      <c r="B381" s="152" t="s">
        <v>3051</v>
      </c>
      <c r="C381" s="153" t="s">
        <v>3052</v>
      </c>
      <c r="D381" s="153" t="s">
        <v>3053</v>
      </c>
      <c r="E381" s="153" t="s">
        <v>4948</v>
      </c>
      <c r="F381" s="6"/>
      <c r="G381" s="6"/>
      <c r="H381" s="128">
        <f t="shared" si="6"/>
        <v>22000</v>
      </c>
      <c r="I381" s="129"/>
      <c r="J381" s="129"/>
      <c r="K381" s="129"/>
      <c r="L381" s="129"/>
      <c r="M381" s="129"/>
      <c r="N381" s="129"/>
      <c r="O381" s="129"/>
      <c r="P381" s="129"/>
      <c r="Q381" s="129">
        <v>22000</v>
      </c>
      <c r="R381" s="129"/>
      <c r="S381" s="129"/>
      <c r="T381" s="129"/>
      <c r="U381" s="129"/>
      <c r="V381" s="129"/>
      <c r="W381" s="129"/>
      <c r="X381" s="129"/>
      <c r="Y381" s="129"/>
      <c r="Z381" s="129"/>
      <c r="AA381" s="129"/>
      <c r="AB381" s="129"/>
      <c r="AC381" s="129"/>
      <c r="AD381" s="129"/>
      <c r="AE381" s="129"/>
      <c r="AF381" s="129"/>
      <c r="AG381" s="129"/>
      <c r="AH381" s="129"/>
      <c r="AI381" s="129"/>
      <c r="AJ381" s="129"/>
      <c r="AK381" s="129"/>
      <c r="AL381" s="129"/>
      <c r="AM381" s="129"/>
    </row>
    <row r="382" spans="1:39" hidden="1" x14ac:dyDescent="0.25">
      <c r="A382" s="127">
        <v>381</v>
      </c>
      <c r="B382" s="152" t="s">
        <v>1347</v>
      </c>
      <c r="C382" s="153" t="s">
        <v>3054</v>
      </c>
      <c r="D382" s="153" t="s">
        <v>3055</v>
      </c>
      <c r="E382" s="153" t="s">
        <v>2086</v>
      </c>
      <c r="F382" s="6"/>
      <c r="G382" s="6"/>
      <c r="H382" s="128">
        <f t="shared" si="6"/>
        <v>0</v>
      </c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  <c r="AA382" s="129"/>
      <c r="AB382" s="129"/>
      <c r="AC382" s="129"/>
      <c r="AD382" s="129"/>
      <c r="AE382" s="129"/>
      <c r="AF382" s="129"/>
      <c r="AG382" s="129"/>
      <c r="AH382" s="129"/>
      <c r="AI382" s="129"/>
      <c r="AJ382" s="129"/>
      <c r="AK382" s="129"/>
      <c r="AL382" s="129"/>
      <c r="AM382" s="129"/>
    </row>
    <row r="383" spans="1:39" hidden="1" x14ac:dyDescent="0.25">
      <c r="A383" s="127">
        <v>382</v>
      </c>
      <c r="B383" s="152" t="s">
        <v>3056</v>
      </c>
      <c r="C383" s="153" t="s">
        <v>3057</v>
      </c>
      <c r="D383" s="153" t="s">
        <v>3058</v>
      </c>
      <c r="E383" s="153" t="s">
        <v>4948</v>
      </c>
      <c r="F383" s="6"/>
      <c r="G383" s="6"/>
      <c r="H383" s="128">
        <f t="shared" si="6"/>
        <v>0</v>
      </c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  <c r="AA383" s="129"/>
      <c r="AB383" s="129"/>
      <c r="AC383" s="129"/>
      <c r="AD383" s="129"/>
      <c r="AE383" s="129"/>
      <c r="AF383" s="129"/>
      <c r="AG383" s="129"/>
      <c r="AH383" s="129"/>
      <c r="AI383" s="129"/>
      <c r="AJ383" s="129"/>
      <c r="AK383" s="129"/>
      <c r="AL383" s="129"/>
      <c r="AM383" s="129"/>
    </row>
    <row r="384" spans="1:39" hidden="1" x14ac:dyDescent="0.25">
      <c r="A384" s="127">
        <v>383</v>
      </c>
      <c r="B384" s="152" t="s">
        <v>3059</v>
      </c>
      <c r="C384" s="153" t="s">
        <v>3060</v>
      </c>
      <c r="D384" s="153" t="s">
        <v>3061</v>
      </c>
      <c r="E384" s="153" t="s">
        <v>2086</v>
      </c>
      <c r="F384" s="6"/>
      <c r="G384" s="6"/>
      <c r="H384" s="128">
        <f t="shared" si="6"/>
        <v>0</v>
      </c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  <c r="AA384" s="129"/>
      <c r="AB384" s="129"/>
      <c r="AC384" s="129"/>
      <c r="AD384" s="129"/>
      <c r="AE384" s="129"/>
      <c r="AF384" s="129"/>
      <c r="AG384" s="129"/>
      <c r="AH384" s="129"/>
      <c r="AI384" s="129"/>
      <c r="AJ384" s="129"/>
      <c r="AK384" s="129"/>
      <c r="AL384" s="129"/>
      <c r="AM384" s="129"/>
    </row>
    <row r="385" spans="1:39" hidden="1" x14ac:dyDescent="0.25">
      <c r="A385" s="127">
        <v>384</v>
      </c>
      <c r="B385" s="152" t="s">
        <v>1140</v>
      </c>
      <c r="C385" s="153" t="s">
        <v>3062</v>
      </c>
      <c r="D385" s="153" t="s">
        <v>3063</v>
      </c>
      <c r="E385" s="153" t="s">
        <v>2086</v>
      </c>
      <c r="F385" s="6"/>
      <c r="G385" s="6"/>
      <c r="H385" s="128">
        <f t="shared" si="6"/>
        <v>0</v>
      </c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  <c r="AA385" s="129"/>
      <c r="AB385" s="129"/>
      <c r="AC385" s="129"/>
      <c r="AD385" s="129"/>
      <c r="AE385" s="129"/>
      <c r="AF385" s="129"/>
      <c r="AG385" s="129"/>
      <c r="AH385" s="129"/>
      <c r="AI385" s="129"/>
      <c r="AJ385" s="129"/>
      <c r="AK385" s="129"/>
      <c r="AL385" s="129"/>
      <c r="AM385" s="129"/>
    </row>
    <row r="386" spans="1:39" hidden="1" x14ac:dyDescent="0.25">
      <c r="A386" s="127">
        <v>385</v>
      </c>
      <c r="B386" s="152" t="s">
        <v>1145</v>
      </c>
      <c r="C386" s="153" t="s">
        <v>3064</v>
      </c>
      <c r="D386" s="153" t="s">
        <v>3065</v>
      </c>
      <c r="E386" s="153" t="s">
        <v>2086</v>
      </c>
      <c r="F386" s="6"/>
      <c r="G386" s="6"/>
      <c r="H386" s="128">
        <f t="shared" ref="H386:H449" si="7">SUM(I386:AM386)</f>
        <v>0</v>
      </c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</row>
    <row r="387" spans="1:39" hidden="1" x14ac:dyDescent="0.25">
      <c r="A387" s="127">
        <v>386</v>
      </c>
      <c r="B387" s="152" t="s">
        <v>176</v>
      </c>
      <c r="C387" s="153" t="s">
        <v>3066</v>
      </c>
      <c r="D387" s="153" t="s">
        <v>3067</v>
      </c>
      <c r="E387" s="153" t="s">
        <v>2086</v>
      </c>
      <c r="F387" s="6"/>
      <c r="G387" s="6"/>
      <c r="H387" s="128">
        <f t="shared" si="7"/>
        <v>0</v>
      </c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</row>
    <row r="388" spans="1:39" hidden="1" x14ac:dyDescent="0.25">
      <c r="A388" s="127">
        <v>387</v>
      </c>
      <c r="B388" s="152" t="s">
        <v>1485</v>
      </c>
      <c r="C388" s="153" t="s">
        <v>3068</v>
      </c>
      <c r="D388" s="153" t="s">
        <v>3069</v>
      </c>
      <c r="E388" s="153" t="s">
        <v>4948</v>
      </c>
      <c r="F388" s="6"/>
      <c r="G388" s="6"/>
      <c r="H388" s="128">
        <f t="shared" si="7"/>
        <v>0</v>
      </c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  <c r="AA388" s="129"/>
      <c r="AB388" s="129"/>
      <c r="AC388" s="129"/>
      <c r="AD388" s="129"/>
      <c r="AE388" s="129"/>
      <c r="AF388" s="129"/>
      <c r="AG388" s="129"/>
      <c r="AH388" s="129"/>
      <c r="AI388" s="129"/>
      <c r="AJ388" s="129"/>
      <c r="AK388" s="129"/>
      <c r="AL388" s="129"/>
      <c r="AM388" s="129"/>
    </row>
    <row r="389" spans="1:39" hidden="1" x14ac:dyDescent="0.25">
      <c r="A389" s="127">
        <v>388</v>
      </c>
      <c r="B389" s="152" t="s">
        <v>1035</v>
      </c>
      <c r="C389" s="153" t="s">
        <v>3070</v>
      </c>
      <c r="D389" s="153" t="s">
        <v>3071</v>
      </c>
      <c r="E389" s="153" t="s">
        <v>2086</v>
      </c>
      <c r="F389" s="6"/>
      <c r="G389" s="6"/>
      <c r="H389" s="128">
        <f t="shared" si="7"/>
        <v>0</v>
      </c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29"/>
      <c r="AL389" s="129"/>
      <c r="AM389" s="129"/>
    </row>
    <row r="390" spans="1:39" hidden="1" x14ac:dyDescent="0.25">
      <c r="A390" s="127">
        <v>389</v>
      </c>
      <c r="B390" s="152" t="s">
        <v>871</v>
      </c>
      <c r="C390" s="153" t="s">
        <v>3072</v>
      </c>
      <c r="D390" s="153" t="s">
        <v>3073</v>
      </c>
      <c r="E390" s="153" t="s">
        <v>4948</v>
      </c>
      <c r="F390" s="6"/>
      <c r="G390" s="6"/>
      <c r="H390" s="128">
        <f t="shared" si="7"/>
        <v>0</v>
      </c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</row>
    <row r="391" spans="1:39" hidden="1" x14ac:dyDescent="0.25">
      <c r="A391" s="127">
        <v>390</v>
      </c>
      <c r="B391" s="152" t="s">
        <v>1275</v>
      </c>
      <c r="C391" s="153" t="s">
        <v>3074</v>
      </c>
      <c r="D391" s="153" t="s">
        <v>3075</v>
      </c>
      <c r="E391" s="153" t="s">
        <v>2086</v>
      </c>
      <c r="F391" s="6"/>
      <c r="G391" s="6"/>
      <c r="H391" s="128">
        <f t="shared" si="7"/>
        <v>0</v>
      </c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</row>
    <row r="392" spans="1:39" hidden="1" x14ac:dyDescent="0.25">
      <c r="A392" s="127">
        <v>391</v>
      </c>
      <c r="B392" s="152" t="s">
        <v>23</v>
      </c>
      <c r="C392" s="153" t="s">
        <v>3076</v>
      </c>
      <c r="D392" s="153" t="s">
        <v>3077</v>
      </c>
      <c r="E392" s="153" t="s">
        <v>2086</v>
      </c>
      <c r="F392" s="6"/>
      <c r="G392" s="6"/>
      <c r="H392" s="128">
        <f t="shared" si="7"/>
        <v>0</v>
      </c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</row>
    <row r="393" spans="1:39" hidden="1" x14ac:dyDescent="0.25">
      <c r="A393" s="127">
        <v>392</v>
      </c>
      <c r="B393" s="152" t="s">
        <v>178</v>
      </c>
      <c r="C393" s="153" t="s">
        <v>3078</v>
      </c>
      <c r="D393" s="153" t="s">
        <v>3079</v>
      </c>
      <c r="E393" s="153" t="s">
        <v>4948</v>
      </c>
      <c r="F393" s="6"/>
      <c r="G393" s="6"/>
      <c r="H393" s="128">
        <f t="shared" si="7"/>
        <v>0</v>
      </c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</row>
    <row r="394" spans="1:39" hidden="1" x14ac:dyDescent="0.25">
      <c r="A394" s="127">
        <v>393</v>
      </c>
      <c r="B394" s="152" t="s">
        <v>1845</v>
      </c>
      <c r="C394" s="153" t="s">
        <v>3080</v>
      </c>
      <c r="D394" s="153" t="s">
        <v>3081</v>
      </c>
      <c r="E394" s="153" t="s">
        <v>4948</v>
      </c>
      <c r="F394" s="6"/>
      <c r="G394" s="6"/>
      <c r="H394" s="128">
        <f t="shared" si="7"/>
        <v>0</v>
      </c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</row>
    <row r="395" spans="1:39" hidden="1" x14ac:dyDescent="0.25">
      <c r="A395" s="127">
        <v>394</v>
      </c>
      <c r="B395" s="152" t="s">
        <v>1842</v>
      </c>
      <c r="C395" s="153" t="s">
        <v>3082</v>
      </c>
      <c r="D395" s="153" t="s">
        <v>3083</v>
      </c>
      <c r="E395" s="153" t="s">
        <v>4948</v>
      </c>
      <c r="F395" s="6"/>
      <c r="G395" s="6"/>
      <c r="H395" s="128">
        <f t="shared" si="7"/>
        <v>0</v>
      </c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</row>
    <row r="396" spans="1:39" hidden="1" x14ac:dyDescent="0.25">
      <c r="A396" s="127">
        <v>395</v>
      </c>
      <c r="B396" s="152" t="s">
        <v>1839</v>
      </c>
      <c r="C396" s="153" t="s">
        <v>3084</v>
      </c>
      <c r="D396" s="153" t="s">
        <v>3085</v>
      </c>
      <c r="E396" s="153" t="s">
        <v>4948</v>
      </c>
      <c r="F396" s="6"/>
      <c r="G396" s="6"/>
      <c r="H396" s="128">
        <f t="shared" si="7"/>
        <v>0</v>
      </c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</row>
    <row r="397" spans="1:39" hidden="1" x14ac:dyDescent="0.25">
      <c r="A397" s="127">
        <v>396</v>
      </c>
      <c r="B397" s="152" t="s">
        <v>1836</v>
      </c>
      <c r="C397" s="153" t="s">
        <v>3086</v>
      </c>
      <c r="D397" s="153" t="s">
        <v>3087</v>
      </c>
      <c r="E397" s="153" t="s">
        <v>4948</v>
      </c>
      <c r="F397" s="6"/>
      <c r="G397" s="6"/>
      <c r="H397" s="128">
        <f t="shared" si="7"/>
        <v>0</v>
      </c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</row>
    <row r="398" spans="1:39" hidden="1" x14ac:dyDescent="0.25">
      <c r="A398" s="127">
        <v>397</v>
      </c>
      <c r="B398" s="152" t="s">
        <v>2043</v>
      </c>
      <c r="C398" s="153" t="s">
        <v>3088</v>
      </c>
      <c r="D398" s="153" t="s">
        <v>3089</v>
      </c>
      <c r="E398" s="153" t="s">
        <v>2086</v>
      </c>
      <c r="F398" s="6"/>
      <c r="G398" s="6"/>
      <c r="H398" s="128">
        <f t="shared" si="7"/>
        <v>13000</v>
      </c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>
        <v>13000</v>
      </c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</row>
    <row r="399" spans="1:39" hidden="1" x14ac:dyDescent="0.25">
      <c r="A399" s="127">
        <v>398</v>
      </c>
      <c r="B399" s="152" t="s">
        <v>1536</v>
      </c>
      <c r="C399" s="153" t="s">
        <v>3090</v>
      </c>
      <c r="D399" s="153" t="s">
        <v>3091</v>
      </c>
      <c r="E399" s="153" t="s">
        <v>2086</v>
      </c>
      <c r="F399" s="6"/>
      <c r="G399" s="6"/>
      <c r="H399" s="128">
        <f t="shared" si="7"/>
        <v>0</v>
      </c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</row>
    <row r="400" spans="1:39" hidden="1" x14ac:dyDescent="0.25">
      <c r="A400" s="127">
        <v>399</v>
      </c>
      <c r="B400" s="152" t="s">
        <v>1018</v>
      </c>
      <c r="C400" s="153" t="s">
        <v>3092</v>
      </c>
      <c r="D400" s="153" t="s">
        <v>3093</v>
      </c>
      <c r="E400" s="153" t="s">
        <v>2086</v>
      </c>
      <c r="F400" s="6"/>
      <c r="G400" s="6"/>
      <c r="H400" s="128">
        <f t="shared" si="7"/>
        <v>50000</v>
      </c>
      <c r="I400" s="129">
        <v>50000</v>
      </c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  <c r="AA400" s="129"/>
      <c r="AB400" s="129"/>
      <c r="AC400" s="129"/>
      <c r="AD400" s="129"/>
      <c r="AE400" s="129"/>
      <c r="AF400" s="129"/>
      <c r="AG400" s="129"/>
      <c r="AH400" s="129"/>
      <c r="AI400" s="129"/>
      <c r="AJ400" s="129"/>
      <c r="AK400" s="129"/>
      <c r="AL400" s="129"/>
      <c r="AM400" s="129"/>
    </row>
    <row r="401" spans="1:39" hidden="1" x14ac:dyDescent="0.25">
      <c r="A401" s="127">
        <v>400</v>
      </c>
      <c r="B401" s="152" t="s">
        <v>154</v>
      </c>
      <c r="C401" s="153" t="s">
        <v>3094</v>
      </c>
      <c r="D401" s="153" t="s">
        <v>3095</v>
      </c>
      <c r="E401" s="153" t="s">
        <v>2086</v>
      </c>
      <c r="F401" s="6"/>
      <c r="G401" s="6"/>
      <c r="H401" s="128">
        <f t="shared" si="7"/>
        <v>0</v>
      </c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  <c r="AA401" s="129"/>
      <c r="AB401" s="129"/>
      <c r="AC401" s="129"/>
      <c r="AD401" s="129"/>
      <c r="AE401" s="129"/>
      <c r="AF401" s="129"/>
      <c r="AG401" s="129"/>
      <c r="AH401" s="129"/>
      <c r="AI401" s="129"/>
      <c r="AJ401" s="129"/>
      <c r="AK401" s="129"/>
      <c r="AL401" s="129"/>
      <c r="AM401" s="129"/>
    </row>
    <row r="402" spans="1:39" hidden="1" x14ac:dyDescent="0.25">
      <c r="A402" s="127">
        <v>401</v>
      </c>
      <c r="B402" s="152" t="s">
        <v>3096</v>
      </c>
      <c r="C402" s="153" t="s">
        <v>3097</v>
      </c>
      <c r="D402" s="153" t="s">
        <v>3098</v>
      </c>
      <c r="E402" s="153" t="s">
        <v>4948</v>
      </c>
      <c r="F402" s="6"/>
      <c r="G402" s="6"/>
      <c r="H402" s="128">
        <f t="shared" si="7"/>
        <v>0</v>
      </c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  <c r="AA402" s="129"/>
      <c r="AB402" s="129"/>
      <c r="AC402" s="129"/>
      <c r="AD402" s="129"/>
      <c r="AE402" s="129"/>
      <c r="AF402" s="129"/>
      <c r="AG402" s="129"/>
      <c r="AH402" s="129"/>
      <c r="AI402" s="129"/>
      <c r="AJ402" s="129"/>
      <c r="AK402" s="129"/>
      <c r="AL402" s="129"/>
      <c r="AM402" s="129"/>
    </row>
    <row r="403" spans="1:39" hidden="1" x14ac:dyDescent="0.25">
      <c r="A403" s="127">
        <v>402</v>
      </c>
      <c r="B403" s="152" t="s">
        <v>777</v>
      </c>
      <c r="C403" s="153" t="s">
        <v>3099</v>
      </c>
      <c r="D403" s="153" t="s">
        <v>3100</v>
      </c>
      <c r="E403" s="153" t="s">
        <v>2086</v>
      </c>
      <c r="F403" s="6"/>
      <c r="G403" s="6"/>
      <c r="H403" s="128">
        <f t="shared" si="7"/>
        <v>0</v>
      </c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  <c r="AA403" s="129"/>
      <c r="AB403" s="129"/>
      <c r="AC403" s="129"/>
      <c r="AD403" s="129"/>
      <c r="AE403" s="129"/>
      <c r="AF403" s="129"/>
      <c r="AG403" s="129"/>
      <c r="AH403" s="129"/>
      <c r="AI403" s="129"/>
      <c r="AJ403" s="129"/>
      <c r="AK403" s="129"/>
      <c r="AL403" s="129"/>
      <c r="AM403" s="129"/>
    </row>
    <row r="404" spans="1:39" hidden="1" x14ac:dyDescent="0.25">
      <c r="A404" s="127">
        <v>403</v>
      </c>
      <c r="B404" s="152" t="s">
        <v>943</v>
      </c>
      <c r="C404" s="153" t="s">
        <v>3101</v>
      </c>
      <c r="D404" s="153" t="s">
        <v>3102</v>
      </c>
      <c r="E404" s="153" t="s">
        <v>2086</v>
      </c>
      <c r="F404" s="6"/>
      <c r="G404" s="6"/>
      <c r="H404" s="128">
        <f t="shared" si="7"/>
        <v>131500</v>
      </c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>
        <v>131500</v>
      </c>
      <c r="W404" s="129"/>
      <c r="X404" s="129"/>
      <c r="Y404" s="129"/>
      <c r="Z404" s="129"/>
      <c r="AA404" s="129"/>
      <c r="AB404" s="129"/>
      <c r="AC404" s="129"/>
      <c r="AD404" s="129"/>
      <c r="AE404" s="129"/>
      <c r="AF404" s="129"/>
      <c r="AG404" s="129"/>
      <c r="AH404" s="129"/>
      <c r="AI404" s="129"/>
      <c r="AJ404" s="129"/>
      <c r="AK404" s="129"/>
      <c r="AL404" s="129"/>
      <c r="AM404" s="129"/>
    </row>
    <row r="405" spans="1:39" hidden="1" x14ac:dyDescent="0.25">
      <c r="A405" s="127">
        <v>404</v>
      </c>
      <c r="B405" s="152" t="s">
        <v>1113</v>
      </c>
      <c r="C405" s="153" t="s">
        <v>3103</v>
      </c>
      <c r="D405" s="153" t="s">
        <v>3104</v>
      </c>
      <c r="E405" s="153" t="s">
        <v>2086</v>
      </c>
      <c r="F405" s="6"/>
      <c r="G405" s="6"/>
      <c r="H405" s="128">
        <f t="shared" si="7"/>
        <v>0</v>
      </c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  <c r="AA405" s="129"/>
      <c r="AB405" s="129"/>
      <c r="AC405" s="129"/>
      <c r="AD405" s="129"/>
      <c r="AE405" s="129"/>
      <c r="AF405" s="129"/>
      <c r="AG405" s="129"/>
      <c r="AH405" s="129"/>
      <c r="AI405" s="129"/>
      <c r="AJ405" s="129"/>
      <c r="AK405" s="129"/>
      <c r="AL405" s="129"/>
      <c r="AM405" s="129"/>
    </row>
    <row r="406" spans="1:39" hidden="1" x14ac:dyDescent="0.25">
      <c r="A406" s="127">
        <v>405</v>
      </c>
      <c r="B406" s="152" t="s">
        <v>90</v>
      </c>
      <c r="C406" s="153" t="s">
        <v>3105</v>
      </c>
      <c r="D406" s="153" t="s">
        <v>3106</v>
      </c>
      <c r="E406" s="153" t="s">
        <v>2086</v>
      </c>
      <c r="F406" s="6"/>
      <c r="G406" s="6"/>
      <c r="H406" s="128">
        <f t="shared" si="7"/>
        <v>212000</v>
      </c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>
        <v>212000</v>
      </c>
      <c r="U406" s="129"/>
      <c r="V406" s="129"/>
      <c r="W406" s="129"/>
      <c r="X406" s="129"/>
      <c r="Y406" s="129"/>
      <c r="Z406" s="129"/>
      <c r="AA406" s="129"/>
      <c r="AB406" s="129"/>
      <c r="AC406" s="129"/>
      <c r="AD406" s="129"/>
      <c r="AE406" s="129"/>
      <c r="AF406" s="129"/>
      <c r="AG406" s="129"/>
      <c r="AH406" s="129"/>
      <c r="AI406" s="129"/>
      <c r="AJ406" s="129"/>
      <c r="AK406" s="129"/>
      <c r="AL406" s="129"/>
      <c r="AM406" s="129"/>
    </row>
    <row r="407" spans="1:39" hidden="1" x14ac:dyDescent="0.25">
      <c r="A407" s="127">
        <v>406</v>
      </c>
      <c r="B407" s="152" t="s">
        <v>1101</v>
      </c>
      <c r="C407" s="153" t="s">
        <v>3107</v>
      </c>
      <c r="D407" s="153" t="s">
        <v>3108</v>
      </c>
      <c r="E407" s="153" t="s">
        <v>2086</v>
      </c>
      <c r="F407" s="6"/>
      <c r="G407" s="6"/>
      <c r="H407" s="128">
        <f t="shared" si="7"/>
        <v>0</v>
      </c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  <c r="AA407" s="129"/>
      <c r="AB407" s="129"/>
      <c r="AC407" s="129"/>
      <c r="AD407" s="129"/>
      <c r="AE407" s="129"/>
      <c r="AF407" s="129"/>
      <c r="AG407" s="129"/>
      <c r="AH407" s="129"/>
      <c r="AI407" s="129"/>
      <c r="AJ407" s="129"/>
      <c r="AK407" s="129"/>
      <c r="AL407" s="129"/>
      <c r="AM407" s="129"/>
    </row>
    <row r="408" spans="1:39" hidden="1" x14ac:dyDescent="0.25">
      <c r="A408" s="127">
        <v>407</v>
      </c>
      <c r="B408" s="152" t="s">
        <v>934</v>
      </c>
      <c r="C408" s="153" t="s">
        <v>3109</v>
      </c>
      <c r="D408" s="153" t="s">
        <v>3110</v>
      </c>
      <c r="E408" s="153" t="s">
        <v>2086</v>
      </c>
      <c r="F408" s="6"/>
      <c r="G408" s="6"/>
      <c r="H408" s="128">
        <f t="shared" si="7"/>
        <v>0</v>
      </c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  <c r="AA408" s="129"/>
      <c r="AB408" s="129"/>
      <c r="AC408" s="129"/>
      <c r="AD408" s="129"/>
      <c r="AE408" s="129"/>
      <c r="AF408" s="129"/>
      <c r="AG408" s="129"/>
      <c r="AH408" s="129"/>
      <c r="AI408" s="129"/>
      <c r="AJ408" s="129"/>
      <c r="AK408" s="129"/>
      <c r="AL408" s="129"/>
      <c r="AM408" s="129"/>
    </row>
    <row r="409" spans="1:39" hidden="1" x14ac:dyDescent="0.25">
      <c r="A409" s="127">
        <v>408</v>
      </c>
      <c r="B409" s="152" t="s">
        <v>1226</v>
      </c>
      <c r="C409" s="153" t="s">
        <v>3111</v>
      </c>
      <c r="D409" s="153" t="s">
        <v>3112</v>
      </c>
      <c r="E409" s="153" t="s">
        <v>2086</v>
      </c>
      <c r="F409" s="6"/>
      <c r="G409" s="6"/>
      <c r="H409" s="128">
        <f t="shared" si="7"/>
        <v>0</v>
      </c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  <c r="AA409" s="129"/>
      <c r="AB409" s="129"/>
      <c r="AC409" s="129"/>
      <c r="AD409" s="129"/>
      <c r="AE409" s="129"/>
      <c r="AF409" s="129"/>
      <c r="AG409" s="129"/>
      <c r="AH409" s="129"/>
      <c r="AI409" s="129"/>
      <c r="AJ409" s="129"/>
      <c r="AK409" s="129"/>
      <c r="AL409" s="129"/>
      <c r="AM409" s="129"/>
    </row>
    <row r="410" spans="1:39" hidden="1" x14ac:dyDescent="0.25">
      <c r="A410" s="127">
        <v>409</v>
      </c>
      <c r="B410" s="152" t="s">
        <v>900</v>
      </c>
      <c r="C410" s="153" t="s">
        <v>3113</v>
      </c>
      <c r="D410" s="153" t="s">
        <v>3114</v>
      </c>
      <c r="E410" s="153" t="s">
        <v>2086</v>
      </c>
      <c r="F410" s="6"/>
      <c r="G410" s="6"/>
      <c r="H410" s="128">
        <f t="shared" si="7"/>
        <v>150000</v>
      </c>
      <c r="I410" s="129">
        <v>150000</v>
      </c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  <c r="AA410" s="129"/>
      <c r="AB410" s="129"/>
      <c r="AC410" s="129"/>
      <c r="AD410" s="129"/>
      <c r="AE410" s="129"/>
      <c r="AF410" s="129"/>
      <c r="AG410" s="129"/>
      <c r="AH410" s="129"/>
      <c r="AI410" s="129"/>
      <c r="AJ410" s="129"/>
      <c r="AK410" s="129"/>
      <c r="AL410" s="129"/>
      <c r="AM410" s="129"/>
    </row>
    <row r="411" spans="1:39" hidden="1" x14ac:dyDescent="0.25">
      <c r="A411" s="127">
        <v>410</v>
      </c>
      <c r="B411" s="152" t="s">
        <v>833</v>
      </c>
      <c r="C411" s="153" t="s">
        <v>3115</v>
      </c>
      <c r="D411" s="153" t="s">
        <v>3116</v>
      </c>
      <c r="E411" s="153" t="s">
        <v>2086</v>
      </c>
      <c r="F411" s="6"/>
      <c r="G411" s="6"/>
      <c r="H411" s="128">
        <f t="shared" si="7"/>
        <v>310000</v>
      </c>
      <c r="I411" s="129"/>
      <c r="J411" s="129"/>
      <c r="K411" s="129"/>
      <c r="L411" s="129"/>
      <c r="M411" s="129"/>
      <c r="N411" s="129"/>
      <c r="O411" s="129"/>
      <c r="P411" s="129"/>
      <c r="Q411" s="129">
        <v>125000</v>
      </c>
      <c r="R411" s="129"/>
      <c r="S411" s="129"/>
      <c r="T411" s="129"/>
      <c r="U411" s="129">
        <v>62500</v>
      </c>
      <c r="V411" s="129">
        <v>122500</v>
      </c>
      <c r="W411" s="129"/>
      <c r="X411" s="129"/>
      <c r="Y411" s="129"/>
      <c r="Z411" s="129"/>
      <c r="AA411" s="129"/>
      <c r="AB411" s="129"/>
      <c r="AC411" s="129"/>
      <c r="AD411" s="129"/>
      <c r="AE411" s="129"/>
      <c r="AF411" s="129"/>
      <c r="AG411" s="129"/>
      <c r="AH411" s="129"/>
      <c r="AI411" s="129"/>
      <c r="AJ411" s="129"/>
      <c r="AK411" s="129"/>
      <c r="AL411" s="129"/>
      <c r="AM411" s="129"/>
    </row>
    <row r="412" spans="1:39" hidden="1" x14ac:dyDescent="0.25">
      <c r="A412" s="127">
        <v>411</v>
      </c>
      <c r="B412" s="152" t="s">
        <v>1306</v>
      </c>
      <c r="C412" s="153" t="s">
        <v>3117</v>
      </c>
      <c r="D412" s="153" t="s">
        <v>3118</v>
      </c>
      <c r="E412" s="153" t="s">
        <v>2086</v>
      </c>
      <c r="F412" s="6"/>
      <c r="G412" s="6"/>
      <c r="H412" s="128">
        <f t="shared" si="7"/>
        <v>0</v>
      </c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  <c r="AA412" s="129"/>
      <c r="AB412" s="129"/>
      <c r="AC412" s="129"/>
      <c r="AD412" s="129"/>
      <c r="AE412" s="129"/>
      <c r="AF412" s="129"/>
      <c r="AG412" s="129"/>
      <c r="AH412" s="129"/>
      <c r="AI412" s="129"/>
      <c r="AJ412" s="129"/>
      <c r="AK412" s="129"/>
      <c r="AL412" s="129"/>
      <c r="AM412" s="129"/>
    </row>
    <row r="413" spans="1:39" hidden="1" x14ac:dyDescent="0.25">
      <c r="A413" s="127">
        <v>412</v>
      </c>
      <c r="B413" s="152" t="s">
        <v>1105</v>
      </c>
      <c r="C413" s="153" t="s">
        <v>3119</v>
      </c>
      <c r="D413" s="153" t="s">
        <v>3120</v>
      </c>
      <c r="E413" s="153" t="s">
        <v>4948</v>
      </c>
      <c r="F413" s="6"/>
      <c r="G413" s="6"/>
      <c r="H413" s="128">
        <f t="shared" si="7"/>
        <v>0</v>
      </c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  <c r="AA413" s="129"/>
      <c r="AB413" s="129"/>
      <c r="AC413" s="129"/>
      <c r="AD413" s="129"/>
      <c r="AE413" s="129"/>
      <c r="AF413" s="129"/>
      <c r="AG413" s="129"/>
      <c r="AH413" s="129"/>
      <c r="AI413" s="129"/>
      <c r="AJ413" s="129"/>
      <c r="AK413" s="129"/>
      <c r="AL413" s="129"/>
      <c r="AM413" s="129"/>
    </row>
    <row r="414" spans="1:39" hidden="1" x14ac:dyDescent="0.25">
      <c r="A414" s="127">
        <v>413</v>
      </c>
      <c r="B414" s="152" t="s">
        <v>997</v>
      </c>
      <c r="C414" s="153" t="s">
        <v>3121</v>
      </c>
      <c r="D414" s="153" t="s">
        <v>3122</v>
      </c>
      <c r="E414" s="153" t="s">
        <v>2086</v>
      </c>
      <c r="F414" s="6"/>
      <c r="G414" s="6"/>
      <c r="H414" s="128">
        <f t="shared" si="7"/>
        <v>0</v>
      </c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  <c r="AA414" s="129"/>
      <c r="AB414" s="129"/>
      <c r="AC414" s="129"/>
      <c r="AD414" s="129"/>
      <c r="AE414" s="129"/>
      <c r="AF414" s="129"/>
      <c r="AG414" s="129"/>
      <c r="AH414" s="129"/>
      <c r="AI414" s="129"/>
      <c r="AJ414" s="129"/>
      <c r="AK414" s="129"/>
      <c r="AL414" s="129"/>
      <c r="AM414" s="129"/>
    </row>
    <row r="415" spans="1:39" hidden="1" x14ac:dyDescent="0.25">
      <c r="A415" s="127">
        <v>414</v>
      </c>
      <c r="B415" s="152" t="s">
        <v>891</v>
      </c>
      <c r="C415" s="153" t="s">
        <v>3123</v>
      </c>
      <c r="D415" s="153" t="s">
        <v>3124</v>
      </c>
      <c r="E415" s="153" t="s">
        <v>2086</v>
      </c>
      <c r="F415" s="6"/>
      <c r="G415" s="6"/>
      <c r="H415" s="128">
        <f t="shared" si="7"/>
        <v>0</v>
      </c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  <c r="AA415" s="129"/>
      <c r="AB415" s="129"/>
      <c r="AC415" s="129"/>
      <c r="AD415" s="129"/>
      <c r="AE415" s="129"/>
      <c r="AF415" s="129"/>
      <c r="AG415" s="129"/>
      <c r="AH415" s="129"/>
      <c r="AI415" s="129"/>
      <c r="AJ415" s="129"/>
      <c r="AK415" s="129"/>
      <c r="AL415" s="129"/>
      <c r="AM415" s="129"/>
    </row>
    <row r="416" spans="1:39" hidden="1" x14ac:dyDescent="0.25">
      <c r="A416" s="127">
        <v>415</v>
      </c>
      <c r="B416" s="152" t="s">
        <v>93</v>
      </c>
      <c r="C416" s="153" t="s">
        <v>3125</v>
      </c>
      <c r="D416" s="153" t="s">
        <v>3126</v>
      </c>
      <c r="E416" s="153" t="s">
        <v>2086</v>
      </c>
      <c r="F416" s="6"/>
      <c r="G416" s="6"/>
      <c r="H416" s="128">
        <f t="shared" si="7"/>
        <v>88000</v>
      </c>
      <c r="I416" s="129">
        <v>88000</v>
      </c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  <c r="AA416" s="129"/>
      <c r="AB416" s="129"/>
      <c r="AC416" s="129"/>
      <c r="AD416" s="129"/>
      <c r="AE416" s="129"/>
      <c r="AF416" s="129"/>
      <c r="AG416" s="129"/>
      <c r="AH416" s="129"/>
      <c r="AI416" s="129"/>
      <c r="AJ416" s="129"/>
      <c r="AK416" s="129"/>
      <c r="AL416" s="129"/>
      <c r="AM416" s="129"/>
    </row>
    <row r="417" spans="1:39" hidden="1" x14ac:dyDescent="0.25">
      <c r="A417" s="127">
        <v>416</v>
      </c>
      <c r="B417" s="152" t="s">
        <v>1482</v>
      </c>
      <c r="C417" s="153" t="s">
        <v>3127</v>
      </c>
      <c r="D417" s="153" t="s">
        <v>3128</v>
      </c>
      <c r="E417" s="153" t="s">
        <v>2086</v>
      </c>
      <c r="F417" s="6"/>
      <c r="G417" s="6"/>
      <c r="H417" s="128">
        <f t="shared" si="7"/>
        <v>12000</v>
      </c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>
        <v>12000</v>
      </c>
      <c r="U417" s="129"/>
      <c r="V417" s="129"/>
      <c r="W417" s="129"/>
      <c r="X417" s="129"/>
      <c r="Y417" s="129"/>
      <c r="Z417" s="129"/>
      <c r="AA417" s="129"/>
      <c r="AB417" s="129"/>
      <c r="AC417" s="129"/>
      <c r="AD417" s="129"/>
      <c r="AE417" s="129"/>
      <c r="AF417" s="129"/>
      <c r="AG417" s="129"/>
      <c r="AH417" s="129"/>
      <c r="AI417" s="129"/>
      <c r="AJ417" s="129"/>
      <c r="AK417" s="129"/>
      <c r="AL417" s="129"/>
      <c r="AM417" s="129"/>
    </row>
    <row r="418" spans="1:39" hidden="1" x14ac:dyDescent="0.25">
      <c r="A418" s="127">
        <v>417</v>
      </c>
      <c r="B418" s="155" t="s">
        <v>959</v>
      </c>
      <c r="C418" s="156" t="s">
        <v>3129</v>
      </c>
      <c r="D418" s="156" t="s">
        <v>3130</v>
      </c>
      <c r="E418" s="153" t="s">
        <v>2086</v>
      </c>
      <c r="F418" s="6"/>
      <c r="G418" s="6"/>
      <c r="H418" s="128">
        <f t="shared" si="7"/>
        <v>0</v>
      </c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  <c r="AA418" s="129"/>
      <c r="AB418" s="129"/>
      <c r="AC418" s="129"/>
      <c r="AD418" s="129"/>
      <c r="AE418" s="129"/>
      <c r="AF418" s="129"/>
      <c r="AG418" s="129"/>
      <c r="AH418" s="129"/>
      <c r="AI418" s="129"/>
      <c r="AJ418" s="129"/>
      <c r="AK418" s="129"/>
      <c r="AL418" s="129"/>
      <c r="AM418" s="129"/>
    </row>
    <row r="419" spans="1:39" hidden="1" x14ac:dyDescent="0.25">
      <c r="A419" s="127">
        <v>418</v>
      </c>
      <c r="B419" s="152" t="s">
        <v>1099</v>
      </c>
      <c r="C419" s="153" t="s">
        <v>3131</v>
      </c>
      <c r="D419" s="153" t="s">
        <v>3132</v>
      </c>
      <c r="E419" s="153" t="s">
        <v>2086</v>
      </c>
      <c r="F419" s="6"/>
      <c r="G419" s="6"/>
      <c r="H419" s="128">
        <f t="shared" si="7"/>
        <v>300000</v>
      </c>
      <c r="I419" s="129">
        <v>300000</v>
      </c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  <c r="AA419" s="129"/>
      <c r="AB419" s="129"/>
      <c r="AC419" s="129"/>
      <c r="AD419" s="129"/>
      <c r="AE419" s="129"/>
      <c r="AF419" s="129"/>
      <c r="AG419" s="129"/>
      <c r="AH419" s="129"/>
      <c r="AI419" s="129"/>
      <c r="AJ419" s="129"/>
      <c r="AK419" s="129"/>
      <c r="AL419" s="129"/>
      <c r="AM419" s="129"/>
    </row>
    <row r="420" spans="1:39" hidden="1" x14ac:dyDescent="0.25">
      <c r="A420" s="127">
        <v>419</v>
      </c>
      <c r="B420" s="152" t="s">
        <v>967</v>
      </c>
      <c r="C420" s="153" t="s">
        <v>3133</v>
      </c>
      <c r="D420" s="153" t="s">
        <v>3134</v>
      </c>
      <c r="E420" s="153" t="s">
        <v>2086</v>
      </c>
      <c r="F420" s="6"/>
      <c r="G420" s="6"/>
      <c r="H420" s="128">
        <f t="shared" si="7"/>
        <v>59000</v>
      </c>
      <c r="I420" s="129"/>
      <c r="J420" s="129"/>
      <c r="K420" s="129"/>
      <c r="L420" s="129"/>
      <c r="M420" s="129"/>
      <c r="N420" s="129"/>
      <c r="O420" s="129"/>
      <c r="P420" s="129"/>
      <c r="Q420" s="129">
        <v>59000</v>
      </c>
      <c r="R420" s="129"/>
      <c r="S420" s="129"/>
      <c r="T420" s="129"/>
      <c r="U420" s="129"/>
      <c r="V420" s="129"/>
      <c r="W420" s="129"/>
      <c r="X420" s="129"/>
      <c r="Y420" s="129"/>
      <c r="Z420" s="129"/>
      <c r="AA420" s="129"/>
      <c r="AB420" s="129"/>
      <c r="AC420" s="129"/>
      <c r="AD420" s="129"/>
      <c r="AE420" s="129"/>
      <c r="AF420" s="129"/>
      <c r="AG420" s="129"/>
      <c r="AH420" s="129"/>
      <c r="AI420" s="129"/>
      <c r="AJ420" s="129"/>
      <c r="AK420" s="129"/>
      <c r="AL420" s="129"/>
      <c r="AM420" s="129"/>
    </row>
    <row r="421" spans="1:39" hidden="1" x14ac:dyDescent="0.25">
      <c r="A421" s="127">
        <v>420</v>
      </c>
      <c r="B421" s="152" t="s">
        <v>181</v>
      </c>
      <c r="C421" s="153" t="s">
        <v>3135</v>
      </c>
      <c r="D421" s="153" t="s">
        <v>3136</v>
      </c>
      <c r="E421" s="153" t="s">
        <v>4948</v>
      </c>
      <c r="F421" s="6"/>
      <c r="G421" s="6"/>
      <c r="H421" s="128">
        <f t="shared" si="7"/>
        <v>0</v>
      </c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  <c r="AA421" s="129"/>
      <c r="AB421" s="129"/>
      <c r="AC421" s="129"/>
      <c r="AD421" s="129"/>
      <c r="AE421" s="129"/>
      <c r="AF421" s="129"/>
      <c r="AG421" s="129"/>
      <c r="AH421" s="129"/>
      <c r="AI421" s="129"/>
      <c r="AJ421" s="129"/>
      <c r="AK421" s="129"/>
      <c r="AL421" s="129"/>
      <c r="AM421" s="129"/>
    </row>
    <row r="422" spans="1:39" hidden="1" x14ac:dyDescent="0.25">
      <c r="A422" s="127">
        <v>421</v>
      </c>
      <c r="B422" s="152" t="s">
        <v>3137</v>
      </c>
      <c r="C422" s="153" t="s">
        <v>3138</v>
      </c>
      <c r="D422" s="153" t="s">
        <v>3139</v>
      </c>
      <c r="E422" s="153" t="s">
        <v>4948</v>
      </c>
      <c r="F422" s="6"/>
      <c r="G422" s="6"/>
      <c r="H422" s="128">
        <f t="shared" si="7"/>
        <v>0</v>
      </c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  <c r="AA422" s="129"/>
      <c r="AB422" s="129"/>
      <c r="AC422" s="129"/>
      <c r="AD422" s="129"/>
      <c r="AE422" s="129"/>
      <c r="AF422" s="129"/>
      <c r="AG422" s="129"/>
      <c r="AH422" s="129"/>
      <c r="AI422" s="129"/>
      <c r="AJ422" s="129"/>
      <c r="AK422" s="129"/>
      <c r="AL422" s="129"/>
      <c r="AM422" s="129"/>
    </row>
    <row r="423" spans="1:39" hidden="1" x14ac:dyDescent="0.25">
      <c r="A423" s="127">
        <v>422</v>
      </c>
      <c r="B423" s="152" t="s">
        <v>922</v>
      </c>
      <c r="C423" s="153" t="s">
        <v>3140</v>
      </c>
      <c r="D423" s="153" t="s">
        <v>3141</v>
      </c>
      <c r="E423" s="153" t="s">
        <v>4948</v>
      </c>
      <c r="F423" s="6"/>
      <c r="G423" s="6"/>
      <c r="H423" s="128">
        <f t="shared" si="7"/>
        <v>480000</v>
      </c>
      <c r="I423" s="129">
        <v>120000</v>
      </c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>
        <v>360000</v>
      </c>
      <c r="U423" s="129"/>
      <c r="V423" s="129"/>
      <c r="W423" s="129"/>
      <c r="X423" s="129"/>
      <c r="Y423" s="129"/>
      <c r="Z423" s="129"/>
      <c r="AA423" s="129"/>
      <c r="AB423" s="129"/>
      <c r="AC423" s="129"/>
      <c r="AD423" s="129"/>
      <c r="AE423" s="129"/>
      <c r="AF423" s="129"/>
      <c r="AG423" s="129"/>
      <c r="AH423" s="129"/>
      <c r="AI423" s="129"/>
      <c r="AJ423" s="129"/>
      <c r="AK423" s="129"/>
      <c r="AL423" s="129"/>
      <c r="AM423" s="129"/>
    </row>
    <row r="424" spans="1:39" hidden="1" x14ac:dyDescent="0.25">
      <c r="A424" s="127">
        <v>423</v>
      </c>
      <c r="B424" s="152" t="s">
        <v>168</v>
      </c>
      <c r="C424" s="153" t="s">
        <v>3142</v>
      </c>
      <c r="D424" s="153" t="s">
        <v>3143</v>
      </c>
      <c r="E424" s="153" t="s">
        <v>4948</v>
      </c>
      <c r="F424" s="6"/>
      <c r="G424" s="6"/>
      <c r="H424" s="128">
        <f>SUM(I424:AM424)</f>
        <v>510</v>
      </c>
      <c r="I424" s="129"/>
      <c r="J424" s="129"/>
      <c r="K424" s="129"/>
      <c r="L424" s="129"/>
      <c r="M424" s="129"/>
      <c r="N424" s="129"/>
      <c r="O424" s="129"/>
      <c r="P424" s="129">
        <v>510</v>
      </c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</row>
    <row r="425" spans="1:39" hidden="1" x14ac:dyDescent="0.25">
      <c r="A425" s="127">
        <v>424</v>
      </c>
      <c r="B425" s="152" t="s">
        <v>1560</v>
      </c>
      <c r="C425" s="153" t="s">
        <v>3144</v>
      </c>
      <c r="D425" s="153" t="s">
        <v>3145</v>
      </c>
      <c r="E425" s="153" t="s">
        <v>4948</v>
      </c>
      <c r="F425" s="6"/>
      <c r="G425" s="6"/>
      <c r="H425" s="128">
        <f t="shared" si="7"/>
        <v>0</v>
      </c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</row>
    <row r="426" spans="1:39" hidden="1" x14ac:dyDescent="0.25">
      <c r="A426" s="127">
        <v>425</v>
      </c>
      <c r="B426" s="152" t="s">
        <v>1421</v>
      </c>
      <c r="C426" s="153" t="s">
        <v>3147</v>
      </c>
      <c r="D426" s="153" t="s">
        <v>3148</v>
      </c>
      <c r="E426" s="153" t="s">
        <v>2086</v>
      </c>
      <c r="F426" s="6"/>
      <c r="G426" s="6"/>
      <c r="H426" s="128">
        <f t="shared" si="7"/>
        <v>0</v>
      </c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  <c r="AA426" s="129"/>
      <c r="AB426" s="129"/>
      <c r="AC426" s="129"/>
      <c r="AD426" s="129"/>
      <c r="AE426" s="129"/>
      <c r="AF426" s="129"/>
      <c r="AG426" s="129"/>
      <c r="AH426" s="129"/>
      <c r="AI426" s="129"/>
      <c r="AJ426" s="129"/>
      <c r="AK426" s="129"/>
      <c r="AL426" s="129"/>
      <c r="AM426" s="129"/>
    </row>
    <row r="427" spans="1:39" hidden="1" x14ac:dyDescent="0.25">
      <c r="A427" s="127">
        <v>426</v>
      </c>
      <c r="B427" s="155" t="s">
        <v>217</v>
      </c>
      <c r="C427" s="156" t="s">
        <v>3149</v>
      </c>
      <c r="D427" s="156" t="s">
        <v>3150</v>
      </c>
      <c r="E427" s="153" t="s">
        <v>2086</v>
      </c>
      <c r="F427" s="6"/>
      <c r="G427" s="6"/>
      <c r="H427" s="128">
        <f t="shared" si="7"/>
        <v>0</v>
      </c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29"/>
      <c r="AL427" s="129"/>
      <c r="AM427" s="129"/>
    </row>
    <row r="428" spans="1:39" hidden="1" x14ac:dyDescent="0.25">
      <c r="A428" s="127">
        <v>427</v>
      </c>
      <c r="B428" s="152" t="s">
        <v>3151</v>
      </c>
      <c r="C428" s="153" t="s">
        <v>3152</v>
      </c>
      <c r="D428" s="153" t="s">
        <v>3153</v>
      </c>
      <c r="E428" s="153" t="s">
        <v>4948</v>
      </c>
      <c r="F428" s="6"/>
      <c r="G428" s="6"/>
      <c r="H428" s="128">
        <f t="shared" si="7"/>
        <v>800</v>
      </c>
      <c r="I428" s="129">
        <v>50</v>
      </c>
      <c r="J428" s="129"/>
      <c r="K428" s="129"/>
      <c r="L428" s="129"/>
      <c r="M428" s="129"/>
      <c r="N428" s="129"/>
      <c r="O428" s="129"/>
      <c r="P428" s="129">
        <v>600</v>
      </c>
      <c r="Q428" s="129"/>
      <c r="R428" s="129"/>
      <c r="S428" s="129">
        <v>150</v>
      </c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</row>
    <row r="429" spans="1:39" hidden="1" x14ac:dyDescent="0.25">
      <c r="A429" s="127">
        <v>428</v>
      </c>
      <c r="B429" s="152" t="s">
        <v>3154</v>
      </c>
      <c r="C429" s="153" t="s">
        <v>3155</v>
      </c>
      <c r="D429" s="153" t="s">
        <v>3156</v>
      </c>
      <c r="E429" s="153" t="s">
        <v>4948</v>
      </c>
      <c r="F429" s="6"/>
      <c r="G429" s="6"/>
      <c r="H429" s="128">
        <f t="shared" si="7"/>
        <v>0</v>
      </c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</row>
    <row r="430" spans="1:39" hidden="1" x14ac:dyDescent="0.25">
      <c r="A430" s="127">
        <v>429</v>
      </c>
      <c r="B430" s="155" t="s">
        <v>1931</v>
      </c>
      <c r="C430" s="156" t="s">
        <v>3157</v>
      </c>
      <c r="D430" s="156" t="s">
        <v>3158</v>
      </c>
      <c r="E430" s="153" t="s">
        <v>4948</v>
      </c>
      <c r="F430" s="6"/>
      <c r="G430" s="6"/>
      <c r="H430" s="128">
        <f t="shared" si="7"/>
        <v>1500</v>
      </c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>
        <v>1500</v>
      </c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</row>
    <row r="431" spans="1:39" hidden="1" x14ac:dyDescent="0.25">
      <c r="A431" s="127">
        <v>430</v>
      </c>
      <c r="B431" s="152" t="s">
        <v>184</v>
      </c>
      <c r="C431" s="153" t="s">
        <v>3159</v>
      </c>
      <c r="D431" s="153" t="s">
        <v>3160</v>
      </c>
      <c r="E431" s="153" t="s">
        <v>4948</v>
      </c>
      <c r="F431" s="6"/>
      <c r="G431" s="6"/>
      <c r="H431" s="128">
        <f t="shared" si="7"/>
        <v>8000</v>
      </c>
      <c r="I431" s="129"/>
      <c r="J431" s="129"/>
      <c r="K431" s="129"/>
      <c r="L431" s="129"/>
      <c r="M431" s="129"/>
      <c r="N431" s="129"/>
      <c r="O431" s="129">
        <v>8000</v>
      </c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</row>
    <row r="432" spans="1:39" hidden="1" x14ac:dyDescent="0.25">
      <c r="A432" s="127">
        <v>431</v>
      </c>
      <c r="B432" s="152" t="s">
        <v>1925</v>
      </c>
      <c r="C432" s="153" t="s">
        <v>3161</v>
      </c>
      <c r="D432" s="153" t="s">
        <v>3162</v>
      </c>
      <c r="E432" s="153" t="s">
        <v>4948</v>
      </c>
      <c r="F432" s="6"/>
      <c r="G432" s="6"/>
      <c r="H432" s="128">
        <f t="shared" si="7"/>
        <v>0</v>
      </c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</row>
    <row r="433" spans="1:39" hidden="1" x14ac:dyDescent="0.25">
      <c r="A433" s="127">
        <v>432</v>
      </c>
      <c r="B433" s="152" t="s">
        <v>129</v>
      </c>
      <c r="C433" s="153" t="s">
        <v>3163</v>
      </c>
      <c r="D433" s="153" t="s">
        <v>3164</v>
      </c>
      <c r="E433" s="153" t="s">
        <v>4948</v>
      </c>
      <c r="F433" s="6"/>
      <c r="G433" s="6"/>
      <c r="H433" s="128">
        <f t="shared" si="7"/>
        <v>100000</v>
      </c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>
        <v>100000</v>
      </c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</row>
    <row r="434" spans="1:39" hidden="1" x14ac:dyDescent="0.25">
      <c r="A434" s="127">
        <v>433</v>
      </c>
      <c r="B434" s="152" t="s">
        <v>1679</v>
      </c>
      <c r="C434" s="153" t="s">
        <v>3165</v>
      </c>
      <c r="D434" s="153" t="s">
        <v>3166</v>
      </c>
      <c r="E434" s="153" t="s">
        <v>2086</v>
      </c>
      <c r="F434" s="6"/>
      <c r="G434" s="6"/>
      <c r="H434" s="128">
        <f t="shared" si="7"/>
        <v>110000</v>
      </c>
      <c r="I434" s="129"/>
      <c r="J434" s="129"/>
      <c r="K434" s="129"/>
      <c r="L434" s="129"/>
      <c r="M434" s="129"/>
      <c r="N434" s="129"/>
      <c r="O434" s="129"/>
      <c r="P434" s="129"/>
      <c r="Q434" s="129">
        <v>100000</v>
      </c>
      <c r="R434" s="129"/>
      <c r="S434" s="129"/>
      <c r="T434" s="129"/>
      <c r="U434" s="129"/>
      <c r="V434" s="129">
        <v>10000</v>
      </c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</row>
    <row r="435" spans="1:39" hidden="1" x14ac:dyDescent="0.25">
      <c r="A435" s="127">
        <v>434</v>
      </c>
      <c r="B435" s="152" t="s">
        <v>1816</v>
      </c>
      <c r="C435" s="153" t="s">
        <v>3167</v>
      </c>
      <c r="D435" s="153" t="s">
        <v>3168</v>
      </c>
      <c r="E435" s="153" t="s">
        <v>2086</v>
      </c>
      <c r="F435" s="6"/>
      <c r="G435" s="6"/>
      <c r="H435" s="128">
        <f t="shared" si="7"/>
        <v>30000</v>
      </c>
      <c r="I435" s="129">
        <v>30000</v>
      </c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</row>
    <row r="436" spans="1:39" hidden="1" x14ac:dyDescent="0.25">
      <c r="A436" s="127">
        <v>435</v>
      </c>
      <c r="B436" s="152" t="s">
        <v>165</v>
      </c>
      <c r="C436" s="153" t="s">
        <v>3169</v>
      </c>
      <c r="D436" s="153" t="s">
        <v>3170</v>
      </c>
      <c r="E436" s="153" t="s">
        <v>4948</v>
      </c>
      <c r="F436" s="6"/>
      <c r="G436" s="6"/>
      <c r="H436" s="128">
        <f t="shared" si="7"/>
        <v>0</v>
      </c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</row>
    <row r="437" spans="1:39" hidden="1" x14ac:dyDescent="0.25">
      <c r="A437" s="127">
        <v>436</v>
      </c>
      <c r="B437" s="152" t="s">
        <v>36</v>
      </c>
      <c r="C437" s="153" t="s">
        <v>3171</v>
      </c>
      <c r="D437" s="153" t="s">
        <v>3172</v>
      </c>
      <c r="E437" s="153" t="s">
        <v>4948</v>
      </c>
      <c r="F437" s="6"/>
      <c r="G437" s="6"/>
      <c r="H437" s="128">
        <f t="shared" si="7"/>
        <v>0</v>
      </c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</row>
    <row r="438" spans="1:39" hidden="1" x14ac:dyDescent="0.25">
      <c r="A438" s="127">
        <v>437</v>
      </c>
      <c r="B438" s="155" t="s">
        <v>1396</v>
      </c>
      <c r="C438" s="156" t="s">
        <v>3173</v>
      </c>
      <c r="D438" s="156" t="s">
        <v>3174</v>
      </c>
      <c r="E438" s="153" t="s">
        <v>2086</v>
      </c>
      <c r="F438" s="6"/>
      <c r="G438" s="6"/>
      <c r="H438" s="128">
        <f t="shared" si="7"/>
        <v>0</v>
      </c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  <c r="AA438" s="129"/>
      <c r="AB438" s="129"/>
      <c r="AC438" s="129"/>
      <c r="AD438" s="129"/>
      <c r="AE438" s="129"/>
      <c r="AF438" s="129"/>
      <c r="AG438" s="129"/>
      <c r="AH438" s="129"/>
      <c r="AI438" s="129"/>
      <c r="AJ438" s="129"/>
      <c r="AK438" s="129"/>
      <c r="AL438" s="129"/>
      <c r="AM438" s="129"/>
    </row>
    <row r="439" spans="1:39" hidden="1" x14ac:dyDescent="0.25">
      <c r="A439" s="127">
        <v>438</v>
      </c>
      <c r="B439" s="152" t="s">
        <v>3175</v>
      </c>
      <c r="C439" s="153" t="s">
        <v>3176</v>
      </c>
      <c r="D439" s="153" t="s">
        <v>3177</v>
      </c>
      <c r="E439" s="153" t="s">
        <v>4948</v>
      </c>
      <c r="F439" s="6"/>
      <c r="G439" s="6"/>
      <c r="H439" s="128">
        <f t="shared" si="7"/>
        <v>0</v>
      </c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  <c r="AA439" s="129"/>
      <c r="AB439" s="129"/>
      <c r="AC439" s="129"/>
      <c r="AD439" s="129"/>
      <c r="AE439" s="129"/>
      <c r="AF439" s="129"/>
      <c r="AG439" s="129"/>
      <c r="AH439" s="129"/>
      <c r="AI439" s="129"/>
      <c r="AJ439" s="129"/>
      <c r="AK439" s="129"/>
      <c r="AL439" s="129"/>
      <c r="AM439" s="129"/>
    </row>
    <row r="440" spans="1:39" hidden="1" x14ac:dyDescent="0.25">
      <c r="A440" s="127">
        <v>439</v>
      </c>
      <c r="B440" s="155" t="s">
        <v>693</v>
      </c>
      <c r="C440" s="156" t="s">
        <v>3178</v>
      </c>
      <c r="D440" s="156" t="s">
        <v>3179</v>
      </c>
      <c r="E440" s="153" t="s">
        <v>2086</v>
      </c>
      <c r="F440" s="6"/>
      <c r="G440" s="6"/>
      <c r="H440" s="128">
        <f t="shared" si="7"/>
        <v>0</v>
      </c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  <c r="AA440" s="129"/>
      <c r="AB440" s="129"/>
      <c r="AC440" s="129"/>
      <c r="AD440" s="129"/>
      <c r="AE440" s="129"/>
      <c r="AF440" s="129"/>
      <c r="AG440" s="129"/>
      <c r="AH440" s="129"/>
      <c r="AI440" s="129"/>
      <c r="AJ440" s="129"/>
      <c r="AK440" s="129"/>
      <c r="AL440" s="129"/>
      <c r="AM440" s="129"/>
    </row>
    <row r="441" spans="1:39" hidden="1" x14ac:dyDescent="0.25">
      <c r="A441" s="127">
        <v>440</v>
      </c>
      <c r="B441" s="152" t="s">
        <v>1590</v>
      </c>
      <c r="C441" s="153" t="s">
        <v>3180</v>
      </c>
      <c r="D441" s="153" t="s">
        <v>3181</v>
      </c>
      <c r="E441" s="153" t="s">
        <v>2086</v>
      </c>
      <c r="F441" s="6"/>
      <c r="G441" s="6"/>
      <c r="H441" s="128">
        <f t="shared" si="7"/>
        <v>0</v>
      </c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  <c r="AA441" s="129"/>
      <c r="AB441" s="129"/>
      <c r="AC441" s="129"/>
      <c r="AD441" s="129"/>
      <c r="AE441" s="129"/>
      <c r="AF441" s="129"/>
      <c r="AG441" s="129"/>
      <c r="AH441" s="129"/>
      <c r="AI441" s="129"/>
      <c r="AJ441" s="129"/>
      <c r="AK441" s="129"/>
      <c r="AL441" s="129"/>
      <c r="AM441" s="129"/>
    </row>
    <row r="442" spans="1:39" hidden="1" x14ac:dyDescent="0.25">
      <c r="A442" s="127">
        <v>441</v>
      </c>
      <c r="B442" s="152" t="s">
        <v>3182</v>
      </c>
      <c r="C442" s="153" t="s">
        <v>3183</v>
      </c>
      <c r="D442" s="153" t="s">
        <v>3184</v>
      </c>
      <c r="E442" s="153" t="s">
        <v>4948</v>
      </c>
      <c r="F442" s="6"/>
      <c r="G442" s="6"/>
      <c r="H442" s="128">
        <f t="shared" si="7"/>
        <v>0</v>
      </c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  <c r="AA442" s="129"/>
      <c r="AB442" s="129"/>
      <c r="AC442" s="129"/>
      <c r="AD442" s="129"/>
      <c r="AE442" s="129"/>
      <c r="AF442" s="129"/>
      <c r="AG442" s="129"/>
      <c r="AH442" s="129"/>
      <c r="AI442" s="129"/>
      <c r="AJ442" s="129"/>
      <c r="AK442" s="129"/>
      <c r="AL442" s="129"/>
      <c r="AM442" s="129"/>
    </row>
    <row r="443" spans="1:39" hidden="1" x14ac:dyDescent="0.25">
      <c r="A443" s="127">
        <v>442</v>
      </c>
      <c r="B443" s="152" t="s">
        <v>3185</v>
      </c>
      <c r="C443" s="153" t="s">
        <v>3186</v>
      </c>
      <c r="D443" s="153" t="s">
        <v>3187</v>
      </c>
      <c r="E443" s="153" t="s">
        <v>2086</v>
      </c>
      <c r="F443" s="6"/>
      <c r="G443" s="6"/>
      <c r="H443" s="128">
        <f t="shared" si="7"/>
        <v>0</v>
      </c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  <c r="AA443" s="129"/>
      <c r="AB443" s="129"/>
      <c r="AC443" s="129"/>
      <c r="AD443" s="129"/>
      <c r="AE443" s="129"/>
      <c r="AF443" s="129"/>
      <c r="AG443" s="129"/>
      <c r="AH443" s="129"/>
      <c r="AI443" s="129"/>
      <c r="AJ443" s="129"/>
      <c r="AK443" s="129"/>
      <c r="AL443" s="129"/>
      <c r="AM443" s="129"/>
    </row>
    <row r="444" spans="1:39" hidden="1" x14ac:dyDescent="0.25">
      <c r="A444" s="127">
        <v>443</v>
      </c>
      <c r="B444" s="155" t="s">
        <v>1683</v>
      </c>
      <c r="C444" s="156" t="s">
        <v>3188</v>
      </c>
      <c r="D444" s="156" t="s">
        <v>3189</v>
      </c>
      <c r="E444" s="153" t="s">
        <v>2086</v>
      </c>
      <c r="F444" s="6"/>
      <c r="G444" s="6"/>
      <c r="H444" s="128">
        <f t="shared" si="7"/>
        <v>0</v>
      </c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  <c r="AA444" s="129"/>
      <c r="AB444" s="129"/>
      <c r="AC444" s="129"/>
      <c r="AD444" s="129"/>
      <c r="AE444" s="129"/>
      <c r="AF444" s="129"/>
      <c r="AG444" s="129"/>
      <c r="AH444" s="129"/>
      <c r="AI444" s="129"/>
      <c r="AJ444" s="129"/>
      <c r="AK444" s="129"/>
      <c r="AL444" s="129"/>
      <c r="AM444" s="129"/>
    </row>
    <row r="445" spans="1:39" hidden="1" x14ac:dyDescent="0.25">
      <c r="A445" s="127">
        <v>444</v>
      </c>
      <c r="B445" s="152" t="s">
        <v>1081</v>
      </c>
      <c r="C445" s="153" t="s">
        <v>3190</v>
      </c>
      <c r="D445" s="153" t="s">
        <v>3191</v>
      </c>
      <c r="E445" s="153" t="s">
        <v>2086</v>
      </c>
      <c r="F445" s="6"/>
      <c r="G445" s="6"/>
      <c r="H445" s="128">
        <f t="shared" si="7"/>
        <v>0</v>
      </c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  <c r="AA445" s="129"/>
      <c r="AB445" s="129"/>
      <c r="AC445" s="129"/>
      <c r="AD445" s="129"/>
      <c r="AE445" s="129"/>
      <c r="AF445" s="129"/>
      <c r="AG445" s="129"/>
      <c r="AH445" s="129"/>
      <c r="AI445" s="129"/>
      <c r="AJ445" s="129"/>
      <c r="AK445" s="129"/>
      <c r="AL445" s="129"/>
      <c r="AM445" s="129"/>
    </row>
    <row r="446" spans="1:39" hidden="1" x14ac:dyDescent="0.25">
      <c r="A446" s="127">
        <v>445</v>
      </c>
      <c r="B446" s="152" t="s">
        <v>199</v>
      </c>
      <c r="C446" s="153" t="s">
        <v>3192</v>
      </c>
      <c r="D446" s="153" t="s">
        <v>3193</v>
      </c>
      <c r="E446" s="153" t="s">
        <v>4948</v>
      </c>
      <c r="F446" s="6"/>
      <c r="G446" s="6"/>
      <c r="H446" s="128">
        <f>SUM(I446:AM446)</f>
        <v>0</v>
      </c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  <c r="AA446" s="129"/>
      <c r="AB446" s="129"/>
      <c r="AC446" s="129"/>
      <c r="AD446" s="129"/>
      <c r="AE446" s="129"/>
      <c r="AF446" s="129"/>
      <c r="AG446" s="129"/>
      <c r="AH446" s="129"/>
      <c r="AI446" s="129"/>
      <c r="AJ446" s="129"/>
      <c r="AK446" s="129"/>
      <c r="AL446" s="129"/>
      <c r="AM446" s="129"/>
    </row>
    <row r="447" spans="1:39" hidden="1" x14ac:dyDescent="0.25">
      <c r="A447" s="127">
        <v>446</v>
      </c>
      <c r="B447" s="155" t="s">
        <v>1228</v>
      </c>
      <c r="C447" s="156" t="s">
        <v>3194</v>
      </c>
      <c r="D447" s="156" t="s">
        <v>3195</v>
      </c>
      <c r="E447" s="153" t="s">
        <v>2086</v>
      </c>
      <c r="F447" s="6"/>
      <c r="G447" s="6"/>
      <c r="H447" s="128">
        <f t="shared" si="7"/>
        <v>0</v>
      </c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  <c r="AA447" s="129"/>
      <c r="AB447" s="129"/>
      <c r="AC447" s="129"/>
      <c r="AD447" s="129"/>
      <c r="AE447" s="129"/>
      <c r="AF447" s="129"/>
      <c r="AG447" s="129"/>
      <c r="AH447" s="129"/>
      <c r="AI447" s="129"/>
      <c r="AJ447" s="129"/>
      <c r="AK447" s="129"/>
      <c r="AL447" s="129"/>
      <c r="AM447" s="129"/>
    </row>
    <row r="448" spans="1:39" hidden="1" x14ac:dyDescent="0.25">
      <c r="A448" s="127">
        <v>447</v>
      </c>
      <c r="B448" s="152" t="s">
        <v>1392</v>
      </c>
      <c r="C448" s="153" t="s">
        <v>3196</v>
      </c>
      <c r="D448" s="153" t="s">
        <v>3197</v>
      </c>
      <c r="E448" s="153" t="s">
        <v>2086</v>
      </c>
      <c r="F448" s="6"/>
      <c r="G448" s="6"/>
      <c r="H448" s="128">
        <f t="shared" si="7"/>
        <v>54000</v>
      </c>
      <c r="I448" s="129">
        <v>54000</v>
      </c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  <c r="AA448" s="129"/>
      <c r="AB448" s="129"/>
      <c r="AC448" s="129"/>
      <c r="AD448" s="129"/>
      <c r="AE448" s="129"/>
      <c r="AF448" s="129"/>
      <c r="AG448" s="129"/>
      <c r="AH448" s="129"/>
      <c r="AI448" s="129"/>
      <c r="AJ448" s="129"/>
      <c r="AK448" s="129"/>
      <c r="AL448" s="129"/>
      <c r="AM448" s="129"/>
    </row>
    <row r="449" spans="1:39" hidden="1" x14ac:dyDescent="0.25">
      <c r="A449" s="127">
        <v>448</v>
      </c>
      <c r="B449" s="152" t="s">
        <v>3198</v>
      </c>
      <c r="C449" s="153" t="s">
        <v>3199</v>
      </c>
      <c r="D449" s="153" t="s">
        <v>3200</v>
      </c>
      <c r="E449" s="153" t="s">
        <v>2086</v>
      </c>
      <c r="F449" s="6"/>
      <c r="G449" s="6"/>
      <c r="H449" s="128">
        <f t="shared" si="7"/>
        <v>0</v>
      </c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  <c r="AA449" s="129"/>
      <c r="AB449" s="129"/>
      <c r="AC449" s="129"/>
      <c r="AD449" s="129"/>
      <c r="AE449" s="129"/>
      <c r="AF449" s="129"/>
      <c r="AG449" s="129"/>
      <c r="AH449" s="129"/>
      <c r="AI449" s="129"/>
      <c r="AJ449" s="129"/>
      <c r="AK449" s="129"/>
      <c r="AL449" s="129"/>
      <c r="AM449" s="129"/>
    </row>
    <row r="450" spans="1:39" hidden="1" x14ac:dyDescent="0.25">
      <c r="A450" s="127">
        <v>449</v>
      </c>
      <c r="B450" s="152" t="s">
        <v>209</v>
      </c>
      <c r="C450" s="153" t="s">
        <v>3201</v>
      </c>
      <c r="D450" s="153" t="s">
        <v>3202</v>
      </c>
      <c r="E450" s="153" t="s">
        <v>4948</v>
      </c>
      <c r="F450" s="6"/>
      <c r="G450" s="6"/>
      <c r="H450" s="128">
        <f t="shared" ref="H450:H513" si="8">SUM(I450:AM450)</f>
        <v>0</v>
      </c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  <c r="AA450" s="129"/>
      <c r="AB450" s="129"/>
      <c r="AC450" s="129"/>
      <c r="AD450" s="129"/>
      <c r="AE450" s="129"/>
      <c r="AF450" s="129"/>
      <c r="AG450" s="129"/>
      <c r="AH450" s="129"/>
      <c r="AI450" s="129"/>
      <c r="AJ450" s="129"/>
      <c r="AK450" s="129"/>
      <c r="AL450" s="129"/>
      <c r="AM450" s="129"/>
    </row>
    <row r="451" spans="1:39" hidden="1" x14ac:dyDescent="0.25">
      <c r="A451" s="127">
        <v>450</v>
      </c>
      <c r="B451" s="152" t="s">
        <v>1606</v>
      </c>
      <c r="C451" s="153" t="s">
        <v>3203</v>
      </c>
      <c r="D451" s="153" t="s">
        <v>3204</v>
      </c>
      <c r="E451" s="153" t="s">
        <v>4948</v>
      </c>
      <c r="F451" s="6"/>
      <c r="G451" s="6"/>
      <c r="H451" s="128">
        <f t="shared" si="8"/>
        <v>0</v>
      </c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  <c r="AA451" s="129"/>
      <c r="AB451" s="129"/>
      <c r="AC451" s="129"/>
      <c r="AD451" s="129"/>
      <c r="AE451" s="129"/>
      <c r="AF451" s="129"/>
      <c r="AG451" s="129"/>
      <c r="AH451" s="129"/>
      <c r="AI451" s="129"/>
      <c r="AJ451" s="129"/>
      <c r="AK451" s="129"/>
      <c r="AL451" s="129"/>
      <c r="AM451" s="129"/>
    </row>
    <row r="452" spans="1:39" hidden="1" x14ac:dyDescent="0.25">
      <c r="A452" s="127">
        <v>451</v>
      </c>
      <c r="B452" s="152" t="s">
        <v>173</v>
      </c>
      <c r="C452" s="153" t="s">
        <v>3205</v>
      </c>
      <c r="D452" s="153" t="s">
        <v>3206</v>
      </c>
      <c r="E452" s="153" t="s">
        <v>4948</v>
      </c>
      <c r="F452" s="6"/>
      <c r="G452" s="6"/>
      <c r="H452" s="128">
        <f t="shared" si="8"/>
        <v>0</v>
      </c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  <c r="AA452" s="129"/>
      <c r="AB452" s="129"/>
      <c r="AC452" s="129"/>
      <c r="AD452" s="129"/>
      <c r="AE452" s="129"/>
      <c r="AF452" s="129"/>
      <c r="AG452" s="129"/>
      <c r="AH452" s="129"/>
      <c r="AI452" s="129"/>
      <c r="AJ452" s="129"/>
      <c r="AK452" s="129"/>
      <c r="AL452" s="129"/>
      <c r="AM452" s="129"/>
    </row>
    <row r="453" spans="1:39" hidden="1" x14ac:dyDescent="0.25">
      <c r="A453" s="127">
        <v>452</v>
      </c>
      <c r="B453" s="152" t="s">
        <v>762</v>
      </c>
      <c r="C453" s="153" t="s">
        <v>3207</v>
      </c>
      <c r="D453" s="153" t="s">
        <v>3208</v>
      </c>
      <c r="E453" s="153" t="s">
        <v>2086</v>
      </c>
      <c r="F453" s="6"/>
      <c r="G453" s="6"/>
      <c r="H453" s="128">
        <f t="shared" si="8"/>
        <v>211000</v>
      </c>
      <c r="I453" s="129">
        <v>211000</v>
      </c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  <c r="AA453" s="129"/>
      <c r="AB453" s="129"/>
      <c r="AC453" s="129"/>
      <c r="AD453" s="129"/>
      <c r="AE453" s="129"/>
      <c r="AF453" s="129"/>
      <c r="AG453" s="129"/>
      <c r="AH453" s="129"/>
      <c r="AI453" s="129"/>
      <c r="AJ453" s="129"/>
      <c r="AK453" s="129"/>
      <c r="AL453" s="129"/>
      <c r="AM453" s="129"/>
    </row>
    <row r="454" spans="1:39" hidden="1" x14ac:dyDescent="0.25">
      <c r="A454" s="127">
        <v>453</v>
      </c>
      <c r="B454" s="152" t="s">
        <v>214</v>
      </c>
      <c r="C454" s="153" t="s">
        <v>3209</v>
      </c>
      <c r="D454" s="153" t="s">
        <v>3210</v>
      </c>
      <c r="E454" s="153" t="s">
        <v>2086</v>
      </c>
      <c r="F454" s="6"/>
      <c r="G454" s="6"/>
      <c r="H454" s="128">
        <f t="shared" si="8"/>
        <v>0</v>
      </c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  <c r="AA454" s="129"/>
      <c r="AB454" s="129"/>
      <c r="AC454" s="129"/>
      <c r="AD454" s="129"/>
      <c r="AE454" s="129"/>
      <c r="AF454" s="129"/>
      <c r="AG454" s="129"/>
      <c r="AH454" s="129"/>
      <c r="AI454" s="129"/>
      <c r="AJ454" s="129"/>
      <c r="AK454" s="129"/>
      <c r="AL454" s="129"/>
      <c r="AM454" s="129"/>
    </row>
    <row r="455" spans="1:39" hidden="1" x14ac:dyDescent="0.25">
      <c r="A455" s="127">
        <v>454</v>
      </c>
      <c r="B455" s="152" t="s">
        <v>3211</v>
      </c>
      <c r="C455" s="153" t="s">
        <v>3212</v>
      </c>
      <c r="D455" s="153" t="s">
        <v>3213</v>
      </c>
      <c r="E455" s="153" t="s">
        <v>2086</v>
      </c>
      <c r="F455" s="6"/>
      <c r="G455" s="6"/>
      <c r="H455" s="128">
        <f t="shared" si="8"/>
        <v>0</v>
      </c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  <c r="AA455" s="129"/>
      <c r="AB455" s="129"/>
      <c r="AC455" s="129"/>
      <c r="AD455" s="129"/>
      <c r="AE455" s="129"/>
      <c r="AF455" s="129"/>
      <c r="AG455" s="129"/>
      <c r="AH455" s="129"/>
      <c r="AI455" s="129"/>
      <c r="AJ455" s="129"/>
      <c r="AK455" s="129"/>
      <c r="AL455" s="129"/>
      <c r="AM455" s="129"/>
    </row>
    <row r="456" spans="1:39" hidden="1" x14ac:dyDescent="0.25">
      <c r="A456" s="127">
        <v>455</v>
      </c>
      <c r="B456" s="152" t="s">
        <v>96</v>
      </c>
      <c r="C456" s="153" t="s">
        <v>3214</v>
      </c>
      <c r="D456" s="153" t="s">
        <v>3215</v>
      </c>
      <c r="E456" s="153" t="s">
        <v>2086</v>
      </c>
      <c r="F456" s="6"/>
      <c r="G456" s="6"/>
      <c r="H456" s="128">
        <f t="shared" si="8"/>
        <v>0</v>
      </c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  <c r="AA456" s="129"/>
      <c r="AB456" s="129"/>
      <c r="AC456" s="129"/>
      <c r="AD456" s="129"/>
      <c r="AE456" s="129"/>
      <c r="AF456" s="129"/>
      <c r="AG456" s="129"/>
      <c r="AH456" s="129"/>
      <c r="AI456" s="129"/>
      <c r="AJ456" s="129"/>
      <c r="AK456" s="129"/>
      <c r="AL456" s="129"/>
      <c r="AM456" s="129"/>
    </row>
    <row r="457" spans="1:39" hidden="1" x14ac:dyDescent="0.25">
      <c r="A457" s="127">
        <v>456</v>
      </c>
      <c r="B457" s="152" t="s">
        <v>3216</v>
      </c>
      <c r="C457" s="153" t="s">
        <v>3217</v>
      </c>
      <c r="D457" s="153" t="s">
        <v>3218</v>
      </c>
      <c r="E457" s="153" t="s">
        <v>4948</v>
      </c>
      <c r="F457" s="6"/>
      <c r="G457" s="6"/>
      <c r="H457" s="128">
        <f t="shared" si="8"/>
        <v>0</v>
      </c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  <c r="AA457" s="129"/>
      <c r="AB457" s="129"/>
      <c r="AC457" s="129"/>
      <c r="AD457" s="129"/>
      <c r="AE457" s="129"/>
      <c r="AF457" s="129"/>
      <c r="AG457" s="129"/>
      <c r="AH457" s="129"/>
      <c r="AI457" s="129"/>
      <c r="AJ457" s="129"/>
      <c r="AK457" s="129"/>
      <c r="AL457" s="129"/>
      <c r="AM457" s="129"/>
    </row>
    <row r="458" spans="1:39" hidden="1" x14ac:dyDescent="0.25">
      <c r="A458" s="127">
        <v>457</v>
      </c>
      <c r="B458" s="152" t="s">
        <v>3219</v>
      </c>
      <c r="C458" s="153" t="s">
        <v>3220</v>
      </c>
      <c r="D458" s="153" t="s">
        <v>3221</v>
      </c>
      <c r="E458" s="153" t="s">
        <v>4948</v>
      </c>
      <c r="F458" s="6"/>
      <c r="G458" s="6"/>
      <c r="H458" s="128">
        <f t="shared" si="8"/>
        <v>0</v>
      </c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  <c r="AA458" s="129"/>
      <c r="AB458" s="129"/>
      <c r="AC458" s="129"/>
      <c r="AD458" s="129"/>
      <c r="AE458" s="129"/>
      <c r="AF458" s="129"/>
      <c r="AG458" s="129"/>
      <c r="AH458" s="129"/>
      <c r="AI458" s="129"/>
      <c r="AJ458" s="129"/>
      <c r="AK458" s="129"/>
      <c r="AL458" s="129"/>
      <c r="AM458" s="129"/>
    </row>
    <row r="459" spans="1:39" hidden="1" x14ac:dyDescent="0.25">
      <c r="A459" s="127">
        <v>458</v>
      </c>
      <c r="B459" s="152" t="s">
        <v>3222</v>
      </c>
      <c r="C459" s="153" t="s">
        <v>3223</v>
      </c>
      <c r="D459" s="153" t="s">
        <v>3224</v>
      </c>
      <c r="E459" s="153" t="s">
        <v>4948</v>
      </c>
      <c r="F459" s="6"/>
      <c r="G459" s="6"/>
      <c r="H459" s="128">
        <f t="shared" si="8"/>
        <v>0</v>
      </c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  <c r="AA459" s="129"/>
      <c r="AB459" s="129"/>
      <c r="AC459" s="129"/>
      <c r="AD459" s="129"/>
      <c r="AE459" s="129"/>
      <c r="AF459" s="129"/>
      <c r="AG459" s="129"/>
      <c r="AH459" s="129"/>
      <c r="AI459" s="129"/>
      <c r="AJ459" s="129"/>
      <c r="AK459" s="129"/>
      <c r="AL459" s="129"/>
      <c r="AM459" s="129"/>
    </row>
    <row r="460" spans="1:39" hidden="1" x14ac:dyDescent="0.25">
      <c r="A460" s="127">
        <v>459</v>
      </c>
      <c r="B460" s="152" t="s">
        <v>884</v>
      </c>
      <c r="C460" s="153" t="s">
        <v>3225</v>
      </c>
      <c r="D460" s="153" t="s">
        <v>3226</v>
      </c>
      <c r="E460" s="153" t="s">
        <v>4948</v>
      </c>
      <c r="F460" s="6"/>
      <c r="G460" s="6"/>
      <c r="H460" s="128">
        <f t="shared" si="8"/>
        <v>0</v>
      </c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  <c r="AA460" s="129"/>
      <c r="AB460" s="129"/>
      <c r="AC460" s="129"/>
      <c r="AD460" s="129"/>
      <c r="AE460" s="129"/>
      <c r="AF460" s="129"/>
      <c r="AG460" s="129"/>
      <c r="AH460" s="129"/>
      <c r="AI460" s="129"/>
      <c r="AJ460" s="129"/>
      <c r="AK460" s="129"/>
      <c r="AL460" s="129"/>
      <c r="AM460" s="129"/>
    </row>
    <row r="461" spans="1:39" hidden="1" x14ac:dyDescent="0.25">
      <c r="A461" s="127">
        <v>460</v>
      </c>
      <c r="B461" s="152" t="s">
        <v>3227</v>
      </c>
      <c r="C461" s="153" t="s">
        <v>3228</v>
      </c>
      <c r="D461" s="153" t="s">
        <v>3229</v>
      </c>
      <c r="E461" s="153" t="s">
        <v>2086</v>
      </c>
      <c r="F461" s="6"/>
      <c r="G461" s="6"/>
      <c r="H461" s="128">
        <f t="shared" si="8"/>
        <v>0</v>
      </c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  <c r="AA461" s="129"/>
      <c r="AB461" s="129"/>
      <c r="AC461" s="129"/>
      <c r="AD461" s="129"/>
      <c r="AE461" s="129"/>
      <c r="AF461" s="129"/>
      <c r="AG461" s="129"/>
      <c r="AH461" s="129"/>
      <c r="AI461" s="129"/>
      <c r="AJ461" s="129"/>
      <c r="AK461" s="129"/>
      <c r="AL461" s="129"/>
      <c r="AM461" s="129"/>
    </row>
    <row r="462" spans="1:39" hidden="1" x14ac:dyDescent="0.25">
      <c r="A462" s="127">
        <v>461</v>
      </c>
      <c r="B462" s="152" t="s">
        <v>685</v>
      </c>
      <c r="C462" s="153" t="s">
        <v>3230</v>
      </c>
      <c r="D462" s="153" t="s">
        <v>3231</v>
      </c>
      <c r="E462" s="153" t="s">
        <v>2086</v>
      </c>
      <c r="F462" s="6"/>
      <c r="G462" s="6"/>
      <c r="H462" s="128">
        <f t="shared" si="8"/>
        <v>0</v>
      </c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</row>
    <row r="463" spans="1:39" hidden="1" x14ac:dyDescent="0.25">
      <c r="A463" s="127">
        <v>462</v>
      </c>
      <c r="B463" s="152" t="s">
        <v>815</v>
      </c>
      <c r="C463" s="153" t="s">
        <v>3232</v>
      </c>
      <c r="D463" s="153" t="s">
        <v>3233</v>
      </c>
      <c r="E463" s="153" t="s">
        <v>2086</v>
      </c>
      <c r="F463" s="6"/>
      <c r="G463" s="6"/>
      <c r="H463" s="128">
        <f t="shared" si="8"/>
        <v>0</v>
      </c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</row>
    <row r="464" spans="1:39" hidden="1" x14ac:dyDescent="0.25">
      <c r="A464" s="127">
        <v>463</v>
      </c>
      <c r="B464" s="152" t="s">
        <v>3234</v>
      </c>
      <c r="C464" s="153" t="s">
        <v>3235</v>
      </c>
      <c r="D464" s="153" t="s">
        <v>3236</v>
      </c>
      <c r="E464" s="153" t="s">
        <v>4948</v>
      </c>
      <c r="F464" s="6"/>
      <c r="G464" s="6"/>
      <c r="H464" s="128">
        <f t="shared" si="8"/>
        <v>0</v>
      </c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  <c r="AA464" s="129"/>
      <c r="AB464" s="129"/>
      <c r="AC464" s="129"/>
      <c r="AD464" s="129"/>
      <c r="AE464" s="129"/>
      <c r="AF464" s="129"/>
      <c r="AG464" s="129"/>
      <c r="AH464" s="129"/>
      <c r="AI464" s="129"/>
      <c r="AJ464" s="129"/>
      <c r="AK464" s="129"/>
      <c r="AL464" s="129"/>
      <c r="AM464" s="129"/>
    </row>
    <row r="465" spans="1:39" hidden="1" x14ac:dyDescent="0.25">
      <c r="A465" s="127">
        <v>464</v>
      </c>
      <c r="B465" s="152" t="s">
        <v>2036</v>
      </c>
      <c r="C465" s="153" t="s">
        <v>3237</v>
      </c>
      <c r="D465" s="153" t="s">
        <v>3238</v>
      </c>
      <c r="E465" s="153" t="s">
        <v>4948</v>
      </c>
      <c r="F465" s="6"/>
      <c r="G465" s="6"/>
      <c r="H465" s="128">
        <f t="shared" si="8"/>
        <v>0</v>
      </c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29"/>
      <c r="AL465" s="129"/>
      <c r="AM465" s="129"/>
    </row>
    <row r="466" spans="1:39" hidden="1" x14ac:dyDescent="0.25">
      <c r="A466" s="127">
        <v>465</v>
      </c>
      <c r="B466" s="152" t="s">
        <v>3239</v>
      </c>
      <c r="C466" s="153" t="s">
        <v>3240</v>
      </c>
      <c r="D466" s="153" t="s">
        <v>3241</v>
      </c>
      <c r="E466" s="153" t="s">
        <v>2086</v>
      </c>
      <c r="F466" s="6"/>
      <c r="G466" s="6"/>
      <c r="H466" s="128">
        <f t="shared" si="8"/>
        <v>0</v>
      </c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</row>
    <row r="467" spans="1:39" hidden="1" x14ac:dyDescent="0.25">
      <c r="A467" s="127">
        <v>466</v>
      </c>
      <c r="B467" s="152" t="s">
        <v>3242</v>
      </c>
      <c r="C467" s="153" t="s">
        <v>3243</v>
      </c>
      <c r="D467" s="153" t="s">
        <v>3244</v>
      </c>
      <c r="E467" s="153" t="s">
        <v>4948</v>
      </c>
      <c r="F467" s="6"/>
      <c r="G467" s="6"/>
      <c r="H467" s="128">
        <f t="shared" si="8"/>
        <v>0</v>
      </c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</row>
    <row r="468" spans="1:39" hidden="1" x14ac:dyDescent="0.25">
      <c r="A468" s="127">
        <v>467</v>
      </c>
      <c r="B468" s="152" t="s">
        <v>3245</v>
      </c>
      <c r="C468" s="153" t="s">
        <v>3246</v>
      </c>
      <c r="D468" s="153" t="s">
        <v>3247</v>
      </c>
      <c r="E468" s="153" t="s">
        <v>2086</v>
      </c>
      <c r="F468" s="6"/>
      <c r="G468" s="6"/>
      <c r="H468" s="128">
        <f t="shared" si="8"/>
        <v>0</v>
      </c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</row>
    <row r="469" spans="1:39" hidden="1" x14ac:dyDescent="0.25">
      <c r="A469" s="127">
        <v>468</v>
      </c>
      <c r="B469" s="152" t="s">
        <v>1002</v>
      </c>
      <c r="C469" s="153" t="s">
        <v>3248</v>
      </c>
      <c r="D469" s="153" t="s">
        <v>3249</v>
      </c>
      <c r="E469" s="153" t="s">
        <v>4948</v>
      </c>
      <c r="F469" s="6"/>
      <c r="G469" s="6"/>
      <c r="H469" s="128">
        <f t="shared" si="8"/>
        <v>0</v>
      </c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</row>
    <row r="470" spans="1:39" hidden="1" x14ac:dyDescent="0.25">
      <c r="A470" s="127">
        <v>469</v>
      </c>
      <c r="B470" s="152" t="s">
        <v>3250</v>
      </c>
      <c r="C470" s="153" t="s">
        <v>3251</v>
      </c>
      <c r="D470" s="153" t="s">
        <v>3252</v>
      </c>
      <c r="E470" s="153" t="s">
        <v>4948</v>
      </c>
      <c r="F470" s="6"/>
      <c r="G470" s="6"/>
      <c r="H470" s="128">
        <f t="shared" si="8"/>
        <v>0</v>
      </c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</row>
    <row r="471" spans="1:39" hidden="1" x14ac:dyDescent="0.25">
      <c r="A471" s="127">
        <v>470</v>
      </c>
      <c r="B471" s="152" t="s">
        <v>1987</v>
      </c>
      <c r="C471" s="153" t="s">
        <v>3253</v>
      </c>
      <c r="D471" s="153" t="s">
        <v>3254</v>
      </c>
      <c r="E471" s="153" t="s">
        <v>4948</v>
      </c>
      <c r="F471" s="6"/>
      <c r="G471" s="6"/>
      <c r="H471" s="128">
        <f t="shared" si="8"/>
        <v>0</v>
      </c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</row>
    <row r="472" spans="1:39" hidden="1" x14ac:dyDescent="0.25">
      <c r="A472" s="127">
        <v>471</v>
      </c>
      <c r="B472" s="152" t="s">
        <v>3255</v>
      </c>
      <c r="C472" s="153" t="s">
        <v>3256</v>
      </c>
      <c r="D472" s="153" t="s">
        <v>3257</v>
      </c>
      <c r="E472" s="153" t="s">
        <v>4948</v>
      </c>
      <c r="F472" s="6"/>
      <c r="G472" s="6"/>
      <c r="H472" s="128">
        <f t="shared" si="8"/>
        <v>0</v>
      </c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</row>
    <row r="473" spans="1:39" hidden="1" x14ac:dyDescent="0.25">
      <c r="A473" s="127">
        <v>472</v>
      </c>
      <c r="B473" s="152" t="s">
        <v>3258</v>
      </c>
      <c r="C473" s="153" t="s">
        <v>3259</v>
      </c>
      <c r="D473" s="153" t="s">
        <v>3260</v>
      </c>
      <c r="E473" s="153" t="s">
        <v>2086</v>
      </c>
      <c r="F473" s="6"/>
      <c r="G473" s="6"/>
      <c r="H473" s="128">
        <f t="shared" si="8"/>
        <v>0</v>
      </c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</row>
    <row r="474" spans="1:39" hidden="1" x14ac:dyDescent="0.25">
      <c r="A474" s="127">
        <v>473</v>
      </c>
      <c r="B474" s="152" t="s">
        <v>3261</v>
      </c>
      <c r="C474" s="153" t="s">
        <v>3262</v>
      </c>
      <c r="D474" s="153" t="s">
        <v>3263</v>
      </c>
      <c r="E474" s="153" t="s">
        <v>4948</v>
      </c>
      <c r="F474" s="6"/>
      <c r="G474" s="6"/>
      <c r="H474" s="128">
        <f t="shared" si="8"/>
        <v>0</v>
      </c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</row>
    <row r="475" spans="1:39" hidden="1" x14ac:dyDescent="0.25">
      <c r="A475" s="127">
        <v>474</v>
      </c>
      <c r="B475" s="152" t="s">
        <v>1989</v>
      </c>
      <c r="C475" s="153" t="s">
        <v>3264</v>
      </c>
      <c r="D475" s="153" t="s">
        <v>3265</v>
      </c>
      <c r="E475" s="153" t="s">
        <v>2086</v>
      </c>
      <c r="F475" s="6"/>
      <c r="G475" s="6"/>
      <c r="H475" s="128">
        <f t="shared" si="8"/>
        <v>0</v>
      </c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</row>
    <row r="476" spans="1:39" hidden="1" x14ac:dyDescent="0.25">
      <c r="A476" s="127">
        <v>475</v>
      </c>
      <c r="B476" s="152" t="s">
        <v>2012</v>
      </c>
      <c r="C476" s="153" t="s">
        <v>3266</v>
      </c>
      <c r="D476" s="153" t="s">
        <v>3267</v>
      </c>
      <c r="E476" s="153" t="s">
        <v>4948</v>
      </c>
      <c r="F476" s="6"/>
      <c r="G476" s="6"/>
      <c r="H476" s="128">
        <f t="shared" si="8"/>
        <v>0</v>
      </c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  <c r="AA476" s="129"/>
      <c r="AB476" s="129"/>
      <c r="AC476" s="129"/>
      <c r="AD476" s="129"/>
      <c r="AE476" s="129"/>
      <c r="AF476" s="129"/>
      <c r="AG476" s="129"/>
      <c r="AH476" s="129"/>
      <c r="AI476" s="129"/>
      <c r="AJ476" s="129"/>
      <c r="AK476" s="129"/>
      <c r="AL476" s="129"/>
      <c r="AM476" s="129"/>
    </row>
    <row r="477" spans="1:39" hidden="1" x14ac:dyDescent="0.25">
      <c r="A477" s="127">
        <v>476</v>
      </c>
      <c r="B477" s="152" t="s">
        <v>3268</v>
      </c>
      <c r="C477" s="153" t="s">
        <v>3269</v>
      </c>
      <c r="D477" s="153" t="s">
        <v>3270</v>
      </c>
      <c r="E477" s="153" t="s">
        <v>4948</v>
      </c>
      <c r="F477" s="6"/>
      <c r="G477" s="6"/>
      <c r="H477" s="128">
        <f t="shared" si="8"/>
        <v>0</v>
      </c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  <c r="AA477" s="129"/>
      <c r="AB477" s="129"/>
      <c r="AC477" s="129"/>
      <c r="AD477" s="129"/>
      <c r="AE477" s="129"/>
      <c r="AF477" s="129"/>
      <c r="AG477" s="129"/>
      <c r="AH477" s="129"/>
      <c r="AI477" s="129"/>
      <c r="AJ477" s="129"/>
      <c r="AK477" s="129"/>
      <c r="AL477" s="129"/>
      <c r="AM477" s="129"/>
    </row>
    <row r="478" spans="1:39" hidden="1" x14ac:dyDescent="0.25">
      <c r="A478" s="127">
        <v>477</v>
      </c>
      <c r="B478" s="152" t="s">
        <v>1007</v>
      </c>
      <c r="C478" s="153" t="s">
        <v>3271</v>
      </c>
      <c r="D478" s="153" t="s">
        <v>3272</v>
      </c>
      <c r="E478" s="153" t="s">
        <v>4948</v>
      </c>
      <c r="F478" s="6"/>
      <c r="G478" s="6"/>
      <c r="H478" s="128">
        <f t="shared" si="8"/>
        <v>0</v>
      </c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  <c r="AA478" s="129"/>
      <c r="AB478" s="129"/>
      <c r="AC478" s="129"/>
      <c r="AD478" s="129"/>
      <c r="AE478" s="129"/>
      <c r="AF478" s="129"/>
      <c r="AG478" s="129"/>
      <c r="AH478" s="129"/>
      <c r="AI478" s="129"/>
      <c r="AJ478" s="129"/>
      <c r="AK478" s="129"/>
      <c r="AL478" s="129"/>
      <c r="AM478" s="129"/>
    </row>
    <row r="479" spans="1:39" hidden="1" x14ac:dyDescent="0.25">
      <c r="A479" s="127">
        <v>478</v>
      </c>
      <c r="B479" s="152" t="s">
        <v>698</v>
      </c>
      <c r="C479" s="153" t="s">
        <v>3273</v>
      </c>
      <c r="D479" s="153" t="s">
        <v>3274</v>
      </c>
      <c r="E479" s="153" t="s">
        <v>2086</v>
      </c>
      <c r="F479" s="6"/>
      <c r="G479" s="6"/>
      <c r="H479" s="128">
        <f t="shared" si="8"/>
        <v>0</v>
      </c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  <c r="AA479" s="129"/>
      <c r="AB479" s="129"/>
      <c r="AC479" s="129"/>
      <c r="AD479" s="129"/>
      <c r="AE479" s="129"/>
      <c r="AF479" s="129"/>
      <c r="AG479" s="129"/>
      <c r="AH479" s="129"/>
      <c r="AI479" s="129"/>
      <c r="AJ479" s="129"/>
      <c r="AK479" s="129"/>
      <c r="AL479" s="129"/>
      <c r="AM479" s="129"/>
    </row>
    <row r="480" spans="1:39" hidden="1" x14ac:dyDescent="0.25">
      <c r="A480" s="127">
        <v>479</v>
      </c>
      <c r="B480" s="152" t="s">
        <v>1060</v>
      </c>
      <c r="C480" s="153" t="s">
        <v>3275</v>
      </c>
      <c r="D480" s="153" t="s">
        <v>3276</v>
      </c>
      <c r="E480" s="153" t="s">
        <v>2086</v>
      </c>
      <c r="F480" s="6"/>
      <c r="G480" s="6"/>
      <c r="H480" s="128">
        <f t="shared" si="8"/>
        <v>0</v>
      </c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  <c r="AA480" s="129"/>
      <c r="AB480" s="129"/>
      <c r="AC480" s="129"/>
      <c r="AD480" s="129"/>
      <c r="AE480" s="129"/>
      <c r="AF480" s="129"/>
      <c r="AG480" s="129"/>
      <c r="AH480" s="129"/>
      <c r="AI480" s="129"/>
      <c r="AJ480" s="129"/>
      <c r="AK480" s="129"/>
      <c r="AL480" s="129"/>
      <c r="AM480" s="129"/>
    </row>
    <row r="481" spans="1:39" hidden="1" x14ac:dyDescent="0.25">
      <c r="A481" s="127">
        <v>480</v>
      </c>
      <c r="B481" s="152" t="s">
        <v>1115</v>
      </c>
      <c r="C481" s="153" t="s">
        <v>3277</v>
      </c>
      <c r="D481" s="153" t="s">
        <v>3278</v>
      </c>
      <c r="E481" s="153" t="s">
        <v>4948</v>
      </c>
      <c r="F481" s="6"/>
      <c r="G481" s="6"/>
      <c r="H481" s="128">
        <f t="shared" si="8"/>
        <v>0</v>
      </c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  <c r="AA481" s="129"/>
      <c r="AB481" s="129"/>
      <c r="AC481" s="129"/>
      <c r="AD481" s="129"/>
      <c r="AE481" s="129"/>
      <c r="AF481" s="129"/>
      <c r="AG481" s="129"/>
      <c r="AH481" s="129"/>
      <c r="AI481" s="129"/>
      <c r="AJ481" s="129"/>
      <c r="AK481" s="129"/>
      <c r="AL481" s="129"/>
      <c r="AM481" s="129"/>
    </row>
    <row r="482" spans="1:39" hidden="1" x14ac:dyDescent="0.25">
      <c r="A482" s="127">
        <v>481</v>
      </c>
      <c r="B482" s="152" t="s">
        <v>3279</v>
      </c>
      <c r="C482" s="153" t="s">
        <v>3280</v>
      </c>
      <c r="D482" s="153" t="s">
        <v>3281</v>
      </c>
      <c r="E482" s="153" t="s">
        <v>4948</v>
      </c>
      <c r="F482" s="6"/>
      <c r="G482" s="6"/>
      <c r="H482" s="128">
        <f t="shared" si="8"/>
        <v>0</v>
      </c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  <c r="AA482" s="129"/>
      <c r="AB482" s="129"/>
      <c r="AC482" s="129"/>
      <c r="AD482" s="129"/>
      <c r="AE482" s="129"/>
      <c r="AF482" s="129"/>
      <c r="AG482" s="129"/>
      <c r="AH482" s="129"/>
      <c r="AI482" s="129"/>
      <c r="AJ482" s="129"/>
      <c r="AK482" s="129"/>
      <c r="AL482" s="129"/>
      <c r="AM482" s="129"/>
    </row>
    <row r="483" spans="1:39" hidden="1" x14ac:dyDescent="0.25">
      <c r="A483" s="127">
        <v>482</v>
      </c>
      <c r="B483" s="152" t="s">
        <v>1050</v>
      </c>
      <c r="C483" s="153" t="s">
        <v>3282</v>
      </c>
      <c r="D483" s="153" t="s">
        <v>3283</v>
      </c>
      <c r="E483" s="153" t="s">
        <v>2086</v>
      </c>
      <c r="F483" s="6"/>
      <c r="G483" s="6"/>
      <c r="H483" s="128">
        <f t="shared" si="8"/>
        <v>0</v>
      </c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  <c r="AA483" s="129"/>
      <c r="AB483" s="129"/>
      <c r="AC483" s="129"/>
      <c r="AD483" s="129"/>
      <c r="AE483" s="129"/>
      <c r="AF483" s="129"/>
      <c r="AG483" s="129"/>
      <c r="AH483" s="129"/>
      <c r="AI483" s="129"/>
      <c r="AJ483" s="129"/>
      <c r="AK483" s="129"/>
      <c r="AL483" s="129"/>
      <c r="AM483" s="129"/>
    </row>
    <row r="484" spans="1:39" hidden="1" x14ac:dyDescent="0.25">
      <c r="A484" s="127">
        <v>483</v>
      </c>
      <c r="B484" s="155" t="s">
        <v>3284</v>
      </c>
      <c r="C484" s="156" t="s">
        <v>3285</v>
      </c>
      <c r="D484" s="156" t="s">
        <v>3286</v>
      </c>
      <c r="E484" s="153" t="s">
        <v>4948</v>
      </c>
      <c r="F484" s="6"/>
      <c r="G484" s="6"/>
      <c r="H484" s="128">
        <f t="shared" si="8"/>
        <v>0</v>
      </c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  <c r="AA484" s="129"/>
      <c r="AB484" s="129"/>
      <c r="AC484" s="129"/>
      <c r="AD484" s="129"/>
      <c r="AE484" s="129"/>
      <c r="AF484" s="129"/>
      <c r="AG484" s="129"/>
      <c r="AH484" s="129"/>
      <c r="AI484" s="129"/>
      <c r="AJ484" s="129"/>
      <c r="AK484" s="129"/>
      <c r="AL484" s="129"/>
      <c r="AM484" s="129"/>
    </row>
    <row r="485" spans="1:39" hidden="1" x14ac:dyDescent="0.25">
      <c r="A485" s="127">
        <v>484</v>
      </c>
      <c r="B485" s="152" t="s">
        <v>1909</v>
      </c>
      <c r="C485" s="153" t="s">
        <v>3287</v>
      </c>
      <c r="D485" s="153" t="s">
        <v>3288</v>
      </c>
      <c r="E485" s="153" t="s">
        <v>4948</v>
      </c>
      <c r="F485" s="6"/>
      <c r="G485" s="6"/>
      <c r="H485" s="128">
        <f t="shared" si="8"/>
        <v>0</v>
      </c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  <c r="AA485" s="129"/>
      <c r="AB485" s="129"/>
      <c r="AC485" s="129"/>
      <c r="AD485" s="129"/>
      <c r="AE485" s="129"/>
      <c r="AF485" s="129"/>
      <c r="AG485" s="129"/>
      <c r="AH485" s="129"/>
      <c r="AI485" s="129"/>
      <c r="AJ485" s="129"/>
      <c r="AK485" s="129"/>
      <c r="AL485" s="129"/>
      <c r="AM485" s="129"/>
    </row>
    <row r="486" spans="1:39" hidden="1" x14ac:dyDescent="0.25">
      <c r="A486" s="127">
        <v>485</v>
      </c>
      <c r="B486" s="152" t="s">
        <v>1147</v>
      </c>
      <c r="C486" s="153" t="s">
        <v>3289</v>
      </c>
      <c r="D486" s="153" t="s">
        <v>3290</v>
      </c>
      <c r="E486" s="153" t="s">
        <v>2086</v>
      </c>
      <c r="F486" s="6"/>
      <c r="G486" s="6"/>
      <c r="H486" s="128">
        <f t="shared" si="8"/>
        <v>0</v>
      </c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  <c r="AA486" s="129"/>
      <c r="AB486" s="129"/>
      <c r="AC486" s="129"/>
      <c r="AD486" s="129"/>
      <c r="AE486" s="129"/>
      <c r="AF486" s="129"/>
      <c r="AG486" s="129"/>
      <c r="AH486" s="129"/>
      <c r="AI486" s="129"/>
      <c r="AJ486" s="129"/>
      <c r="AK486" s="129"/>
      <c r="AL486" s="129"/>
      <c r="AM486" s="129"/>
    </row>
    <row r="487" spans="1:39" hidden="1" x14ac:dyDescent="0.25">
      <c r="A487" s="127">
        <v>486</v>
      </c>
      <c r="B487" s="152" t="s">
        <v>1915</v>
      </c>
      <c r="C487" s="153" t="s">
        <v>3291</v>
      </c>
      <c r="D487" s="153" t="s">
        <v>3292</v>
      </c>
      <c r="E487" s="153" t="s">
        <v>4948</v>
      </c>
      <c r="F487" s="6"/>
      <c r="G487" s="6"/>
      <c r="H487" s="128">
        <f t="shared" si="8"/>
        <v>0</v>
      </c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  <c r="AA487" s="129"/>
      <c r="AB487" s="129"/>
      <c r="AC487" s="129"/>
      <c r="AD487" s="129"/>
      <c r="AE487" s="129"/>
      <c r="AF487" s="129"/>
      <c r="AG487" s="129"/>
      <c r="AH487" s="129"/>
      <c r="AI487" s="129"/>
      <c r="AJ487" s="129"/>
      <c r="AK487" s="129"/>
      <c r="AL487" s="129"/>
      <c r="AM487" s="129"/>
    </row>
    <row r="488" spans="1:39" hidden="1" x14ac:dyDescent="0.25">
      <c r="A488" s="127">
        <v>487</v>
      </c>
      <c r="B488" s="152" t="s">
        <v>3293</v>
      </c>
      <c r="C488" s="153" t="s">
        <v>3294</v>
      </c>
      <c r="D488" s="153" t="s">
        <v>3295</v>
      </c>
      <c r="E488" s="153" t="s">
        <v>4948</v>
      </c>
      <c r="F488" s="6"/>
      <c r="G488" s="6"/>
      <c r="H488" s="128">
        <f t="shared" si="8"/>
        <v>0</v>
      </c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  <c r="AA488" s="129"/>
      <c r="AB488" s="129"/>
      <c r="AC488" s="129"/>
      <c r="AD488" s="129"/>
      <c r="AE488" s="129"/>
      <c r="AF488" s="129"/>
      <c r="AG488" s="129"/>
      <c r="AH488" s="129"/>
      <c r="AI488" s="129"/>
      <c r="AJ488" s="129"/>
      <c r="AK488" s="129"/>
      <c r="AL488" s="129"/>
      <c r="AM488" s="129"/>
    </row>
    <row r="489" spans="1:39" hidden="1" x14ac:dyDescent="0.25">
      <c r="A489" s="127">
        <v>488</v>
      </c>
      <c r="B489" s="152" t="s">
        <v>3296</v>
      </c>
      <c r="C489" s="153" t="s">
        <v>3297</v>
      </c>
      <c r="D489" s="153" t="s">
        <v>3298</v>
      </c>
      <c r="E489" s="153" t="s">
        <v>4948</v>
      </c>
      <c r="F489" s="6"/>
      <c r="G489" s="6"/>
      <c r="H489" s="128">
        <f t="shared" si="8"/>
        <v>0</v>
      </c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  <c r="AA489" s="129"/>
      <c r="AB489" s="129"/>
      <c r="AC489" s="129"/>
      <c r="AD489" s="129"/>
      <c r="AE489" s="129"/>
      <c r="AF489" s="129"/>
      <c r="AG489" s="129"/>
      <c r="AH489" s="129"/>
      <c r="AI489" s="129"/>
      <c r="AJ489" s="129"/>
      <c r="AK489" s="129"/>
      <c r="AL489" s="129"/>
      <c r="AM489" s="129"/>
    </row>
    <row r="490" spans="1:39" hidden="1" x14ac:dyDescent="0.25">
      <c r="A490" s="127">
        <v>489</v>
      </c>
      <c r="B490" s="152" t="s">
        <v>1828</v>
      </c>
      <c r="C490" s="153" t="s">
        <v>3299</v>
      </c>
      <c r="D490" s="153" t="s">
        <v>3300</v>
      </c>
      <c r="E490" s="153" t="s">
        <v>2086</v>
      </c>
      <c r="F490" s="6"/>
      <c r="G490" s="6"/>
      <c r="H490" s="128">
        <f t="shared" si="8"/>
        <v>0</v>
      </c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  <c r="AA490" s="129"/>
      <c r="AB490" s="129"/>
      <c r="AC490" s="129"/>
      <c r="AD490" s="129"/>
      <c r="AE490" s="129"/>
      <c r="AF490" s="129"/>
      <c r="AG490" s="129"/>
      <c r="AH490" s="129"/>
      <c r="AI490" s="129"/>
      <c r="AJ490" s="129"/>
      <c r="AK490" s="129"/>
      <c r="AL490" s="129"/>
      <c r="AM490" s="129"/>
    </row>
    <row r="491" spans="1:39" hidden="1" x14ac:dyDescent="0.25">
      <c r="A491" s="127">
        <v>490</v>
      </c>
      <c r="B491" s="152" t="s">
        <v>3301</v>
      </c>
      <c r="C491" s="153" t="s">
        <v>3302</v>
      </c>
      <c r="D491" s="153" t="s">
        <v>3303</v>
      </c>
      <c r="E491" s="153" t="s">
        <v>4948</v>
      </c>
      <c r="F491" s="6"/>
      <c r="G491" s="6"/>
      <c r="H491" s="128">
        <f t="shared" si="8"/>
        <v>0</v>
      </c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  <c r="AA491" s="129"/>
      <c r="AB491" s="129"/>
      <c r="AC491" s="129"/>
      <c r="AD491" s="129"/>
      <c r="AE491" s="129"/>
      <c r="AF491" s="129"/>
      <c r="AG491" s="129"/>
      <c r="AH491" s="129"/>
      <c r="AI491" s="129"/>
      <c r="AJ491" s="129"/>
      <c r="AK491" s="129"/>
      <c r="AL491" s="129"/>
      <c r="AM491" s="129"/>
    </row>
    <row r="492" spans="1:39" hidden="1" x14ac:dyDescent="0.25">
      <c r="A492" s="127">
        <v>491</v>
      </c>
      <c r="B492" s="152" t="s">
        <v>3304</v>
      </c>
      <c r="C492" s="153" t="s">
        <v>3305</v>
      </c>
      <c r="D492" s="153" t="s">
        <v>3306</v>
      </c>
      <c r="E492" s="153" t="s">
        <v>4948</v>
      </c>
      <c r="F492" s="6"/>
      <c r="G492" s="6"/>
      <c r="H492" s="128">
        <f t="shared" si="8"/>
        <v>0</v>
      </c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  <c r="AA492" s="129"/>
      <c r="AB492" s="129"/>
      <c r="AC492" s="129"/>
      <c r="AD492" s="129"/>
      <c r="AE492" s="129"/>
      <c r="AF492" s="129"/>
      <c r="AG492" s="129"/>
      <c r="AH492" s="129"/>
      <c r="AI492" s="129"/>
      <c r="AJ492" s="129"/>
      <c r="AK492" s="129"/>
      <c r="AL492" s="129"/>
      <c r="AM492" s="129"/>
    </row>
    <row r="493" spans="1:39" hidden="1" x14ac:dyDescent="0.25">
      <c r="A493" s="127">
        <v>492</v>
      </c>
      <c r="B493" s="152" t="s">
        <v>3307</v>
      </c>
      <c r="C493" s="153" t="s">
        <v>3308</v>
      </c>
      <c r="D493" s="153" t="s">
        <v>3309</v>
      </c>
      <c r="E493" s="153" t="s">
        <v>4948</v>
      </c>
      <c r="F493" s="6"/>
      <c r="G493" s="6"/>
      <c r="H493" s="128">
        <f t="shared" si="8"/>
        <v>0</v>
      </c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  <c r="AA493" s="129"/>
      <c r="AB493" s="129"/>
      <c r="AC493" s="129"/>
      <c r="AD493" s="129"/>
      <c r="AE493" s="129"/>
      <c r="AF493" s="129"/>
      <c r="AG493" s="129"/>
      <c r="AH493" s="129"/>
      <c r="AI493" s="129"/>
      <c r="AJ493" s="129"/>
      <c r="AK493" s="129"/>
      <c r="AL493" s="129"/>
      <c r="AM493" s="129"/>
    </row>
    <row r="494" spans="1:39" hidden="1" x14ac:dyDescent="0.25">
      <c r="A494" s="127">
        <v>493</v>
      </c>
      <c r="B494" s="152" t="s">
        <v>3310</v>
      </c>
      <c r="C494" s="153" t="s">
        <v>3311</v>
      </c>
      <c r="D494" s="153" t="s">
        <v>3312</v>
      </c>
      <c r="E494" s="153" t="s">
        <v>4948</v>
      </c>
      <c r="F494" s="6"/>
      <c r="G494" s="6"/>
      <c r="H494" s="128">
        <f t="shared" si="8"/>
        <v>0</v>
      </c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  <c r="AA494" s="129"/>
      <c r="AB494" s="129"/>
      <c r="AC494" s="129"/>
      <c r="AD494" s="129"/>
      <c r="AE494" s="129"/>
      <c r="AF494" s="129"/>
      <c r="AG494" s="129"/>
      <c r="AH494" s="129"/>
      <c r="AI494" s="129"/>
      <c r="AJ494" s="129"/>
      <c r="AK494" s="129"/>
      <c r="AL494" s="129"/>
      <c r="AM494" s="129"/>
    </row>
    <row r="495" spans="1:39" hidden="1" x14ac:dyDescent="0.25">
      <c r="A495" s="127">
        <v>494</v>
      </c>
      <c r="B495" s="152" t="s">
        <v>3313</v>
      </c>
      <c r="C495" s="153" t="s">
        <v>3314</v>
      </c>
      <c r="D495" s="153" t="s">
        <v>3315</v>
      </c>
      <c r="E495" s="153" t="s">
        <v>4948</v>
      </c>
      <c r="F495" s="6"/>
      <c r="G495" s="6"/>
      <c r="H495" s="128">
        <f t="shared" si="8"/>
        <v>0</v>
      </c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  <c r="AA495" s="129"/>
      <c r="AB495" s="129"/>
      <c r="AC495" s="129"/>
      <c r="AD495" s="129"/>
      <c r="AE495" s="129"/>
      <c r="AF495" s="129"/>
      <c r="AG495" s="129"/>
      <c r="AH495" s="129"/>
      <c r="AI495" s="129"/>
      <c r="AJ495" s="129"/>
      <c r="AK495" s="129"/>
      <c r="AL495" s="129"/>
      <c r="AM495" s="129"/>
    </row>
    <row r="496" spans="1:39" hidden="1" x14ac:dyDescent="0.25">
      <c r="A496" s="127">
        <v>495</v>
      </c>
      <c r="B496" s="152" t="s">
        <v>3316</v>
      </c>
      <c r="C496" s="153" t="s">
        <v>3317</v>
      </c>
      <c r="D496" s="153" t="s">
        <v>3318</v>
      </c>
      <c r="E496" s="153" t="s">
        <v>4948</v>
      </c>
      <c r="F496" s="6"/>
      <c r="G496" s="6"/>
      <c r="H496" s="128">
        <f t="shared" si="8"/>
        <v>0</v>
      </c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  <c r="AA496" s="129"/>
      <c r="AB496" s="129"/>
      <c r="AC496" s="129"/>
      <c r="AD496" s="129"/>
      <c r="AE496" s="129"/>
      <c r="AF496" s="129"/>
      <c r="AG496" s="129"/>
      <c r="AH496" s="129"/>
      <c r="AI496" s="129"/>
      <c r="AJ496" s="129"/>
      <c r="AK496" s="129"/>
      <c r="AL496" s="129"/>
      <c r="AM496" s="129"/>
    </row>
    <row r="497" spans="1:39" hidden="1" x14ac:dyDescent="0.25">
      <c r="A497" s="127">
        <v>496</v>
      </c>
      <c r="B497" s="152" t="s">
        <v>3319</v>
      </c>
      <c r="C497" s="153" t="s">
        <v>3320</v>
      </c>
      <c r="D497" s="153" t="s">
        <v>3321</v>
      </c>
      <c r="E497" s="153" t="s">
        <v>4948</v>
      </c>
      <c r="F497" s="6"/>
      <c r="G497" s="6"/>
      <c r="H497" s="128">
        <f t="shared" si="8"/>
        <v>0</v>
      </c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  <c r="AA497" s="129"/>
      <c r="AB497" s="129"/>
      <c r="AC497" s="129"/>
      <c r="AD497" s="129"/>
      <c r="AE497" s="129"/>
      <c r="AF497" s="129"/>
      <c r="AG497" s="129"/>
      <c r="AH497" s="129"/>
      <c r="AI497" s="129"/>
      <c r="AJ497" s="129"/>
      <c r="AK497" s="129"/>
      <c r="AL497" s="129"/>
      <c r="AM497" s="129"/>
    </row>
    <row r="498" spans="1:39" hidden="1" x14ac:dyDescent="0.25">
      <c r="A498" s="127">
        <v>497</v>
      </c>
      <c r="B498" s="152" t="s">
        <v>3322</v>
      </c>
      <c r="C498" s="153" t="s">
        <v>3323</v>
      </c>
      <c r="D498" s="153" t="s">
        <v>3324</v>
      </c>
      <c r="E498" s="153" t="s">
        <v>4948</v>
      </c>
      <c r="F498" s="6"/>
      <c r="G498" s="6"/>
      <c r="H498" s="128">
        <f t="shared" si="8"/>
        <v>0</v>
      </c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  <c r="AA498" s="129"/>
      <c r="AB498" s="129"/>
      <c r="AC498" s="129"/>
      <c r="AD498" s="129"/>
      <c r="AE498" s="129"/>
      <c r="AF498" s="129"/>
      <c r="AG498" s="129"/>
      <c r="AH498" s="129"/>
      <c r="AI498" s="129"/>
      <c r="AJ498" s="129"/>
      <c r="AK498" s="129"/>
      <c r="AL498" s="129"/>
      <c r="AM498" s="129"/>
    </row>
    <row r="499" spans="1:39" hidden="1" x14ac:dyDescent="0.25">
      <c r="A499" s="127">
        <v>498</v>
      </c>
      <c r="B499" s="152" t="s">
        <v>3325</v>
      </c>
      <c r="C499" s="153" t="s">
        <v>3326</v>
      </c>
      <c r="D499" s="153" t="s">
        <v>3327</v>
      </c>
      <c r="E499" s="153" t="s">
        <v>4948</v>
      </c>
      <c r="F499" s="6"/>
      <c r="G499" s="6"/>
      <c r="H499" s="128">
        <f t="shared" si="8"/>
        <v>0</v>
      </c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  <c r="AA499" s="129"/>
      <c r="AB499" s="129"/>
      <c r="AC499" s="129"/>
      <c r="AD499" s="129"/>
      <c r="AE499" s="129"/>
      <c r="AF499" s="129"/>
      <c r="AG499" s="129"/>
      <c r="AH499" s="129"/>
      <c r="AI499" s="129"/>
      <c r="AJ499" s="129"/>
      <c r="AK499" s="129"/>
      <c r="AL499" s="129"/>
      <c r="AM499" s="129"/>
    </row>
    <row r="500" spans="1:39" hidden="1" x14ac:dyDescent="0.25">
      <c r="A500" s="127">
        <v>499</v>
      </c>
      <c r="B500" s="152" t="s">
        <v>3328</v>
      </c>
      <c r="C500" s="153" t="s">
        <v>3329</v>
      </c>
      <c r="D500" s="153" t="s">
        <v>3330</v>
      </c>
      <c r="E500" s="153" t="s">
        <v>4948</v>
      </c>
      <c r="F500" s="6"/>
      <c r="G500" s="6"/>
      <c r="H500" s="128">
        <f t="shared" si="8"/>
        <v>0</v>
      </c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</row>
    <row r="501" spans="1:39" hidden="1" x14ac:dyDescent="0.25">
      <c r="A501" s="127">
        <v>500</v>
      </c>
      <c r="B501" s="152" t="s">
        <v>1808</v>
      </c>
      <c r="C501" s="153" t="s">
        <v>3331</v>
      </c>
      <c r="D501" s="153" t="s">
        <v>3332</v>
      </c>
      <c r="E501" s="153" t="s">
        <v>4948</v>
      </c>
      <c r="F501" s="6"/>
      <c r="G501" s="6"/>
      <c r="H501" s="128">
        <f t="shared" si="8"/>
        <v>0</v>
      </c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</row>
    <row r="502" spans="1:39" hidden="1" x14ac:dyDescent="0.25">
      <c r="A502" s="127">
        <v>501</v>
      </c>
      <c r="B502" s="152" t="s">
        <v>3333</v>
      </c>
      <c r="C502" s="153" t="s">
        <v>3334</v>
      </c>
      <c r="D502" s="153" t="s">
        <v>3335</v>
      </c>
      <c r="E502" s="153" t="s">
        <v>4948</v>
      </c>
      <c r="F502" s="6"/>
      <c r="G502" s="6"/>
      <c r="H502" s="128">
        <f t="shared" si="8"/>
        <v>0</v>
      </c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  <c r="AA502" s="129"/>
      <c r="AB502" s="129"/>
      <c r="AC502" s="129"/>
      <c r="AD502" s="129"/>
      <c r="AE502" s="129"/>
      <c r="AF502" s="129"/>
      <c r="AG502" s="129"/>
      <c r="AH502" s="129"/>
      <c r="AI502" s="129"/>
      <c r="AJ502" s="129"/>
      <c r="AK502" s="129"/>
      <c r="AL502" s="129"/>
      <c r="AM502" s="129"/>
    </row>
    <row r="503" spans="1:39" hidden="1" x14ac:dyDescent="0.25">
      <c r="A503" s="127">
        <v>502</v>
      </c>
      <c r="B503" s="152" t="s">
        <v>3336</v>
      </c>
      <c r="C503" s="153" t="s">
        <v>3337</v>
      </c>
      <c r="D503" s="153" t="s">
        <v>3338</v>
      </c>
      <c r="E503" s="153" t="s">
        <v>2086</v>
      </c>
      <c r="F503" s="6"/>
      <c r="G503" s="6"/>
      <c r="H503" s="128">
        <f t="shared" si="8"/>
        <v>0</v>
      </c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29"/>
      <c r="AL503" s="129"/>
      <c r="AM503" s="129"/>
    </row>
    <row r="504" spans="1:39" hidden="1" x14ac:dyDescent="0.25">
      <c r="A504" s="127">
        <v>503</v>
      </c>
      <c r="B504" s="152" t="s">
        <v>3339</v>
      </c>
      <c r="C504" s="153" t="s">
        <v>3340</v>
      </c>
      <c r="D504" s="153" t="s">
        <v>3341</v>
      </c>
      <c r="E504" s="153" t="s">
        <v>4948</v>
      </c>
      <c r="F504" s="6"/>
      <c r="G504" s="6"/>
      <c r="H504" s="128">
        <f t="shared" si="8"/>
        <v>0</v>
      </c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</row>
    <row r="505" spans="1:39" hidden="1" x14ac:dyDescent="0.25">
      <c r="A505" s="127">
        <v>504</v>
      </c>
      <c r="B505" s="152" t="s">
        <v>3342</v>
      </c>
      <c r="C505" s="153" t="s">
        <v>3343</v>
      </c>
      <c r="D505" s="153" t="s">
        <v>3344</v>
      </c>
      <c r="E505" s="153" t="s">
        <v>4948</v>
      </c>
      <c r="F505" s="6"/>
      <c r="G505" s="6"/>
      <c r="H505" s="128">
        <f t="shared" si="8"/>
        <v>0</v>
      </c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</row>
    <row r="506" spans="1:39" hidden="1" x14ac:dyDescent="0.25">
      <c r="A506" s="127">
        <v>505</v>
      </c>
      <c r="B506" s="152" t="s">
        <v>3345</v>
      </c>
      <c r="C506" s="153" t="s">
        <v>3346</v>
      </c>
      <c r="D506" s="153" t="s">
        <v>3347</v>
      </c>
      <c r="E506" s="153" t="s">
        <v>4948</v>
      </c>
      <c r="F506" s="6"/>
      <c r="G506" s="6"/>
      <c r="H506" s="128">
        <f t="shared" si="8"/>
        <v>0</v>
      </c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</row>
    <row r="507" spans="1:39" hidden="1" x14ac:dyDescent="0.25">
      <c r="A507" s="127">
        <v>506</v>
      </c>
      <c r="B507" s="152" t="s">
        <v>927</v>
      </c>
      <c r="C507" s="153" t="s">
        <v>3348</v>
      </c>
      <c r="D507" s="153" t="s">
        <v>3349</v>
      </c>
      <c r="E507" s="153" t="s">
        <v>2086</v>
      </c>
      <c r="F507" s="6"/>
      <c r="G507" s="6"/>
      <c r="H507" s="128">
        <f t="shared" si="8"/>
        <v>0</v>
      </c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</row>
    <row r="508" spans="1:39" hidden="1" x14ac:dyDescent="0.25">
      <c r="A508" s="127">
        <v>507</v>
      </c>
      <c r="B508" s="152" t="s">
        <v>3350</v>
      </c>
      <c r="C508" s="153" t="s">
        <v>3351</v>
      </c>
      <c r="D508" s="153" t="s">
        <v>3352</v>
      </c>
      <c r="E508" s="153" t="s">
        <v>4948</v>
      </c>
      <c r="F508" s="6"/>
      <c r="G508" s="6"/>
      <c r="H508" s="128">
        <f t="shared" si="8"/>
        <v>0</v>
      </c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</row>
    <row r="509" spans="1:39" hidden="1" x14ac:dyDescent="0.25">
      <c r="A509" s="127">
        <v>508</v>
      </c>
      <c r="B509" s="152" t="s">
        <v>3353</v>
      </c>
      <c r="C509" s="153" t="s">
        <v>3354</v>
      </c>
      <c r="D509" s="153" t="s">
        <v>3355</v>
      </c>
      <c r="E509" s="153" t="s">
        <v>4948</v>
      </c>
      <c r="F509" s="6"/>
      <c r="G509" s="6"/>
      <c r="H509" s="128">
        <f t="shared" si="8"/>
        <v>0</v>
      </c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</row>
    <row r="510" spans="1:39" hidden="1" x14ac:dyDescent="0.25">
      <c r="A510" s="127">
        <v>509</v>
      </c>
      <c r="B510" s="152" t="s">
        <v>3356</v>
      </c>
      <c r="C510" s="153" t="s">
        <v>3357</v>
      </c>
      <c r="D510" s="153" t="s">
        <v>3358</v>
      </c>
      <c r="E510" s="153" t="s">
        <v>4948</v>
      </c>
      <c r="F510" s="6"/>
      <c r="G510" s="6"/>
      <c r="H510" s="128">
        <f t="shared" si="8"/>
        <v>0</v>
      </c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</row>
    <row r="511" spans="1:39" hidden="1" x14ac:dyDescent="0.25">
      <c r="A511" s="127">
        <v>510</v>
      </c>
      <c r="B511" s="152" t="s">
        <v>795</v>
      </c>
      <c r="C511" s="153" t="s">
        <v>3359</v>
      </c>
      <c r="D511" s="153" t="s">
        <v>3360</v>
      </c>
      <c r="E511" s="153" t="s">
        <v>2086</v>
      </c>
      <c r="F511" s="6"/>
      <c r="G511" s="6"/>
      <c r="H511" s="128">
        <f t="shared" si="8"/>
        <v>800</v>
      </c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>
        <v>800</v>
      </c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</row>
    <row r="512" spans="1:39" hidden="1" x14ac:dyDescent="0.25">
      <c r="A512" s="127">
        <v>511</v>
      </c>
      <c r="B512" s="152" t="s">
        <v>3361</v>
      </c>
      <c r="C512" s="153" t="s">
        <v>3362</v>
      </c>
      <c r="D512" s="153" t="s">
        <v>3363</v>
      </c>
      <c r="E512" s="153" t="s">
        <v>4948</v>
      </c>
      <c r="F512" s="6"/>
      <c r="G512" s="6"/>
      <c r="H512" s="128">
        <f t="shared" si="8"/>
        <v>5700</v>
      </c>
      <c r="I512" s="129">
        <v>5700</v>
      </c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</row>
    <row r="513" spans="1:39" hidden="1" x14ac:dyDescent="0.25">
      <c r="A513" s="127">
        <v>512</v>
      </c>
      <c r="B513" s="152" t="s">
        <v>1863</v>
      </c>
      <c r="C513" s="153" t="s">
        <v>3364</v>
      </c>
      <c r="D513" s="153" t="s">
        <v>3365</v>
      </c>
      <c r="E513" s="153" t="s">
        <v>2086</v>
      </c>
      <c r="F513" s="6"/>
      <c r="G513" s="6"/>
      <c r="H513" s="128">
        <f t="shared" si="8"/>
        <v>0</v>
      </c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</row>
    <row r="514" spans="1:39" hidden="1" x14ac:dyDescent="0.25">
      <c r="A514" s="127">
        <v>513</v>
      </c>
      <c r="B514" s="152" t="s">
        <v>1854</v>
      </c>
      <c r="C514" s="153" t="s">
        <v>3366</v>
      </c>
      <c r="D514" s="153" t="s">
        <v>3367</v>
      </c>
      <c r="E514" s="153" t="s">
        <v>2086</v>
      </c>
      <c r="F514" s="6"/>
      <c r="G514" s="6"/>
      <c r="H514" s="128">
        <f t="shared" ref="H514:H577" si="9">SUM(I514:AM514)</f>
        <v>0</v>
      </c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  <c r="AA514" s="129"/>
      <c r="AB514" s="129"/>
      <c r="AC514" s="129"/>
      <c r="AD514" s="129"/>
      <c r="AE514" s="129"/>
      <c r="AF514" s="129"/>
      <c r="AG514" s="129"/>
      <c r="AH514" s="129"/>
      <c r="AI514" s="129"/>
      <c r="AJ514" s="129"/>
      <c r="AK514" s="129"/>
      <c r="AL514" s="129"/>
      <c r="AM514" s="129"/>
    </row>
    <row r="515" spans="1:39" x14ac:dyDescent="0.25">
      <c r="A515" s="127">
        <v>514</v>
      </c>
      <c r="B515" s="152" t="s">
        <v>1075</v>
      </c>
      <c r="C515" s="153" t="s">
        <v>3368</v>
      </c>
      <c r="D515" s="153" t="s">
        <v>3369</v>
      </c>
      <c r="E515" s="153" t="s">
        <v>4948</v>
      </c>
      <c r="F515" s="6"/>
      <c r="G515" s="6"/>
      <c r="H515" s="128">
        <f t="shared" si="9"/>
        <v>0</v>
      </c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  <c r="AA515" s="129"/>
      <c r="AB515" s="129"/>
      <c r="AC515" s="129"/>
      <c r="AD515" s="129"/>
      <c r="AE515" s="129"/>
      <c r="AF515" s="129"/>
      <c r="AG515" s="129"/>
      <c r="AH515" s="129"/>
      <c r="AI515" s="129"/>
      <c r="AJ515" s="129"/>
      <c r="AK515" s="129"/>
      <c r="AL515" s="129"/>
      <c r="AM515" s="129"/>
    </row>
    <row r="516" spans="1:39" hidden="1" x14ac:dyDescent="0.25">
      <c r="A516" s="127">
        <v>515</v>
      </c>
      <c r="B516" s="152" t="s">
        <v>3370</v>
      </c>
      <c r="C516" s="153" t="s">
        <v>3371</v>
      </c>
      <c r="D516" s="153" t="s">
        <v>3372</v>
      </c>
      <c r="E516" s="153" t="s">
        <v>4948</v>
      </c>
      <c r="F516" s="6"/>
      <c r="G516" s="6"/>
      <c r="H516" s="128">
        <f t="shared" si="9"/>
        <v>0</v>
      </c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  <c r="AA516" s="129"/>
      <c r="AB516" s="129"/>
      <c r="AC516" s="129"/>
      <c r="AD516" s="129"/>
      <c r="AE516" s="129"/>
      <c r="AF516" s="129"/>
      <c r="AG516" s="129"/>
      <c r="AH516" s="129"/>
      <c r="AI516" s="129"/>
      <c r="AJ516" s="129"/>
      <c r="AK516" s="129"/>
      <c r="AL516" s="129"/>
      <c r="AM516" s="129"/>
    </row>
    <row r="517" spans="1:39" hidden="1" x14ac:dyDescent="0.25">
      <c r="A517" s="127">
        <v>516</v>
      </c>
      <c r="B517" s="152" t="s">
        <v>1519</v>
      </c>
      <c r="C517" s="153" t="s">
        <v>3373</v>
      </c>
      <c r="D517" s="153" t="s">
        <v>3374</v>
      </c>
      <c r="E517" s="153" t="s">
        <v>4948</v>
      </c>
      <c r="F517" s="6"/>
      <c r="G517" s="6"/>
      <c r="H517" s="128">
        <f t="shared" si="9"/>
        <v>0</v>
      </c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  <c r="AA517" s="129"/>
      <c r="AB517" s="129"/>
      <c r="AC517" s="129"/>
      <c r="AD517" s="129"/>
      <c r="AE517" s="129"/>
      <c r="AF517" s="129"/>
      <c r="AG517" s="129"/>
      <c r="AH517" s="129"/>
      <c r="AI517" s="129"/>
      <c r="AJ517" s="129"/>
      <c r="AK517" s="129"/>
      <c r="AL517" s="129"/>
      <c r="AM517" s="129"/>
    </row>
    <row r="518" spans="1:39" hidden="1" x14ac:dyDescent="0.25">
      <c r="A518" s="127">
        <v>517</v>
      </c>
      <c r="B518" s="152" t="s">
        <v>76</v>
      </c>
      <c r="C518" s="153" t="s">
        <v>3375</v>
      </c>
      <c r="D518" s="153" t="s">
        <v>3376</v>
      </c>
      <c r="E518" s="153" t="s">
        <v>4948</v>
      </c>
      <c r="F518" s="6"/>
      <c r="G518" s="6"/>
      <c r="H518" s="128">
        <f t="shared" si="9"/>
        <v>0</v>
      </c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  <c r="AA518" s="129"/>
      <c r="AB518" s="129"/>
      <c r="AC518" s="129"/>
      <c r="AD518" s="129"/>
      <c r="AE518" s="129"/>
      <c r="AF518" s="129"/>
      <c r="AG518" s="129"/>
      <c r="AH518" s="129"/>
      <c r="AI518" s="129"/>
      <c r="AJ518" s="129"/>
      <c r="AK518" s="129"/>
      <c r="AL518" s="129"/>
      <c r="AM518" s="129"/>
    </row>
    <row r="519" spans="1:39" hidden="1" x14ac:dyDescent="0.25">
      <c r="A519" s="127">
        <v>518</v>
      </c>
      <c r="B519" s="152" t="s">
        <v>3377</v>
      </c>
      <c r="C519" s="153" t="s">
        <v>3378</v>
      </c>
      <c r="D519" s="153" t="s">
        <v>3379</v>
      </c>
      <c r="E519" s="153" t="s">
        <v>4948</v>
      </c>
      <c r="F519" s="6"/>
      <c r="G519" s="6"/>
      <c r="H519" s="128">
        <f t="shared" si="9"/>
        <v>0</v>
      </c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  <c r="AA519" s="129"/>
      <c r="AB519" s="129"/>
      <c r="AC519" s="129"/>
      <c r="AD519" s="129"/>
      <c r="AE519" s="129"/>
      <c r="AF519" s="129"/>
      <c r="AG519" s="129"/>
      <c r="AH519" s="129"/>
      <c r="AI519" s="129"/>
      <c r="AJ519" s="129"/>
      <c r="AK519" s="129"/>
      <c r="AL519" s="129"/>
      <c r="AM519" s="129"/>
    </row>
    <row r="520" spans="1:39" hidden="1" x14ac:dyDescent="0.25">
      <c r="A520" s="127">
        <v>519</v>
      </c>
      <c r="B520" s="152" t="s">
        <v>161</v>
      </c>
      <c r="C520" s="153" t="s">
        <v>3380</v>
      </c>
      <c r="D520" s="153" t="s">
        <v>3381</v>
      </c>
      <c r="E520" s="153" t="s">
        <v>4948</v>
      </c>
      <c r="F520" s="6"/>
      <c r="G520" s="6"/>
      <c r="H520" s="128">
        <f t="shared" si="9"/>
        <v>0</v>
      </c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  <c r="AA520" s="129"/>
      <c r="AB520" s="129"/>
      <c r="AC520" s="129"/>
      <c r="AD520" s="129"/>
      <c r="AE520" s="129"/>
      <c r="AF520" s="129"/>
      <c r="AG520" s="129"/>
      <c r="AH520" s="129"/>
      <c r="AI520" s="129"/>
      <c r="AJ520" s="129"/>
      <c r="AK520" s="129"/>
      <c r="AL520" s="129"/>
      <c r="AM520" s="129"/>
    </row>
    <row r="521" spans="1:39" hidden="1" x14ac:dyDescent="0.25">
      <c r="A521" s="127">
        <v>520</v>
      </c>
      <c r="B521" s="152" t="s">
        <v>3382</v>
      </c>
      <c r="C521" s="153" t="s">
        <v>3383</v>
      </c>
      <c r="D521" s="153" t="s">
        <v>3384</v>
      </c>
      <c r="E521" s="153" t="s">
        <v>4948</v>
      </c>
      <c r="F521" s="6"/>
      <c r="G521" s="6"/>
      <c r="H521" s="128">
        <f t="shared" si="9"/>
        <v>0</v>
      </c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  <c r="AA521" s="129"/>
      <c r="AB521" s="129"/>
      <c r="AC521" s="129"/>
      <c r="AD521" s="129"/>
      <c r="AE521" s="129"/>
      <c r="AF521" s="129"/>
      <c r="AG521" s="129"/>
      <c r="AH521" s="129"/>
      <c r="AI521" s="129"/>
      <c r="AJ521" s="129"/>
      <c r="AK521" s="129"/>
      <c r="AL521" s="129"/>
      <c r="AM521" s="129"/>
    </row>
    <row r="522" spans="1:39" hidden="1" x14ac:dyDescent="0.25">
      <c r="A522" s="127">
        <v>521</v>
      </c>
      <c r="B522" s="152" t="s">
        <v>3385</v>
      </c>
      <c r="C522" s="153" t="s">
        <v>3386</v>
      </c>
      <c r="D522" s="153" t="s">
        <v>3387</v>
      </c>
      <c r="E522" s="153" t="s">
        <v>4948</v>
      </c>
      <c r="F522" s="6"/>
      <c r="G522" s="6"/>
      <c r="H522" s="128">
        <f t="shared" si="9"/>
        <v>0</v>
      </c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  <c r="AA522" s="129"/>
      <c r="AB522" s="129"/>
      <c r="AC522" s="129"/>
      <c r="AD522" s="129"/>
      <c r="AE522" s="129"/>
      <c r="AF522" s="129"/>
      <c r="AG522" s="129"/>
      <c r="AH522" s="129"/>
      <c r="AI522" s="129"/>
      <c r="AJ522" s="129"/>
      <c r="AK522" s="129"/>
      <c r="AL522" s="129"/>
      <c r="AM522" s="129"/>
    </row>
    <row r="523" spans="1:39" hidden="1" x14ac:dyDescent="0.25">
      <c r="A523" s="127">
        <v>522</v>
      </c>
      <c r="B523" s="152" t="s">
        <v>1469</v>
      </c>
      <c r="C523" s="153" t="s">
        <v>3388</v>
      </c>
      <c r="D523" s="153" t="s">
        <v>3389</v>
      </c>
      <c r="E523" s="153" t="s">
        <v>4948</v>
      </c>
      <c r="F523" s="6"/>
      <c r="G523" s="6"/>
      <c r="H523" s="128">
        <f t="shared" si="9"/>
        <v>0</v>
      </c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  <c r="AA523" s="129"/>
      <c r="AB523" s="129"/>
      <c r="AC523" s="129"/>
      <c r="AD523" s="129"/>
      <c r="AE523" s="129"/>
      <c r="AF523" s="129"/>
      <c r="AG523" s="129"/>
      <c r="AH523" s="129"/>
      <c r="AI523" s="129"/>
      <c r="AJ523" s="129"/>
      <c r="AK523" s="129"/>
      <c r="AL523" s="129"/>
      <c r="AM523" s="129"/>
    </row>
    <row r="524" spans="1:39" hidden="1" x14ac:dyDescent="0.25">
      <c r="A524" s="127">
        <v>523</v>
      </c>
      <c r="B524" s="152" t="s">
        <v>163</v>
      </c>
      <c r="C524" s="153" t="s">
        <v>3390</v>
      </c>
      <c r="D524" s="153" t="s">
        <v>3391</v>
      </c>
      <c r="E524" s="153" t="s">
        <v>4948</v>
      </c>
      <c r="F524" s="6"/>
      <c r="G524" s="6"/>
      <c r="H524" s="128">
        <f t="shared" si="9"/>
        <v>0</v>
      </c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  <c r="AA524" s="129"/>
      <c r="AB524" s="129"/>
      <c r="AC524" s="129"/>
      <c r="AD524" s="129"/>
      <c r="AE524" s="129"/>
      <c r="AF524" s="129"/>
      <c r="AG524" s="129"/>
      <c r="AH524" s="129"/>
      <c r="AI524" s="129"/>
      <c r="AJ524" s="129"/>
      <c r="AK524" s="129"/>
      <c r="AL524" s="129"/>
      <c r="AM524" s="129"/>
    </row>
    <row r="525" spans="1:39" hidden="1" x14ac:dyDescent="0.25">
      <c r="A525" s="127">
        <v>524</v>
      </c>
      <c r="B525" s="152" t="s">
        <v>1888</v>
      </c>
      <c r="C525" s="153" t="s">
        <v>3392</v>
      </c>
      <c r="D525" s="153" t="s">
        <v>3393</v>
      </c>
      <c r="E525" s="153" t="s">
        <v>2086</v>
      </c>
      <c r="F525" s="6"/>
      <c r="G525" s="6"/>
      <c r="H525" s="128">
        <f t="shared" si="9"/>
        <v>0</v>
      </c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  <c r="AA525" s="129"/>
      <c r="AB525" s="129"/>
      <c r="AC525" s="129"/>
      <c r="AD525" s="129"/>
      <c r="AE525" s="129"/>
      <c r="AF525" s="129"/>
      <c r="AG525" s="129"/>
      <c r="AH525" s="129"/>
      <c r="AI525" s="129"/>
      <c r="AJ525" s="129"/>
      <c r="AK525" s="129"/>
      <c r="AL525" s="129"/>
      <c r="AM525" s="129"/>
    </row>
    <row r="526" spans="1:39" hidden="1" x14ac:dyDescent="0.25">
      <c r="A526" s="127">
        <v>525</v>
      </c>
      <c r="B526" s="152" t="s">
        <v>3394</v>
      </c>
      <c r="C526" s="153" t="s">
        <v>3395</v>
      </c>
      <c r="D526" s="153" t="s">
        <v>3396</v>
      </c>
      <c r="E526" s="153" t="s">
        <v>4948</v>
      </c>
      <c r="F526" s="6"/>
      <c r="G526" s="6"/>
      <c r="H526" s="128">
        <f t="shared" si="9"/>
        <v>0</v>
      </c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  <c r="AA526" s="129"/>
      <c r="AB526" s="129"/>
      <c r="AC526" s="129"/>
      <c r="AD526" s="129"/>
      <c r="AE526" s="129"/>
      <c r="AF526" s="129"/>
      <c r="AG526" s="129"/>
      <c r="AH526" s="129"/>
      <c r="AI526" s="129"/>
      <c r="AJ526" s="129"/>
      <c r="AK526" s="129"/>
      <c r="AL526" s="129"/>
      <c r="AM526" s="129"/>
    </row>
    <row r="527" spans="1:39" hidden="1" x14ac:dyDescent="0.25">
      <c r="A527" s="127">
        <v>526</v>
      </c>
      <c r="B527" s="152" t="s">
        <v>3397</v>
      </c>
      <c r="C527" s="153" t="s">
        <v>3398</v>
      </c>
      <c r="D527" s="153" t="s">
        <v>3399</v>
      </c>
      <c r="E527" s="153" t="s">
        <v>4948</v>
      </c>
      <c r="F527" s="6"/>
      <c r="G527" s="6"/>
      <c r="H527" s="128">
        <f t="shared" si="9"/>
        <v>0</v>
      </c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  <c r="AA527" s="129"/>
      <c r="AB527" s="129"/>
      <c r="AC527" s="129"/>
      <c r="AD527" s="129"/>
      <c r="AE527" s="129"/>
      <c r="AF527" s="129"/>
      <c r="AG527" s="129"/>
      <c r="AH527" s="129"/>
      <c r="AI527" s="129"/>
      <c r="AJ527" s="129"/>
      <c r="AK527" s="129"/>
      <c r="AL527" s="129"/>
      <c r="AM527" s="129"/>
    </row>
    <row r="528" spans="1:39" hidden="1" x14ac:dyDescent="0.25">
      <c r="A528" s="127">
        <v>527</v>
      </c>
      <c r="B528" s="152" t="s">
        <v>3400</v>
      </c>
      <c r="C528" s="153" t="s">
        <v>3401</v>
      </c>
      <c r="D528" s="153" t="s">
        <v>3402</v>
      </c>
      <c r="E528" s="153" t="s">
        <v>4948</v>
      </c>
      <c r="F528" s="6"/>
      <c r="G528" s="6"/>
      <c r="H528" s="128">
        <f t="shared" si="9"/>
        <v>0</v>
      </c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  <c r="AA528" s="129"/>
      <c r="AB528" s="129"/>
      <c r="AC528" s="129"/>
      <c r="AD528" s="129"/>
      <c r="AE528" s="129"/>
      <c r="AF528" s="129"/>
      <c r="AG528" s="129"/>
      <c r="AH528" s="129"/>
      <c r="AI528" s="129"/>
      <c r="AJ528" s="129"/>
      <c r="AK528" s="129"/>
      <c r="AL528" s="129"/>
      <c r="AM528" s="129"/>
    </row>
    <row r="529" spans="1:39" hidden="1" x14ac:dyDescent="0.25">
      <c r="A529" s="127">
        <v>528</v>
      </c>
      <c r="B529" s="152" t="s">
        <v>3403</v>
      </c>
      <c r="C529" s="153" t="s">
        <v>3404</v>
      </c>
      <c r="D529" s="153" t="s">
        <v>3405</v>
      </c>
      <c r="E529" s="153" t="s">
        <v>4948</v>
      </c>
      <c r="F529" s="6"/>
      <c r="G529" s="6"/>
      <c r="H529" s="128">
        <f t="shared" si="9"/>
        <v>0</v>
      </c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  <c r="AA529" s="129"/>
      <c r="AB529" s="129"/>
      <c r="AC529" s="129"/>
      <c r="AD529" s="129"/>
      <c r="AE529" s="129"/>
      <c r="AF529" s="129"/>
      <c r="AG529" s="129"/>
      <c r="AH529" s="129"/>
      <c r="AI529" s="129"/>
      <c r="AJ529" s="129"/>
      <c r="AK529" s="129"/>
      <c r="AL529" s="129"/>
      <c r="AM529" s="129"/>
    </row>
    <row r="530" spans="1:39" hidden="1" x14ac:dyDescent="0.25">
      <c r="A530" s="127">
        <v>529</v>
      </c>
      <c r="B530" s="152" t="s">
        <v>3406</v>
      </c>
      <c r="C530" s="153" t="s">
        <v>3407</v>
      </c>
      <c r="D530" s="153" t="s">
        <v>3408</v>
      </c>
      <c r="E530" s="153" t="s">
        <v>4948</v>
      </c>
      <c r="F530" s="6"/>
      <c r="G530" s="6"/>
      <c r="H530" s="128">
        <f t="shared" si="9"/>
        <v>0</v>
      </c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  <c r="AA530" s="129"/>
      <c r="AB530" s="129"/>
      <c r="AC530" s="129"/>
      <c r="AD530" s="129"/>
      <c r="AE530" s="129"/>
      <c r="AF530" s="129"/>
      <c r="AG530" s="129"/>
      <c r="AH530" s="129"/>
      <c r="AI530" s="129"/>
      <c r="AJ530" s="129"/>
      <c r="AK530" s="129"/>
      <c r="AL530" s="129"/>
      <c r="AM530" s="129"/>
    </row>
    <row r="531" spans="1:39" hidden="1" x14ac:dyDescent="0.25">
      <c r="A531" s="127">
        <v>530</v>
      </c>
      <c r="B531" s="152" t="s">
        <v>3409</v>
      </c>
      <c r="C531" s="153" t="s">
        <v>3410</v>
      </c>
      <c r="D531" s="153" t="s">
        <v>3411</v>
      </c>
      <c r="E531" s="153" t="s">
        <v>4948</v>
      </c>
      <c r="F531" s="6"/>
      <c r="G531" s="6"/>
      <c r="H531" s="128">
        <f t="shared" si="9"/>
        <v>0</v>
      </c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  <c r="AA531" s="129"/>
      <c r="AB531" s="129"/>
      <c r="AC531" s="129"/>
      <c r="AD531" s="129"/>
      <c r="AE531" s="129"/>
      <c r="AF531" s="129"/>
      <c r="AG531" s="129"/>
      <c r="AH531" s="129"/>
      <c r="AI531" s="129"/>
      <c r="AJ531" s="129"/>
      <c r="AK531" s="129"/>
      <c r="AL531" s="129"/>
      <c r="AM531" s="129"/>
    </row>
    <row r="532" spans="1:39" hidden="1" x14ac:dyDescent="0.25">
      <c r="A532" s="127">
        <v>531</v>
      </c>
      <c r="B532" s="152" t="s">
        <v>3412</v>
      </c>
      <c r="C532" s="153" t="s">
        <v>3413</v>
      </c>
      <c r="D532" s="153" t="s">
        <v>3414</v>
      </c>
      <c r="E532" s="153" t="s">
        <v>2086</v>
      </c>
      <c r="F532" s="6"/>
      <c r="G532" s="6"/>
      <c r="H532" s="128">
        <f t="shared" si="9"/>
        <v>0</v>
      </c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  <c r="AA532" s="129"/>
      <c r="AB532" s="129"/>
      <c r="AC532" s="129"/>
      <c r="AD532" s="129"/>
      <c r="AE532" s="129"/>
      <c r="AF532" s="129"/>
      <c r="AG532" s="129"/>
      <c r="AH532" s="129"/>
      <c r="AI532" s="129"/>
      <c r="AJ532" s="129"/>
      <c r="AK532" s="129"/>
      <c r="AL532" s="129"/>
      <c r="AM532" s="129"/>
    </row>
    <row r="533" spans="1:39" hidden="1" x14ac:dyDescent="0.25">
      <c r="A533" s="127">
        <v>532</v>
      </c>
      <c r="B533" s="152" t="s">
        <v>3415</v>
      </c>
      <c r="C533" s="153" t="s">
        <v>3416</v>
      </c>
      <c r="D533" s="153" t="s">
        <v>3417</v>
      </c>
      <c r="E533" s="153" t="s">
        <v>4948</v>
      </c>
      <c r="F533" s="6"/>
      <c r="G533" s="6"/>
      <c r="H533" s="128">
        <f t="shared" si="9"/>
        <v>0</v>
      </c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  <c r="AA533" s="129"/>
      <c r="AB533" s="129"/>
      <c r="AC533" s="129"/>
      <c r="AD533" s="129"/>
      <c r="AE533" s="129"/>
      <c r="AF533" s="129"/>
      <c r="AG533" s="129"/>
      <c r="AH533" s="129"/>
      <c r="AI533" s="129"/>
      <c r="AJ533" s="129"/>
      <c r="AK533" s="129"/>
      <c r="AL533" s="129"/>
      <c r="AM533" s="129"/>
    </row>
    <row r="534" spans="1:39" hidden="1" x14ac:dyDescent="0.25">
      <c r="A534" s="127">
        <v>533</v>
      </c>
      <c r="B534" s="152" t="s">
        <v>3418</v>
      </c>
      <c r="C534" s="153" t="s">
        <v>3419</v>
      </c>
      <c r="D534" s="153" t="s">
        <v>3420</v>
      </c>
      <c r="E534" s="153" t="s">
        <v>4948</v>
      </c>
      <c r="F534" s="6"/>
      <c r="G534" s="6"/>
      <c r="H534" s="128">
        <f t="shared" si="9"/>
        <v>0</v>
      </c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  <c r="AA534" s="129"/>
      <c r="AB534" s="129"/>
      <c r="AC534" s="129"/>
      <c r="AD534" s="129"/>
      <c r="AE534" s="129"/>
      <c r="AF534" s="129"/>
      <c r="AG534" s="129"/>
      <c r="AH534" s="129"/>
      <c r="AI534" s="129"/>
      <c r="AJ534" s="129"/>
      <c r="AK534" s="129"/>
      <c r="AL534" s="129"/>
      <c r="AM534" s="129"/>
    </row>
    <row r="535" spans="1:39" hidden="1" x14ac:dyDescent="0.25">
      <c r="A535" s="127">
        <v>534</v>
      </c>
      <c r="B535" s="152" t="s">
        <v>3421</v>
      </c>
      <c r="C535" s="153" t="s">
        <v>3422</v>
      </c>
      <c r="D535" s="153" t="s">
        <v>3423</v>
      </c>
      <c r="E535" s="153" t="s">
        <v>4948</v>
      </c>
      <c r="F535" s="6"/>
      <c r="G535" s="6"/>
      <c r="H535" s="128">
        <f t="shared" si="9"/>
        <v>0</v>
      </c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  <c r="AA535" s="129"/>
      <c r="AB535" s="129"/>
      <c r="AC535" s="129"/>
      <c r="AD535" s="129"/>
      <c r="AE535" s="129"/>
      <c r="AF535" s="129"/>
      <c r="AG535" s="129"/>
      <c r="AH535" s="129"/>
      <c r="AI535" s="129"/>
      <c r="AJ535" s="129"/>
      <c r="AK535" s="129"/>
      <c r="AL535" s="129"/>
      <c r="AM535" s="129"/>
    </row>
    <row r="536" spans="1:39" hidden="1" x14ac:dyDescent="0.25">
      <c r="A536" s="127">
        <v>535</v>
      </c>
      <c r="B536" s="152" t="s">
        <v>735</v>
      </c>
      <c r="C536" s="153" t="s">
        <v>3424</v>
      </c>
      <c r="D536" s="153" t="s">
        <v>3425</v>
      </c>
      <c r="E536" s="153" t="s">
        <v>2086</v>
      </c>
      <c r="F536" s="6"/>
      <c r="G536" s="6"/>
      <c r="H536" s="128">
        <f t="shared" si="9"/>
        <v>0</v>
      </c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  <c r="AA536" s="129"/>
      <c r="AB536" s="129"/>
      <c r="AC536" s="129"/>
      <c r="AD536" s="129"/>
      <c r="AE536" s="129"/>
      <c r="AF536" s="129"/>
      <c r="AG536" s="129"/>
      <c r="AH536" s="129"/>
      <c r="AI536" s="129"/>
      <c r="AJ536" s="129"/>
      <c r="AK536" s="129"/>
      <c r="AL536" s="129"/>
      <c r="AM536" s="129"/>
    </row>
    <row r="537" spans="1:39" hidden="1" x14ac:dyDescent="0.25">
      <c r="A537" s="127">
        <v>536</v>
      </c>
      <c r="B537" s="152" t="s">
        <v>1403</v>
      </c>
      <c r="C537" s="153" t="s">
        <v>3426</v>
      </c>
      <c r="D537" s="153" t="s">
        <v>3427</v>
      </c>
      <c r="E537" s="153" t="s">
        <v>2086</v>
      </c>
      <c r="F537" s="6"/>
      <c r="G537" s="6"/>
      <c r="H537" s="128">
        <f t="shared" si="9"/>
        <v>0</v>
      </c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  <c r="AA537" s="129"/>
      <c r="AB537" s="129"/>
      <c r="AC537" s="129"/>
      <c r="AD537" s="129"/>
      <c r="AE537" s="129"/>
      <c r="AF537" s="129"/>
      <c r="AG537" s="129"/>
      <c r="AH537" s="129"/>
      <c r="AI537" s="129"/>
      <c r="AJ537" s="129"/>
      <c r="AK537" s="129"/>
      <c r="AL537" s="129"/>
      <c r="AM537" s="129"/>
    </row>
    <row r="538" spans="1:39" hidden="1" x14ac:dyDescent="0.25">
      <c r="A538" s="127">
        <v>537</v>
      </c>
      <c r="B538" s="152" t="s">
        <v>1848</v>
      </c>
      <c r="C538" s="153" t="s">
        <v>3428</v>
      </c>
      <c r="D538" s="153" t="s">
        <v>3429</v>
      </c>
      <c r="E538" s="153" t="s">
        <v>2086</v>
      </c>
      <c r="F538" s="6"/>
      <c r="G538" s="6"/>
      <c r="H538" s="128">
        <f t="shared" si="9"/>
        <v>0</v>
      </c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</row>
    <row r="539" spans="1:39" hidden="1" x14ac:dyDescent="0.25">
      <c r="A539" s="127">
        <v>538</v>
      </c>
      <c r="B539" s="152" t="s">
        <v>1851</v>
      </c>
      <c r="C539" s="153" t="s">
        <v>3430</v>
      </c>
      <c r="D539" s="153" t="s">
        <v>3431</v>
      </c>
      <c r="E539" s="153" t="s">
        <v>2086</v>
      </c>
      <c r="F539" s="6"/>
      <c r="G539" s="6"/>
      <c r="H539" s="128">
        <f t="shared" si="9"/>
        <v>0</v>
      </c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</row>
    <row r="540" spans="1:39" hidden="1" x14ac:dyDescent="0.25">
      <c r="A540" s="127">
        <v>539</v>
      </c>
      <c r="B540" s="152" t="s">
        <v>3432</v>
      </c>
      <c r="C540" s="153" t="s">
        <v>3433</v>
      </c>
      <c r="D540" s="153" t="s">
        <v>3434</v>
      </c>
      <c r="E540" s="153" t="s">
        <v>4948</v>
      </c>
      <c r="F540" s="6"/>
      <c r="G540" s="6"/>
      <c r="H540" s="128">
        <f t="shared" si="9"/>
        <v>0</v>
      </c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  <c r="AA540" s="129"/>
      <c r="AB540" s="129"/>
      <c r="AC540" s="129"/>
      <c r="AD540" s="129"/>
      <c r="AE540" s="129"/>
      <c r="AF540" s="129"/>
      <c r="AG540" s="129"/>
      <c r="AH540" s="129"/>
      <c r="AI540" s="129"/>
      <c r="AJ540" s="129"/>
      <c r="AK540" s="129"/>
      <c r="AL540" s="129"/>
      <c r="AM540" s="129"/>
    </row>
    <row r="541" spans="1:39" hidden="1" x14ac:dyDescent="0.25">
      <c r="A541" s="127">
        <v>540</v>
      </c>
      <c r="B541" s="152" t="s">
        <v>3435</v>
      </c>
      <c r="C541" s="153" t="s">
        <v>3436</v>
      </c>
      <c r="D541" s="153" t="s">
        <v>3437</v>
      </c>
      <c r="E541" s="153" t="s">
        <v>4948</v>
      </c>
      <c r="F541" s="6"/>
      <c r="G541" s="6"/>
      <c r="H541" s="128">
        <f t="shared" si="9"/>
        <v>0</v>
      </c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29"/>
      <c r="AL541" s="129"/>
      <c r="AM541" s="129"/>
    </row>
    <row r="542" spans="1:39" hidden="1" x14ac:dyDescent="0.25">
      <c r="A542" s="127">
        <v>541</v>
      </c>
      <c r="B542" s="152" t="s">
        <v>3438</v>
      </c>
      <c r="C542" s="153" t="s">
        <v>3439</v>
      </c>
      <c r="D542" s="153" t="s">
        <v>3440</v>
      </c>
      <c r="E542" s="153" t="s">
        <v>4948</v>
      </c>
      <c r="F542" s="6"/>
      <c r="G542" s="6"/>
      <c r="H542" s="128">
        <f t="shared" si="9"/>
        <v>0</v>
      </c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</row>
    <row r="543" spans="1:39" hidden="1" x14ac:dyDescent="0.25">
      <c r="A543" s="127">
        <v>542</v>
      </c>
      <c r="B543" s="152" t="s">
        <v>3441</v>
      </c>
      <c r="C543" s="153" t="s">
        <v>3442</v>
      </c>
      <c r="D543" s="153" t="s">
        <v>3443</v>
      </c>
      <c r="E543" s="153" t="s">
        <v>4948</v>
      </c>
      <c r="F543" s="6"/>
      <c r="G543" s="6"/>
      <c r="H543" s="128">
        <f t="shared" si="9"/>
        <v>0</v>
      </c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</row>
    <row r="544" spans="1:39" hidden="1" x14ac:dyDescent="0.25">
      <c r="A544" s="127">
        <v>543</v>
      </c>
      <c r="B544" s="152" t="s">
        <v>3444</v>
      </c>
      <c r="C544" s="153" t="s">
        <v>3445</v>
      </c>
      <c r="D544" s="153" t="s">
        <v>3446</v>
      </c>
      <c r="E544" s="153" t="s">
        <v>4948</v>
      </c>
      <c r="F544" s="6"/>
      <c r="G544" s="6"/>
      <c r="H544" s="128">
        <f t="shared" si="9"/>
        <v>0</v>
      </c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</row>
    <row r="545" spans="1:39" hidden="1" x14ac:dyDescent="0.25">
      <c r="A545" s="127">
        <v>544</v>
      </c>
      <c r="B545" s="152" t="s">
        <v>3447</v>
      </c>
      <c r="C545" s="153" t="s">
        <v>3448</v>
      </c>
      <c r="D545" s="153" t="s">
        <v>3449</v>
      </c>
      <c r="E545" s="153" t="s">
        <v>4948</v>
      </c>
      <c r="F545" s="6"/>
      <c r="G545" s="6"/>
      <c r="H545" s="128">
        <f t="shared" si="9"/>
        <v>0</v>
      </c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</row>
    <row r="546" spans="1:39" hidden="1" x14ac:dyDescent="0.25">
      <c r="A546" s="127">
        <v>545</v>
      </c>
      <c r="B546" s="152" t="s">
        <v>1623</v>
      </c>
      <c r="C546" s="153" t="s">
        <v>3450</v>
      </c>
      <c r="D546" s="153" t="s">
        <v>3451</v>
      </c>
      <c r="E546" s="153" t="s">
        <v>2086</v>
      </c>
      <c r="F546" s="6"/>
      <c r="G546" s="6"/>
      <c r="H546" s="128">
        <f t="shared" si="9"/>
        <v>0</v>
      </c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</row>
    <row r="547" spans="1:39" hidden="1" x14ac:dyDescent="0.25">
      <c r="A547" s="127">
        <v>546</v>
      </c>
      <c r="B547" s="152" t="s">
        <v>3452</v>
      </c>
      <c r="C547" s="153" t="s">
        <v>3453</v>
      </c>
      <c r="D547" s="153" t="s">
        <v>3454</v>
      </c>
      <c r="E547" s="153" t="s">
        <v>2086</v>
      </c>
      <c r="F547" s="6"/>
      <c r="G547" s="6"/>
      <c r="H547" s="128">
        <f t="shared" si="9"/>
        <v>0</v>
      </c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</row>
    <row r="548" spans="1:39" hidden="1" x14ac:dyDescent="0.25">
      <c r="A548" s="127">
        <v>547</v>
      </c>
      <c r="B548" s="152" t="s">
        <v>1677</v>
      </c>
      <c r="C548" s="153" t="s">
        <v>3455</v>
      </c>
      <c r="D548" s="153" t="s">
        <v>3456</v>
      </c>
      <c r="E548" s="153" t="s">
        <v>4948</v>
      </c>
      <c r="F548" s="6"/>
      <c r="G548" s="6"/>
      <c r="H548" s="128">
        <f t="shared" si="9"/>
        <v>0</v>
      </c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</row>
    <row r="549" spans="1:39" hidden="1" x14ac:dyDescent="0.25">
      <c r="A549" s="127">
        <v>548</v>
      </c>
      <c r="B549" s="152" t="s">
        <v>149</v>
      </c>
      <c r="C549" s="153" t="s">
        <v>3457</v>
      </c>
      <c r="D549" s="153" t="s">
        <v>3458</v>
      </c>
      <c r="E549" s="153" t="s">
        <v>2086</v>
      </c>
      <c r="F549" s="6"/>
      <c r="G549" s="6"/>
      <c r="H549" s="128">
        <f t="shared" si="9"/>
        <v>0</v>
      </c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</row>
    <row r="550" spans="1:39" hidden="1" x14ac:dyDescent="0.25">
      <c r="A550" s="127">
        <v>549</v>
      </c>
      <c r="B550" s="152" t="s">
        <v>1516</v>
      </c>
      <c r="C550" s="153" t="s">
        <v>3459</v>
      </c>
      <c r="D550" s="153" t="s">
        <v>3460</v>
      </c>
      <c r="E550" s="153" t="s">
        <v>2086</v>
      </c>
      <c r="F550" s="6"/>
      <c r="G550" s="6"/>
      <c r="H550" s="128">
        <f t="shared" si="9"/>
        <v>0</v>
      </c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</row>
    <row r="551" spans="1:39" hidden="1" x14ac:dyDescent="0.25">
      <c r="A551" s="127">
        <v>550</v>
      </c>
      <c r="B551" s="152" t="s">
        <v>1450</v>
      </c>
      <c r="C551" s="153" t="s">
        <v>3461</v>
      </c>
      <c r="D551" s="153" t="s">
        <v>3462</v>
      </c>
      <c r="E551" s="153" t="s">
        <v>4948</v>
      </c>
      <c r="F551" s="6"/>
      <c r="G551" s="6"/>
      <c r="H551" s="128">
        <f t="shared" si="9"/>
        <v>0</v>
      </c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</row>
    <row r="552" spans="1:39" hidden="1" x14ac:dyDescent="0.25">
      <c r="A552" s="127">
        <v>551</v>
      </c>
      <c r="B552" s="152" t="s">
        <v>1430</v>
      </c>
      <c r="C552" s="153" t="s">
        <v>3463</v>
      </c>
      <c r="D552" s="153" t="s">
        <v>3464</v>
      </c>
      <c r="E552" s="153" t="s">
        <v>2086</v>
      </c>
      <c r="F552" s="6"/>
      <c r="G552" s="6"/>
      <c r="H552" s="128">
        <f t="shared" si="9"/>
        <v>0</v>
      </c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  <c r="AA552" s="129"/>
      <c r="AB552" s="129"/>
      <c r="AC552" s="129"/>
      <c r="AD552" s="129"/>
      <c r="AE552" s="129"/>
      <c r="AF552" s="129"/>
      <c r="AG552" s="129"/>
      <c r="AH552" s="129"/>
      <c r="AI552" s="129"/>
      <c r="AJ552" s="129"/>
      <c r="AK552" s="129"/>
      <c r="AL552" s="129"/>
      <c r="AM552" s="129"/>
    </row>
    <row r="553" spans="1:39" hidden="1" x14ac:dyDescent="0.25">
      <c r="A553" s="127">
        <v>552</v>
      </c>
      <c r="B553" s="152" t="s">
        <v>1875</v>
      </c>
      <c r="C553" s="153" t="s">
        <v>3465</v>
      </c>
      <c r="D553" s="153" t="s">
        <v>3466</v>
      </c>
      <c r="E553" s="153" t="s">
        <v>2086</v>
      </c>
      <c r="F553" s="6"/>
      <c r="G553" s="6"/>
      <c r="H553" s="128">
        <f t="shared" si="9"/>
        <v>0</v>
      </c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  <c r="AA553" s="129"/>
      <c r="AB553" s="129"/>
      <c r="AC553" s="129"/>
      <c r="AD553" s="129"/>
      <c r="AE553" s="129"/>
      <c r="AF553" s="129"/>
      <c r="AG553" s="129"/>
      <c r="AH553" s="129"/>
      <c r="AI553" s="129"/>
      <c r="AJ553" s="129"/>
      <c r="AK553" s="129"/>
      <c r="AL553" s="129"/>
      <c r="AM553" s="129"/>
    </row>
    <row r="554" spans="1:39" hidden="1" x14ac:dyDescent="0.25">
      <c r="A554" s="127">
        <v>553</v>
      </c>
      <c r="B554" s="152" t="s">
        <v>143</v>
      </c>
      <c r="C554" s="153" t="s">
        <v>3467</v>
      </c>
      <c r="D554" s="153" t="s">
        <v>3468</v>
      </c>
      <c r="E554" s="153" t="s">
        <v>2086</v>
      </c>
      <c r="F554" s="6"/>
      <c r="G554" s="6"/>
      <c r="H554" s="128">
        <f t="shared" si="9"/>
        <v>0</v>
      </c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  <c r="AA554" s="129"/>
      <c r="AB554" s="129"/>
      <c r="AC554" s="129"/>
      <c r="AD554" s="129"/>
      <c r="AE554" s="129"/>
      <c r="AF554" s="129"/>
      <c r="AG554" s="129"/>
      <c r="AH554" s="129"/>
      <c r="AI554" s="129"/>
      <c r="AJ554" s="129"/>
      <c r="AK554" s="129"/>
      <c r="AL554" s="129"/>
      <c r="AM554" s="129"/>
    </row>
    <row r="555" spans="1:39" hidden="1" x14ac:dyDescent="0.25">
      <c r="A555" s="127">
        <v>554</v>
      </c>
      <c r="B555" s="152" t="s">
        <v>3469</v>
      </c>
      <c r="C555" s="153" t="s">
        <v>3470</v>
      </c>
      <c r="D555" s="153" t="s">
        <v>3471</v>
      </c>
      <c r="E555" s="153" t="s">
        <v>2086</v>
      </c>
      <c r="F555" s="6"/>
      <c r="G555" s="6"/>
      <c r="H555" s="128">
        <f t="shared" si="9"/>
        <v>0</v>
      </c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  <c r="AA555" s="129"/>
      <c r="AB555" s="129"/>
      <c r="AC555" s="129"/>
      <c r="AD555" s="129"/>
      <c r="AE555" s="129"/>
      <c r="AF555" s="129"/>
      <c r="AG555" s="129"/>
      <c r="AH555" s="129"/>
      <c r="AI555" s="129"/>
      <c r="AJ555" s="129"/>
      <c r="AK555" s="129"/>
      <c r="AL555" s="129"/>
      <c r="AM555" s="129"/>
    </row>
    <row r="556" spans="1:39" hidden="1" x14ac:dyDescent="0.25">
      <c r="A556" s="127">
        <v>555</v>
      </c>
      <c r="B556" s="152" t="s">
        <v>1263</v>
      </c>
      <c r="C556" s="153" t="s">
        <v>3472</v>
      </c>
      <c r="D556" s="153" t="s">
        <v>3473</v>
      </c>
      <c r="E556" s="153" t="s">
        <v>2086</v>
      </c>
      <c r="F556" s="6"/>
      <c r="G556" s="6"/>
      <c r="H556" s="128">
        <f t="shared" si="9"/>
        <v>250000</v>
      </c>
      <c r="I556" s="129">
        <v>250000</v>
      </c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  <c r="AA556" s="129"/>
      <c r="AB556" s="129"/>
      <c r="AC556" s="129"/>
      <c r="AD556" s="129"/>
      <c r="AE556" s="129"/>
      <c r="AF556" s="129"/>
      <c r="AG556" s="129"/>
      <c r="AH556" s="129"/>
      <c r="AI556" s="129"/>
      <c r="AJ556" s="129"/>
      <c r="AK556" s="129"/>
      <c r="AL556" s="129"/>
      <c r="AM556" s="129"/>
    </row>
    <row r="557" spans="1:39" hidden="1" x14ac:dyDescent="0.25">
      <c r="A557" s="127">
        <v>556</v>
      </c>
      <c r="B557" s="152" t="s">
        <v>3474</v>
      </c>
      <c r="C557" s="153" t="s">
        <v>3475</v>
      </c>
      <c r="D557" s="153" t="s">
        <v>3476</v>
      </c>
      <c r="E557" s="153" t="s">
        <v>4948</v>
      </c>
      <c r="F557" s="6"/>
      <c r="G557" s="6"/>
      <c r="H557" s="128">
        <f t="shared" si="9"/>
        <v>0</v>
      </c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  <c r="AA557" s="129"/>
      <c r="AB557" s="129"/>
      <c r="AC557" s="129"/>
      <c r="AD557" s="129"/>
      <c r="AE557" s="129"/>
      <c r="AF557" s="129"/>
      <c r="AG557" s="129"/>
      <c r="AH557" s="129"/>
      <c r="AI557" s="129"/>
      <c r="AJ557" s="129"/>
      <c r="AK557" s="129"/>
      <c r="AL557" s="129"/>
      <c r="AM557" s="129"/>
    </row>
    <row r="558" spans="1:39" hidden="1" x14ac:dyDescent="0.25">
      <c r="A558" s="127">
        <v>557</v>
      </c>
      <c r="B558" s="152" t="s">
        <v>1328</v>
      </c>
      <c r="C558" s="153" t="s">
        <v>3477</v>
      </c>
      <c r="D558" s="153" t="s">
        <v>3478</v>
      </c>
      <c r="E558" s="153" t="s">
        <v>2086</v>
      </c>
      <c r="F558" s="6"/>
      <c r="G558" s="6"/>
      <c r="H558" s="128">
        <f t="shared" si="9"/>
        <v>0</v>
      </c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  <c r="AA558" s="129"/>
      <c r="AB558" s="129"/>
      <c r="AC558" s="129"/>
      <c r="AD558" s="129"/>
      <c r="AE558" s="129"/>
      <c r="AF558" s="129"/>
      <c r="AG558" s="129"/>
      <c r="AH558" s="129"/>
      <c r="AI558" s="129"/>
      <c r="AJ558" s="129"/>
      <c r="AK558" s="129"/>
      <c r="AL558" s="129"/>
      <c r="AM558" s="129"/>
    </row>
    <row r="559" spans="1:39" hidden="1" x14ac:dyDescent="0.25">
      <c r="A559" s="127">
        <v>558</v>
      </c>
      <c r="B559" s="152" t="s">
        <v>1428</v>
      </c>
      <c r="C559" s="153" t="s">
        <v>3479</v>
      </c>
      <c r="D559" s="153" t="s">
        <v>3480</v>
      </c>
      <c r="E559" s="153" t="s">
        <v>2086</v>
      </c>
      <c r="F559" s="6"/>
      <c r="G559" s="6"/>
      <c r="H559" s="128">
        <f t="shared" si="9"/>
        <v>0</v>
      </c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  <c r="AA559" s="129"/>
      <c r="AB559" s="129"/>
      <c r="AC559" s="129"/>
      <c r="AD559" s="129"/>
      <c r="AE559" s="129"/>
      <c r="AF559" s="129"/>
      <c r="AG559" s="129"/>
      <c r="AH559" s="129"/>
      <c r="AI559" s="129"/>
      <c r="AJ559" s="129"/>
      <c r="AK559" s="129"/>
      <c r="AL559" s="129"/>
      <c r="AM559" s="129"/>
    </row>
    <row r="560" spans="1:39" hidden="1" x14ac:dyDescent="0.25">
      <c r="A560" s="127">
        <v>559</v>
      </c>
      <c r="B560" s="152" t="s">
        <v>3481</v>
      </c>
      <c r="C560" s="153" t="s">
        <v>3482</v>
      </c>
      <c r="D560" s="153" t="s">
        <v>3483</v>
      </c>
      <c r="E560" s="153" t="s">
        <v>2086</v>
      </c>
      <c r="F560" s="6"/>
      <c r="G560" s="6"/>
      <c r="H560" s="128">
        <f t="shared" si="9"/>
        <v>0</v>
      </c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  <c r="AA560" s="129"/>
      <c r="AB560" s="129"/>
      <c r="AC560" s="129"/>
      <c r="AD560" s="129"/>
      <c r="AE560" s="129"/>
      <c r="AF560" s="129"/>
      <c r="AG560" s="129"/>
      <c r="AH560" s="129"/>
      <c r="AI560" s="129"/>
      <c r="AJ560" s="129"/>
      <c r="AK560" s="129"/>
      <c r="AL560" s="129"/>
      <c r="AM560" s="129"/>
    </row>
    <row r="561" spans="1:39" hidden="1" x14ac:dyDescent="0.25">
      <c r="A561" s="127">
        <v>560</v>
      </c>
      <c r="B561" s="152" t="s">
        <v>1567</v>
      </c>
      <c r="C561" s="153" t="s">
        <v>3484</v>
      </c>
      <c r="D561" s="153" t="s">
        <v>3485</v>
      </c>
      <c r="E561" s="153" t="s">
        <v>2086</v>
      </c>
      <c r="F561" s="6"/>
      <c r="G561" s="6"/>
      <c r="H561" s="128">
        <f t="shared" si="9"/>
        <v>0</v>
      </c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  <c r="AA561" s="129"/>
      <c r="AB561" s="129"/>
      <c r="AC561" s="129"/>
      <c r="AD561" s="129"/>
      <c r="AE561" s="129"/>
      <c r="AF561" s="129"/>
      <c r="AG561" s="129"/>
      <c r="AH561" s="129"/>
      <c r="AI561" s="129"/>
      <c r="AJ561" s="129"/>
      <c r="AK561" s="129"/>
      <c r="AL561" s="129"/>
      <c r="AM561" s="129"/>
    </row>
    <row r="562" spans="1:39" hidden="1" x14ac:dyDescent="0.25">
      <c r="A562" s="127">
        <v>561</v>
      </c>
      <c r="B562" s="152" t="s">
        <v>1448</v>
      </c>
      <c r="C562" s="153" t="s">
        <v>3486</v>
      </c>
      <c r="D562" s="153" t="s">
        <v>3487</v>
      </c>
      <c r="E562" s="153" t="s">
        <v>2086</v>
      </c>
      <c r="F562" s="6"/>
      <c r="G562" s="6"/>
      <c r="H562" s="128">
        <f t="shared" si="9"/>
        <v>0</v>
      </c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  <c r="AA562" s="129"/>
      <c r="AB562" s="129"/>
      <c r="AC562" s="129"/>
      <c r="AD562" s="129"/>
      <c r="AE562" s="129"/>
      <c r="AF562" s="129"/>
      <c r="AG562" s="129"/>
      <c r="AH562" s="129"/>
      <c r="AI562" s="129"/>
      <c r="AJ562" s="129"/>
      <c r="AK562" s="129"/>
      <c r="AL562" s="129"/>
      <c r="AM562" s="129"/>
    </row>
    <row r="563" spans="1:39" hidden="1" x14ac:dyDescent="0.25">
      <c r="A563" s="127">
        <v>562</v>
      </c>
      <c r="B563" s="152" t="s">
        <v>727</v>
      </c>
      <c r="C563" s="153" t="s">
        <v>3488</v>
      </c>
      <c r="D563" s="153" t="s">
        <v>3489</v>
      </c>
      <c r="E563" s="153" t="s">
        <v>2086</v>
      </c>
      <c r="F563" s="6"/>
      <c r="G563" s="6"/>
      <c r="H563" s="128">
        <f t="shared" si="9"/>
        <v>0</v>
      </c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  <c r="AA563" s="129"/>
      <c r="AB563" s="129"/>
      <c r="AC563" s="129"/>
      <c r="AD563" s="129"/>
      <c r="AE563" s="129"/>
      <c r="AF563" s="129"/>
      <c r="AG563" s="129"/>
      <c r="AH563" s="129"/>
      <c r="AI563" s="129"/>
      <c r="AJ563" s="129"/>
      <c r="AK563" s="129"/>
      <c r="AL563" s="129"/>
      <c r="AM563" s="129"/>
    </row>
    <row r="564" spans="1:39" hidden="1" x14ac:dyDescent="0.25">
      <c r="A564" s="127">
        <v>563</v>
      </c>
      <c r="B564" s="152" t="s">
        <v>1446</v>
      </c>
      <c r="C564" s="153" t="s">
        <v>3490</v>
      </c>
      <c r="D564" s="153" t="s">
        <v>3491</v>
      </c>
      <c r="E564" s="153" t="s">
        <v>2086</v>
      </c>
      <c r="F564" s="6"/>
      <c r="G564" s="6"/>
      <c r="H564" s="128">
        <f t="shared" si="9"/>
        <v>0</v>
      </c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  <c r="AA564" s="129"/>
      <c r="AB564" s="129"/>
      <c r="AC564" s="129"/>
      <c r="AD564" s="129"/>
      <c r="AE564" s="129"/>
      <c r="AF564" s="129"/>
      <c r="AG564" s="129"/>
      <c r="AH564" s="129"/>
      <c r="AI564" s="129"/>
      <c r="AJ564" s="129"/>
      <c r="AK564" s="129"/>
      <c r="AL564" s="129"/>
      <c r="AM564" s="129"/>
    </row>
    <row r="565" spans="1:39" hidden="1" x14ac:dyDescent="0.25">
      <c r="A565" s="127">
        <v>564</v>
      </c>
      <c r="B565" s="152" t="s">
        <v>1343</v>
      </c>
      <c r="C565" s="153" t="s">
        <v>3492</v>
      </c>
      <c r="D565" s="153" t="s">
        <v>3493</v>
      </c>
      <c r="E565" s="153" t="s">
        <v>2086</v>
      </c>
      <c r="F565" s="6"/>
      <c r="G565" s="6"/>
      <c r="H565" s="128">
        <f t="shared" si="9"/>
        <v>0</v>
      </c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  <c r="AA565" s="129"/>
      <c r="AB565" s="129"/>
      <c r="AC565" s="129"/>
      <c r="AD565" s="129"/>
      <c r="AE565" s="129"/>
      <c r="AF565" s="129"/>
      <c r="AG565" s="129"/>
      <c r="AH565" s="129"/>
      <c r="AI565" s="129"/>
      <c r="AJ565" s="129"/>
      <c r="AK565" s="129"/>
      <c r="AL565" s="129"/>
      <c r="AM565" s="129"/>
    </row>
    <row r="566" spans="1:39" hidden="1" x14ac:dyDescent="0.25">
      <c r="A566" s="127">
        <v>565</v>
      </c>
      <c r="B566" s="152" t="s">
        <v>1297</v>
      </c>
      <c r="C566" s="153" t="s">
        <v>3494</v>
      </c>
      <c r="D566" s="153" t="s">
        <v>3495</v>
      </c>
      <c r="E566" s="153" t="s">
        <v>2086</v>
      </c>
      <c r="F566" s="6"/>
      <c r="G566" s="6"/>
      <c r="H566" s="128">
        <f t="shared" si="9"/>
        <v>0</v>
      </c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  <c r="AA566" s="129"/>
      <c r="AB566" s="129"/>
      <c r="AC566" s="129"/>
      <c r="AD566" s="129"/>
      <c r="AE566" s="129"/>
      <c r="AF566" s="129"/>
      <c r="AG566" s="129"/>
      <c r="AH566" s="129"/>
      <c r="AI566" s="129"/>
      <c r="AJ566" s="129"/>
      <c r="AK566" s="129"/>
      <c r="AL566" s="129"/>
      <c r="AM566" s="129"/>
    </row>
    <row r="567" spans="1:39" hidden="1" x14ac:dyDescent="0.25">
      <c r="A567" s="127">
        <v>566</v>
      </c>
      <c r="B567" s="152" t="s">
        <v>1500</v>
      </c>
      <c r="C567" s="153" t="s">
        <v>3496</v>
      </c>
      <c r="D567" s="153" t="s">
        <v>3497</v>
      </c>
      <c r="E567" s="153" t="s">
        <v>2086</v>
      </c>
      <c r="F567" s="6"/>
      <c r="G567" s="6"/>
      <c r="H567" s="128">
        <f t="shared" si="9"/>
        <v>0</v>
      </c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  <c r="AA567" s="129"/>
      <c r="AB567" s="129"/>
      <c r="AC567" s="129"/>
      <c r="AD567" s="129"/>
      <c r="AE567" s="129"/>
      <c r="AF567" s="129"/>
      <c r="AG567" s="129"/>
      <c r="AH567" s="129"/>
      <c r="AI567" s="129"/>
      <c r="AJ567" s="129"/>
      <c r="AK567" s="129"/>
      <c r="AL567" s="129"/>
      <c r="AM567" s="129"/>
    </row>
    <row r="568" spans="1:39" hidden="1" x14ac:dyDescent="0.25">
      <c r="A568" s="127">
        <v>567</v>
      </c>
      <c r="B568" s="152" t="s">
        <v>1458</v>
      </c>
      <c r="C568" s="153" t="s">
        <v>3498</v>
      </c>
      <c r="D568" s="153" t="s">
        <v>3499</v>
      </c>
      <c r="E568" s="153" t="s">
        <v>2086</v>
      </c>
      <c r="F568" s="6"/>
      <c r="G568" s="6"/>
      <c r="H568" s="128">
        <f t="shared" si="9"/>
        <v>0</v>
      </c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  <c r="AA568" s="129"/>
      <c r="AB568" s="129"/>
      <c r="AC568" s="129"/>
      <c r="AD568" s="129"/>
      <c r="AE568" s="129"/>
      <c r="AF568" s="129"/>
      <c r="AG568" s="129"/>
      <c r="AH568" s="129"/>
      <c r="AI568" s="129"/>
      <c r="AJ568" s="129"/>
      <c r="AK568" s="129"/>
      <c r="AL568" s="129"/>
      <c r="AM568" s="129"/>
    </row>
    <row r="569" spans="1:39" hidden="1" x14ac:dyDescent="0.25">
      <c r="A569" s="127">
        <v>568</v>
      </c>
      <c r="B569" s="152" t="s">
        <v>1303</v>
      </c>
      <c r="C569" s="153" t="s">
        <v>3500</v>
      </c>
      <c r="D569" s="153" t="s">
        <v>3501</v>
      </c>
      <c r="E569" s="153" t="s">
        <v>2086</v>
      </c>
      <c r="F569" s="6"/>
      <c r="G569" s="6"/>
      <c r="H569" s="128">
        <f t="shared" si="9"/>
        <v>0</v>
      </c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  <c r="AA569" s="129"/>
      <c r="AB569" s="129"/>
      <c r="AC569" s="129"/>
      <c r="AD569" s="129"/>
      <c r="AE569" s="129"/>
      <c r="AF569" s="129"/>
      <c r="AG569" s="129"/>
      <c r="AH569" s="129"/>
      <c r="AI569" s="129"/>
      <c r="AJ569" s="129"/>
      <c r="AK569" s="129"/>
      <c r="AL569" s="129"/>
      <c r="AM569" s="129"/>
    </row>
    <row r="570" spans="1:39" hidden="1" x14ac:dyDescent="0.25">
      <c r="A570" s="127">
        <v>569</v>
      </c>
      <c r="B570" s="152" t="s">
        <v>3502</v>
      </c>
      <c r="C570" s="153" t="s">
        <v>3503</v>
      </c>
      <c r="D570" s="153" t="s">
        <v>3504</v>
      </c>
      <c r="E570" s="153" t="s">
        <v>2086</v>
      </c>
      <c r="F570" s="6"/>
      <c r="G570" s="6"/>
      <c r="H570" s="128">
        <f t="shared" si="9"/>
        <v>0</v>
      </c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  <c r="AA570" s="129"/>
      <c r="AB570" s="129"/>
      <c r="AC570" s="129"/>
      <c r="AD570" s="129"/>
      <c r="AE570" s="129"/>
      <c r="AF570" s="129"/>
      <c r="AG570" s="129"/>
      <c r="AH570" s="129"/>
      <c r="AI570" s="129"/>
      <c r="AJ570" s="129"/>
      <c r="AK570" s="129"/>
      <c r="AL570" s="129"/>
      <c r="AM570" s="129"/>
    </row>
    <row r="571" spans="1:39" hidden="1" x14ac:dyDescent="0.25">
      <c r="A571" s="127">
        <v>570</v>
      </c>
      <c r="B571" s="152" t="s">
        <v>3505</v>
      </c>
      <c r="C571" s="153" t="s">
        <v>3506</v>
      </c>
      <c r="D571" s="153" t="s">
        <v>3507</v>
      </c>
      <c r="E571" s="153" t="s">
        <v>4948</v>
      </c>
      <c r="F571" s="6"/>
      <c r="G571" s="6"/>
      <c r="H571" s="128">
        <f t="shared" si="9"/>
        <v>0</v>
      </c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  <c r="AA571" s="129"/>
      <c r="AB571" s="129"/>
      <c r="AC571" s="129"/>
      <c r="AD571" s="129"/>
      <c r="AE571" s="129"/>
      <c r="AF571" s="129"/>
      <c r="AG571" s="129"/>
      <c r="AH571" s="129"/>
      <c r="AI571" s="129"/>
      <c r="AJ571" s="129"/>
      <c r="AK571" s="129"/>
      <c r="AL571" s="129"/>
      <c r="AM571" s="129"/>
    </row>
    <row r="572" spans="1:39" hidden="1" x14ac:dyDescent="0.25">
      <c r="A572" s="127">
        <v>571</v>
      </c>
      <c r="B572" s="152" t="s">
        <v>3508</v>
      </c>
      <c r="C572" s="153" t="s">
        <v>3509</v>
      </c>
      <c r="D572" s="153" t="s">
        <v>3510</v>
      </c>
      <c r="E572" s="153" t="s">
        <v>4948</v>
      </c>
      <c r="F572" s="6"/>
      <c r="G572" s="6"/>
      <c r="H572" s="128">
        <f t="shared" si="9"/>
        <v>0</v>
      </c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  <c r="AA572" s="129"/>
      <c r="AB572" s="129"/>
      <c r="AC572" s="129"/>
      <c r="AD572" s="129"/>
      <c r="AE572" s="129"/>
      <c r="AF572" s="129"/>
      <c r="AG572" s="129"/>
      <c r="AH572" s="129"/>
      <c r="AI572" s="129"/>
      <c r="AJ572" s="129"/>
      <c r="AK572" s="129"/>
      <c r="AL572" s="129"/>
      <c r="AM572" s="129"/>
    </row>
    <row r="573" spans="1:39" hidden="1" x14ac:dyDescent="0.25">
      <c r="A573" s="127">
        <v>572</v>
      </c>
      <c r="B573" s="152" t="s">
        <v>990</v>
      </c>
      <c r="C573" s="153" t="s">
        <v>3511</v>
      </c>
      <c r="D573" s="153" t="s">
        <v>3512</v>
      </c>
      <c r="E573" s="153" t="s">
        <v>2086</v>
      </c>
      <c r="F573" s="6"/>
      <c r="G573" s="6"/>
      <c r="H573" s="128">
        <f t="shared" si="9"/>
        <v>0</v>
      </c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  <c r="AA573" s="129"/>
      <c r="AB573" s="129"/>
      <c r="AC573" s="129"/>
      <c r="AD573" s="129"/>
      <c r="AE573" s="129"/>
      <c r="AF573" s="129"/>
      <c r="AG573" s="129"/>
      <c r="AH573" s="129"/>
      <c r="AI573" s="129"/>
      <c r="AJ573" s="129"/>
      <c r="AK573" s="129"/>
      <c r="AL573" s="129"/>
      <c r="AM573" s="129"/>
    </row>
    <row r="574" spans="1:39" hidden="1" x14ac:dyDescent="0.25">
      <c r="A574" s="127">
        <v>573</v>
      </c>
      <c r="B574" s="152" t="s">
        <v>2027</v>
      </c>
      <c r="C574" s="153" t="s">
        <v>3513</v>
      </c>
      <c r="D574" s="153" t="s">
        <v>3514</v>
      </c>
      <c r="E574" s="153" t="s">
        <v>4948</v>
      </c>
      <c r="F574" s="6"/>
      <c r="G574" s="6"/>
      <c r="H574" s="128">
        <f t="shared" si="9"/>
        <v>0</v>
      </c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  <c r="AA574" s="129"/>
      <c r="AB574" s="129"/>
      <c r="AC574" s="129"/>
      <c r="AD574" s="129"/>
      <c r="AE574" s="129"/>
      <c r="AF574" s="129"/>
      <c r="AG574" s="129"/>
      <c r="AH574" s="129"/>
      <c r="AI574" s="129"/>
      <c r="AJ574" s="129"/>
      <c r="AK574" s="129"/>
      <c r="AL574" s="129"/>
      <c r="AM574" s="129"/>
    </row>
    <row r="575" spans="1:39" hidden="1" x14ac:dyDescent="0.25">
      <c r="A575" s="127">
        <v>574</v>
      </c>
      <c r="B575" s="152" t="s">
        <v>1892</v>
      </c>
      <c r="C575" s="153" t="s">
        <v>3515</v>
      </c>
      <c r="D575" s="153" t="s">
        <v>3516</v>
      </c>
      <c r="E575" s="153" t="s">
        <v>4948</v>
      </c>
      <c r="F575" s="6"/>
      <c r="G575" s="6"/>
      <c r="H575" s="128">
        <f t="shared" si="9"/>
        <v>0</v>
      </c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  <c r="AA575" s="129"/>
      <c r="AB575" s="129"/>
      <c r="AC575" s="129"/>
      <c r="AD575" s="129"/>
      <c r="AE575" s="129"/>
      <c r="AF575" s="129"/>
      <c r="AG575" s="129"/>
      <c r="AH575" s="129"/>
      <c r="AI575" s="129"/>
      <c r="AJ575" s="129"/>
      <c r="AK575" s="129"/>
      <c r="AL575" s="129"/>
      <c r="AM575" s="129"/>
    </row>
    <row r="576" spans="1:39" hidden="1" x14ac:dyDescent="0.25">
      <c r="A576" s="127">
        <v>575</v>
      </c>
      <c r="B576" s="152" t="s">
        <v>1188</v>
      </c>
      <c r="C576" s="153" t="s">
        <v>3517</v>
      </c>
      <c r="D576" s="153" t="s">
        <v>3518</v>
      </c>
      <c r="E576" s="153" t="s">
        <v>2086</v>
      </c>
      <c r="F576" s="6"/>
      <c r="G576" s="6"/>
      <c r="H576" s="128">
        <f t="shared" si="9"/>
        <v>25600</v>
      </c>
      <c r="I576" s="129">
        <v>25600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</row>
    <row r="577" spans="1:39" hidden="1" x14ac:dyDescent="0.25">
      <c r="A577" s="127">
        <v>576</v>
      </c>
      <c r="B577" s="152" t="s">
        <v>894</v>
      </c>
      <c r="C577" s="153" t="s">
        <v>3519</v>
      </c>
      <c r="D577" s="153" t="s">
        <v>3520</v>
      </c>
      <c r="E577" s="153" t="s">
        <v>2086</v>
      </c>
      <c r="F577" s="6"/>
      <c r="G577" s="6"/>
      <c r="H577" s="128">
        <f t="shared" si="9"/>
        <v>0</v>
      </c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</row>
    <row r="578" spans="1:39" hidden="1" x14ac:dyDescent="0.25">
      <c r="A578" s="127">
        <v>577</v>
      </c>
      <c r="B578" s="152" t="s">
        <v>2024</v>
      </c>
      <c r="C578" s="153" t="s">
        <v>3521</v>
      </c>
      <c r="D578" s="153" t="s">
        <v>3522</v>
      </c>
      <c r="E578" s="153" t="s">
        <v>2086</v>
      </c>
      <c r="F578" s="6"/>
      <c r="G578" s="6"/>
      <c r="H578" s="128">
        <f t="shared" ref="H578:H641" si="10">SUM(I578:AM578)</f>
        <v>0</v>
      </c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  <c r="AA578" s="129"/>
      <c r="AB578" s="129"/>
      <c r="AC578" s="129"/>
      <c r="AD578" s="129"/>
      <c r="AE578" s="129"/>
      <c r="AF578" s="129"/>
      <c r="AG578" s="129"/>
      <c r="AH578" s="129"/>
      <c r="AI578" s="129"/>
      <c r="AJ578" s="129"/>
      <c r="AK578" s="129"/>
      <c r="AL578" s="129"/>
      <c r="AM578" s="129"/>
    </row>
    <row r="579" spans="1:39" hidden="1" x14ac:dyDescent="0.25">
      <c r="A579" s="127">
        <v>578</v>
      </c>
      <c r="B579" s="152" t="s">
        <v>1368</v>
      </c>
      <c r="C579" s="153" t="s">
        <v>3523</v>
      </c>
      <c r="D579" s="153" t="s">
        <v>3524</v>
      </c>
      <c r="E579" s="153" t="s">
        <v>2086</v>
      </c>
      <c r="F579" s="6"/>
      <c r="G579" s="6"/>
      <c r="H579" s="128">
        <f t="shared" si="10"/>
        <v>20700</v>
      </c>
      <c r="I579" s="129">
        <v>20700</v>
      </c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29"/>
      <c r="AL579" s="129"/>
      <c r="AM579" s="129"/>
    </row>
    <row r="580" spans="1:39" hidden="1" x14ac:dyDescent="0.25">
      <c r="A580" s="127">
        <v>579</v>
      </c>
      <c r="B580" s="152" t="s">
        <v>3525</v>
      </c>
      <c r="C580" s="153" t="s">
        <v>3526</v>
      </c>
      <c r="D580" s="153" t="s">
        <v>3527</v>
      </c>
      <c r="E580" s="153" t="s">
        <v>2086</v>
      </c>
      <c r="F580" s="6"/>
      <c r="G580" s="6"/>
      <c r="H580" s="128">
        <f t="shared" si="10"/>
        <v>0</v>
      </c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</row>
    <row r="581" spans="1:39" hidden="1" x14ac:dyDescent="0.25">
      <c r="A581" s="127">
        <v>580</v>
      </c>
      <c r="B581" s="152" t="s">
        <v>3528</v>
      </c>
      <c r="C581" s="153" t="s">
        <v>3529</v>
      </c>
      <c r="D581" s="153" t="s">
        <v>3530</v>
      </c>
      <c r="E581" s="153" t="s">
        <v>2086</v>
      </c>
      <c r="F581" s="6"/>
      <c r="G581" s="6"/>
      <c r="H581" s="128">
        <f t="shared" si="10"/>
        <v>0</v>
      </c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</row>
    <row r="582" spans="1:39" hidden="1" x14ac:dyDescent="0.25">
      <c r="A582" s="127">
        <v>581</v>
      </c>
      <c r="B582" s="152" t="s">
        <v>3531</v>
      </c>
      <c r="C582" s="153" t="s">
        <v>3532</v>
      </c>
      <c r="D582" s="153" t="s">
        <v>3533</v>
      </c>
      <c r="E582" s="153" t="s">
        <v>4948</v>
      </c>
      <c r="F582" s="6"/>
      <c r="G582" s="6"/>
      <c r="H582" s="128">
        <f t="shared" si="10"/>
        <v>0</v>
      </c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</row>
    <row r="583" spans="1:39" hidden="1" x14ac:dyDescent="0.25">
      <c r="A583" s="127">
        <v>582</v>
      </c>
      <c r="B583" s="152" t="s">
        <v>729</v>
      </c>
      <c r="C583" s="153" t="s">
        <v>3534</v>
      </c>
      <c r="D583" s="153" t="s">
        <v>3535</v>
      </c>
      <c r="E583" s="153" t="s">
        <v>4948</v>
      </c>
      <c r="F583" s="6"/>
      <c r="G583" s="6"/>
      <c r="H583" s="128">
        <f t="shared" si="10"/>
        <v>0</v>
      </c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</row>
    <row r="584" spans="1:39" hidden="1" x14ac:dyDescent="0.25">
      <c r="A584" s="127">
        <v>583</v>
      </c>
      <c r="B584" s="152" t="s">
        <v>731</v>
      </c>
      <c r="C584" s="153" t="s">
        <v>3536</v>
      </c>
      <c r="D584" s="153" t="s">
        <v>3537</v>
      </c>
      <c r="E584" s="153" t="s">
        <v>4948</v>
      </c>
      <c r="F584" s="6"/>
      <c r="G584" s="6"/>
      <c r="H584" s="128">
        <f t="shared" si="10"/>
        <v>0</v>
      </c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</row>
    <row r="585" spans="1:39" hidden="1" x14ac:dyDescent="0.25">
      <c r="A585" s="127">
        <v>584</v>
      </c>
      <c r="B585" s="152" t="s">
        <v>3538</v>
      </c>
      <c r="C585" s="153" t="s">
        <v>3539</v>
      </c>
      <c r="D585" s="153" t="s">
        <v>3540</v>
      </c>
      <c r="E585" s="153" t="s">
        <v>4948</v>
      </c>
      <c r="F585" s="6"/>
      <c r="G585" s="6"/>
      <c r="H585" s="128">
        <f t="shared" si="10"/>
        <v>0</v>
      </c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</row>
    <row r="586" spans="1:39" hidden="1" x14ac:dyDescent="0.25">
      <c r="A586" s="127">
        <v>585</v>
      </c>
      <c r="B586" s="152" t="s">
        <v>3541</v>
      </c>
      <c r="C586" s="153" t="s">
        <v>3542</v>
      </c>
      <c r="D586" s="153" t="s">
        <v>3543</v>
      </c>
      <c r="E586" s="153" t="s">
        <v>4948</v>
      </c>
      <c r="F586" s="6"/>
      <c r="G586" s="6"/>
      <c r="H586" s="128">
        <f t="shared" si="10"/>
        <v>0</v>
      </c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</row>
    <row r="587" spans="1:39" hidden="1" x14ac:dyDescent="0.25">
      <c r="A587" s="127">
        <v>586</v>
      </c>
      <c r="B587" s="152" t="s">
        <v>3544</v>
      </c>
      <c r="C587" s="153" t="s">
        <v>3545</v>
      </c>
      <c r="D587" s="153" t="s">
        <v>3546</v>
      </c>
      <c r="E587" s="153" t="s">
        <v>2086</v>
      </c>
      <c r="F587" s="6"/>
      <c r="G587" s="6"/>
      <c r="H587" s="128">
        <f t="shared" si="10"/>
        <v>0</v>
      </c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</row>
    <row r="588" spans="1:39" hidden="1" x14ac:dyDescent="0.25">
      <c r="A588" s="127">
        <v>587</v>
      </c>
      <c r="B588" s="152" t="s">
        <v>3547</v>
      </c>
      <c r="C588" s="153" t="s">
        <v>3548</v>
      </c>
      <c r="D588" s="153" t="s">
        <v>3549</v>
      </c>
      <c r="E588" s="153" t="s">
        <v>4948</v>
      </c>
      <c r="F588" s="6"/>
      <c r="G588" s="6"/>
      <c r="H588" s="128">
        <f t="shared" si="10"/>
        <v>0</v>
      </c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</row>
    <row r="589" spans="1:39" hidden="1" x14ac:dyDescent="0.25">
      <c r="A589" s="127">
        <v>588</v>
      </c>
      <c r="B589" s="152" t="s">
        <v>3550</v>
      </c>
      <c r="C589" s="153" t="s">
        <v>3551</v>
      </c>
      <c r="D589" s="153" t="s">
        <v>3552</v>
      </c>
      <c r="E589" s="153" t="s">
        <v>2086</v>
      </c>
      <c r="F589" s="6"/>
      <c r="G589" s="6"/>
      <c r="H589" s="128">
        <f t="shared" si="10"/>
        <v>0</v>
      </c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</row>
    <row r="590" spans="1:39" hidden="1" x14ac:dyDescent="0.25">
      <c r="A590" s="127">
        <v>589</v>
      </c>
      <c r="B590" s="152" t="s">
        <v>1531</v>
      </c>
      <c r="C590" s="153" t="s">
        <v>3553</v>
      </c>
      <c r="D590" s="153" t="s">
        <v>3554</v>
      </c>
      <c r="E590" s="153" t="s">
        <v>2086</v>
      </c>
      <c r="F590" s="6"/>
      <c r="G590" s="6"/>
      <c r="H590" s="128">
        <f t="shared" si="10"/>
        <v>0</v>
      </c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  <c r="AA590" s="129"/>
      <c r="AB590" s="129"/>
      <c r="AC590" s="129"/>
      <c r="AD590" s="129"/>
      <c r="AE590" s="129"/>
      <c r="AF590" s="129"/>
      <c r="AG590" s="129"/>
      <c r="AH590" s="129"/>
      <c r="AI590" s="129"/>
      <c r="AJ590" s="129"/>
      <c r="AK590" s="129"/>
      <c r="AL590" s="129"/>
      <c r="AM590" s="129"/>
    </row>
    <row r="591" spans="1:39" hidden="1" x14ac:dyDescent="0.25">
      <c r="A591" s="127">
        <v>590</v>
      </c>
      <c r="B591" s="152" t="s">
        <v>19</v>
      </c>
      <c r="C591" s="153" t="s">
        <v>3555</v>
      </c>
      <c r="D591" s="153" t="s">
        <v>3556</v>
      </c>
      <c r="E591" s="153" t="s">
        <v>2086</v>
      </c>
      <c r="F591" s="6"/>
      <c r="G591" s="6"/>
      <c r="H591" s="128">
        <f t="shared" si="10"/>
        <v>0</v>
      </c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  <c r="AA591" s="129"/>
      <c r="AB591" s="129"/>
      <c r="AC591" s="129"/>
      <c r="AD591" s="129"/>
      <c r="AE591" s="129"/>
      <c r="AF591" s="129"/>
      <c r="AG591" s="129"/>
      <c r="AH591" s="129"/>
      <c r="AI591" s="129"/>
      <c r="AJ591" s="129"/>
      <c r="AK591" s="129"/>
      <c r="AL591" s="129"/>
      <c r="AM591" s="129"/>
    </row>
    <row r="592" spans="1:39" hidden="1" x14ac:dyDescent="0.25">
      <c r="A592" s="127">
        <v>591</v>
      </c>
      <c r="B592" s="152" t="s">
        <v>805</v>
      </c>
      <c r="C592" s="153" t="s">
        <v>3557</v>
      </c>
      <c r="D592" s="153" t="s">
        <v>3558</v>
      </c>
      <c r="E592" s="153" t="s">
        <v>2086</v>
      </c>
      <c r="F592" s="6"/>
      <c r="G592" s="6"/>
      <c r="H592" s="128">
        <f t="shared" si="10"/>
        <v>0</v>
      </c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  <c r="AA592" s="129"/>
      <c r="AB592" s="129"/>
      <c r="AC592" s="129"/>
      <c r="AD592" s="129"/>
      <c r="AE592" s="129"/>
      <c r="AF592" s="129"/>
      <c r="AG592" s="129"/>
      <c r="AH592" s="129"/>
      <c r="AI592" s="129"/>
      <c r="AJ592" s="129"/>
      <c r="AK592" s="129"/>
      <c r="AL592" s="129"/>
      <c r="AM592" s="129"/>
    </row>
    <row r="593" spans="1:39" hidden="1" x14ac:dyDescent="0.25">
      <c r="A593" s="127">
        <v>592</v>
      </c>
      <c r="B593" s="152" t="s">
        <v>3559</v>
      </c>
      <c r="C593" s="153" t="s">
        <v>3560</v>
      </c>
      <c r="D593" s="153" t="s">
        <v>3561</v>
      </c>
      <c r="E593" s="153" t="s">
        <v>4948</v>
      </c>
      <c r="F593" s="6"/>
      <c r="G593" s="6"/>
      <c r="H593" s="128">
        <f t="shared" si="10"/>
        <v>0</v>
      </c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  <c r="AA593" s="129"/>
      <c r="AB593" s="129"/>
      <c r="AC593" s="129"/>
      <c r="AD593" s="129"/>
      <c r="AE593" s="129"/>
      <c r="AF593" s="129"/>
      <c r="AG593" s="129"/>
      <c r="AH593" s="129"/>
      <c r="AI593" s="129"/>
      <c r="AJ593" s="129"/>
      <c r="AK593" s="129"/>
      <c r="AL593" s="129"/>
      <c r="AM593" s="129"/>
    </row>
    <row r="594" spans="1:39" hidden="1" x14ac:dyDescent="0.25">
      <c r="A594" s="127">
        <v>593</v>
      </c>
      <c r="B594" s="152" t="s">
        <v>725</v>
      </c>
      <c r="C594" s="153" t="s">
        <v>3562</v>
      </c>
      <c r="D594" s="153" t="s">
        <v>3563</v>
      </c>
      <c r="E594" s="153" t="s">
        <v>2086</v>
      </c>
      <c r="F594" s="6"/>
      <c r="G594" s="6"/>
      <c r="H594" s="128">
        <f t="shared" si="10"/>
        <v>0</v>
      </c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  <c r="AA594" s="129"/>
      <c r="AB594" s="129"/>
      <c r="AC594" s="129"/>
      <c r="AD594" s="129"/>
      <c r="AE594" s="129"/>
      <c r="AF594" s="129"/>
      <c r="AG594" s="129"/>
      <c r="AH594" s="129"/>
      <c r="AI594" s="129"/>
      <c r="AJ594" s="129"/>
      <c r="AK594" s="129"/>
      <c r="AL594" s="129"/>
      <c r="AM594" s="129"/>
    </row>
    <row r="595" spans="1:39" hidden="1" x14ac:dyDescent="0.25">
      <c r="A595" s="127">
        <v>594</v>
      </c>
      <c r="B595" s="155" t="s">
        <v>1877</v>
      </c>
      <c r="C595" s="156" t="s">
        <v>3564</v>
      </c>
      <c r="D595" s="156" t="s">
        <v>3565</v>
      </c>
      <c r="E595" s="153" t="s">
        <v>2086</v>
      </c>
      <c r="F595" s="6"/>
      <c r="G595" s="6"/>
      <c r="H595" s="128">
        <f t="shared" si="10"/>
        <v>0</v>
      </c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  <c r="AA595" s="129"/>
      <c r="AB595" s="129"/>
      <c r="AC595" s="129"/>
      <c r="AD595" s="129"/>
      <c r="AE595" s="129"/>
      <c r="AF595" s="129"/>
      <c r="AG595" s="129"/>
      <c r="AH595" s="129"/>
      <c r="AI595" s="129"/>
      <c r="AJ595" s="129"/>
      <c r="AK595" s="129"/>
      <c r="AL595" s="129"/>
      <c r="AM595" s="129"/>
    </row>
    <row r="596" spans="1:39" hidden="1" x14ac:dyDescent="0.25">
      <c r="A596" s="127">
        <v>595</v>
      </c>
      <c r="B596" s="155" t="s">
        <v>3566</v>
      </c>
      <c r="C596" s="156" t="s">
        <v>3567</v>
      </c>
      <c r="D596" s="156" t="s">
        <v>3568</v>
      </c>
      <c r="E596" s="153" t="s">
        <v>2086</v>
      </c>
      <c r="F596" s="6"/>
      <c r="G596" s="6"/>
      <c r="H596" s="128">
        <f t="shared" si="10"/>
        <v>0</v>
      </c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  <c r="AA596" s="129"/>
      <c r="AB596" s="129"/>
      <c r="AC596" s="129"/>
      <c r="AD596" s="129"/>
      <c r="AE596" s="129"/>
      <c r="AF596" s="129"/>
      <c r="AG596" s="129"/>
      <c r="AH596" s="129"/>
      <c r="AI596" s="129"/>
      <c r="AJ596" s="129"/>
      <c r="AK596" s="129"/>
      <c r="AL596" s="129"/>
      <c r="AM596" s="129"/>
    </row>
    <row r="597" spans="1:39" hidden="1" x14ac:dyDescent="0.25">
      <c r="A597" s="127">
        <v>596</v>
      </c>
      <c r="B597" s="152" t="s">
        <v>3569</v>
      </c>
      <c r="C597" s="153" t="s">
        <v>3570</v>
      </c>
      <c r="D597" s="153" t="s">
        <v>3571</v>
      </c>
      <c r="E597" s="153" t="s">
        <v>4948</v>
      </c>
      <c r="F597" s="6"/>
      <c r="G597" s="6"/>
      <c r="H597" s="128">
        <f t="shared" si="10"/>
        <v>0</v>
      </c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  <c r="AA597" s="129"/>
      <c r="AB597" s="129"/>
      <c r="AC597" s="129"/>
      <c r="AD597" s="129"/>
      <c r="AE597" s="129"/>
      <c r="AF597" s="129"/>
      <c r="AG597" s="129"/>
      <c r="AH597" s="129"/>
      <c r="AI597" s="129"/>
      <c r="AJ597" s="129"/>
      <c r="AK597" s="129"/>
      <c r="AL597" s="129"/>
      <c r="AM597" s="129"/>
    </row>
    <row r="598" spans="1:39" hidden="1" x14ac:dyDescent="0.25">
      <c r="A598" s="127">
        <v>597</v>
      </c>
      <c r="B598" s="152" t="s">
        <v>3572</v>
      </c>
      <c r="C598" s="153" t="s">
        <v>3573</v>
      </c>
      <c r="D598" s="153" t="s">
        <v>3574</v>
      </c>
      <c r="E598" s="153" t="s">
        <v>4948</v>
      </c>
      <c r="F598" s="6"/>
      <c r="G598" s="6"/>
      <c r="H598" s="128">
        <f t="shared" si="10"/>
        <v>0</v>
      </c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  <c r="AA598" s="129"/>
      <c r="AB598" s="129"/>
      <c r="AC598" s="129"/>
      <c r="AD598" s="129"/>
      <c r="AE598" s="129"/>
      <c r="AF598" s="129"/>
      <c r="AG598" s="129"/>
      <c r="AH598" s="129"/>
      <c r="AI598" s="129"/>
      <c r="AJ598" s="129"/>
      <c r="AK598" s="129"/>
      <c r="AL598" s="129"/>
      <c r="AM598" s="129"/>
    </row>
    <row r="599" spans="1:39" hidden="1" x14ac:dyDescent="0.25">
      <c r="A599" s="127">
        <v>598</v>
      </c>
      <c r="B599" s="152" t="s">
        <v>3575</v>
      </c>
      <c r="C599" s="153" t="s">
        <v>3576</v>
      </c>
      <c r="D599" s="153" t="s">
        <v>3577</v>
      </c>
      <c r="E599" s="153" t="s">
        <v>4948</v>
      </c>
      <c r="F599" s="6"/>
      <c r="G599" s="6"/>
      <c r="H599" s="128">
        <f t="shared" si="10"/>
        <v>0</v>
      </c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  <c r="AA599" s="129"/>
      <c r="AB599" s="129"/>
      <c r="AC599" s="129"/>
      <c r="AD599" s="129"/>
      <c r="AE599" s="129"/>
      <c r="AF599" s="129"/>
      <c r="AG599" s="129"/>
      <c r="AH599" s="129"/>
      <c r="AI599" s="129"/>
      <c r="AJ599" s="129"/>
      <c r="AK599" s="129"/>
      <c r="AL599" s="129"/>
      <c r="AM599" s="129"/>
    </row>
    <row r="600" spans="1:39" hidden="1" x14ac:dyDescent="0.25">
      <c r="A600" s="127">
        <v>599</v>
      </c>
      <c r="B600" s="152" t="s">
        <v>3578</v>
      </c>
      <c r="C600" s="153" t="s">
        <v>3579</v>
      </c>
      <c r="D600" s="153" t="s">
        <v>3580</v>
      </c>
      <c r="E600" s="153" t="s">
        <v>2086</v>
      </c>
      <c r="F600" s="6"/>
      <c r="G600" s="6"/>
      <c r="H600" s="128">
        <f t="shared" si="10"/>
        <v>0</v>
      </c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  <c r="AA600" s="129"/>
      <c r="AB600" s="129"/>
      <c r="AC600" s="129"/>
      <c r="AD600" s="129"/>
      <c r="AE600" s="129"/>
      <c r="AF600" s="129"/>
      <c r="AG600" s="129"/>
      <c r="AH600" s="129"/>
      <c r="AI600" s="129"/>
      <c r="AJ600" s="129"/>
      <c r="AK600" s="129"/>
      <c r="AL600" s="129"/>
      <c r="AM600" s="129"/>
    </row>
    <row r="601" spans="1:39" hidden="1" x14ac:dyDescent="0.25">
      <c r="A601" s="127">
        <v>600</v>
      </c>
      <c r="B601" s="152" t="s">
        <v>33</v>
      </c>
      <c r="C601" s="153" t="s">
        <v>3581</v>
      </c>
      <c r="D601" s="153" t="s">
        <v>3582</v>
      </c>
      <c r="E601" s="153" t="s">
        <v>2086</v>
      </c>
      <c r="F601" s="6"/>
      <c r="G601" s="6"/>
      <c r="H601" s="128">
        <f t="shared" si="10"/>
        <v>0</v>
      </c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  <c r="AA601" s="129"/>
      <c r="AB601" s="129"/>
      <c r="AC601" s="129"/>
      <c r="AD601" s="129"/>
      <c r="AE601" s="129"/>
      <c r="AF601" s="129"/>
      <c r="AG601" s="129"/>
      <c r="AH601" s="129"/>
      <c r="AI601" s="129"/>
      <c r="AJ601" s="129"/>
      <c r="AK601" s="129"/>
      <c r="AL601" s="129"/>
      <c r="AM601" s="129"/>
    </row>
    <row r="602" spans="1:39" hidden="1" x14ac:dyDescent="0.25">
      <c r="A602" s="127">
        <v>601</v>
      </c>
      <c r="B602" s="152" t="s">
        <v>3583</v>
      </c>
      <c r="C602" s="153" t="s">
        <v>3584</v>
      </c>
      <c r="D602" s="153" t="s">
        <v>3585</v>
      </c>
      <c r="E602" s="153" t="s">
        <v>4948</v>
      </c>
      <c r="F602" s="6"/>
      <c r="G602" s="6"/>
      <c r="H602" s="128">
        <f t="shared" si="10"/>
        <v>0</v>
      </c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  <c r="AA602" s="129"/>
      <c r="AB602" s="129"/>
      <c r="AC602" s="129"/>
      <c r="AD602" s="129"/>
      <c r="AE602" s="129"/>
      <c r="AF602" s="129"/>
      <c r="AG602" s="129"/>
      <c r="AH602" s="129"/>
      <c r="AI602" s="129"/>
      <c r="AJ602" s="129"/>
      <c r="AK602" s="129"/>
      <c r="AL602" s="129"/>
      <c r="AM602" s="129"/>
    </row>
    <row r="603" spans="1:39" hidden="1" x14ac:dyDescent="0.25">
      <c r="A603" s="127">
        <v>602</v>
      </c>
      <c r="B603" s="152" t="s">
        <v>1455</v>
      </c>
      <c r="C603" s="153" t="s">
        <v>3586</v>
      </c>
      <c r="D603" s="153" t="s">
        <v>3587</v>
      </c>
      <c r="E603" s="153" t="s">
        <v>4948</v>
      </c>
      <c r="F603" s="6"/>
      <c r="G603" s="6"/>
      <c r="H603" s="128">
        <f t="shared" si="10"/>
        <v>0</v>
      </c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  <c r="AA603" s="129"/>
      <c r="AB603" s="129"/>
      <c r="AC603" s="129"/>
      <c r="AD603" s="129"/>
      <c r="AE603" s="129"/>
      <c r="AF603" s="129"/>
      <c r="AG603" s="129"/>
      <c r="AH603" s="129"/>
      <c r="AI603" s="129"/>
      <c r="AJ603" s="129"/>
      <c r="AK603" s="129"/>
      <c r="AL603" s="129"/>
      <c r="AM603" s="129"/>
    </row>
    <row r="604" spans="1:39" hidden="1" x14ac:dyDescent="0.25">
      <c r="A604" s="127">
        <v>603</v>
      </c>
      <c r="B604" s="152" t="s">
        <v>914</v>
      </c>
      <c r="C604" s="153" t="s">
        <v>3588</v>
      </c>
      <c r="D604" s="153" t="s">
        <v>3589</v>
      </c>
      <c r="E604" s="153" t="s">
        <v>2086</v>
      </c>
      <c r="F604" s="6"/>
      <c r="G604" s="6"/>
      <c r="H604" s="128">
        <f t="shared" si="10"/>
        <v>0</v>
      </c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  <c r="AA604" s="129"/>
      <c r="AB604" s="129"/>
      <c r="AC604" s="129"/>
      <c r="AD604" s="129"/>
      <c r="AE604" s="129"/>
      <c r="AF604" s="129"/>
      <c r="AG604" s="129"/>
      <c r="AH604" s="129"/>
      <c r="AI604" s="129"/>
      <c r="AJ604" s="129"/>
      <c r="AK604" s="129"/>
      <c r="AL604" s="129"/>
      <c r="AM604" s="129"/>
    </row>
    <row r="605" spans="1:39" hidden="1" x14ac:dyDescent="0.25">
      <c r="A605" s="127">
        <v>604</v>
      </c>
      <c r="B605" s="152" t="s">
        <v>854</v>
      </c>
      <c r="C605" s="153" t="s">
        <v>3590</v>
      </c>
      <c r="D605" s="153" t="s">
        <v>3591</v>
      </c>
      <c r="E605" s="153" t="s">
        <v>4948</v>
      </c>
      <c r="F605" s="6"/>
      <c r="G605" s="6"/>
      <c r="H605" s="128">
        <f t="shared" si="10"/>
        <v>0</v>
      </c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  <c r="AA605" s="129"/>
      <c r="AB605" s="129"/>
      <c r="AC605" s="129"/>
      <c r="AD605" s="129"/>
      <c r="AE605" s="129"/>
      <c r="AF605" s="129"/>
      <c r="AG605" s="129"/>
      <c r="AH605" s="129"/>
      <c r="AI605" s="129"/>
      <c r="AJ605" s="129"/>
      <c r="AK605" s="129"/>
      <c r="AL605" s="129"/>
      <c r="AM605" s="129"/>
    </row>
    <row r="606" spans="1:39" hidden="1" x14ac:dyDescent="0.25">
      <c r="A606" s="127">
        <v>605</v>
      </c>
      <c r="B606" s="152" t="s">
        <v>948</v>
      </c>
      <c r="C606" s="153" t="s">
        <v>3592</v>
      </c>
      <c r="D606" s="153" t="s">
        <v>3593</v>
      </c>
      <c r="E606" s="153" t="s">
        <v>4948</v>
      </c>
      <c r="F606" s="6"/>
      <c r="G606" s="6"/>
      <c r="H606" s="128">
        <f t="shared" si="10"/>
        <v>0</v>
      </c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  <c r="AA606" s="129"/>
      <c r="AB606" s="129"/>
      <c r="AC606" s="129"/>
      <c r="AD606" s="129"/>
      <c r="AE606" s="129"/>
      <c r="AF606" s="129"/>
      <c r="AG606" s="129"/>
      <c r="AH606" s="129"/>
      <c r="AI606" s="129"/>
      <c r="AJ606" s="129"/>
      <c r="AK606" s="129"/>
      <c r="AL606" s="129"/>
      <c r="AM606" s="129"/>
    </row>
    <row r="607" spans="1:39" hidden="1" x14ac:dyDescent="0.25">
      <c r="A607" s="127">
        <v>606</v>
      </c>
      <c r="B607" s="152" t="s">
        <v>838</v>
      </c>
      <c r="C607" s="153" t="s">
        <v>3594</v>
      </c>
      <c r="D607" s="153" t="s">
        <v>3595</v>
      </c>
      <c r="E607" s="153" t="s">
        <v>2086</v>
      </c>
      <c r="F607" s="6"/>
      <c r="G607" s="6"/>
      <c r="H607" s="128">
        <f t="shared" si="10"/>
        <v>112000</v>
      </c>
      <c r="I607" s="129">
        <v>112000</v>
      </c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  <c r="AA607" s="129"/>
      <c r="AB607" s="129"/>
      <c r="AC607" s="129"/>
      <c r="AD607" s="129"/>
      <c r="AE607" s="129"/>
      <c r="AF607" s="129"/>
      <c r="AG607" s="129"/>
      <c r="AH607" s="129"/>
      <c r="AI607" s="129"/>
      <c r="AJ607" s="129"/>
      <c r="AK607" s="129"/>
      <c r="AL607" s="129"/>
      <c r="AM607" s="129"/>
    </row>
    <row r="608" spans="1:39" hidden="1" x14ac:dyDescent="0.25">
      <c r="A608" s="127">
        <v>607</v>
      </c>
      <c r="B608" s="152" t="s">
        <v>3596</v>
      </c>
      <c r="C608" s="153" t="s">
        <v>3597</v>
      </c>
      <c r="D608" s="153" t="s">
        <v>3598</v>
      </c>
      <c r="E608" s="153" t="s">
        <v>4948</v>
      </c>
      <c r="F608" s="6"/>
      <c r="G608" s="6"/>
      <c r="H608" s="128">
        <f t="shared" si="10"/>
        <v>0</v>
      </c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  <c r="AA608" s="129"/>
      <c r="AB608" s="129"/>
      <c r="AC608" s="129"/>
      <c r="AD608" s="129"/>
      <c r="AE608" s="129"/>
      <c r="AF608" s="129"/>
      <c r="AG608" s="129"/>
      <c r="AH608" s="129"/>
      <c r="AI608" s="129"/>
      <c r="AJ608" s="129"/>
      <c r="AK608" s="129"/>
      <c r="AL608" s="129"/>
      <c r="AM608" s="129"/>
    </row>
    <row r="609" spans="1:39" hidden="1" x14ac:dyDescent="0.25">
      <c r="A609" s="127">
        <v>608</v>
      </c>
      <c r="B609" s="152" t="s">
        <v>1178</v>
      </c>
      <c r="C609" s="153" t="s">
        <v>3599</v>
      </c>
      <c r="D609" s="153" t="s">
        <v>3600</v>
      </c>
      <c r="E609" s="153" t="s">
        <v>2086</v>
      </c>
      <c r="F609" s="6"/>
      <c r="G609" s="6"/>
      <c r="H609" s="128">
        <f t="shared" si="10"/>
        <v>0</v>
      </c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  <c r="AA609" s="129"/>
      <c r="AB609" s="129"/>
      <c r="AC609" s="129"/>
      <c r="AD609" s="129"/>
      <c r="AE609" s="129"/>
      <c r="AF609" s="129"/>
      <c r="AG609" s="129"/>
      <c r="AH609" s="129"/>
      <c r="AI609" s="129"/>
      <c r="AJ609" s="129"/>
      <c r="AK609" s="129"/>
      <c r="AL609" s="129"/>
      <c r="AM609" s="129"/>
    </row>
    <row r="610" spans="1:39" hidden="1" x14ac:dyDescent="0.25">
      <c r="A610" s="127">
        <v>609</v>
      </c>
      <c r="B610" s="152" t="s">
        <v>1158</v>
      </c>
      <c r="C610" s="153" t="s">
        <v>3601</v>
      </c>
      <c r="D610" s="153" t="s">
        <v>3602</v>
      </c>
      <c r="E610" s="153" t="s">
        <v>2086</v>
      </c>
      <c r="F610" s="6"/>
      <c r="G610" s="6"/>
      <c r="H610" s="128">
        <f t="shared" si="10"/>
        <v>0</v>
      </c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  <c r="AA610" s="129"/>
      <c r="AB610" s="129"/>
      <c r="AC610" s="129"/>
      <c r="AD610" s="129"/>
      <c r="AE610" s="129"/>
      <c r="AF610" s="129"/>
      <c r="AG610" s="129"/>
      <c r="AH610" s="129"/>
      <c r="AI610" s="129"/>
      <c r="AJ610" s="129"/>
      <c r="AK610" s="129"/>
      <c r="AL610" s="129"/>
      <c r="AM610" s="129"/>
    </row>
    <row r="611" spans="1:39" hidden="1" x14ac:dyDescent="0.25">
      <c r="A611" s="127">
        <v>610</v>
      </c>
      <c r="B611" s="152" t="s">
        <v>1587</v>
      </c>
      <c r="C611" s="153" t="s">
        <v>3603</v>
      </c>
      <c r="D611" s="153" t="s">
        <v>3604</v>
      </c>
      <c r="E611" s="153" t="s">
        <v>2086</v>
      </c>
      <c r="F611" s="6"/>
      <c r="G611" s="6"/>
      <c r="H611" s="128">
        <f t="shared" si="10"/>
        <v>5000</v>
      </c>
      <c r="I611" s="129">
        <v>5000</v>
      </c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  <c r="AA611" s="129"/>
      <c r="AB611" s="129"/>
      <c r="AC611" s="129"/>
      <c r="AD611" s="129"/>
      <c r="AE611" s="129"/>
      <c r="AF611" s="129"/>
      <c r="AG611" s="129"/>
      <c r="AH611" s="129"/>
      <c r="AI611" s="129"/>
      <c r="AJ611" s="129"/>
      <c r="AK611" s="129"/>
      <c r="AL611" s="129"/>
      <c r="AM611" s="129"/>
    </row>
    <row r="612" spans="1:39" hidden="1" x14ac:dyDescent="0.25">
      <c r="A612" s="127">
        <v>611</v>
      </c>
      <c r="B612" s="152" t="s">
        <v>3605</v>
      </c>
      <c r="C612" s="153" t="s">
        <v>3606</v>
      </c>
      <c r="D612" s="153" t="s">
        <v>3607</v>
      </c>
      <c r="E612" s="153" t="s">
        <v>2086</v>
      </c>
      <c r="F612" s="6"/>
      <c r="G612" s="6"/>
      <c r="H612" s="128">
        <f t="shared" si="10"/>
        <v>0</v>
      </c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  <c r="AA612" s="129"/>
      <c r="AB612" s="129"/>
      <c r="AC612" s="129"/>
      <c r="AD612" s="129"/>
      <c r="AE612" s="129"/>
      <c r="AF612" s="129"/>
      <c r="AG612" s="129"/>
      <c r="AH612" s="129"/>
      <c r="AI612" s="129"/>
      <c r="AJ612" s="129"/>
      <c r="AK612" s="129"/>
      <c r="AL612" s="129"/>
      <c r="AM612" s="129"/>
    </row>
    <row r="613" spans="1:39" hidden="1" x14ac:dyDescent="0.25">
      <c r="A613" s="127">
        <v>612</v>
      </c>
      <c r="B613" s="152" t="s">
        <v>3608</v>
      </c>
      <c r="C613" s="153" t="s">
        <v>3609</v>
      </c>
      <c r="D613" s="153" t="s">
        <v>3610</v>
      </c>
      <c r="E613" s="153" t="s">
        <v>2086</v>
      </c>
      <c r="F613" s="6"/>
      <c r="G613" s="6"/>
      <c r="H613" s="128">
        <f t="shared" si="10"/>
        <v>0</v>
      </c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  <c r="AA613" s="129"/>
      <c r="AB613" s="129"/>
      <c r="AC613" s="129"/>
      <c r="AD613" s="129"/>
      <c r="AE613" s="129"/>
      <c r="AF613" s="129"/>
      <c r="AG613" s="129"/>
      <c r="AH613" s="129"/>
      <c r="AI613" s="129"/>
      <c r="AJ613" s="129"/>
      <c r="AK613" s="129"/>
      <c r="AL613" s="129"/>
      <c r="AM613" s="129"/>
    </row>
    <row r="614" spans="1:39" hidden="1" x14ac:dyDescent="0.25">
      <c r="A614" s="127">
        <v>613</v>
      </c>
      <c r="B614" s="152" t="s">
        <v>3611</v>
      </c>
      <c r="C614" s="153" t="s">
        <v>3612</v>
      </c>
      <c r="D614" s="153" t="s">
        <v>3613</v>
      </c>
      <c r="E614" s="153" t="s">
        <v>2086</v>
      </c>
      <c r="F614" s="6"/>
      <c r="G614" s="6"/>
      <c r="H614" s="128">
        <f t="shared" si="10"/>
        <v>0</v>
      </c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</row>
    <row r="615" spans="1:39" hidden="1" x14ac:dyDescent="0.25">
      <c r="A615" s="127">
        <v>614</v>
      </c>
      <c r="B615" s="152" t="s">
        <v>3614</v>
      </c>
      <c r="C615" s="153" t="s">
        <v>3615</v>
      </c>
      <c r="D615" s="153" t="s">
        <v>3616</v>
      </c>
      <c r="E615" s="153" t="s">
        <v>2086</v>
      </c>
      <c r="F615" s="6"/>
      <c r="G615" s="6"/>
      <c r="H615" s="128">
        <f t="shared" si="10"/>
        <v>0</v>
      </c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</row>
    <row r="616" spans="1:39" hidden="1" x14ac:dyDescent="0.25">
      <c r="A616" s="127">
        <v>615</v>
      </c>
      <c r="B616" s="152" t="s">
        <v>3617</v>
      </c>
      <c r="C616" s="153" t="s">
        <v>3618</v>
      </c>
      <c r="D616" s="153" t="s">
        <v>3619</v>
      </c>
      <c r="E616" s="153" t="s">
        <v>4948</v>
      </c>
      <c r="F616" s="6"/>
      <c r="G616" s="6"/>
      <c r="H616" s="128">
        <f t="shared" si="10"/>
        <v>0</v>
      </c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  <c r="AA616" s="129"/>
      <c r="AB616" s="129"/>
      <c r="AC616" s="129"/>
      <c r="AD616" s="129"/>
      <c r="AE616" s="129"/>
      <c r="AF616" s="129"/>
      <c r="AG616" s="129"/>
      <c r="AH616" s="129"/>
      <c r="AI616" s="129"/>
      <c r="AJ616" s="129"/>
      <c r="AK616" s="129"/>
      <c r="AL616" s="129"/>
      <c r="AM616" s="129"/>
    </row>
    <row r="617" spans="1:39" hidden="1" x14ac:dyDescent="0.25">
      <c r="A617" s="127">
        <v>616</v>
      </c>
      <c r="B617" s="152" t="s">
        <v>3620</v>
      </c>
      <c r="C617" s="153" t="s">
        <v>3621</v>
      </c>
      <c r="D617" s="153" t="s">
        <v>3622</v>
      </c>
      <c r="E617" s="153" t="s">
        <v>4948</v>
      </c>
      <c r="F617" s="6"/>
      <c r="G617" s="6"/>
      <c r="H617" s="128">
        <f t="shared" si="10"/>
        <v>0</v>
      </c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29"/>
      <c r="AL617" s="129"/>
      <c r="AM617" s="129"/>
    </row>
    <row r="618" spans="1:39" hidden="1" x14ac:dyDescent="0.25">
      <c r="A618" s="127">
        <v>617</v>
      </c>
      <c r="B618" s="152" t="s">
        <v>3623</v>
      </c>
      <c r="C618" s="153" t="s">
        <v>3624</v>
      </c>
      <c r="D618" s="153" t="s">
        <v>3625</v>
      </c>
      <c r="E618" s="153" t="s">
        <v>4948</v>
      </c>
      <c r="F618" s="6"/>
      <c r="G618" s="6"/>
      <c r="H618" s="128">
        <f t="shared" si="10"/>
        <v>0</v>
      </c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</row>
    <row r="619" spans="1:39" hidden="1" x14ac:dyDescent="0.25">
      <c r="A619" s="127">
        <v>618</v>
      </c>
      <c r="B619" s="155" t="s">
        <v>3626</v>
      </c>
      <c r="C619" s="156" t="s">
        <v>3627</v>
      </c>
      <c r="D619" s="156" t="s">
        <v>3628</v>
      </c>
      <c r="E619" s="153" t="s">
        <v>4948</v>
      </c>
      <c r="F619" s="6"/>
      <c r="G619" s="6"/>
      <c r="H619" s="128">
        <f t="shared" si="10"/>
        <v>0</v>
      </c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</row>
    <row r="620" spans="1:39" hidden="1" x14ac:dyDescent="0.25">
      <c r="A620" s="127">
        <v>619</v>
      </c>
      <c r="B620" s="152" t="s">
        <v>3629</v>
      </c>
      <c r="C620" s="153" t="s">
        <v>3630</v>
      </c>
      <c r="D620" s="153" t="s">
        <v>3631</v>
      </c>
      <c r="E620" s="153" t="s">
        <v>4948</v>
      </c>
      <c r="F620" s="6"/>
      <c r="G620" s="6"/>
      <c r="H620" s="128">
        <f t="shared" si="10"/>
        <v>0</v>
      </c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</row>
    <row r="621" spans="1:39" hidden="1" x14ac:dyDescent="0.25">
      <c r="A621" s="127">
        <v>620</v>
      </c>
      <c r="B621" s="152" t="s">
        <v>3632</v>
      </c>
      <c r="C621" s="153" t="s">
        <v>3633</v>
      </c>
      <c r="D621" s="153" t="s">
        <v>3634</v>
      </c>
      <c r="E621" s="153" t="s">
        <v>4948</v>
      </c>
      <c r="F621" s="6"/>
      <c r="G621" s="6"/>
      <c r="H621" s="128">
        <f t="shared" si="10"/>
        <v>0</v>
      </c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</row>
    <row r="622" spans="1:39" hidden="1" x14ac:dyDescent="0.25">
      <c r="A622" s="127">
        <v>621</v>
      </c>
      <c r="B622" s="152" t="s">
        <v>1234</v>
      </c>
      <c r="C622" s="153" t="s">
        <v>3635</v>
      </c>
      <c r="D622" s="153" t="s">
        <v>3636</v>
      </c>
      <c r="E622" s="153" t="s">
        <v>2086</v>
      </c>
      <c r="F622" s="6"/>
      <c r="G622" s="6"/>
      <c r="H622" s="128">
        <f t="shared" si="10"/>
        <v>0</v>
      </c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</row>
    <row r="623" spans="1:39" hidden="1" x14ac:dyDescent="0.25">
      <c r="A623" s="127">
        <v>622</v>
      </c>
      <c r="B623" s="152" t="s">
        <v>204</v>
      </c>
      <c r="C623" s="153" t="s">
        <v>3637</v>
      </c>
      <c r="D623" s="153" t="s">
        <v>3638</v>
      </c>
      <c r="E623" s="153" t="s">
        <v>4948</v>
      </c>
      <c r="F623" s="6"/>
      <c r="G623" s="6"/>
      <c r="H623" s="128">
        <f t="shared" si="10"/>
        <v>0</v>
      </c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</row>
    <row r="624" spans="1:39" hidden="1" x14ac:dyDescent="0.25">
      <c r="A624" s="127">
        <v>623</v>
      </c>
      <c r="B624" s="152" t="s">
        <v>202</v>
      </c>
      <c r="C624" s="153" t="s">
        <v>3639</v>
      </c>
      <c r="D624" s="153" t="s">
        <v>3640</v>
      </c>
      <c r="E624" s="153" t="s">
        <v>2086</v>
      </c>
      <c r="F624" s="6"/>
      <c r="G624" s="6"/>
      <c r="H624" s="128">
        <f t="shared" si="10"/>
        <v>0</v>
      </c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</row>
    <row r="625" spans="1:39" hidden="1" x14ac:dyDescent="0.25">
      <c r="A625" s="127">
        <v>624</v>
      </c>
      <c r="B625" s="152" t="s">
        <v>723</v>
      </c>
      <c r="C625" s="153" t="s">
        <v>3641</v>
      </c>
      <c r="D625" s="153" t="s">
        <v>3642</v>
      </c>
      <c r="E625" s="153" t="s">
        <v>49</v>
      </c>
      <c r="F625" s="6"/>
      <c r="G625" s="6"/>
      <c r="H625" s="128">
        <f t="shared" si="10"/>
        <v>0</v>
      </c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</row>
    <row r="626" spans="1:39" hidden="1" x14ac:dyDescent="0.25">
      <c r="A626" s="127">
        <v>625</v>
      </c>
      <c r="B626" s="152" t="s">
        <v>3643</v>
      </c>
      <c r="C626" s="153" t="s">
        <v>3644</v>
      </c>
      <c r="D626" s="153" t="s">
        <v>3645</v>
      </c>
      <c r="E626" s="153" t="s">
        <v>4948</v>
      </c>
      <c r="F626" s="6"/>
      <c r="G626" s="6"/>
      <c r="H626" s="128">
        <f t="shared" si="10"/>
        <v>0</v>
      </c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</row>
    <row r="627" spans="1:39" hidden="1" x14ac:dyDescent="0.25">
      <c r="A627" s="127">
        <v>626</v>
      </c>
      <c r="B627" s="152" t="s">
        <v>3646</v>
      </c>
      <c r="C627" s="153" t="s">
        <v>3647</v>
      </c>
      <c r="D627" s="153" t="s">
        <v>3648</v>
      </c>
      <c r="E627" s="153" t="s">
        <v>4948</v>
      </c>
      <c r="F627" s="6"/>
      <c r="G627" s="6"/>
      <c r="H627" s="128">
        <f t="shared" si="10"/>
        <v>0</v>
      </c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</row>
    <row r="628" spans="1:39" hidden="1" x14ac:dyDescent="0.25">
      <c r="A628" s="127">
        <v>627</v>
      </c>
      <c r="B628" s="152" t="s">
        <v>3649</v>
      </c>
      <c r="C628" s="153" t="s">
        <v>3650</v>
      </c>
      <c r="D628" s="153" t="s">
        <v>3651</v>
      </c>
      <c r="E628" s="153" t="s">
        <v>4948</v>
      </c>
      <c r="F628" s="6"/>
      <c r="G628" s="6"/>
      <c r="H628" s="128">
        <f t="shared" si="10"/>
        <v>0</v>
      </c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  <c r="AA628" s="129"/>
      <c r="AB628" s="129"/>
      <c r="AC628" s="129"/>
      <c r="AD628" s="129"/>
      <c r="AE628" s="129"/>
      <c r="AF628" s="129"/>
      <c r="AG628" s="129"/>
      <c r="AH628" s="129"/>
      <c r="AI628" s="129"/>
      <c r="AJ628" s="129"/>
      <c r="AK628" s="129"/>
      <c r="AL628" s="129"/>
      <c r="AM628" s="129"/>
    </row>
    <row r="629" spans="1:39" hidden="1" x14ac:dyDescent="0.25">
      <c r="A629" s="127">
        <v>628</v>
      </c>
      <c r="B629" s="152" t="s">
        <v>1944</v>
      </c>
      <c r="C629" s="153" t="s">
        <v>3652</v>
      </c>
      <c r="D629" s="153" t="s">
        <v>3653</v>
      </c>
      <c r="E629" s="153" t="s">
        <v>4948</v>
      </c>
      <c r="F629" s="6"/>
      <c r="G629" s="6"/>
      <c r="H629" s="128">
        <f t="shared" si="10"/>
        <v>0</v>
      </c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  <c r="AA629" s="129"/>
      <c r="AB629" s="129"/>
      <c r="AC629" s="129"/>
      <c r="AD629" s="129"/>
      <c r="AE629" s="129"/>
      <c r="AF629" s="129"/>
      <c r="AG629" s="129"/>
      <c r="AH629" s="129"/>
      <c r="AI629" s="129"/>
      <c r="AJ629" s="129"/>
      <c r="AK629" s="129"/>
      <c r="AL629" s="129"/>
      <c r="AM629" s="129"/>
    </row>
    <row r="630" spans="1:39" hidden="1" x14ac:dyDescent="0.25">
      <c r="A630" s="127">
        <v>629</v>
      </c>
      <c r="B630" s="152" t="s">
        <v>228</v>
      </c>
      <c r="C630" s="153" t="s">
        <v>3654</v>
      </c>
      <c r="D630" s="153" t="s">
        <v>3655</v>
      </c>
      <c r="E630" s="153" t="s">
        <v>2086</v>
      </c>
      <c r="F630" s="6"/>
      <c r="G630" s="6"/>
      <c r="H630" s="128">
        <f t="shared" si="10"/>
        <v>0</v>
      </c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  <c r="AA630" s="129"/>
      <c r="AB630" s="129"/>
      <c r="AC630" s="129"/>
      <c r="AD630" s="129"/>
      <c r="AE630" s="129"/>
      <c r="AF630" s="129"/>
      <c r="AG630" s="129"/>
      <c r="AH630" s="129"/>
      <c r="AI630" s="129"/>
      <c r="AJ630" s="129"/>
      <c r="AK630" s="129"/>
      <c r="AL630" s="129"/>
      <c r="AM630" s="129"/>
    </row>
    <row r="631" spans="1:39" hidden="1" x14ac:dyDescent="0.25">
      <c r="A631" s="127">
        <v>630</v>
      </c>
      <c r="B631" s="152" t="s">
        <v>226</v>
      </c>
      <c r="C631" s="153" t="s">
        <v>3656</v>
      </c>
      <c r="D631" s="153" t="s">
        <v>3657</v>
      </c>
      <c r="E631" s="153" t="s">
        <v>2086</v>
      </c>
      <c r="F631" s="6"/>
      <c r="G631" s="6"/>
      <c r="H631" s="128">
        <f t="shared" si="10"/>
        <v>0</v>
      </c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  <c r="AA631" s="129"/>
      <c r="AB631" s="129"/>
      <c r="AC631" s="129"/>
      <c r="AD631" s="129"/>
      <c r="AE631" s="129"/>
      <c r="AF631" s="129"/>
      <c r="AG631" s="129"/>
      <c r="AH631" s="129"/>
      <c r="AI631" s="129"/>
      <c r="AJ631" s="129"/>
      <c r="AK631" s="129"/>
      <c r="AL631" s="129"/>
      <c r="AM631" s="129"/>
    </row>
    <row r="632" spans="1:39" hidden="1" x14ac:dyDescent="0.25">
      <c r="A632" s="127">
        <v>631</v>
      </c>
      <c r="B632" s="152" t="s">
        <v>3658</v>
      </c>
      <c r="C632" s="153" t="s">
        <v>3659</v>
      </c>
      <c r="D632" s="153" t="s">
        <v>3660</v>
      </c>
      <c r="E632" s="153" t="s">
        <v>2086</v>
      </c>
      <c r="F632" s="6"/>
      <c r="G632" s="6"/>
      <c r="H632" s="128">
        <f t="shared" si="10"/>
        <v>0</v>
      </c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  <c r="AA632" s="129"/>
      <c r="AB632" s="129"/>
      <c r="AC632" s="129"/>
      <c r="AD632" s="129"/>
      <c r="AE632" s="129"/>
      <c r="AF632" s="129"/>
      <c r="AG632" s="129"/>
      <c r="AH632" s="129"/>
      <c r="AI632" s="129"/>
      <c r="AJ632" s="129"/>
      <c r="AK632" s="129"/>
      <c r="AL632" s="129"/>
      <c r="AM632" s="129"/>
    </row>
    <row r="633" spans="1:39" hidden="1" x14ac:dyDescent="0.25">
      <c r="A633" s="127">
        <v>632</v>
      </c>
      <c r="B633" s="152" t="s">
        <v>3661</v>
      </c>
      <c r="C633" s="153" t="s">
        <v>3662</v>
      </c>
      <c r="D633" s="153" t="s">
        <v>3663</v>
      </c>
      <c r="E633" s="153" t="s">
        <v>2086</v>
      </c>
      <c r="F633" s="6"/>
      <c r="G633" s="6"/>
      <c r="H633" s="128">
        <f t="shared" si="10"/>
        <v>0</v>
      </c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  <c r="AA633" s="129"/>
      <c r="AB633" s="129"/>
      <c r="AC633" s="129"/>
      <c r="AD633" s="129"/>
      <c r="AE633" s="129"/>
      <c r="AF633" s="129"/>
      <c r="AG633" s="129"/>
      <c r="AH633" s="129"/>
      <c r="AI633" s="129"/>
      <c r="AJ633" s="129"/>
      <c r="AK633" s="129"/>
      <c r="AL633" s="129"/>
      <c r="AM633" s="129"/>
    </row>
    <row r="634" spans="1:39" hidden="1" x14ac:dyDescent="0.25">
      <c r="A634" s="127">
        <v>633</v>
      </c>
      <c r="B634" s="152" t="s">
        <v>1897</v>
      </c>
      <c r="C634" s="153" t="s">
        <v>3664</v>
      </c>
      <c r="D634" s="153" t="s">
        <v>1899</v>
      </c>
      <c r="E634" s="153" t="s">
        <v>2086</v>
      </c>
      <c r="F634" s="6"/>
      <c r="G634" s="6"/>
      <c r="H634" s="128">
        <f t="shared" si="10"/>
        <v>0</v>
      </c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  <c r="AA634" s="129"/>
      <c r="AB634" s="129"/>
      <c r="AC634" s="129"/>
      <c r="AD634" s="129"/>
      <c r="AE634" s="129"/>
      <c r="AF634" s="129"/>
      <c r="AG634" s="129"/>
      <c r="AH634" s="129"/>
      <c r="AI634" s="129"/>
      <c r="AJ634" s="129"/>
      <c r="AK634" s="129"/>
      <c r="AL634" s="129"/>
      <c r="AM634" s="129"/>
    </row>
    <row r="635" spans="1:39" hidden="1" x14ac:dyDescent="0.25">
      <c r="A635" s="127">
        <v>634</v>
      </c>
      <c r="B635" s="152" t="s">
        <v>3665</v>
      </c>
      <c r="C635" s="153" t="s">
        <v>3666</v>
      </c>
      <c r="D635" s="153" t="s">
        <v>3667</v>
      </c>
      <c r="E635" s="153" t="s">
        <v>2086</v>
      </c>
      <c r="F635" s="6"/>
      <c r="G635" s="6"/>
      <c r="H635" s="128">
        <f t="shared" si="10"/>
        <v>0</v>
      </c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  <c r="AA635" s="129"/>
      <c r="AB635" s="129"/>
      <c r="AC635" s="129"/>
      <c r="AD635" s="129"/>
      <c r="AE635" s="129"/>
      <c r="AF635" s="129"/>
      <c r="AG635" s="129"/>
      <c r="AH635" s="129"/>
      <c r="AI635" s="129"/>
      <c r="AJ635" s="129"/>
      <c r="AK635" s="129"/>
      <c r="AL635" s="129"/>
      <c r="AM635" s="129"/>
    </row>
    <row r="636" spans="1:39" hidden="1" x14ac:dyDescent="0.25">
      <c r="A636" s="127">
        <v>635</v>
      </c>
      <c r="B636" s="152" t="s">
        <v>3668</v>
      </c>
      <c r="C636" s="153" t="s">
        <v>3669</v>
      </c>
      <c r="D636" s="153" t="s">
        <v>3670</v>
      </c>
      <c r="E636" s="153" t="s">
        <v>4948</v>
      </c>
      <c r="F636" s="6"/>
      <c r="G636" s="6"/>
      <c r="H636" s="128">
        <f t="shared" si="10"/>
        <v>0</v>
      </c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  <c r="AA636" s="129"/>
      <c r="AB636" s="129"/>
      <c r="AC636" s="129"/>
      <c r="AD636" s="129"/>
      <c r="AE636" s="129"/>
      <c r="AF636" s="129"/>
      <c r="AG636" s="129"/>
      <c r="AH636" s="129"/>
      <c r="AI636" s="129"/>
      <c r="AJ636" s="129"/>
      <c r="AK636" s="129"/>
      <c r="AL636" s="129"/>
      <c r="AM636" s="129"/>
    </row>
    <row r="637" spans="1:39" hidden="1" x14ac:dyDescent="0.25">
      <c r="A637" s="127">
        <v>636</v>
      </c>
      <c r="B637" s="152" t="s">
        <v>3671</v>
      </c>
      <c r="C637" s="153" t="s">
        <v>3672</v>
      </c>
      <c r="D637" s="153" t="s">
        <v>3673</v>
      </c>
      <c r="E637" s="153" t="s">
        <v>4948</v>
      </c>
      <c r="F637" s="6"/>
      <c r="G637" s="6"/>
      <c r="H637" s="128">
        <f t="shared" si="10"/>
        <v>7000</v>
      </c>
      <c r="I637" s="129">
        <v>7000</v>
      </c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  <c r="AA637" s="129"/>
      <c r="AB637" s="129"/>
      <c r="AC637" s="129"/>
      <c r="AD637" s="129"/>
      <c r="AE637" s="129"/>
      <c r="AF637" s="129"/>
      <c r="AG637" s="129"/>
      <c r="AH637" s="129"/>
      <c r="AI637" s="129"/>
      <c r="AJ637" s="129"/>
      <c r="AK637" s="129"/>
      <c r="AL637" s="129"/>
      <c r="AM637" s="129"/>
    </row>
    <row r="638" spans="1:39" hidden="1" x14ac:dyDescent="0.25">
      <c r="A638" s="127">
        <v>637</v>
      </c>
      <c r="B638" s="152" t="s">
        <v>3674</v>
      </c>
      <c r="C638" s="153" t="s">
        <v>3675</v>
      </c>
      <c r="D638" s="153" t="s">
        <v>3676</v>
      </c>
      <c r="E638" s="153" t="s">
        <v>4948</v>
      </c>
      <c r="F638" s="6"/>
      <c r="G638" s="6"/>
      <c r="H638" s="128">
        <f t="shared" si="10"/>
        <v>6000</v>
      </c>
      <c r="I638" s="129">
        <v>6000</v>
      </c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  <c r="AA638" s="129"/>
      <c r="AB638" s="129"/>
      <c r="AC638" s="129"/>
      <c r="AD638" s="129"/>
      <c r="AE638" s="129"/>
      <c r="AF638" s="129"/>
      <c r="AG638" s="129"/>
      <c r="AH638" s="129"/>
      <c r="AI638" s="129"/>
      <c r="AJ638" s="129"/>
      <c r="AK638" s="129"/>
      <c r="AL638" s="129"/>
      <c r="AM638" s="129"/>
    </row>
    <row r="639" spans="1:39" hidden="1" x14ac:dyDescent="0.25">
      <c r="A639" s="127">
        <v>638</v>
      </c>
      <c r="B639" s="152" t="s">
        <v>3677</v>
      </c>
      <c r="C639" s="153" t="s">
        <v>3678</v>
      </c>
      <c r="D639" s="153" t="s">
        <v>3679</v>
      </c>
      <c r="E639" s="153" t="s">
        <v>4948</v>
      </c>
      <c r="F639" s="6"/>
      <c r="G639" s="6"/>
      <c r="H639" s="128">
        <f t="shared" si="10"/>
        <v>5000</v>
      </c>
      <c r="I639" s="129">
        <v>5000</v>
      </c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  <c r="AA639" s="129"/>
      <c r="AB639" s="129"/>
      <c r="AC639" s="129"/>
      <c r="AD639" s="129"/>
      <c r="AE639" s="129"/>
      <c r="AF639" s="129"/>
      <c r="AG639" s="129"/>
      <c r="AH639" s="129"/>
      <c r="AI639" s="129"/>
      <c r="AJ639" s="129"/>
      <c r="AK639" s="129"/>
      <c r="AL639" s="129"/>
      <c r="AM639" s="129"/>
    </row>
    <row r="640" spans="1:39" hidden="1" x14ac:dyDescent="0.25">
      <c r="A640" s="127">
        <v>639</v>
      </c>
      <c r="B640" s="152" t="s">
        <v>3680</v>
      </c>
      <c r="C640" s="153" t="s">
        <v>3681</v>
      </c>
      <c r="D640" s="153" t="s">
        <v>3682</v>
      </c>
      <c r="E640" s="153" t="s">
        <v>4948</v>
      </c>
      <c r="F640" s="6"/>
      <c r="G640" s="6"/>
      <c r="H640" s="128">
        <f t="shared" si="10"/>
        <v>6500</v>
      </c>
      <c r="I640" s="129">
        <v>6500</v>
      </c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  <c r="AA640" s="129"/>
      <c r="AB640" s="129"/>
      <c r="AC640" s="129"/>
      <c r="AD640" s="129"/>
      <c r="AE640" s="129"/>
      <c r="AF640" s="129"/>
      <c r="AG640" s="129"/>
      <c r="AH640" s="129"/>
      <c r="AI640" s="129"/>
      <c r="AJ640" s="129"/>
      <c r="AK640" s="129"/>
      <c r="AL640" s="129"/>
      <c r="AM640" s="129"/>
    </row>
    <row r="641" spans="1:39" hidden="1" x14ac:dyDescent="0.25">
      <c r="A641" s="127">
        <v>640</v>
      </c>
      <c r="B641" s="152" t="s">
        <v>3683</v>
      </c>
      <c r="C641" s="153" t="s">
        <v>3684</v>
      </c>
      <c r="D641" s="153" t="s">
        <v>3685</v>
      </c>
      <c r="E641" s="153" t="s">
        <v>2086</v>
      </c>
      <c r="F641" s="6"/>
      <c r="G641" s="6"/>
      <c r="H641" s="128">
        <f t="shared" si="10"/>
        <v>0</v>
      </c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  <c r="AA641" s="129"/>
      <c r="AB641" s="129"/>
      <c r="AC641" s="129"/>
      <c r="AD641" s="129"/>
      <c r="AE641" s="129"/>
      <c r="AF641" s="129"/>
      <c r="AG641" s="129"/>
      <c r="AH641" s="129"/>
      <c r="AI641" s="129"/>
      <c r="AJ641" s="129"/>
      <c r="AK641" s="129"/>
      <c r="AL641" s="129"/>
      <c r="AM641" s="129"/>
    </row>
    <row r="642" spans="1:39" hidden="1" x14ac:dyDescent="0.25">
      <c r="A642" s="127">
        <v>641</v>
      </c>
      <c r="B642" s="152" t="s">
        <v>1739</v>
      </c>
      <c r="C642" s="153" t="s">
        <v>3686</v>
      </c>
      <c r="D642" s="153" t="s">
        <v>3687</v>
      </c>
      <c r="E642" s="153" t="s">
        <v>4948</v>
      </c>
      <c r="F642" s="6"/>
      <c r="G642" s="6"/>
      <c r="H642" s="128">
        <f t="shared" ref="H642:H705" si="11">SUM(I642:AM642)</f>
        <v>0</v>
      </c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  <c r="AA642" s="129"/>
      <c r="AB642" s="129"/>
      <c r="AC642" s="129"/>
      <c r="AD642" s="129"/>
      <c r="AE642" s="129"/>
      <c r="AF642" s="129"/>
      <c r="AG642" s="129"/>
      <c r="AH642" s="129"/>
      <c r="AI642" s="129"/>
      <c r="AJ642" s="129"/>
      <c r="AK642" s="129"/>
      <c r="AL642" s="129"/>
      <c r="AM642" s="129"/>
    </row>
    <row r="643" spans="1:39" hidden="1" x14ac:dyDescent="0.25">
      <c r="A643" s="127">
        <v>642</v>
      </c>
      <c r="B643" s="152" t="s">
        <v>3688</v>
      </c>
      <c r="C643" s="153" t="s">
        <v>3689</v>
      </c>
      <c r="D643" s="153" t="s">
        <v>3690</v>
      </c>
      <c r="E643" s="153" t="s">
        <v>4948</v>
      </c>
      <c r="F643" s="6"/>
      <c r="G643" s="6"/>
      <c r="H643" s="128">
        <f t="shared" si="11"/>
        <v>0</v>
      </c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  <c r="AA643" s="129"/>
      <c r="AB643" s="129"/>
      <c r="AC643" s="129"/>
      <c r="AD643" s="129"/>
      <c r="AE643" s="129"/>
      <c r="AF643" s="129"/>
      <c r="AG643" s="129"/>
      <c r="AH643" s="129"/>
      <c r="AI643" s="129"/>
      <c r="AJ643" s="129"/>
      <c r="AK643" s="129"/>
      <c r="AL643" s="129"/>
      <c r="AM643" s="129"/>
    </row>
    <row r="644" spans="1:39" hidden="1" x14ac:dyDescent="0.25">
      <c r="A644" s="127">
        <v>643</v>
      </c>
      <c r="B644" s="152" t="s">
        <v>3691</v>
      </c>
      <c r="C644" s="153" t="s">
        <v>3692</v>
      </c>
      <c r="D644" s="153" t="s">
        <v>3693</v>
      </c>
      <c r="E644" s="153" t="s">
        <v>4948</v>
      </c>
      <c r="F644" s="6"/>
      <c r="G644" s="6"/>
      <c r="H644" s="128">
        <f t="shared" si="11"/>
        <v>0</v>
      </c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  <c r="AA644" s="129"/>
      <c r="AB644" s="129"/>
      <c r="AC644" s="129"/>
      <c r="AD644" s="129"/>
      <c r="AE644" s="129"/>
      <c r="AF644" s="129"/>
      <c r="AG644" s="129"/>
      <c r="AH644" s="129"/>
      <c r="AI644" s="129"/>
      <c r="AJ644" s="129"/>
      <c r="AK644" s="129"/>
      <c r="AL644" s="129"/>
      <c r="AM644" s="129"/>
    </row>
    <row r="645" spans="1:39" hidden="1" x14ac:dyDescent="0.25">
      <c r="A645" s="127">
        <v>644</v>
      </c>
      <c r="B645" s="152" t="s">
        <v>3694</v>
      </c>
      <c r="C645" s="153" t="s">
        <v>3695</v>
      </c>
      <c r="D645" s="153" t="s">
        <v>3696</v>
      </c>
      <c r="E645" s="153" t="s">
        <v>2086</v>
      </c>
      <c r="F645" s="6"/>
      <c r="G645" s="6"/>
      <c r="H645" s="128">
        <f t="shared" si="11"/>
        <v>0</v>
      </c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  <c r="AA645" s="129"/>
      <c r="AB645" s="129"/>
      <c r="AC645" s="129"/>
      <c r="AD645" s="129"/>
      <c r="AE645" s="129"/>
      <c r="AF645" s="129"/>
      <c r="AG645" s="129"/>
      <c r="AH645" s="129"/>
      <c r="AI645" s="129"/>
      <c r="AJ645" s="129"/>
      <c r="AK645" s="129"/>
      <c r="AL645" s="129"/>
      <c r="AM645" s="129"/>
    </row>
    <row r="646" spans="1:39" hidden="1" x14ac:dyDescent="0.25">
      <c r="A646" s="127">
        <v>645</v>
      </c>
      <c r="B646" s="152" t="s">
        <v>3697</v>
      </c>
      <c r="C646" s="153" t="s">
        <v>3698</v>
      </c>
      <c r="D646" s="153" t="s">
        <v>3699</v>
      </c>
      <c r="E646" s="153" t="s">
        <v>2086</v>
      </c>
      <c r="F646" s="6"/>
      <c r="G646" s="6"/>
      <c r="H646" s="128">
        <f t="shared" si="11"/>
        <v>0</v>
      </c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  <c r="AA646" s="129"/>
      <c r="AB646" s="129"/>
      <c r="AC646" s="129"/>
      <c r="AD646" s="129"/>
      <c r="AE646" s="129"/>
      <c r="AF646" s="129"/>
      <c r="AG646" s="129"/>
      <c r="AH646" s="129"/>
      <c r="AI646" s="129"/>
      <c r="AJ646" s="129"/>
      <c r="AK646" s="129"/>
      <c r="AL646" s="129"/>
      <c r="AM646" s="129"/>
    </row>
    <row r="647" spans="1:39" hidden="1" x14ac:dyDescent="0.25">
      <c r="A647" s="127">
        <v>646</v>
      </c>
      <c r="B647" s="152" t="s">
        <v>3700</v>
      </c>
      <c r="C647" s="153" t="s">
        <v>3701</v>
      </c>
      <c r="D647" s="153" t="s">
        <v>3702</v>
      </c>
      <c r="E647" s="153" t="s">
        <v>4948</v>
      </c>
      <c r="F647" s="6"/>
      <c r="G647" s="6"/>
      <c r="H647" s="128">
        <f t="shared" si="11"/>
        <v>0</v>
      </c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  <c r="AA647" s="129"/>
      <c r="AB647" s="129"/>
      <c r="AC647" s="129"/>
      <c r="AD647" s="129"/>
      <c r="AE647" s="129"/>
      <c r="AF647" s="129"/>
      <c r="AG647" s="129"/>
      <c r="AH647" s="129"/>
      <c r="AI647" s="129"/>
      <c r="AJ647" s="129"/>
      <c r="AK647" s="129"/>
      <c r="AL647" s="129"/>
      <c r="AM647" s="129"/>
    </row>
    <row r="648" spans="1:39" hidden="1" x14ac:dyDescent="0.25">
      <c r="A648" s="127">
        <v>647</v>
      </c>
      <c r="B648" s="152" t="s">
        <v>3703</v>
      </c>
      <c r="C648" s="153" t="s">
        <v>3704</v>
      </c>
      <c r="D648" s="153" t="s">
        <v>3705</v>
      </c>
      <c r="E648" s="153" t="s">
        <v>4948</v>
      </c>
      <c r="F648" s="6"/>
      <c r="G648" s="6"/>
      <c r="H648" s="128">
        <f t="shared" si="11"/>
        <v>0</v>
      </c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  <c r="AA648" s="129"/>
      <c r="AB648" s="129"/>
      <c r="AC648" s="129"/>
      <c r="AD648" s="129"/>
      <c r="AE648" s="129"/>
      <c r="AF648" s="129"/>
      <c r="AG648" s="129"/>
      <c r="AH648" s="129"/>
      <c r="AI648" s="129"/>
      <c r="AJ648" s="129"/>
      <c r="AK648" s="129"/>
      <c r="AL648" s="129"/>
      <c r="AM648" s="129"/>
    </row>
    <row r="649" spans="1:39" hidden="1" x14ac:dyDescent="0.25">
      <c r="A649" s="127">
        <v>648</v>
      </c>
      <c r="B649" s="152" t="s">
        <v>2067</v>
      </c>
      <c r="C649" s="153" t="s">
        <v>3706</v>
      </c>
      <c r="D649" s="153" t="s">
        <v>3707</v>
      </c>
      <c r="E649" s="153" t="s">
        <v>2086</v>
      </c>
      <c r="F649" s="6"/>
      <c r="G649" s="6"/>
      <c r="H649" s="128">
        <f t="shared" si="11"/>
        <v>0</v>
      </c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  <c r="AA649" s="129"/>
      <c r="AB649" s="129"/>
      <c r="AC649" s="129"/>
      <c r="AD649" s="129"/>
      <c r="AE649" s="129"/>
      <c r="AF649" s="129"/>
      <c r="AG649" s="129"/>
      <c r="AH649" s="129"/>
      <c r="AI649" s="129"/>
      <c r="AJ649" s="129"/>
      <c r="AK649" s="129"/>
      <c r="AL649" s="129"/>
      <c r="AM649" s="129"/>
    </row>
    <row r="650" spans="1:39" hidden="1" x14ac:dyDescent="0.25">
      <c r="A650" s="127">
        <v>649</v>
      </c>
      <c r="B650" s="152" t="s">
        <v>3708</v>
      </c>
      <c r="C650" s="153" t="s">
        <v>3709</v>
      </c>
      <c r="D650" s="153" t="s">
        <v>3710</v>
      </c>
      <c r="E650" s="153" t="s">
        <v>2086</v>
      </c>
      <c r="F650" s="6"/>
      <c r="G650" s="6"/>
      <c r="H650" s="128">
        <f t="shared" si="11"/>
        <v>1700</v>
      </c>
      <c r="I650" s="129">
        <v>1700</v>
      </c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  <c r="AA650" s="129"/>
      <c r="AB650" s="129"/>
      <c r="AC650" s="129"/>
      <c r="AD650" s="129"/>
      <c r="AE650" s="129"/>
      <c r="AF650" s="129"/>
      <c r="AG650" s="129"/>
      <c r="AH650" s="129"/>
      <c r="AI650" s="129"/>
      <c r="AJ650" s="129"/>
      <c r="AK650" s="129"/>
      <c r="AL650" s="129"/>
      <c r="AM650" s="129"/>
    </row>
    <row r="651" spans="1:39" hidden="1" x14ac:dyDescent="0.25">
      <c r="A651" s="127">
        <v>650</v>
      </c>
      <c r="B651" s="152" t="s">
        <v>1684</v>
      </c>
      <c r="C651" s="153" t="s">
        <v>3711</v>
      </c>
      <c r="D651" s="153" t="s">
        <v>3712</v>
      </c>
      <c r="E651" s="153" t="s">
        <v>2086</v>
      </c>
      <c r="F651" s="6"/>
      <c r="G651" s="6"/>
      <c r="H651" s="128">
        <f t="shared" si="11"/>
        <v>0</v>
      </c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  <c r="AA651" s="129"/>
      <c r="AB651" s="129"/>
      <c r="AC651" s="129"/>
      <c r="AD651" s="129"/>
      <c r="AE651" s="129"/>
      <c r="AF651" s="129"/>
      <c r="AG651" s="129"/>
      <c r="AH651" s="129"/>
      <c r="AI651" s="129"/>
      <c r="AJ651" s="129"/>
      <c r="AK651" s="129"/>
      <c r="AL651" s="129"/>
      <c r="AM651" s="129"/>
    </row>
    <row r="652" spans="1:39" hidden="1" x14ac:dyDescent="0.25">
      <c r="A652" s="127">
        <v>651</v>
      </c>
      <c r="B652" s="152" t="s">
        <v>2065</v>
      </c>
      <c r="C652" s="153" t="s">
        <v>3713</v>
      </c>
      <c r="D652" s="153" t="s">
        <v>3714</v>
      </c>
      <c r="E652" s="153" t="s">
        <v>4948</v>
      </c>
      <c r="F652" s="6"/>
      <c r="G652" s="6"/>
      <c r="H652" s="128">
        <f t="shared" si="11"/>
        <v>60000</v>
      </c>
      <c r="I652" s="129">
        <v>60000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</row>
    <row r="653" spans="1:39" hidden="1" x14ac:dyDescent="0.25">
      <c r="A653" s="127">
        <v>652</v>
      </c>
      <c r="B653" s="152" t="s">
        <v>3715</v>
      </c>
      <c r="C653" s="153" t="s">
        <v>3716</v>
      </c>
      <c r="D653" s="153" t="s">
        <v>3717</v>
      </c>
      <c r="E653" s="153" t="s">
        <v>4948</v>
      </c>
      <c r="F653" s="6"/>
      <c r="G653" s="6"/>
      <c r="H653" s="128">
        <f t="shared" si="11"/>
        <v>0</v>
      </c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</row>
    <row r="654" spans="1:39" hidden="1" x14ac:dyDescent="0.25">
      <c r="A654" s="127">
        <v>653</v>
      </c>
      <c r="B654" s="152" t="s">
        <v>3718</v>
      </c>
      <c r="C654" s="153" t="s">
        <v>3719</v>
      </c>
      <c r="D654" s="153" t="s">
        <v>3720</v>
      </c>
      <c r="E654" s="153" t="s">
        <v>2086</v>
      </c>
      <c r="F654" s="6"/>
      <c r="G654" s="6"/>
      <c r="H654" s="128">
        <f t="shared" si="11"/>
        <v>0</v>
      </c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  <c r="AA654" s="129"/>
      <c r="AB654" s="129"/>
      <c r="AC654" s="129"/>
      <c r="AD654" s="129"/>
      <c r="AE654" s="129"/>
      <c r="AF654" s="129"/>
      <c r="AG654" s="129"/>
      <c r="AH654" s="129"/>
      <c r="AI654" s="129"/>
      <c r="AJ654" s="129"/>
      <c r="AK654" s="129"/>
      <c r="AL654" s="129"/>
      <c r="AM654" s="129"/>
    </row>
    <row r="655" spans="1:39" hidden="1" x14ac:dyDescent="0.25">
      <c r="A655" s="127">
        <v>654</v>
      </c>
      <c r="B655" s="152" t="s">
        <v>3721</v>
      </c>
      <c r="C655" s="153" t="s">
        <v>3722</v>
      </c>
      <c r="D655" s="153" t="s">
        <v>3723</v>
      </c>
      <c r="E655" s="153" t="s">
        <v>4948</v>
      </c>
      <c r="F655" s="6"/>
      <c r="G655" s="6"/>
      <c r="H655" s="128">
        <f t="shared" si="11"/>
        <v>0</v>
      </c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29"/>
      <c r="AL655" s="129"/>
      <c r="AM655" s="129"/>
    </row>
    <row r="656" spans="1:39" hidden="1" x14ac:dyDescent="0.25">
      <c r="A656" s="127">
        <v>655</v>
      </c>
      <c r="B656" s="152" t="s">
        <v>3724</v>
      </c>
      <c r="C656" s="153" t="s">
        <v>3725</v>
      </c>
      <c r="D656" s="153" t="s">
        <v>3726</v>
      </c>
      <c r="E656" s="153" t="s">
        <v>4948</v>
      </c>
      <c r="F656" s="6"/>
      <c r="G656" s="6"/>
      <c r="H656" s="128">
        <f t="shared" si="11"/>
        <v>0</v>
      </c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</row>
    <row r="657" spans="1:39" hidden="1" x14ac:dyDescent="0.25">
      <c r="A657" s="127">
        <v>656</v>
      </c>
      <c r="B657" s="152" t="s">
        <v>1935</v>
      </c>
      <c r="C657" s="153" t="s">
        <v>3727</v>
      </c>
      <c r="D657" s="153" t="s">
        <v>3728</v>
      </c>
      <c r="E657" s="153" t="s">
        <v>4948</v>
      </c>
      <c r="F657" s="6"/>
      <c r="G657" s="6"/>
      <c r="H657" s="128">
        <f t="shared" si="11"/>
        <v>0</v>
      </c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</row>
    <row r="658" spans="1:39" hidden="1" x14ac:dyDescent="0.25">
      <c r="A658" s="127">
        <v>657</v>
      </c>
      <c r="B658" s="152" t="s">
        <v>1938</v>
      </c>
      <c r="C658" s="153" t="s">
        <v>3729</v>
      </c>
      <c r="D658" s="153" t="s">
        <v>3730</v>
      </c>
      <c r="E658" s="153" t="s">
        <v>4948</v>
      </c>
      <c r="F658" s="6"/>
      <c r="G658" s="6"/>
      <c r="H658" s="128">
        <f t="shared" si="11"/>
        <v>0</v>
      </c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</row>
    <row r="659" spans="1:39" hidden="1" x14ac:dyDescent="0.25">
      <c r="A659" s="127">
        <v>658</v>
      </c>
      <c r="B659" s="152" t="s">
        <v>3731</v>
      </c>
      <c r="C659" s="153" t="s">
        <v>3732</v>
      </c>
      <c r="D659" s="153" t="s">
        <v>3733</v>
      </c>
      <c r="E659" s="153" t="s">
        <v>4948</v>
      </c>
      <c r="F659" s="6"/>
      <c r="G659" s="6"/>
      <c r="H659" s="128">
        <f t="shared" si="11"/>
        <v>0</v>
      </c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</row>
    <row r="660" spans="1:39" hidden="1" x14ac:dyDescent="0.25">
      <c r="A660" s="127">
        <v>659</v>
      </c>
      <c r="B660" s="152" t="s">
        <v>3734</v>
      </c>
      <c r="C660" s="153" t="s">
        <v>3735</v>
      </c>
      <c r="D660" s="153" t="s">
        <v>3736</v>
      </c>
      <c r="E660" s="153" t="s">
        <v>4948</v>
      </c>
      <c r="F660" s="6"/>
      <c r="G660" s="6"/>
      <c r="H660" s="128">
        <f t="shared" si="11"/>
        <v>0</v>
      </c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</row>
    <row r="661" spans="1:39" hidden="1" x14ac:dyDescent="0.25">
      <c r="A661" s="127">
        <v>660</v>
      </c>
      <c r="B661" s="152" t="s">
        <v>3737</v>
      </c>
      <c r="C661" s="153" t="s">
        <v>3738</v>
      </c>
      <c r="D661" s="153" t="s">
        <v>3739</v>
      </c>
      <c r="E661" s="153" t="s">
        <v>4948</v>
      </c>
      <c r="F661" s="6"/>
      <c r="G661" s="6"/>
      <c r="H661" s="128">
        <f t="shared" si="11"/>
        <v>0</v>
      </c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</row>
    <row r="662" spans="1:39" hidden="1" x14ac:dyDescent="0.25">
      <c r="A662" s="127">
        <v>661</v>
      </c>
      <c r="B662" s="152" t="s">
        <v>2047</v>
      </c>
      <c r="C662" s="153" t="s">
        <v>3740</v>
      </c>
      <c r="D662" s="153" t="s">
        <v>3741</v>
      </c>
      <c r="E662" s="153" t="s">
        <v>4948</v>
      </c>
      <c r="F662" s="6"/>
      <c r="G662" s="6"/>
      <c r="H662" s="128">
        <f t="shared" si="11"/>
        <v>0</v>
      </c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</row>
    <row r="663" spans="1:39" hidden="1" x14ac:dyDescent="0.25">
      <c r="A663" s="127">
        <v>662</v>
      </c>
      <c r="B663" s="152" t="s">
        <v>3742</v>
      </c>
      <c r="C663" s="153" t="s">
        <v>3743</v>
      </c>
      <c r="D663" s="153" t="s">
        <v>3744</v>
      </c>
      <c r="E663" s="153" t="s">
        <v>4948</v>
      </c>
      <c r="F663" s="6"/>
      <c r="G663" s="6"/>
      <c r="H663" s="128">
        <f t="shared" si="11"/>
        <v>0</v>
      </c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</row>
    <row r="664" spans="1:39" hidden="1" x14ac:dyDescent="0.25">
      <c r="A664" s="127">
        <v>663</v>
      </c>
      <c r="B664" s="152" t="s">
        <v>3745</v>
      </c>
      <c r="C664" s="153" t="s">
        <v>3746</v>
      </c>
      <c r="D664" s="153" t="s">
        <v>3747</v>
      </c>
      <c r="E664" s="153" t="s">
        <v>4948</v>
      </c>
      <c r="F664" s="6"/>
      <c r="G664" s="6"/>
      <c r="H664" s="128">
        <f t="shared" si="11"/>
        <v>0</v>
      </c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</row>
    <row r="665" spans="1:39" hidden="1" x14ac:dyDescent="0.25">
      <c r="A665" s="127">
        <v>664</v>
      </c>
      <c r="B665" s="152" t="s">
        <v>3748</v>
      </c>
      <c r="C665" s="153" t="s">
        <v>3749</v>
      </c>
      <c r="D665" s="153" t="s">
        <v>3750</v>
      </c>
      <c r="E665" s="153" t="s">
        <v>2086</v>
      </c>
      <c r="F665" s="6"/>
      <c r="G665" s="6"/>
      <c r="H665" s="128">
        <f t="shared" si="11"/>
        <v>0</v>
      </c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</row>
    <row r="666" spans="1:39" hidden="1" x14ac:dyDescent="0.25">
      <c r="A666" s="127">
        <v>665</v>
      </c>
      <c r="B666" s="152" t="s">
        <v>3751</v>
      </c>
      <c r="C666" s="153" t="s">
        <v>3752</v>
      </c>
      <c r="D666" s="153" t="s">
        <v>3753</v>
      </c>
      <c r="E666" s="153" t="s">
        <v>2086</v>
      </c>
      <c r="F666" s="6"/>
      <c r="G666" s="6"/>
      <c r="H666" s="128">
        <f t="shared" si="11"/>
        <v>0</v>
      </c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  <c r="AA666" s="129"/>
      <c r="AB666" s="129"/>
      <c r="AC666" s="129"/>
      <c r="AD666" s="129"/>
      <c r="AE666" s="129"/>
      <c r="AF666" s="129"/>
      <c r="AG666" s="129"/>
      <c r="AH666" s="129"/>
      <c r="AI666" s="129"/>
      <c r="AJ666" s="129"/>
      <c r="AK666" s="129"/>
      <c r="AL666" s="129"/>
      <c r="AM666" s="129"/>
    </row>
    <row r="667" spans="1:39" hidden="1" x14ac:dyDescent="0.25">
      <c r="A667" s="127">
        <v>666</v>
      </c>
      <c r="B667" s="152" t="s">
        <v>2069</v>
      </c>
      <c r="C667" s="153" t="s">
        <v>3754</v>
      </c>
      <c r="D667" s="153" t="s">
        <v>3755</v>
      </c>
      <c r="E667" s="153" t="s">
        <v>4948</v>
      </c>
      <c r="F667" s="6"/>
      <c r="G667" s="6"/>
      <c r="H667" s="128">
        <f t="shared" si="11"/>
        <v>0</v>
      </c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  <c r="AA667" s="129"/>
      <c r="AB667" s="129"/>
      <c r="AC667" s="129"/>
      <c r="AD667" s="129"/>
      <c r="AE667" s="129"/>
      <c r="AF667" s="129"/>
      <c r="AG667" s="129"/>
      <c r="AH667" s="129"/>
      <c r="AI667" s="129"/>
      <c r="AJ667" s="129"/>
      <c r="AK667" s="129"/>
      <c r="AL667" s="129"/>
      <c r="AM667" s="129"/>
    </row>
    <row r="668" spans="1:39" hidden="1" x14ac:dyDescent="0.25">
      <c r="A668" s="127">
        <v>667</v>
      </c>
      <c r="B668" s="152" t="s">
        <v>3756</v>
      </c>
      <c r="C668" s="153" t="s">
        <v>3757</v>
      </c>
      <c r="D668" s="153" t="s">
        <v>3758</v>
      </c>
      <c r="E668" s="153" t="s">
        <v>4948</v>
      </c>
      <c r="F668" s="6"/>
      <c r="G668" s="6"/>
      <c r="H668" s="128">
        <f t="shared" si="11"/>
        <v>0</v>
      </c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  <c r="AA668" s="129"/>
      <c r="AB668" s="129"/>
      <c r="AC668" s="129"/>
      <c r="AD668" s="129"/>
      <c r="AE668" s="129"/>
      <c r="AF668" s="129"/>
      <c r="AG668" s="129"/>
      <c r="AH668" s="129"/>
      <c r="AI668" s="129"/>
      <c r="AJ668" s="129"/>
      <c r="AK668" s="129"/>
      <c r="AL668" s="129"/>
      <c r="AM668" s="129"/>
    </row>
    <row r="669" spans="1:39" hidden="1" x14ac:dyDescent="0.25">
      <c r="A669" s="127">
        <v>668</v>
      </c>
      <c r="B669" s="152" t="s">
        <v>3759</v>
      </c>
      <c r="C669" s="153" t="s">
        <v>3760</v>
      </c>
      <c r="D669" s="153" t="s">
        <v>3761</v>
      </c>
      <c r="E669" s="153" t="s">
        <v>4948</v>
      </c>
      <c r="F669" s="6"/>
      <c r="G669" s="6"/>
      <c r="H669" s="128">
        <f t="shared" si="11"/>
        <v>0</v>
      </c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  <c r="AA669" s="129"/>
      <c r="AB669" s="129"/>
      <c r="AC669" s="129"/>
      <c r="AD669" s="129"/>
      <c r="AE669" s="129"/>
      <c r="AF669" s="129"/>
      <c r="AG669" s="129"/>
      <c r="AH669" s="129"/>
      <c r="AI669" s="129"/>
      <c r="AJ669" s="129"/>
      <c r="AK669" s="129"/>
      <c r="AL669" s="129"/>
      <c r="AM669" s="129"/>
    </row>
    <row r="670" spans="1:39" hidden="1" x14ac:dyDescent="0.25">
      <c r="A670" s="127">
        <v>669</v>
      </c>
      <c r="B670" s="152" t="s">
        <v>3762</v>
      </c>
      <c r="C670" s="153" t="s">
        <v>3763</v>
      </c>
      <c r="D670" s="153" t="s">
        <v>3764</v>
      </c>
      <c r="E670" s="153" t="s">
        <v>4948</v>
      </c>
      <c r="F670" s="6"/>
      <c r="G670" s="6"/>
      <c r="H670" s="128">
        <f t="shared" si="11"/>
        <v>0</v>
      </c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  <c r="AA670" s="129"/>
      <c r="AB670" s="129"/>
      <c r="AC670" s="129"/>
      <c r="AD670" s="129"/>
      <c r="AE670" s="129"/>
      <c r="AF670" s="129"/>
      <c r="AG670" s="129"/>
      <c r="AH670" s="129"/>
      <c r="AI670" s="129"/>
      <c r="AJ670" s="129"/>
      <c r="AK670" s="129"/>
      <c r="AL670" s="129"/>
      <c r="AM670" s="129"/>
    </row>
    <row r="671" spans="1:39" hidden="1" x14ac:dyDescent="0.25">
      <c r="A671" s="127">
        <v>670</v>
      </c>
      <c r="B671" s="152" t="s">
        <v>3765</v>
      </c>
      <c r="C671" s="153" t="s">
        <v>3766</v>
      </c>
      <c r="D671" s="153" t="s">
        <v>3767</v>
      </c>
      <c r="E671" s="153" t="s">
        <v>4948</v>
      </c>
      <c r="F671" s="6"/>
      <c r="G671" s="6"/>
      <c r="H671" s="128">
        <f t="shared" si="11"/>
        <v>0</v>
      </c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  <c r="AA671" s="129"/>
      <c r="AB671" s="129"/>
      <c r="AC671" s="129"/>
      <c r="AD671" s="129"/>
      <c r="AE671" s="129"/>
      <c r="AF671" s="129"/>
      <c r="AG671" s="129"/>
      <c r="AH671" s="129"/>
      <c r="AI671" s="129"/>
      <c r="AJ671" s="129"/>
      <c r="AK671" s="129"/>
      <c r="AL671" s="129"/>
      <c r="AM671" s="129"/>
    </row>
    <row r="672" spans="1:39" hidden="1" x14ac:dyDescent="0.25">
      <c r="A672" s="127">
        <v>671</v>
      </c>
      <c r="B672" s="152" t="s">
        <v>3768</v>
      </c>
      <c r="C672" s="153" t="s">
        <v>3769</v>
      </c>
      <c r="D672" s="153" t="s">
        <v>3770</v>
      </c>
      <c r="E672" s="153" t="s">
        <v>4948</v>
      </c>
      <c r="F672" s="6"/>
      <c r="G672" s="6"/>
      <c r="H672" s="128">
        <f t="shared" si="11"/>
        <v>0</v>
      </c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  <c r="AA672" s="129"/>
      <c r="AB672" s="129"/>
      <c r="AC672" s="129"/>
      <c r="AD672" s="129"/>
      <c r="AE672" s="129"/>
      <c r="AF672" s="129"/>
      <c r="AG672" s="129"/>
      <c r="AH672" s="129"/>
      <c r="AI672" s="129"/>
      <c r="AJ672" s="129"/>
      <c r="AK672" s="129"/>
      <c r="AL672" s="129"/>
      <c r="AM672" s="129"/>
    </row>
    <row r="673" spans="1:39" hidden="1" x14ac:dyDescent="0.25">
      <c r="A673" s="127">
        <v>672</v>
      </c>
      <c r="B673" s="152" t="s">
        <v>3771</v>
      </c>
      <c r="C673" s="153" t="s">
        <v>3772</v>
      </c>
      <c r="D673" s="153" t="s">
        <v>3773</v>
      </c>
      <c r="E673" s="153" t="s">
        <v>2086</v>
      </c>
      <c r="F673" s="6"/>
      <c r="G673" s="6"/>
      <c r="H673" s="128">
        <f t="shared" si="11"/>
        <v>0</v>
      </c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  <c r="AA673" s="129"/>
      <c r="AB673" s="129"/>
      <c r="AC673" s="129"/>
      <c r="AD673" s="129"/>
      <c r="AE673" s="129"/>
      <c r="AF673" s="129"/>
      <c r="AG673" s="129"/>
      <c r="AH673" s="129"/>
      <c r="AI673" s="129"/>
      <c r="AJ673" s="129"/>
      <c r="AK673" s="129"/>
      <c r="AL673" s="129"/>
      <c r="AM673" s="129"/>
    </row>
    <row r="674" spans="1:39" hidden="1" x14ac:dyDescent="0.25">
      <c r="A674" s="127">
        <v>673</v>
      </c>
      <c r="B674" s="152" t="s">
        <v>3774</v>
      </c>
      <c r="C674" s="153" t="s">
        <v>3775</v>
      </c>
      <c r="D674" s="153" t="s">
        <v>3776</v>
      </c>
      <c r="E674" s="153" t="s">
        <v>2086</v>
      </c>
      <c r="F674" s="6"/>
      <c r="G674" s="6"/>
      <c r="H674" s="128">
        <f t="shared" si="11"/>
        <v>0</v>
      </c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  <c r="AA674" s="129"/>
      <c r="AB674" s="129"/>
      <c r="AC674" s="129"/>
      <c r="AD674" s="129"/>
      <c r="AE674" s="129"/>
      <c r="AF674" s="129"/>
      <c r="AG674" s="129"/>
      <c r="AH674" s="129"/>
      <c r="AI674" s="129"/>
      <c r="AJ674" s="129"/>
      <c r="AK674" s="129"/>
      <c r="AL674" s="129"/>
      <c r="AM674" s="129"/>
    </row>
    <row r="675" spans="1:39" hidden="1" x14ac:dyDescent="0.25">
      <c r="A675" s="127">
        <v>674</v>
      </c>
      <c r="B675" s="152" t="s">
        <v>3777</v>
      </c>
      <c r="C675" s="153" t="s">
        <v>3778</v>
      </c>
      <c r="D675" s="153" t="s">
        <v>3779</v>
      </c>
      <c r="E675" s="153" t="s">
        <v>4948</v>
      </c>
      <c r="F675" s="6"/>
      <c r="G675" s="6"/>
      <c r="H675" s="128">
        <f t="shared" si="11"/>
        <v>0</v>
      </c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  <c r="AA675" s="129"/>
      <c r="AB675" s="129"/>
      <c r="AC675" s="129"/>
      <c r="AD675" s="129"/>
      <c r="AE675" s="129"/>
      <c r="AF675" s="129"/>
      <c r="AG675" s="129"/>
      <c r="AH675" s="129"/>
      <c r="AI675" s="129"/>
      <c r="AJ675" s="129"/>
      <c r="AK675" s="129"/>
      <c r="AL675" s="129"/>
      <c r="AM675" s="129"/>
    </row>
    <row r="676" spans="1:39" hidden="1" x14ac:dyDescent="0.25">
      <c r="A676" s="127">
        <v>675</v>
      </c>
      <c r="B676" s="152" t="s">
        <v>3780</v>
      </c>
      <c r="C676" s="153" t="s">
        <v>3781</v>
      </c>
      <c r="D676" s="153" t="s">
        <v>3782</v>
      </c>
      <c r="E676" s="153" t="s">
        <v>4948</v>
      </c>
      <c r="F676" s="6"/>
      <c r="G676" s="6"/>
      <c r="H676" s="128">
        <f t="shared" si="11"/>
        <v>0</v>
      </c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  <c r="AA676" s="129"/>
      <c r="AB676" s="129"/>
      <c r="AC676" s="129"/>
      <c r="AD676" s="129"/>
      <c r="AE676" s="129"/>
      <c r="AF676" s="129"/>
      <c r="AG676" s="129"/>
      <c r="AH676" s="129"/>
      <c r="AI676" s="129"/>
      <c r="AJ676" s="129"/>
      <c r="AK676" s="129"/>
      <c r="AL676" s="129"/>
      <c r="AM676" s="129"/>
    </row>
    <row r="677" spans="1:39" hidden="1" x14ac:dyDescent="0.25">
      <c r="A677" s="127">
        <v>676</v>
      </c>
      <c r="B677" s="152" t="s">
        <v>1686</v>
      </c>
      <c r="C677" s="153" t="s">
        <v>3783</v>
      </c>
      <c r="D677" s="153" t="s">
        <v>3784</v>
      </c>
      <c r="E677" s="153" t="s">
        <v>4948</v>
      </c>
      <c r="F677" s="6"/>
      <c r="G677" s="6"/>
      <c r="H677" s="128">
        <f t="shared" si="11"/>
        <v>0</v>
      </c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  <c r="AA677" s="129"/>
      <c r="AB677" s="129"/>
      <c r="AC677" s="129"/>
      <c r="AD677" s="129"/>
      <c r="AE677" s="129"/>
      <c r="AF677" s="129"/>
      <c r="AG677" s="129"/>
      <c r="AH677" s="129"/>
      <c r="AI677" s="129"/>
      <c r="AJ677" s="129"/>
      <c r="AK677" s="129"/>
      <c r="AL677" s="129"/>
      <c r="AM677" s="129"/>
    </row>
    <row r="678" spans="1:39" hidden="1" x14ac:dyDescent="0.25">
      <c r="A678" s="127">
        <v>677</v>
      </c>
      <c r="B678" s="152" t="s">
        <v>1689</v>
      </c>
      <c r="C678" s="153" t="s">
        <v>3785</v>
      </c>
      <c r="D678" s="153" t="s">
        <v>3786</v>
      </c>
      <c r="E678" s="153" t="s">
        <v>2086</v>
      </c>
      <c r="F678" s="6"/>
      <c r="G678" s="6"/>
      <c r="H678" s="128">
        <f t="shared" si="11"/>
        <v>0</v>
      </c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  <c r="AA678" s="129"/>
      <c r="AB678" s="129"/>
      <c r="AC678" s="129"/>
      <c r="AD678" s="129"/>
      <c r="AE678" s="129"/>
      <c r="AF678" s="129"/>
      <c r="AG678" s="129"/>
      <c r="AH678" s="129"/>
      <c r="AI678" s="129"/>
      <c r="AJ678" s="129"/>
      <c r="AK678" s="129"/>
      <c r="AL678" s="129"/>
      <c r="AM678" s="129"/>
    </row>
    <row r="679" spans="1:39" hidden="1" x14ac:dyDescent="0.25">
      <c r="A679" s="127">
        <v>678</v>
      </c>
      <c r="B679" s="152" t="s">
        <v>1692</v>
      </c>
      <c r="C679" s="153" t="s">
        <v>3787</v>
      </c>
      <c r="D679" s="153" t="s">
        <v>3788</v>
      </c>
      <c r="E679" s="153" t="s">
        <v>2086</v>
      </c>
      <c r="F679" s="6"/>
      <c r="G679" s="6"/>
      <c r="H679" s="128">
        <f t="shared" si="11"/>
        <v>0</v>
      </c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  <c r="AA679" s="129"/>
      <c r="AB679" s="129"/>
      <c r="AC679" s="129"/>
      <c r="AD679" s="129"/>
      <c r="AE679" s="129"/>
      <c r="AF679" s="129"/>
      <c r="AG679" s="129"/>
      <c r="AH679" s="129"/>
      <c r="AI679" s="129"/>
      <c r="AJ679" s="129"/>
      <c r="AK679" s="129"/>
      <c r="AL679" s="129"/>
      <c r="AM679" s="129"/>
    </row>
    <row r="680" spans="1:39" hidden="1" x14ac:dyDescent="0.25">
      <c r="A680" s="127">
        <v>679</v>
      </c>
      <c r="B680" s="152" t="s">
        <v>3789</v>
      </c>
      <c r="C680" s="153" t="s">
        <v>3790</v>
      </c>
      <c r="D680" s="153" t="s">
        <v>3791</v>
      </c>
      <c r="E680" s="153" t="s">
        <v>4948</v>
      </c>
      <c r="F680" s="6"/>
      <c r="G680" s="6"/>
      <c r="H680" s="128">
        <f t="shared" si="11"/>
        <v>0</v>
      </c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  <c r="AA680" s="129"/>
      <c r="AB680" s="129"/>
      <c r="AC680" s="129"/>
      <c r="AD680" s="129"/>
      <c r="AE680" s="129"/>
      <c r="AF680" s="129"/>
      <c r="AG680" s="129"/>
      <c r="AH680" s="129"/>
      <c r="AI680" s="129"/>
      <c r="AJ680" s="129"/>
      <c r="AK680" s="129"/>
      <c r="AL680" s="129"/>
      <c r="AM680" s="129"/>
    </row>
    <row r="681" spans="1:39" hidden="1" x14ac:dyDescent="0.25">
      <c r="A681" s="127">
        <v>680</v>
      </c>
      <c r="B681" s="152" t="s">
        <v>3792</v>
      </c>
      <c r="C681" s="153" t="s">
        <v>3793</v>
      </c>
      <c r="D681" s="153" t="s">
        <v>3794</v>
      </c>
      <c r="E681" s="153" t="s">
        <v>4948</v>
      </c>
      <c r="F681" s="6"/>
      <c r="G681" s="6"/>
      <c r="H681" s="128">
        <f t="shared" si="11"/>
        <v>45</v>
      </c>
      <c r="I681" s="129">
        <v>29</v>
      </c>
      <c r="J681" s="129"/>
      <c r="K681" s="129"/>
      <c r="L681" s="129"/>
      <c r="M681" s="129"/>
      <c r="N681" s="129"/>
      <c r="O681" s="129">
        <v>16</v>
      </c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  <c r="AA681" s="129"/>
      <c r="AB681" s="129"/>
      <c r="AC681" s="129"/>
      <c r="AD681" s="129"/>
      <c r="AE681" s="129"/>
      <c r="AF681" s="129"/>
      <c r="AG681" s="129"/>
      <c r="AH681" s="129"/>
      <c r="AI681" s="129"/>
      <c r="AJ681" s="129"/>
      <c r="AK681" s="129"/>
      <c r="AL681" s="129"/>
      <c r="AM681" s="129"/>
    </row>
    <row r="682" spans="1:39" hidden="1" x14ac:dyDescent="0.25">
      <c r="A682" s="127">
        <v>681</v>
      </c>
      <c r="B682" s="152" t="s">
        <v>3795</v>
      </c>
      <c r="C682" s="153" t="s">
        <v>3796</v>
      </c>
      <c r="D682" s="153" t="s">
        <v>3797</v>
      </c>
      <c r="E682" s="153" t="s">
        <v>2086</v>
      </c>
      <c r="F682" s="6"/>
      <c r="G682" s="6"/>
      <c r="H682" s="128">
        <f t="shared" si="11"/>
        <v>0</v>
      </c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  <c r="AA682" s="129"/>
      <c r="AB682" s="129"/>
      <c r="AC682" s="129"/>
      <c r="AD682" s="129"/>
      <c r="AE682" s="129"/>
      <c r="AF682" s="129"/>
      <c r="AG682" s="129"/>
      <c r="AH682" s="129"/>
      <c r="AI682" s="129"/>
      <c r="AJ682" s="129"/>
      <c r="AK682" s="129"/>
      <c r="AL682" s="129"/>
      <c r="AM682" s="129"/>
    </row>
    <row r="683" spans="1:39" hidden="1" x14ac:dyDescent="0.25">
      <c r="A683" s="127">
        <v>682</v>
      </c>
      <c r="B683" s="152" t="s">
        <v>3798</v>
      </c>
      <c r="C683" s="153" t="s">
        <v>3799</v>
      </c>
      <c r="D683" s="153" t="s">
        <v>3800</v>
      </c>
      <c r="E683" s="153" t="s">
        <v>4948</v>
      </c>
      <c r="F683" s="6"/>
      <c r="G683" s="6"/>
      <c r="H683" s="128">
        <f t="shared" si="11"/>
        <v>0</v>
      </c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  <c r="AA683" s="129"/>
      <c r="AB683" s="129"/>
      <c r="AC683" s="129"/>
      <c r="AD683" s="129"/>
      <c r="AE683" s="129"/>
      <c r="AF683" s="129"/>
      <c r="AG683" s="129"/>
      <c r="AH683" s="129"/>
      <c r="AI683" s="129"/>
      <c r="AJ683" s="129"/>
      <c r="AK683" s="129"/>
      <c r="AL683" s="129"/>
      <c r="AM683" s="129"/>
    </row>
    <row r="684" spans="1:39" hidden="1" x14ac:dyDescent="0.25">
      <c r="A684" s="127">
        <v>683</v>
      </c>
      <c r="B684" s="152" t="s">
        <v>3801</v>
      </c>
      <c r="C684" s="153" t="s">
        <v>3802</v>
      </c>
      <c r="D684" s="153" t="s">
        <v>3803</v>
      </c>
      <c r="E684" s="153" t="s">
        <v>4948</v>
      </c>
      <c r="F684" s="6"/>
      <c r="G684" s="6"/>
      <c r="H684" s="128">
        <f t="shared" si="11"/>
        <v>0</v>
      </c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  <c r="AA684" s="129"/>
      <c r="AB684" s="129"/>
      <c r="AC684" s="129"/>
      <c r="AD684" s="129"/>
      <c r="AE684" s="129"/>
      <c r="AF684" s="129"/>
      <c r="AG684" s="129"/>
      <c r="AH684" s="129"/>
      <c r="AI684" s="129"/>
      <c r="AJ684" s="129"/>
      <c r="AK684" s="129"/>
      <c r="AL684" s="129"/>
      <c r="AM684" s="129"/>
    </row>
    <row r="685" spans="1:39" hidden="1" x14ac:dyDescent="0.25">
      <c r="A685" s="127">
        <v>684</v>
      </c>
      <c r="B685" s="152" t="s">
        <v>3804</v>
      </c>
      <c r="C685" s="153" t="s">
        <v>3805</v>
      </c>
      <c r="D685" s="153" t="s">
        <v>3806</v>
      </c>
      <c r="E685" s="153" t="s">
        <v>2086</v>
      </c>
      <c r="F685" s="6"/>
      <c r="G685" s="6"/>
      <c r="H685" s="128">
        <f t="shared" si="11"/>
        <v>0</v>
      </c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  <c r="AA685" s="129"/>
      <c r="AB685" s="129"/>
      <c r="AC685" s="129"/>
      <c r="AD685" s="129"/>
      <c r="AE685" s="129"/>
      <c r="AF685" s="129"/>
      <c r="AG685" s="129"/>
      <c r="AH685" s="129"/>
      <c r="AI685" s="129"/>
      <c r="AJ685" s="129"/>
      <c r="AK685" s="129"/>
      <c r="AL685" s="129"/>
      <c r="AM685" s="129"/>
    </row>
    <row r="686" spans="1:39" hidden="1" x14ac:dyDescent="0.25">
      <c r="A686" s="127">
        <v>685</v>
      </c>
      <c r="B686" s="152" t="s">
        <v>3807</v>
      </c>
      <c r="C686" s="153" t="s">
        <v>3808</v>
      </c>
      <c r="D686" s="153" t="s">
        <v>3809</v>
      </c>
      <c r="E686" s="153" t="s">
        <v>4948</v>
      </c>
      <c r="F686" s="6"/>
      <c r="G686" s="6"/>
      <c r="H686" s="128">
        <f t="shared" si="11"/>
        <v>0</v>
      </c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  <c r="AA686" s="129"/>
      <c r="AB686" s="129"/>
      <c r="AC686" s="129"/>
      <c r="AD686" s="129"/>
      <c r="AE686" s="129"/>
      <c r="AF686" s="129"/>
      <c r="AG686" s="129"/>
      <c r="AH686" s="129"/>
      <c r="AI686" s="129"/>
      <c r="AJ686" s="129"/>
      <c r="AK686" s="129"/>
      <c r="AL686" s="129"/>
      <c r="AM686" s="129"/>
    </row>
    <row r="687" spans="1:39" hidden="1" x14ac:dyDescent="0.25">
      <c r="A687" s="127">
        <v>686</v>
      </c>
      <c r="B687" s="152" t="s">
        <v>3810</v>
      </c>
      <c r="C687" s="153" t="s">
        <v>3811</v>
      </c>
      <c r="D687" s="153" t="s">
        <v>3812</v>
      </c>
      <c r="E687" s="153" t="s">
        <v>4948</v>
      </c>
      <c r="F687" s="6"/>
      <c r="G687" s="6"/>
      <c r="H687" s="128">
        <f t="shared" si="11"/>
        <v>0</v>
      </c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  <c r="AA687" s="129"/>
      <c r="AB687" s="129"/>
      <c r="AC687" s="129"/>
      <c r="AD687" s="129"/>
      <c r="AE687" s="129"/>
      <c r="AF687" s="129"/>
      <c r="AG687" s="129"/>
      <c r="AH687" s="129"/>
      <c r="AI687" s="129"/>
      <c r="AJ687" s="129"/>
      <c r="AK687" s="129"/>
      <c r="AL687" s="129"/>
      <c r="AM687" s="129"/>
    </row>
    <row r="688" spans="1:39" hidden="1" x14ac:dyDescent="0.25">
      <c r="A688" s="127">
        <v>687</v>
      </c>
      <c r="B688" s="152" t="s">
        <v>3813</v>
      </c>
      <c r="C688" s="153" t="s">
        <v>3814</v>
      </c>
      <c r="D688" s="153" t="s">
        <v>3815</v>
      </c>
      <c r="E688" s="153" t="s">
        <v>4948</v>
      </c>
      <c r="F688" s="6"/>
      <c r="G688" s="6"/>
      <c r="H688" s="128">
        <f t="shared" si="11"/>
        <v>0</v>
      </c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  <c r="AA688" s="129"/>
      <c r="AB688" s="129"/>
      <c r="AC688" s="129"/>
      <c r="AD688" s="129"/>
      <c r="AE688" s="129"/>
      <c r="AF688" s="129"/>
      <c r="AG688" s="129"/>
      <c r="AH688" s="129"/>
      <c r="AI688" s="129"/>
      <c r="AJ688" s="129"/>
      <c r="AK688" s="129"/>
      <c r="AL688" s="129"/>
      <c r="AM688" s="129"/>
    </row>
    <row r="689" spans="1:39" hidden="1" x14ac:dyDescent="0.25">
      <c r="A689" s="127">
        <v>688</v>
      </c>
      <c r="B689" s="152" t="s">
        <v>3816</v>
      </c>
      <c r="C689" s="153" t="s">
        <v>3817</v>
      </c>
      <c r="D689" s="153" t="s">
        <v>3818</v>
      </c>
      <c r="E689" s="153" t="s">
        <v>4948</v>
      </c>
      <c r="F689" s="6"/>
      <c r="G689" s="6"/>
      <c r="H689" s="128">
        <f t="shared" si="11"/>
        <v>0</v>
      </c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  <c r="AA689" s="129"/>
      <c r="AB689" s="129"/>
      <c r="AC689" s="129"/>
      <c r="AD689" s="129"/>
      <c r="AE689" s="129"/>
      <c r="AF689" s="129"/>
      <c r="AG689" s="129"/>
      <c r="AH689" s="129"/>
      <c r="AI689" s="129"/>
      <c r="AJ689" s="129"/>
      <c r="AK689" s="129"/>
      <c r="AL689" s="129"/>
      <c r="AM689" s="129"/>
    </row>
    <row r="690" spans="1:39" hidden="1" x14ac:dyDescent="0.25">
      <c r="A690" s="127">
        <v>689</v>
      </c>
      <c r="B690" s="152" t="s">
        <v>3819</v>
      </c>
      <c r="C690" s="153" t="s">
        <v>3820</v>
      </c>
      <c r="D690" s="153" t="s">
        <v>3821</v>
      </c>
      <c r="E690" s="153" t="s">
        <v>4948</v>
      </c>
      <c r="F690" s="6"/>
      <c r="G690" s="6"/>
      <c r="H690" s="128">
        <f t="shared" si="11"/>
        <v>0</v>
      </c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</row>
    <row r="691" spans="1:39" hidden="1" x14ac:dyDescent="0.25">
      <c r="A691" s="127">
        <v>690</v>
      </c>
      <c r="B691" s="152" t="s">
        <v>3822</v>
      </c>
      <c r="C691" s="153" t="s">
        <v>3823</v>
      </c>
      <c r="D691" s="153" t="s">
        <v>3824</v>
      </c>
      <c r="E691" s="153" t="s">
        <v>4948</v>
      </c>
      <c r="F691" s="6"/>
      <c r="G691" s="6"/>
      <c r="H691" s="128">
        <f t="shared" si="11"/>
        <v>0</v>
      </c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</row>
    <row r="692" spans="1:39" hidden="1" x14ac:dyDescent="0.25">
      <c r="A692" s="127">
        <v>691</v>
      </c>
      <c r="B692" s="152" t="s">
        <v>3825</v>
      </c>
      <c r="C692" s="153" t="s">
        <v>3826</v>
      </c>
      <c r="D692" s="153" t="s">
        <v>3827</v>
      </c>
      <c r="E692" s="153" t="s">
        <v>4948</v>
      </c>
      <c r="F692" s="6"/>
      <c r="G692" s="6"/>
      <c r="H692" s="128">
        <f t="shared" si="11"/>
        <v>0</v>
      </c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  <c r="AA692" s="129"/>
      <c r="AB692" s="129"/>
      <c r="AC692" s="129"/>
      <c r="AD692" s="129"/>
      <c r="AE692" s="129"/>
      <c r="AF692" s="129"/>
      <c r="AG692" s="129"/>
      <c r="AH692" s="129"/>
      <c r="AI692" s="129"/>
      <c r="AJ692" s="129"/>
      <c r="AK692" s="129"/>
      <c r="AL692" s="129"/>
      <c r="AM692" s="129"/>
    </row>
    <row r="693" spans="1:39" hidden="1" x14ac:dyDescent="0.25">
      <c r="A693" s="127">
        <v>692</v>
      </c>
      <c r="B693" s="152" t="s">
        <v>3828</v>
      </c>
      <c r="C693" s="153" t="s">
        <v>3829</v>
      </c>
      <c r="D693" s="153" t="s">
        <v>3830</v>
      </c>
      <c r="E693" s="153" t="s">
        <v>4948</v>
      </c>
      <c r="F693" s="6"/>
      <c r="G693" s="6"/>
      <c r="H693" s="128">
        <f t="shared" si="11"/>
        <v>0</v>
      </c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29"/>
      <c r="AL693" s="129"/>
      <c r="AM693" s="129"/>
    </row>
    <row r="694" spans="1:39" hidden="1" x14ac:dyDescent="0.25">
      <c r="A694" s="127">
        <v>693</v>
      </c>
      <c r="B694" s="152" t="s">
        <v>3831</v>
      </c>
      <c r="C694" s="153" t="s">
        <v>3832</v>
      </c>
      <c r="D694" s="153" t="s">
        <v>3833</v>
      </c>
      <c r="E694" s="153" t="s">
        <v>4948</v>
      </c>
      <c r="F694" s="6"/>
      <c r="G694" s="6"/>
      <c r="H694" s="128">
        <f t="shared" si="11"/>
        <v>0</v>
      </c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</row>
    <row r="695" spans="1:39" hidden="1" x14ac:dyDescent="0.25">
      <c r="A695" s="127">
        <v>694</v>
      </c>
      <c r="B695" s="152" t="s">
        <v>3834</v>
      </c>
      <c r="C695" s="153" t="s">
        <v>3835</v>
      </c>
      <c r="D695" s="153" t="s">
        <v>3836</v>
      </c>
      <c r="E695" s="153" t="s">
        <v>2086</v>
      </c>
      <c r="F695" s="6"/>
      <c r="G695" s="6"/>
      <c r="H695" s="128">
        <f t="shared" si="11"/>
        <v>0</v>
      </c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</row>
    <row r="696" spans="1:39" hidden="1" x14ac:dyDescent="0.25">
      <c r="A696" s="127">
        <v>695</v>
      </c>
      <c r="B696" s="152" t="s">
        <v>3837</v>
      </c>
      <c r="C696" s="153" t="s">
        <v>3838</v>
      </c>
      <c r="D696" s="153" t="s">
        <v>3839</v>
      </c>
      <c r="E696" s="153" t="s">
        <v>2086</v>
      </c>
      <c r="F696" s="6"/>
      <c r="G696" s="6"/>
      <c r="H696" s="128">
        <f t="shared" si="11"/>
        <v>0</v>
      </c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</row>
    <row r="697" spans="1:39" hidden="1" x14ac:dyDescent="0.25">
      <c r="A697" s="127">
        <v>696</v>
      </c>
      <c r="B697" s="152" t="s">
        <v>3840</v>
      </c>
      <c r="C697" s="153" t="s">
        <v>3841</v>
      </c>
      <c r="D697" s="153" t="s">
        <v>3842</v>
      </c>
      <c r="E697" s="153" t="s">
        <v>4948</v>
      </c>
      <c r="F697" s="6"/>
      <c r="G697" s="6"/>
      <c r="H697" s="128">
        <f t="shared" si="11"/>
        <v>0</v>
      </c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</row>
    <row r="698" spans="1:39" hidden="1" x14ac:dyDescent="0.25">
      <c r="A698" s="127">
        <v>697</v>
      </c>
      <c r="B698" s="152" t="s">
        <v>3843</v>
      </c>
      <c r="C698" s="153" t="s">
        <v>3844</v>
      </c>
      <c r="D698" s="153" t="s">
        <v>3845</v>
      </c>
      <c r="E698" s="153" t="s">
        <v>4948</v>
      </c>
      <c r="F698" s="6"/>
      <c r="G698" s="6"/>
      <c r="H698" s="128">
        <f t="shared" si="11"/>
        <v>0</v>
      </c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</row>
    <row r="699" spans="1:39" hidden="1" x14ac:dyDescent="0.25">
      <c r="A699" s="127">
        <v>698</v>
      </c>
      <c r="B699" s="152" t="s">
        <v>3846</v>
      </c>
      <c r="C699" s="153" t="s">
        <v>3847</v>
      </c>
      <c r="D699" s="153" t="s">
        <v>3848</v>
      </c>
      <c r="E699" s="153" t="s">
        <v>4948</v>
      </c>
      <c r="F699" s="6"/>
      <c r="G699" s="6"/>
      <c r="H699" s="128">
        <f t="shared" si="11"/>
        <v>0</v>
      </c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</row>
    <row r="700" spans="1:39" hidden="1" x14ac:dyDescent="0.25">
      <c r="A700" s="127">
        <v>699</v>
      </c>
      <c r="B700" s="152" t="s">
        <v>3849</v>
      </c>
      <c r="C700" s="153" t="s">
        <v>3850</v>
      </c>
      <c r="D700" s="153" t="s">
        <v>3851</v>
      </c>
      <c r="E700" s="153" t="s">
        <v>4948</v>
      </c>
      <c r="F700" s="6"/>
      <c r="G700" s="6"/>
      <c r="H700" s="128">
        <f t="shared" si="11"/>
        <v>0</v>
      </c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</row>
    <row r="701" spans="1:39" hidden="1" x14ac:dyDescent="0.25">
      <c r="A701" s="127">
        <v>700</v>
      </c>
      <c r="B701" s="152" t="s">
        <v>3852</v>
      </c>
      <c r="C701" s="153" t="s">
        <v>3853</v>
      </c>
      <c r="D701" s="153" t="s">
        <v>3854</v>
      </c>
      <c r="E701" s="153" t="s">
        <v>4948</v>
      </c>
      <c r="F701" s="6"/>
      <c r="G701" s="6"/>
      <c r="H701" s="128">
        <f t="shared" si="11"/>
        <v>0</v>
      </c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</row>
    <row r="702" spans="1:39" hidden="1" x14ac:dyDescent="0.25">
      <c r="A702" s="127">
        <v>701</v>
      </c>
      <c r="B702" s="152" t="s">
        <v>3855</v>
      </c>
      <c r="C702" s="153" t="s">
        <v>3856</v>
      </c>
      <c r="D702" s="153" t="s">
        <v>3857</v>
      </c>
      <c r="E702" s="153" t="s">
        <v>4948</v>
      </c>
      <c r="F702" s="6"/>
      <c r="G702" s="6"/>
      <c r="H702" s="128">
        <f t="shared" si="11"/>
        <v>0</v>
      </c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</row>
    <row r="703" spans="1:39" hidden="1" x14ac:dyDescent="0.25">
      <c r="A703" s="127">
        <v>702</v>
      </c>
      <c r="B703" s="152" t="s">
        <v>3858</v>
      </c>
      <c r="C703" s="153" t="s">
        <v>3859</v>
      </c>
      <c r="D703" s="153" t="s">
        <v>3860</v>
      </c>
      <c r="E703" s="153" t="s">
        <v>4948</v>
      </c>
      <c r="F703" s="6"/>
      <c r="G703" s="6"/>
      <c r="H703" s="128">
        <f t="shared" si="11"/>
        <v>0</v>
      </c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</row>
    <row r="704" spans="1:39" hidden="1" x14ac:dyDescent="0.25">
      <c r="A704" s="127">
        <v>703</v>
      </c>
      <c r="B704" s="152" t="s">
        <v>3861</v>
      </c>
      <c r="C704" s="153" t="s">
        <v>3862</v>
      </c>
      <c r="D704" s="153" t="s">
        <v>3863</v>
      </c>
      <c r="E704" s="153" t="s">
        <v>4948</v>
      </c>
      <c r="F704" s="6"/>
      <c r="G704" s="6"/>
      <c r="H704" s="128">
        <f t="shared" si="11"/>
        <v>0</v>
      </c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  <c r="AA704" s="129"/>
      <c r="AB704" s="129"/>
      <c r="AC704" s="129"/>
      <c r="AD704" s="129"/>
      <c r="AE704" s="129"/>
      <c r="AF704" s="129"/>
      <c r="AG704" s="129"/>
      <c r="AH704" s="129"/>
      <c r="AI704" s="129"/>
      <c r="AJ704" s="129"/>
      <c r="AK704" s="129"/>
      <c r="AL704" s="129"/>
      <c r="AM704" s="129"/>
    </row>
    <row r="705" spans="1:39" hidden="1" x14ac:dyDescent="0.25">
      <c r="A705" s="127">
        <v>704</v>
      </c>
      <c r="B705" s="152" t="s">
        <v>3864</v>
      </c>
      <c r="C705" s="153" t="s">
        <v>3865</v>
      </c>
      <c r="D705" s="153" t="s">
        <v>3866</v>
      </c>
      <c r="E705" s="153" t="s">
        <v>4948</v>
      </c>
      <c r="F705" s="6"/>
      <c r="G705" s="6"/>
      <c r="H705" s="128">
        <f t="shared" si="11"/>
        <v>0</v>
      </c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  <c r="AA705" s="129"/>
      <c r="AB705" s="129"/>
      <c r="AC705" s="129"/>
      <c r="AD705" s="129"/>
      <c r="AE705" s="129"/>
      <c r="AF705" s="129"/>
      <c r="AG705" s="129"/>
      <c r="AH705" s="129"/>
      <c r="AI705" s="129"/>
      <c r="AJ705" s="129"/>
      <c r="AK705" s="129"/>
      <c r="AL705" s="129"/>
      <c r="AM705" s="129"/>
    </row>
    <row r="706" spans="1:39" hidden="1" x14ac:dyDescent="0.25">
      <c r="A706" s="127">
        <v>705</v>
      </c>
      <c r="B706" s="152" t="s">
        <v>3867</v>
      </c>
      <c r="C706" s="153" t="s">
        <v>3868</v>
      </c>
      <c r="D706" s="153" t="s">
        <v>3869</v>
      </c>
      <c r="E706" s="153" t="s">
        <v>4948</v>
      </c>
      <c r="F706" s="6"/>
      <c r="G706" s="6"/>
      <c r="H706" s="128">
        <f t="shared" ref="H706:H769" si="12">SUM(I706:AM706)</f>
        <v>0</v>
      </c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  <c r="AA706" s="129"/>
      <c r="AB706" s="129"/>
      <c r="AC706" s="129"/>
      <c r="AD706" s="129"/>
      <c r="AE706" s="129"/>
      <c r="AF706" s="129"/>
      <c r="AG706" s="129"/>
      <c r="AH706" s="129"/>
      <c r="AI706" s="129"/>
      <c r="AJ706" s="129"/>
      <c r="AK706" s="129"/>
      <c r="AL706" s="129"/>
      <c r="AM706" s="129"/>
    </row>
    <row r="707" spans="1:39" hidden="1" x14ac:dyDescent="0.25">
      <c r="A707" s="127">
        <v>706</v>
      </c>
      <c r="B707" s="152" t="s">
        <v>3870</v>
      </c>
      <c r="C707" s="153" t="s">
        <v>3871</v>
      </c>
      <c r="D707" s="153" t="s">
        <v>3872</v>
      </c>
      <c r="E707" s="153" t="s">
        <v>4948</v>
      </c>
      <c r="F707" s="6"/>
      <c r="G707" s="6"/>
      <c r="H707" s="128">
        <f t="shared" si="12"/>
        <v>0</v>
      </c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  <c r="AA707" s="129"/>
      <c r="AB707" s="129"/>
      <c r="AC707" s="129"/>
      <c r="AD707" s="129"/>
      <c r="AE707" s="129"/>
      <c r="AF707" s="129"/>
      <c r="AG707" s="129"/>
      <c r="AH707" s="129"/>
      <c r="AI707" s="129"/>
      <c r="AJ707" s="129"/>
      <c r="AK707" s="129"/>
      <c r="AL707" s="129"/>
      <c r="AM707" s="129"/>
    </row>
    <row r="708" spans="1:39" hidden="1" x14ac:dyDescent="0.25">
      <c r="A708" s="127">
        <v>707</v>
      </c>
      <c r="B708" s="152" t="s">
        <v>1671</v>
      </c>
      <c r="C708" s="153" t="s">
        <v>3873</v>
      </c>
      <c r="D708" s="153" t="s">
        <v>3874</v>
      </c>
      <c r="E708" s="153" t="s">
        <v>4948</v>
      </c>
      <c r="F708" s="6"/>
      <c r="G708" s="6"/>
      <c r="H708" s="128">
        <f t="shared" si="12"/>
        <v>0</v>
      </c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  <c r="AA708" s="129"/>
      <c r="AB708" s="129"/>
      <c r="AC708" s="129"/>
      <c r="AD708" s="129"/>
      <c r="AE708" s="129"/>
      <c r="AF708" s="129"/>
      <c r="AG708" s="129"/>
      <c r="AH708" s="129"/>
      <c r="AI708" s="129"/>
      <c r="AJ708" s="129"/>
      <c r="AK708" s="129"/>
      <c r="AL708" s="129"/>
      <c r="AM708" s="129"/>
    </row>
    <row r="709" spans="1:39" hidden="1" x14ac:dyDescent="0.25">
      <c r="A709" s="127">
        <v>708</v>
      </c>
      <c r="B709" s="152" t="s">
        <v>3875</v>
      </c>
      <c r="C709" s="153" t="s">
        <v>3876</v>
      </c>
      <c r="D709" s="153" t="s">
        <v>3877</v>
      </c>
      <c r="E709" s="153" t="s">
        <v>4948</v>
      </c>
      <c r="F709" s="6"/>
      <c r="G709" s="6"/>
      <c r="H709" s="128">
        <f t="shared" si="12"/>
        <v>0</v>
      </c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  <c r="AA709" s="129"/>
      <c r="AB709" s="129"/>
      <c r="AC709" s="129"/>
      <c r="AD709" s="129"/>
      <c r="AE709" s="129"/>
      <c r="AF709" s="129"/>
      <c r="AG709" s="129"/>
      <c r="AH709" s="129"/>
      <c r="AI709" s="129"/>
      <c r="AJ709" s="129"/>
      <c r="AK709" s="129"/>
      <c r="AL709" s="129"/>
      <c r="AM709" s="129"/>
    </row>
    <row r="710" spans="1:39" hidden="1" x14ac:dyDescent="0.25">
      <c r="A710" s="127">
        <v>709</v>
      </c>
      <c r="B710" s="152" t="s">
        <v>3878</v>
      </c>
      <c r="C710" s="153" t="s">
        <v>3879</v>
      </c>
      <c r="D710" s="153" t="s">
        <v>3880</v>
      </c>
      <c r="E710" s="153" t="s">
        <v>4948</v>
      </c>
      <c r="F710" s="6"/>
      <c r="G710" s="6"/>
      <c r="H710" s="128">
        <f t="shared" si="12"/>
        <v>0</v>
      </c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  <c r="AA710" s="129"/>
      <c r="AB710" s="129"/>
      <c r="AC710" s="129"/>
      <c r="AD710" s="129"/>
      <c r="AE710" s="129"/>
      <c r="AF710" s="129"/>
      <c r="AG710" s="129"/>
      <c r="AH710" s="129"/>
      <c r="AI710" s="129"/>
      <c r="AJ710" s="129"/>
      <c r="AK710" s="129"/>
      <c r="AL710" s="129"/>
      <c r="AM710" s="129"/>
    </row>
    <row r="711" spans="1:39" hidden="1" x14ac:dyDescent="0.25">
      <c r="A711" s="127">
        <v>710</v>
      </c>
      <c r="B711" s="152" t="s">
        <v>3881</v>
      </c>
      <c r="C711" s="153" t="s">
        <v>3882</v>
      </c>
      <c r="D711" s="153" t="s">
        <v>3883</v>
      </c>
      <c r="E711" s="153" t="s">
        <v>4948</v>
      </c>
      <c r="F711" s="6"/>
      <c r="G711" s="6"/>
      <c r="H711" s="128">
        <f t="shared" si="12"/>
        <v>0</v>
      </c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  <c r="AA711" s="129"/>
      <c r="AB711" s="129"/>
      <c r="AC711" s="129"/>
      <c r="AD711" s="129"/>
      <c r="AE711" s="129"/>
      <c r="AF711" s="129"/>
      <c r="AG711" s="129"/>
      <c r="AH711" s="129"/>
      <c r="AI711" s="129"/>
      <c r="AJ711" s="129"/>
      <c r="AK711" s="129"/>
      <c r="AL711" s="129"/>
      <c r="AM711" s="129"/>
    </row>
    <row r="712" spans="1:39" hidden="1" x14ac:dyDescent="0.25">
      <c r="A712" s="127">
        <v>711</v>
      </c>
      <c r="B712" s="152" t="s">
        <v>3884</v>
      </c>
      <c r="C712" s="153" t="s">
        <v>3885</v>
      </c>
      <c r="D712" s="153" t="s">
        <v>3886</v>
      </c>
      <c r="E712" s="153" t="s">
        <v>4948</v>
      </c>
      <c r="F712" s="6"/>
      <c r="G712" s="6"/>
      <c r="H712" s="128">
        <f t="shared" si="12"/>
        <v>0</v>
      </c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  <c r="AA712" s="129"/>
      <c r="AB712" s="129"/>
      <c r="AC712" s="129"/>
      <c r="AD712" s="129"/>
      <c r="AE712" s="129"/>
      <c r="AF712" s="129"/>
      <c r="AG712" s="129"/>
      <c r="AH712" s="129"/>
      <c r="AI712" s="129"/>
      <c r="AJ712" s="129"/>
      <c r="AK712" s="129"/>
      <c r="AL712" s="129"/>
      <c r="AM712" s="129"/>
    </row>
    <row r="713" spans="1:39" hidden="1" x14ac:dyDescent="0.25">
      <c r="A713" s="127">
        <v>712</v>
      </c>
      <c r="B713" s="152" t="s">
        <v>3887</v>
      </c>
      <c r="C713" s="153" t="s">
        <v>3888</v>
      </c>
      <c r="D713" s="153" t="s">
        <v>3889</v>
      </c>
      <c r="E713" s="153" t="s">
        <v>4948</v>
      </c>
      <c r="F713" s="6"/>
      <c r="G713" s="6"/>
      <c r="H713" s="128">
        <f t="shared" si="12"/>
        <v>0</v>
      </c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  <c r="AA713" s="129"/>
      <c r="AB713" s="129"/>
      <c r="AC713" s="129"/>
      <c r="AD713" s="129"/>
      <c r="AE713" s="129"/>
      <c r="AF713" s="129"/>
      <c r="AG713" s="129"/>
      <c r="AH713" s="129"/>
      <c r="AI713" s="129"/>
      <c r="AJ713" s="129"/>
      <c r="AK713" s="129"/>
      <c r="AL713" s="129"/>
      <c r="AM713" s="129"/>
    </row>
    <row r="714" spans="1:39" hidden="1" x14ac:dyDescent="0.25">
      <c r="A714" s="127">
        <v>713</v>
      </c>
      <c r="B714" s="152" t="s">
        <v>3890</v>
      </c>
      <c r="C714" s="153" t="s">
        <v>3891</v>
      </c>
      <c r="D714" s="153" t="s">
        <v>3892</v>
      </c>
      <c r="E714" s="153" t="s">
        <v>4948</v>
      </c>
      <c r="F714" s="6"/>
      <c r="G714" s="6"/>
      <c r="H714" s="128">
        <f t="shared" si="12"/>
        <v>0</v>
      </c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  <c r="AA714" s="129"/>
      <c r="AB714" s="129"/>
      <c r="AC714" s="129"/>
      <c r="AD714" s="129"/>
      <c r="AE714" s="129"/>
      <c r="AF714" s="129"/>
      <c r="AG714" s="129"/>
      <c r="AH714" s="129"/>
      <c r="AI714" s="129"/>
      <c r="AJ714" s="129"/>
      <c r="AK714" s="129"/>
      <c r="AL714" s="129"/>
      <c r="AM714" s="129"/>
    </row>
    <row r="715" spans="1:39" hidden="1" x14ac:dyDescent="0.25">
      <c r="A715" s="127">
        <v>714</v>
      </c>
      <c r="B715" s="152" t="s">
        <v>3893</v>
      </c>
      <c r="C715" s="153" t="s">
        <v>3894</v>
      </c>
      <c r="D715" s="153" t="s">
        <v>3895</v>
      </c>
      <c r="E715" s="153" t="s">
        <v>4948</v>
      </c>
      <c r="F715" s="6"/>
      <c r="G715" s="6"/>
      <c r="H715" s="128">
        <f t="shared" si="12"/>
        <v>0</v>
      </c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  <c r="AA715" s="129"/>
      <c r="AB715" s="129"/>
      <c r="AC715" s="129"/>
      <c r="AD715" s="129"/>
      <c r="AE715" s="129"/>
      <c r="AF715" s="129"/>
      <c r="AG715" s="129"/>
      <c r="AH715" s="129"/>
      <c r="AI715" s="129"/>
      <c r="AJ715" s="129"/>
      <c r="AK715" s="129"/>
      <c r="AL715" s="129"/>
      <c r="AM715" s="129"/>
    </row>
    <row r="716" spans="1:39" hidden="1" x14ac:dyDescent="0.25">
      <c r="A716" s="127">
        <v>715</v>
      </c>
      <c r="B716" s="152" t="s">
        <v>3896</v>
      </c>
      <c r="C716" s="153" t="s">
        <v>3897</v>
      </c>
      <c r="D716" s="153" t="s">
        <v>3898</v>
      </c>
      <c r="E716" s="153" t="s">
        <v>4948</v>
      </c>
      <c r="F716" s="6"/>
      <c r="G716" s="6"/>
      <c r="H716" s="128">
        <f t="shared" si="12"/>
        <v>0</v>
      </c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  <c r="AA716" s="129"/>
      <c r="AB716" s="129"/>
      <c r="AC716" s="129"/>
      <c r="AD716" s="129"/>
      <c r="AE716" s="129"/>
      <c r="AF716" s="129"/>
      <c r="AG716" s="129"/>
      <c r="AH716" s="129"/>
      <c r="AI716" s="129"/>
      <c r="AJ716" s="129"/>
      <c r="AK716" s="129"/>
      <c r="AL716" s="129"/>
      <c r="AM716" s="129"/>
    </row>
    <row r="717" spans="1:39" hidden="1" x14ac:dyDescent="0.25">
      <c r="A717" s="127">
        <v>716</v>
      </c>
      <c r="B717" s="152" t="s">
        <v>3899</v>
      </c>
      <c r="C717" s="153" t="s">
        <v>3900</v>
      </c>
      <c r="D717" s="153" t="s">
        <v>3901</v>
      </c>
      <c r="E717" s="153" t="s">
        <v>4948</v>
      </c>
      <c r="F717" s="6"/>
      <c r="G717" s="6"/>
      <c r="H717" s="128">
        <f t="shared" si="12"/>
        <v>0</v>
      </c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  <c r="AA717" s="129"/>
      <c r="AB717" s="129"/>
      <c r="AC717" s="129"/>
      <c r="AD717" s="129"/>
      <c r="AE717" s="129"/>
      <c r="AF717" s="129"/>
      <c r="AG717" s="129"/>
      <c r="AH717" s="129"/>
      <c r="AI717" s="129"/>
      <c r="AJ717" s="129"/>
      <c r="AK717" s="129"/>
      <c r="AL717" s="129"/>
      <c r="AM717" s="129"/>
    </row>
    <row r="718" spans="1:39" hidden="1" x14ac:dyDescent="0.25">
      <c r="A718" s="127">
        <v>717</v>
      </c>
      <c r="B718" s="152" t="s">
        <v>3902</v>
      </c>
      <c r="C718" s="153" t="s">
        <v>3903</v>
      </c>
      <c r="D718" s="153" t="s">
        <v>3904</v>
      </c>
      <c r="E718" s="153" t="s">
        <v>4948</v>
      </c>
      <c r="F718" s="6"/>
      <c r="G718" s="6"/>
      <c r="H718" s="128">
        <f t="shared" si="12"/>
        <v>0</v>
      </c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  <c r="AA718" s="129"/>
      <c r="AB718" s="129"/>
      <c r="AC718" s="129"/>
      <c r="AD718" s="129"/>
      <c r="AE718" s="129"/>
      <c r="AF718" s="129"/>
      <c r="AG718" s="129"/>
      <c r="AH718" s="129"/>
      <c r="AI718" s="129"/>
      <c r="AJ718" s="129"/>
      <c r="AK718" s="129"/>
      <c r="AL718" s="129"/>
      <c r="AM718" s="129"/>
    </row>
    <row r="719" spans="1:39" hidden="1" x14ac:dyDescent="0.25">
      <c r="A719" s="127">
        <v>718</v>
      </c>
      <c r="B719" s="152" t="s">
        <v>3905</v>
      </c>
      <c r="C719" s="153" t="s">
        <v>3906</v>
      </c>
      <c r="D719" s="153" t="s">
        <v>3907</v>
      </c>
      <c r="E719" s="153" t="s">
        <v>4948</v>
      </c>
      <c r="F719" s="6"/>
      <c r="G719" s="6"/>
      <c r="H719" s="128">
        <f t="shared" si="12"/>
        <v>0</v>
      </c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  <c r="AA719" s="129"/>
      <c r="AB719" s="129"/>
      <c r="AC719" s="129"/>
      <c r="AD719" s="129"/>
      <c r="AE719" s="129"/>
      <c r="AF719" s="129"/>
      <c r="AG719" s="129"/>
      <c r="AH719" s="129"/>
      <c r="AI719" s="129"/>
      <c r="AJ719" s="129"/>
      <c r="AK719" s="129"/>
      <c r="AL719" s="129"/>
      <c r="AM719" s="129"/>
    </row>
    <row r="720" spans="1:39" hidden="1" x14ac:dyDescent="0.25">
      <c r="A720" s="127">
        <v>719</v>
      </c>
      <c r="B720" s="152" t="s">
        <v>3908</v>
      </c>
      <c r="C720" s="153" t="s">
        <v>3909</v>
      </c>
      <c r="D720" s="153" t="s">
        <v>3910</v>
      </c>
      <c r="E720" s="153" t="s">
        <v>4948</v>
      </c>
      <c r="F720" s="6"/>
      <c r="G720" s="6"/>
      <c r="H720" s="128">
        <f t="shared" si="12"/>
        <v>0</v>
      </c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  <c r="AA720" s="129"/>
      <c r="AB720" s="129"/>
      <c r="AC720" s="129"/>
      <c r="AD720" s="129"/>
      <c r="AE720" s="129"/>
      <c r="AF720" s="129"/>
      <c r="AG720" s="129"/>
      <c r="AH720" s="129"/>
      <c r="AI720" s="129"/>
      <c r="AJ720" s="129"/>
      <c r="AK720" s="129"/>
      <c r="AL720" s="129"/>
      <c r="AM720" s="129"/>
    </row>
    <row r="721" spans="1:39" hidden="1" x14ac:dyDescent="0.25">
      <c r="A721" s="127">
        <v>720</v>
      </c>
      <c r="B721" s="152" t="s">
        <v>3911</v>
      </c>
      <c r="C721" s="153" t="s">
        <v>3912</v>
      </c>
      <c r="D721" s="153" t="s">
        <v>3913</v>
      </c>
      <c r="E721" s="153" t="s">
        <v>4948</v>
      </c>
      <c r="F721" s="6"/>
      <c r="G721" s="6"/>
      <c r="H721" s="128">
        <f t="shared" si="12"/>
        <v>0</v>
      </c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  <c r="AA721" s="129"/>
      <c r="AB721" s="129"/>
      <c r="AC721" s="129"/>
      <c r="AD721" s="129"/>
      <c r="AE721" s="129"/>
      <c r="AF721" s="129"/>
      <c r="AG721" s="129"/>
      <c r="AH721" s="129"/>
      <c r="AI721" s="129"/>
      <c r="AJ721" s="129"/>
      <c r="AK721" s="129"/>
      <c r="AL721" s="129"/>
      <c r="AM721" s="129"/>
    </row>
    <row r="722" spans="1:39" hidden="1" x14ac:dyDescent="0.25">
      <c r="A722" s="127">
        <v>721</v>
      </c>
      <c r="B722" s="152" t="s">
        <v>3914</v>
      </c>
      <c r="C722" s="153" t="s">
        <v>3915</v>
      </c>
      <c r="D722" s="153" t="s">
        <v>3916</v>
      </c>
      <c r="E722" s="153" t="s">
        <v>2086</v>
      </c>
      <c r="F722" s="6"/>
      <c r="G722" s="6"/>
      <c r="H722" s="128">
        <f t="shared" si="12"/>
        <v>0</v>
      </c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  <c r="AA722" s="129"/>
      <c r="AB722" s="129"/>
      <c r="AC722" s="129"/>
      <c r="AD722" s="129"/>
      <c r="AE722" s="129"/>
      <c r="AF722" s="129"/>
      <c r="AG722" s="129"/>
      <c r="AH722" s="129"/>
      <c r="AI722" s="129"/>
      <c r="AJ722" s="129"/>
      <c r="AK722" s="129"/>
      <c r="AL722" s="129"/>
      <c r="AM722" s="129"/>
    </row>
    <row r="723" spans="1:39" hidden="1" x14ac:dyDescent="0.25">
      <c r="A723" s="127">
        <v>722</v>
      </c>
      <c r="B723" s="152" t="s">
        <v>3917</v>
      </c>
      <c r="C723" s="153" t="s">
        <v>3918</v>
      </c>
      <c r="D723" s="153" t="s">
        <v>3919</v>
      </c>
      <c r="E723" s="153" t="s">
        <v>4948</v>
      </c>
      <c r="F723" s="6"/>
      <c r="G723" s="6"/>
      <c r="H723" s="128">
        <f t="shared" si="12"/>
        <v>0</v>
      </c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  <c r="AA723" s="129"/>
      <c r="AB723" s="129"/>
      <c r="AC723" s="129"/>
      <c r="AD723" s="129"/>
      <c r="AE723" s="129"/>
      <c r="AF723" s="129"/>
      <c r="AG723" s="129"/>
      <c r="AH723" s="129"/>
      <c r="AI723" s="129"/>
      <c r="AJ723" s="129"/>
      <c r="AK723" s="129"/>
      <c r="AL723" s="129"/>
      <c r="AM723" s="129"/>
    </row>
    <row r="724" spans="1:39" hidden="1" x14ac:dyDescent="0.25">
      <c r="A724" s="127">
        <v>723</v>
      </c>
      <c r="B724" s="152" t="s">
        <v>3920</v>
      </c>
      <c r="C724" s="153" t="s">
        <v>3921</v>
      </c>
      <c r="D724" s="153" t="s">
        <v>3922</v>
      </c>
      <c r="E724" s="153" t="s">
        <v>2086</v>
      </c>
      <c r="F724" s="6"/>
      <c r="G724" s="6"/>
      <c r="H724" s="128">
        <f t="shared" si="12"/>
        <v>0</v>
      </c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  <c r="AA724" s="129"/>
      <c r="AB724" s="129"/>
      <c r="AC724" s="129"/>
      <c r="AD724" s="129"/>
      <c r="AE724" s="129"/>
      <c r="AF724" s="129"/>
      <c r="AG724" s="129"/>
      <c r="AH724" s="129"/>
      <c r="AI724" s="129"/>
      <c r="AJ724" s="129"/>
      <c r="AK724" s="129"/>
      <c r="AL724" s="129"/>
      <c r="AM724" s="129"/>
    </row>
    <row r="725" spans="1:39" hidden="1" x14ac:dyDescent="0.25">
      <c r="A725" s="127">
        <v>724</v>
      </c>
      <c r="B725" s="152" t="s">
        <v>3923</v>
      </c>
      <c r="C725" s="153" t="s">
        <v>3924</v>
      </c>
      <c r="D725" s="153" t="s">
        <v>3925</v>
      </c>
      <c r="E725" s="153" t="s">
        <v>4948</v>
      </c>
      <c r="F725" s="6"/>
      <c r="G725" s="6"/>
      <c r="H725" s="128">
        <f t="shared" si="12"/>
        <v>0</v>
      </c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  <c r="AA725" s="129"/>
      <c r="AB725" s="129"/>
      <c r="AC725" s="129"/>
      <c r="AD725" s="129"/>
      <c r="AE725" s="129"/>
      <c r="AF725" s="129"/>
      <c r="AG725" s="129"/>
      <c r="AH725" s="129"/>
      <c r="AI725" s="129"/>
      <c r="AJ725" s="129"/>
      <c r="AK725" s="129"/>
      <c r="AL725" s="129"/>
      <c r="AM725" s="129"/>
    </row>
    <row r="726" spans="1:39" hidden="1" x14ac:dyDescent="0.25">
      <c r="A726" s="127">
        <v>725</v>
      </c>
      <c r="B726" s="152" t="s">
        <v>3927</v>
      </c>
      <c r="C726" s="153" t="s">
        <v>3928</v>
      </c>
      <c r="D726" s="153" t="s">
        <v>3929</v>
      </c>
      <c r="E726" s="153" t="s">
        <v>2086</v>
      </c>
      <c r="F726" s="6"/>
      <c r="G726" s="6"/>
      <c r="H726" s="128">
        <f t="shared" si="12"/>
        <v>0</v>
      </c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  <c r="AA726" s="129"/>
      <c r="AB726" s="129"/>
      <c r="AC726" s="129"/>
      <c r="AD726" s="129"/>
      <c r="AE726" s="129"/>
      <c r="AF726" s="129"/>
      <c r="AG726" s="129"/>
      <c r="AH726" s="129"/>
      <c r="AI726" s="129"/>
      <c r="AJ726" s="129"/>
      <c r="AK726" s="129"/>
      <c r="AL726" s="129"/>
      <c r="AM726" s="129"/>
    </row>
    <row r="727" spans="1:39" hidden="1" x14ac:dyDescent="0.25">
      <c r="A727" s="127">
        <v>726</v>
      </c>
      <c r="B727" s="152" t="s">
        <v>3930</v>
      </c>
      <c r="C727" s="153" t="s">
        <v>3931</v>
      </c>
      <c r="D727" s="153" t="s">
        <v>3932</v>
      </c>
      <c r="E727" s="153" t="s">
        <v>4948</v>
      </c>
      <c r="F727" s="6"/>
      <c r="G727" s="6"/>
      <c r="H727" s="128">
        <f t="shared" si="12"/>
        <v>0</v>
      </c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  <c r="AA727" s="129"/>
      <c r="AB727" s="129"/>
      <c r="AC727" s="129"/>
      <c r="AD727" s="129"/>
      <c r="AE727" s="129"/>
      <c r="AF727" s="129"/>
      <c r="AG727" s="129"/>
      <c r="AH727" s="129"/>
      <c r="AI727" s="129"/>
      <c r="AJ727" s="129"/>
      <c r="AK727" s="129"/>
      <c r="AL727" s="129"/>
      <c r="AM727" s="129"/>
    </row>
    <row r="728" spans="1:39" hidden="1" x14ac:dyDescent="0.25">
      <c r="A728" s="127">
        <v>727</v>
      </c>
      <c r="B728" s="152" t="s">
        <v>3933</v>
      </c>
      <c r="C728" s="153" t="s">
        <v>3934</v>
      </c>
      <c r="D728" s="153" t="s">
        <v>3935</v>
      </c>
      <c r="E728" s="153" t="s">
        <v>4948</v>
      </c>
      <c r="F728" s="6"/>
      <c r="G728" s="6"/>
      <c r="H728" s="128">
        <f t="shared" si="12"/>
        <v>0</v>
      </c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</row>
    <row r="729" spans="1:39" hidden="1" x14ac:dyDescent="0.25">
      <c r="A729" s="127">
        <v>728</v>
      </c>
      <c r="B729" s="152" t="s">
        <v>3936</v>
      </c>
      <c r="C729" s="153" t="s">
        <v>3937</v>
      </c>
      <c r="D729" s="153" t="s">
        <v>3938</v>
      </c>
      <c r="E729" s="153" t="s">
        <v>4948</v>
      </c>
      <c r="F729" s="6"/>
      <c r="G729" s="6"/>
      <c r="H729" s="128">
        <f t="shared" si="12"/>
        <v>0</v>
      </c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</row>
    <row r="730" spans="1:39" hidden="1" x14ac:dyDescent="0.25">
      <c r="A730" s="127">
        <v>729</v>
      </c>
      <c r="B730" s="152" t="s">
        <v>3939</v>
      </c>
      <c r="C730" s="153" t="s">
        <v>3940</v>
      </c>
      <c r="D730" s="153" t="s">
        <v>3941</v>
      </c>
      <c r="E730" s="153" t="s">
        <v>2086</v>
      </c>
      <c r="F730" s="6"/>
      <c r="G730" s="6"/>
      <c r="H730" s="128">
        <f t="shared" si="12"/>
        <v>0</v>
      </c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  <c r="AA730" s="129"/>
      <c r="AB730" s="129"/>
      <c r="AC730" s="129"/>
      <c r="AD730" s="129"/>
      <c r="AE730" s="129"/>
      <c r="AF730" s="129"/>
      <c r="AG730" s="129"/>
      <c r="AH730" s="129"/>
      <c r="AI730" s="129"/>
      <c r="AJ730" s="129"/>
      <c r="AK730" s="129"/>
      <c r="AL730" s="129"/>
      <c r="AM730" s="129"/>
    </row>
    <row r="731" spans="1:39" hidden="1" x14ac:dyDescent="0.25">
      <c r="A731" s="127">
        <v>730</v>
      </c>
      <c r="B731" s="152" t="s">
        <v>3942</v>
      </c>
      <c r="C731" s="153" t="s">
        <v>3943</v>
      </c>
      <c r="D731" s="153" t="s">
        <v>3944</v>
      </c>
      <c r="E731" s="153" t="s">
        <v>4948</v>
      </c>
      <c r="F731" s="6"/>
      <c r="G731" s="6"/>
      <c r="H731" s="128">
        <f t="shared" si="12"/>
        <v>0</v>
      </c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29"/>
      <c r="AL731" s="129"/>
      <c r="AM731" s="129"/>
    </row>
    <row r="732" spans="1:39" hidden="1" x14ac:dyDescent="0.25">
      <c r="A732" s="127">
        <v>731</v>
      </c>
      <c r="B732" s="152" t="s">
        <v>3945</v>
      </c>
      <c r="C732" s="153" t="s">
        <v>3946</v>
      </c>
      <c r="D732" s="153" t="s">
        <v>3947</v>
      </c>
      <c r="E732" s="153" t="s">
        <v>4948</v>
      </c>
      <c r="F732" s="6"/>
      <c r="G732" s="6"/>
      <c r="H732" s="128">
        <f t="shared" si="12"/>
        <v>0</v>
      </c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</row>
    <row r="733" spans="1:39" hidden="1" x14ac:dyDescent="0.25">
      <c r="A733" s="127">
        <v>732</v>
      </c>
      <c r="B733" s="152" t="s">
        <v>3948</v>
      </c>
      <c r="C733" s="153" t="s">
        <v>3949</v>
      </c>
      <c r="D733" s="153" t="s">
        <v>3950</v>
      </c>
      <c r="E733" s="153" t="s">
        <v>4948</v>
      </c>
      <c r="F733" s="6"/>
      <c r="G733" s="6"/>
      <c r="H733" s="128">
        <f t="shared" si="12"/>
        <v>0</v>
      </c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</row>
    <row r="734" spans="1:39" hidden="1" x14ac:dyDescent="0.25">
      <c r="A734" s="127">
        <v>733</v>
      </c>
      <c r="B734" s="152" t="s">
        <v>3951</v>
      </c>
      <c r="C734" s="153" t="s">
        <v>3952</v>
      </c>
      <c r="D734" s="153" t="s">
        <v>3953</v>
      </c>
      <c r="E734" s="153" t="s">
        <v>4948</v>
      </c>
      <c r="F734" s="6"/>
      <c r="G734" s="6"/>
      <c r="H734" s="128">
        <f t="shared" si="12"/>
        <v>0</v>
      </c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</row>
    <row r="735" spans="1:39" hidden="1" x14ac:dyDescent="0.25">
      <c r="A735" s="127">
        <v>734</v>
      </c>
      <c r="B735" s="152" t="s">
        <v>3954</v>
      </c>
      <c r="C735" s="153" t="s">
        <v>3955</v>
      </c>
      <c r="D735" s="153" t="s">
        <v>3956</v>
      </c>
      <c r="E735" s="153" t="s">
        <v>4948</v>
      </c>
      <c r="F735" s="6"/>
      <c r="G735" s="6"/>
      <c r="H735" s="128">
        <f t="shared" si="12"/>
        <v>0</v>
      </c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</row>
    <row r="736" spans="1:39" hidden="1" x14ac:dyDescent="0.25">
      <c r="A736" s="127">
        <v>735</v>
      </c>
      <c r="B736" s="152" t="s">
        <v>3957</v>
      </c>
      <c r="C736" s="153" t="s">
        <v>3958</v>
      </c>
      <c r="D736" s="153" t="s">
        <v>3959</v>
      </c>
      <c r="E736" s="153" t="s">
        <v>4948</v>
      </c>
      <c r="F736" s="6"/>
      <c r="G736" s="6"/>
      <c r="H736" s="128">
        <f t="shared" si="12"/>
        <v>0</v>
      </c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</row>
    <row r="737" spans="1:39" hidden="1" x14ac:dyDescent="0.25">
      <c r="A737" s="127">
        <v>736</v>
      </c>
      <c r="B737" s="152" t="s">
        <v>3960</v>
      </c>
      <c r="C737" s="153" t="s">
        <v>3961</v>
      </c>
      <c r="D737" s="153" t="s">
        <v>3962</v>
      </c>
      <c r="E737" s="153" t="s">
        <v>4948</v>
      </c>
      <c r="F737" s="6"/>
      <c r="G737" s="6"/>
      <c r="H737" s="128">
        <f t="shared" si="12"/>
        <v>0</v>
      </c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</row>
    <row r="738" spans="1:39" hidden="1" x14ac:dyDescent="0.25">
      <c r="A738" s="127">
        <v>737</v>
      </c>
      <c r="B738" s="152" t="s">
        <v>3963</v>
      </c>
      <c r="C738" s="153" t="s">
        <v>3964</v>
      </c>
      <c r="D738" s="153" t="s">
        <v>3965</v>
      </c>
      <c r="E738" s="153" t="s">
        <v>2086</v>
      </c>
      <c r="F738" s="6"/>
      <c r="G738" s="6"/>
      <c r="H738" s="128">
        <f t="shared" si="12"/>
        <v>0</v>
      </c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</row>
    <row r="739" spans="1:39" hidden="1" x14ac:dyDescent="0.25">
      <c r="A739" s="127">
        <v>738</v>
      </c>
      <c r="B739" s="152" t="s">
        <v>3966</v>
      </c>
      <c r="C739" s="153" t="s">
        <v>3967</v>
      </c>
      <c r="D739" s="153" t="s">
        <v>3968</v>
      </c>
      <c r="E739" s="153" t="s">
        <v>2086</v>
      </c>
      <c r="F739" s="6"/>
      <c r="G739" s="6"/>
      <c r="H739" s="128">
        <f t="shared" si="12"/>
        <v>0</v>
      </c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</row>
    <row r="740" spans="1:39" hidden="1" x14ac:dyDescent="0.25">
      <c r="A740" s="127">
        <v>739</v>
      </c>
      <c r="B740" s="152" t="s">
        <v>3969</v>
      </c>
      <c r="C740" s="153" t="s">
        <v>3970</v>
      </c>
      <c r="D740" s="153" t="s">
        <v>3971</v>
      </c>
      <c r="E740" s="153" t="s">
        <v>4948</v>
      </c>
      <c r="F740" s="6"/>
      <c r="G740" s="6"/>
      <c r="H740" s="128">
        <f t="shared" si="12"/>
        <v>0</v>
      </c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</row>
    <row r="741" spans="1:39" hidden="1" x14ac:dyDescent="0.25">
      <c r="A741" s="127">
        <v>740</v>
      </c>
      <c r="B741" s="152" t="s">
        <v>3972</v>
      </c>
      <c r="C741" s="153" t="s">
        <v>3973</v>
      </c>
      <c r="D741" s="153" t="s">
        <v>3974</v>
      </c>
      <c r="E741" s="153" t="s">
        <v>2086</v>
      </c>
      <c r="F741" s="6"/>
      <c r="G741" s="6"/>
      <c r="H741" s="128">
        <f t="shared" si="12"/>
        <v>519000</v>
      </c>
      <c r="I741" s="129">
        <v>459000</v>
      </c>
      <c r="J741" s="129"/>
      <c r="K741" s="129"/>
      <c r="L741" s="129"/>
      <c r="M741" s="129"/>
      <c r="N741" s="129"/>
      <c r="O741" s="129">
        <v>20000</v>
      </c>
      <c r="P741" s="129"/>
      <c r="Q741" s="129"/>
      <c r="R741" s="129"/>
      <c r="S741" s="129">
        <v>40000</v>
      </c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</row>
    <row r="742" spans="1:39" hidden="1" x14ac:dyDescent="0.25">
      <c r="A742" s="127">
        <v>741</v>
      </c>
      <c r="B742" s="152" t="s">
        <v>3975</v>
      </c>
      <c r="C742" s="153" t="s">
        <v>3976</v>
      </c>
      <c r="D742" s="153" t="s">
        <v>3977</v>
      </c>
      <c r="E742" s="153" t="s">
        <v>4948</v>
      </c>
      <c r="F742" s="6"/>
      <c r="G742" s="6"/>
      <c r="H742" s="128">
        <f t="shared" si="12"/>
        <v>315000</v>
      </c>
      <c r="I742" s="129">
        <v>115000</v>
      </c>
      <c r="J742" s="129"/>
      <c r="K742" s="129"/>
      <c r="L742" s="129"/>
      <c r="M742" s="129"/>
      <c r="N742" s="129"/>
      <c r="O742" s="129"/>
      <c r="P742" s="129">
        <v>200000</v>
      </c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  <c r="AA742" s="129"/>
      <c r="AB742" s="129"/>
      <c r="AC742" s="129"/>
      <c r="AD742" s="129"/>
      <c r="AE742" s="129"/>
      <c r="AF742" s="129"/>
      <c r="AG742" s="129"/>
      <c r="AH742" s="129"/>
      <c r="AI742" s="129"/>
      <c r="AJ742" s="129"/>
      <c r="AK742" s="129"/>
      <c r="AL742" s="129"/>
      <c r="AM742" s="129"/>
    </row>
    <row r="743" spans="1:39" hidden="1" x14ac:dyDescent="0.25">
      <c r="A743" s="127">
        <v>742</v>
      </c>
      <c r="B743" s="152" t="s">
        <v>3978</v>
      </c>
      <c r="C743" s="153" t="s">
        <v>3979</v>
      </c>
      <c r="D743" s="153" t="s">
        <v>3980</v>
      </c>
      <c r="E743" s="153" t="s">
        <v>4948</v>
      </c>
      <c r="F743" s="6"/>
      <c r="G743" s="6"/>
      <c r="H743" s="128">
        <f t="shared" si="12"/>
        <v>0</v>
      </c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  <c r="AA743" s="129"/>
      <c r="AB743" s="129"/>
      <c r="AC743" s="129"/>
      <c r="AD743" s="129"/>
      <c r="AE743" s="129"/>
      <c r="AF743" s="129"/>
      <c r="AG743" s="129"/>
      <c r="AH743" s="129"/>
      <c r="AI743" s="129"/>
      <c r="AJ743" s="129"/>
      <c r="AK743" s="129"/>
      <c r="AL743" s="129"/>
      <c r="AM743" s="129"/>
    </row>
    <row r="744" spans="1:39" hidden="1" x14ac:dyDescent="0.25">
      <c r="A744" s="127">
        <v>743</v>
      </c>
      <c r="B744" s="152" t="s">
        <v>3981</v>
      </c>
      <c r="C744" s="153" t="s">
        <v>3982</v>
      </c>
      <c r="D744" s="153" t="s">
        <v>3983</v>
      </c>
      <c r="E744" s="153" t="s">
        <v>2086</v>
      </c>
      <c r="F744" s="6"/>
      <c r="G744" s="6"/>
      <c r="H744" s="128">
        <f t="shared" si="12"/>
        <v>16000</v>
      </c>
      <c r="I744" s="129">
        <v>16000</v>
      </c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  <c r="AA744" s="129"/>
      <c r="AB744" s="129"/>
      <c r="AC744" s="129"/>
      <c r="AD744" s="129"/>
      <c r="AE744" s="129"/>
      <c r="AF744" s="129"/>
      <c r="AG744" s="129"/>
      <c r="AH744" s="129"/>
      <c r="AI744" s="129"/>
      <c r="AJ744" s="129"/>
      <c r="AK744" s="129"/>
      <c r="AL744" s="129"/>
      <c r="AM744" s="129"/>
    </row>
    <row r="745" spans="1:39" hidden="1" x14ac:dyDescent="0.25">
      <c r="A745" s="127">
        <v>744</v>
      </c>
      <c r="B745" s="152" t="s">
        <v>3984</v>
      </c>
      <c r="C745" s="153" t="s">
        <v>3985</v>
      </c>
      <c r="D745" s="153" t="s">
        <v>3986</v>
      </c>
      <c r="E745" s="153" t="s">
        <v>4948</v>
      </c>
      <c r="F745" s="6"/>
      <c r="G745" s="6"/>
      <c r="H745" s="128">
        <f t="shared" si="12"/>
        <v>0</v>
      </c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  <c r="AA745" s="129"/>
      <c r="AB745" s="129"/>
      <c r="AC745" s="129"/>
      <c r="AD745" s="129"/>
      <c r="AE745" s="129"/>
      <c r="AF745" s="129"/>
      <c r="AG745" s="129"/>
      <c r="AH745" s="129"/>
      <c r="AI745" s="129"/>
      <c r="AJ745" s="129"/>
      <c r="AK745" s="129"/>
      <c r="AL745" s="129"/>
      <c r="AM745" s="129"/>
    </row>
    <row r="746" spans="1:39" hidden="1" x14ac:dyDescent="0.25">
      <c r="A746" s="127">
        <v>745</v>
      </c>
      <c r="B746" s="152" t="s">
        <v>3987</v>
      </c>
      <c r="C746" s="153" t="s">
        <v>3988</v>
      </c>
      <c r="D746" s="153" t="s">
        <v>3989</v>
      </c>
      <c r="E746" s="153" t="s">
        <v>2086</v>
      </c>
      <c r="F746" s="6"/>
      <c r="G746" s="6"/>
      <c r="H746" s="128">
        <f t="shared" si="12"/>
        <v>5000</v>
      </c>
      <c r="I746" s="129"/>
      <c r="J746" s="129"/>
      <c r="K746" s="129"/>
      <c r="L746" s="129"/>
      <c r="M746" s="129"/>
      <c r="N746" s="129"/>
      <c r="O746" s="129"/>
      <c r="P746" s="129">
        <v>5000</v>
      </c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  <c r="AA746" s="129"/>
      <c r="AB746" s="129"/>
      <c r="AC746" s="129"/>
      <c r="AD746" s="129"/>
      <c r="AE746" s="129"/>
      <c r="AF746" s="129"/>
      <c r="AG746" s="129"/>
      <c r="AH746" s="129"/>
      <c r="AI746" s="129"/>
      <c r="AJ746" s="129"/>
      <c r="AK746" s="129"/>
      <c r="AL746" s="129"/>
      <c r="AM746" s="129"/>
    </row>
    <row r="747" spans="1:39" hidden="1" x14ac:dyDescent="0.25">
      <c r="A747" s="127">
        <v>746</v>
      </c>
      <c r="B747" s="152" t="s">
        <v>3990</v>
      </c>
      <c r="C747" s="153" t="s">
        <v>3991</v>
      </c>
      <c r="D747" s="153" t="s">
        <v>3992</v>
      </c>
      <c r="E747" s="153" t="s">
        <v>4948</v>
      </c>
      <c r="F747" s="6"/>
      <c r="G747" s="6"/>
      <c r="H747" s="128">
        <f t="shared" si="12"/>
        <v>0</v>
      </c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  <c r="AA747" s="129"/>
      <c r="AB747" s="129"/>
      <c r="AC747" s="129"/>
      <c r="AD747" s="129"/>
      <c r="AE747" s="129"/>
      <c r="AF747" s="129"/>
      <c r="AG747" s="129"/>
      <c r="AH747" s="129"/>
      <c r="AI747" s="129"/>
      <c r="AJ747" s="129"/>
      <c r="AK747" s="129"/>
      <c r="AL747" s="129"/>
      <c r="AM747" s="129"/>
    </row>
    <row r="748" spans="1:39" hidden="1" x14ac:dyDescent="0.25">
      <c r="A748" s="127">
        <v>747</v>
      </c>
      <c r="B748" s="152" t="s">
        <v>3993</v>
      </c>
      <c r="C748" s="153" t="s">
        <v>3994</v>
      </c>
      <c r="D748" s="153" t="s">
        <v>3995</v>
      </c>
      <c r="E748" s="153" t="s">
        <v>4948</v>
      </c>
      <c r="F748" s="6"/>
      <c r="G748" s="6"/>
      <c r="H748" s="128">
        <f t="shared" si="12"/>
        <v>0</v>
      </c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  <c r="AA748" s="129"/>
      <c r="AB748" s="129"/>
      <c r="AC748" s="129"/>
      <c r="AD748" s="129"/>
      <c r="AE748" s="129"/>
      <c r="AF748" s="129"/>
      <c r="AG748" s="129"/>
      <c r="AH748" s="129"/>
      <c r="AI748" s="129"/>
      <c r="AJ748" s="129"/>
      <c r="AK748" s="129"/>
      <c r="AL748" s="129"/>
      <c r="AM748" s="129"/>
    </row>
    <row r="749" spans="1:39" hidden="1" x14ac:dyDescent="0.25">
      <c r="A749" s="127">
        <v>748</v>
      </c>
      <c r="B749" s="152" t="s">
        <v>3996</v>
      </c>
      <c r="C749" s="153" t="s">
        <v>3997</v>
      </c>
      <c r="D749" s="153" t="s">
        <v>3998</v>
      </c>
      <c r="E749" s="153" t="s">
        <v>4948</v>
      </c>
      <c r="F749" s="6"/>
      <c r="G749" s="6"/>
      <c r="H749" s="128">
        <f t="shared" si="12"/>
        <v>0</v>
      </c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  <c r="AA749" s="129"/>
      <c r="AB749" s="129"/>
      <c r="AC749" s="129"/>
      <c r="AD749" s="129"/>
      <c r="AE749" s="129"/>
      <c r="AF749" s="129"/>
      <c r="AG749" s="129"/>
      <c r="AH749" s="129"/>
      <c r="AI749" s="129"/>
      <c r="AJ749" s="129"/>
      <c r="AK749" s="129"/>
      <c r="AL749" s="129"/>
      <c r="AM749" s="129"/>
    </row>
    <row r="750" spans="1:39" hidden="1" x14ac:dyDescent="0.25">
      <c r="A750" s="127">
        <v>749</v>
      </c>
      <c r="B750" s="152" t="s">
        <v>3999</v>
      </c>
      <c r="C750" s="153" t="s">
        <v>4000</v>
      </c>
      <c r="D750" s="153" t="s">
        <v>4001</v>
      </c>
      <c r="E750" s="153" t="s">
        <v>4948</v>
      </c>
      <c r="F750" s="6"/>
      <c r="G750" s="6"/>
      <c r="H750" s="128">
        <f t="shared" si="12"/>
        <v>0</v>
      </c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  <c r="AA750" s="129"/>
      <c r="AB750" s="129"/>
      <c r="AC750" s="129"/>
      <c r="AD750" s="129"/>
      <c r="AE750" s="129"/>
      <c r="AF750" s="129"/>
      <c r="AG750" s="129"/>
      <c r="AH750" s="129"/>
      <c r="AI750" s="129"/>
      <c r="AJ750" s="129"/>
      <c r="AK750" s="129"/>
      <c r="AL750" s="129"/>
      <c r="AM750" s="129"/>
    </row>
    <row r="751" spans="1:39" hidden="1" x14ac:dyDescent="0.25">
      <c r="A751" s="127">
        <v>750</v>
      </c>
      <c r="B751" s="152" t="s">
        <v>4002</v>
      </c>
      <c r="C751" s="153" t="s">
        <v>4003</v>
      </c>
      <c r="D751" s="153" t="s">
        <v>4004</v>
      </c>
      <c r="E751" s="153" t="s">
        <v>2086</v>
      </c>
      <c r="F751" s="6"/>
      <c r="G751" s="6"/>
      <c r="H751" s="128">
        <f t="shared" si="12"/>
        <v>0</v>
      </c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  <c r="AA751" s="129"/>
      <c r="AB751" s="129"/>
      <c r="AC751" s="129"/>
      <c r="AD751" s="129"/>
      <c r="AE751" s="129"/>
      <c r="AF751" s="129"/>
      <c r="AG751" s="129"/>
      <c r="AH751" s="129"/>
      <c r="AI751" s="129"/>
      <c r="AJ751" s="129"/>
      <c r="AK751" s="129"/>
      <c r="AL751" s="129"/>
      <c r="AM751" s="129"/>
    </row>
    <row r="752" spans="1:39" hidden="1" x14ac:dyDescent="0.25">
      <c r="A752" s="127">
        <v>751</v>
      </c>
      <c r="B752" s="152" t="s">
        <v>4005</v>
      </c>
      <c r="C752" s="153" t="s">
        <v>4006</v>
      </c>
      <c r="D752" s="153" t="s">
        <v>4007</v>
      </c>
      <c r="E752" s="153" t="s">
        <v>4948</v>
      </c>
      <c r="F752" s="6"/>
      <c r="G752" s="6"/>
      <c r="H752" s="128">
        <f t="shared" si="12"/>
        <v>0</v>
      </c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  <c r="AA752" s="129"/>
      <c r="AB752" s="129"/>
      <c r="AC752" s="129"/>
      <c r="AD752" s="129"/>
      <c r="AE752" s="129"/>
      <c r="AF752" s="129"/>
      <c r="AG752" s="129"/>
      <c r="AH752" s="129"/>
      <c r="AI752" s="129"/>
      <c r="AJ752" s="129"/>
      <c r="AK752" s="129"/>
      <c r="AL752" s="129"/>
      <c r="AM752" s="129"/>
    </row>
    <row r="753" spans="1:39" hidden="1" x14ac:dyDescent="0.25">
      <c r="A753" s="127">
        <v>752</v>
      </c>
      <c r="B753" s="152" t="s">
        <v>4008</v>
      </c>
      <c r="C753" s="153" t="s">
        <v>4009</v>
      </c>
      <c r="D753" s="153" t="s">
        <v>4010</v>
      </c>
      <c r="E753" s="153" t="s">
        <v>4948</v>
      </c>
      <c r="F753" s="6"/>
      <c r="G753" s="6"/>
      <c r="H753" s="128">
        <f t="shared" si="12"/>
        <v>0</v>
      </c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  <c r="AA753" s="129"/>
      <c r="AB753" s="129"/>
      <c r="AC753" s="129"/>
      <c r="AD753" s="129"/>
      <c r="AE753" s="129"/>
      <c r="AF753" s="129"/>
      <c r="AG753" s="129"/>
      <c r="AH753" s="129"/>
      <c r="AI753" s="129"/>
      <c r="AJ753" s="129"/>
      <c r="AK753" s="129"/>
      <c r="AL753" s="129"/>
      <c r="AM753" s="129"/>
    </row>
    <row r="754" spans="1:39" hidden="1" x14ac:dyDescent="0.25">
      <c r="A754" s="127">
        <v>753</v>
      </c>
      <c r="B754" s="152" t="s">
        <v>4011</v>
      </c>
      <c r="C754" s="153" t="s">
        <v>4012</v>
      </c>
      <c r="D754" s="153" t="s">
        <v>4013</v>
      </c>
      <c r="E754" s="153" t="s">
        <v>4948</v>
      </c>
      <c r="F754" s="6"/>
      <c r="G754" s="6"/>
      <c r="H754" s="128">
        <f t="shared" si="12"/>
        <v>0</v>
      </c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  <c r="AA754" s="129"/>
      <c r="AB754" s="129"/>
      <c r="AC754" s="129"/>
      <c r="AD754" s="129"/>
      <c r="AE754" s="129"/>
      <c r="AF754" s="129"/>
      <c r="AG754" s="129"/>
      <c r="AH754" s="129"/>
      <c r="AI754" s="129"/>
      <c r="AJ754" s="129"/>
      <c r="AK754" s="129"/>
      <c r="AL754" s="129"/>
      <c r="AM754" s="129"/>
    </row>
    <row r="755" spans="1:39" hidden="1" x14ac:dyDescent="0.25">
      <c r="A755" s="127">
        <v>754</v>
      </c>
      <c r="B755" s="152" t="s">
        <v>4014</v>
      </c>
      <c r="C755" s="153" t="s">
        <v>4015</v>
      </c>
      <c r="D755" s="153" t="s">
        <v>4016</v>
      </c>
      <c r="E755" s="153" t="s">
        <v>4948</v>
      </c>
      <c r="F755" s="6"/>
      <c r="G755" s="6"/>
      <c r="H755" s="128">
        <f t="shared" si="12"/>
        <v>0</v>
      </c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  <c r="AA755" s="129"/>
      <c r="AB755" s="129"/>
      <c r="AC755" s="129"/>
      <c r="AD755" s="129"/>
      <c r="AE755" s="129"/>
      <c r="AF755" s="129"/>
      <c r="AG755" s="129"/>
      <c r="AH755" s="129"/>
      <c r="AI755" s="129"/>
      <c r="AJ755" s="129"/>
      <c r="AK755" s="129"/>
      <c r="AL755" s="129"/>
      <c r="AM755" s="129"/>
    </row>
    <row r="756" spans="1:39" hidden="1" x14ac:dyDescent="0.25">
      <c r="A756" s="127">
        <v>755</v>
      </c>
      <c r="B756" s="152" t="s">
        <v>4017</v>
      </c>
      <c r="C756" s="153" t="s">
        <v>4018</v>
      </c>
      <c r="D756" s="153" t="s">
        <v>4019</v>
      </c>
      <c r="E756" s="153" t="s">
        <v>4948</v>
      </c>
      <c r="F756" s="6"/>
      <c r="G756" s="6"/>
      <c r="H756" s="128">
        <f t="shared" si="12"/>
        <v>0</v>
      </c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  <c r="AA756" s="129"/>
      <c r="AB756" s="129"/>
      <c r="AC756" s="129"/>
      <c r="AD756" s="129"/>
      <c r="AE756" s="129"/>
      <c r="AF756" s="129"/>
      <c r="AG756" s="129"/>
      <c r="AH756" s="129"/>
      <c r="AI756" s="129"/>
      <c r="AJ756" s="129"/>
      <c r="AK756" s="129"/>
      <c r="AL756" s="129"/>
      <c r="AM756" s="129"/>
    </row>
    <row r="757" spans="1:39" hidden="1" x14ac:dyDescent="0.25">
      <c r="A757" s="127">
        <v>756</v>
      </c>
      <c r="B757" s="152" t="s">
        <v>4020</v>
      </c>
      <c r="C757" s="153" t="s">
        <v>4021</v>
      </c>
      <c r="D757" s="153" t="s">
        <v>4022</v>
      </c>
      <c r="E757" s="153" t="s">
        <v>4948</v>
      </c>
      <c r="F757" s="6"/>
      <c r="G757" s="6"/>
      <c r="H757" s="128">
        <f t="shared" si="12"/>
        <v>0</v>
      </c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  <c r="AA757" s="129"/>
      <c r="AB757" s="129"/>
      <c r="AC757" s="129"/>
      <c r="AD757" s="129"/>
      <c r="AE757" s="129"/>
      <c r="AF757" s="129"/>
      <c r="AG757" s="129"/>
      <c r="AH757" s="129"/>
      <c r="AI757" s="129"/>
      <c r="AJ757" s="129"/>
      <c r="AK757" s="129"/>
      <c r="AL757" s="129"/>
      <c r="AM757" s="129"/>
    </row>
    <row r="758" spans="1:39" hidden="1" x14ac:dyDescent="0.25">
      <c r="A758" s="127">
        <v>757</v>
      </c>
      <c r="B758" s="152" t="s">
        <v>4023</v>
      </c>
      <c r="C758" s="153" t="s">
        <v>4024</v>
      </c>
      <c r="D758" s="153" t="s">
        <v>4025</v>
      </c>
      <c r="E758" s="153" t="s">
        <v>4948</v>
      </c>
      <c r="F758" s="6"/>
      <c r="G758" s="6"/>
      <c r="H758" s="128">
        <f t="shared" si="12"/>
        <v>0</v>
      </c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  <c r="AA758" s="129"/>
      <c r="AB758" s="129"/>
      <c r="AC758" s="129"/>
      <c r="AD758" s="129"/>
      <c r="AE758" s="129"/>
      <c r="AF758" s="129"/>
      <c r="AG758" s="129"/>
      <c r="AH758" s="129"/>
      <c r="AI758" s="129"/>
      <c r="AJ758" s="129"/>
      <c r="AK758" s="129"/>
      <c r="AL758" s="129"/>
      <c r="AM758" s="129"/>
    </row>
    <row r="759" spans="1:39" hidden="1" x14ac:dyDescent="0.25">
      <c r="A759" s="127">
        <v>758</v>
      </c>
      <c r="B759" s="152" t="s">
        <v>1906</v>
      </c>
      <c r="C759" s="153" t="s">
        <v>4026</v>
      </c>
      <c r="D759" s="153" t="s">
        <v>4027</v>
      </c>
      <c r="E759" s="153" t="s">
        <v>4948</v>
      </c>
      <c r="F759" s="6"/>
      <c r="G759" s="6"/>
      <c r="H759" s="128">
        <f t="shared" si="12"/>
        <v>0</v>
      </c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  <c r="AA759" s="129"/>
      <c r="AB759" s="129"/>
      <c r="AC759" s="129"/>
      <c r="AD759" s="129"/>
      <c r="AE759" s="129"/>
      <c r="AF759" s="129"/>
      <c r="AG759" s="129"/>
      <c r="AH759" s="129"/>
      <c r="AI759" s="129"/>
      <c r="AJ759" s="129"/>
      <c r="AK759" s="129"/>
      <c r="AL759" s="129"/>
      <c r="AM759" s="129"/>
    </row>
    <row r="760" spans="1:39" hidden="1" x14ac:dyDescent="0.25">
      <c r="A760" s="127">
        <v>759</v>
      </c>
      <c r="B760" s="152" t="s">
        <v>4028</v>
      </c>
      <c r="C760" s="153" t="s">
        <v>4029</v>
      </c>
      <c r="D760" s="153" t="s">
        <v>4030</v>
      </c>
      <c r="E760" s="153" t="s">
        <v>4948</v>
      </c>
      <c r="F760" s="6"/>
      <c r="G760" s="6"/>
      <c r="H760" s="128">
        <f t="shared" si="12"/>
        <v>0</v>
      </c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  <c r="AA760" s="129"/>
      <c r="AB760" s="129"/>
      <c r="AC760" s="129"/>
      <c r="AD760" s="129"/>
      <c r="AE760" s="129"/>
      <c r="AF760" s="129"/>
      <c r="AG760" s="129"/>
      <c r="AH760" s="129"/>
      <c r="AI760" s="129"/>
      <c r="AJ760" s="129"/>
      <c r="AK760" s="129"/>
      <c r="AL760" s="129"/>
      <c r="AM760" s="129"/>
    </row>
    <row r="761" spans="1:39" hidden="1" x14ac:dyDescent="0.25">
      <c r="A761" s="127">
        <v>760</v>
      </c>
      <c r="B761" s="152" t="s">
        <v>4031</v>
      </c>
      <c r="C761" s="153" t="s">
        <v>4032</v>
      </c>
      <c r="D761" s="153" t="s">
        <v>4033</v>
      </c>
      <c r="E761" s="153" t="s">
        <v>49</v>
      </c>
      <c r="F761" s="6"/>
      <c r="G761" s="6"/>
      <c r="H761" s="128">
        <f t="shared" si="12"/>
        <v>0</v>
      </c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  <c r="AA761" s="129"/>
      <c r="AB761" s="129"/>
      <c r="AC761" s="129"/>
      <c r="AD761" s="129"/>
      <c r="AE761" s="129"/>
      <c r="AF761" s="129"/>
      <c r="AG761" s="129"/>
      <c r="AH761" s="129"/>
      <c r="AI761" s="129"/>
      <c r="AJ761" s="129"/>
      <c r="AK761" s="129"/>
      <c r="AL761" s="129"/>
      <c r="AM761" s="129"/>
    </row>
    <row r="762" spans="1:39" hidden="1" x14ac:dyDescent="0.25">
      <c r="A762" s="127">
        <v>761</v>
      </c>
      <c r="B762" s="152" t="s">
        <v>4034</v>
      </c>
      <c r="C762" s="153" t="s">
        <v>4035</v>
      </c>
      <c r="D762" s="153" t="s">
        <v>4036</v>
      </c>
      <c r="E762" s="153" t="s">
        <v>49</v>
      </c>
      <c r="F762" s="6"/>
      <c r="G762" s="6"/>
      <c r="H762" s="128">
        <f t="shared" si="12"/>
        <v>0</v>
      </c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  <c r="AA762" s="129"/>
      <c r="AB762" s="129"/>
      <c r="AC762" s="129"/>
      <c r="AD762" s="129"/>
      <c r="AE762" s="129"/>
      <c r="AF762" s="129"/>
      <c r="AG762" s="129"/>
      <c r="AH762" s="129"/>
      <c r="AI762" s="129"/>
      <c r="AJ762" s="129"/>
      <c r="AK762" s="129"/>
      <c r="AL762" s="129"/>
      <c r="AM762" s="129"/>
    </row>
    <row r="763" spans="1:39" hidden="1" x14ac:dyDescent="0.25">
      <c r="A763" s="127">
        <v>762</v>
      </c>
      <c r="B763" s="152" t="s">
        <v>4037</v>
      </c>
      <c r="C763" s="153" t="s">
        <v>4038</v>
      </c>
      <c r="D763" s="153" t="s">
        <v>4039</v>
      </c>
      <c r="E763" s="153" t="s">
        <v>49</v>
      </c>
      <c r="F763" s="6"/>
      <c r="G763" s="6"/>
      <c r="H763" s="128">
        <f t="shared" si="12"/>
        <v>0</v>
      </c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  <c r="AA763" s="129"/>
      <c r="AB763" s="129"/>
      <c r="AC763" s="129"/>
      <c r="AD763" s="129"/>
      <c r="AE763" s="129"/>
      <c r="AF763" s="129"/>
      <c r="AG763" s="129"/>
      <c r="AH763" s="129"/>
      <c r="AI763" s="129"/>
      <c r="AJ763" s="129"/>
      <c r="AK763" s="129"/>
      <c r="AL763" s="129"/>
      <c r="AM763" s="129"/>
    </row>
    <row r="764" spans="1:39" hidden="1" x14ac:dyDescent="0.25">
      <c r="A764" s="127">
        <v>763</v>
      </c>
      <c r="B764" s="152" t="s">
        <v>4040</v>
      </c>
      <c r="C764" s="153" t="s">
        <v>4041</v>
      </c>
      <c r="D764" s="153" t="s">
        <v>4042</v>
      </c>
      <c r="E764" s="153" t="s">
        <v>49</v>
      </c>
      <c r="F764" s="6"/>
      <c r="G764" s="6"/>
      <c r="H764" s="128">
        <f t="shared" si="12"/>
        <v>0</v>
      </c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  <c r="AA764" s="129"/>
      <c r="AB764" s="129"/>
      <c r="AC764" s="129"/>
      <c r="AD764" s="129"/>
      <c r="AE764" s="129"/>
      <c r="AF764" s="129"/>
      <c r="AG764" s="129"/>
      <c r="AH764" s="129"/>
      <c r="AI764" s="129"/>
      <c r="AJ764" s="129"/>
      <c r="AK764" s="129"/>
      <c r="AL764" s="129"/>
      <c r="AM764" s="129"/>
    </row>
    <row r="765" spans="1:39" hidden="1" x14ac:dyDescent="0.25">
      <c r="A765" s="127">
        <v>764</v>
      </c>
      <c r="B765" s="152" t="s">
        <v>4043</v>
      </c>
      <c r="C765" s="153" t="s">
        <v>4044</v>
      </c>
      <c r="D765" s="153" t="s">
        <v>4045</v>
      </c>
      <c r="E765" s="153" t="s">
        <v>49</v>
      </c>
      <c r="F765" s="6"/>
      <c r="G765" s="6"/>
      <c r="H765" s="128">
        <f t="shared" si="12"/>
        <v>0</v>
      </c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  <c r="AA765" s="129"/>
      <c r="AB765" s="129"/>
      <c r="AC765" s="129"/>
      <c r="AD765" s="129"/>
      <c r="AE765" s="129"/>
      <c r="AF765" s="129"/>
      <c r="AG765" s="129"/>
      <c r="AH765" s="129"/>
      <c r="AI765" s="129"/>
      <c r="AJ765" s="129"/>
      <c r="AK765" s="129"/>
      <c r="AL765" s="129"/>
      <c r="AM765" s="129"/>
    </row>
    <row r="766" spans="1:39" hidden="1" x14ac:dyDescent="0.25">
      <c r="A766" s="127">
        <v>765</v>
      </c>
      <c r="B766" s="152" t="s">
        <v>4046</v>
      </c>
      <c r="C766" s="153" t="s">
        <v>4047</v>
      </c>
      <c r="D766" s="153" t="s">
        <v>4048</v>
      </c>
      <c r="E766" s="153" t="s">
        <v>49</v>
      </c>
      <c r="F766" s="6"/>
      <c r="G766" s="6"/>
      <c r="H766" s="128">
        <f t="shared" si="12"/>
        <v>0</v>
      </c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</row>
    <row r="767" spans="1:39" hidden="1" x14ac:dyDescent="0.25">
      <c r="A767" s="127">
        <v>766</v>
      </c>
      <c r="B767" s="152" t="s">
        <v>4049</v>
      </c>
      <c r="C767" s="153" t="s">
        <v>4050</v>
      </c>
      <c r="D767" s="153" t="s">
        <v>4051</v>
      </c>
      <c r="E767" s="153" t="s">
        <v>49</v>
      </c>
      <c r="F767" s="6"/>
      <c r="G767" s="6"/>
      <c r="H767" s="128">
        <f t="shared" si="12"/>
        <v>0</v>
      </c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</row>
    <row r="768" spans="1:39" hidden="1" x14ac:dyDescent="0.25">
      <c r="A768" s="127">
        <v>767</v>
      </c>
      <c r="B768" s="152" t="s">
        <v>4052</v>
      </c>
      <c r="C768" s="153" t="s">
        <v>4053</v>
      </c>
      <c r="D768" s="153" t="s">
        <v>4054</v>
      </c>
      <c r="E768" s="153" t="s">
        <v>49</v>
      </c>
      <c r="F768" s="6"/>
      <c r="G768" s="6"/>
      <c r="H768" s="128">
        <f t="shared" si="12"/>
        <v>0</v>
      </c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  <c r="AA768" s="129"/>
      <c r="AB768" s="129"/>
      <c r="AC768" s="129"/>
      <c r="AD768" s="129"/>
      <c r="AE768" s="129"/>
      <c r="AF768" s="129"/>
      <c r="AG768" s="129"/>
      <c r="AH768" s="129"/>
      <c r="AI768" s="129"/>
      <c r="AJ768" s="129"/>
      <c r="AK768" s="129"/>
      <c r="AL768" s="129"/>
      <c r="AM768" s="129"/>
    </row>
    <row r="769" spans="1:39" hidden="1" x14ac:dyDescent="0.25">
      <c r="A769" s="127">
        <v>768</v>
      </c>
      <c r="B769" s="152" t="s">
        <v>1278</v>
      </c>
      <c r="C769" s="153" t="s">
        <v>4055</v>
      </c>
      <c r="D769" s="153" t="s">
        <v>4056</v>
      </c>
      <c r="E769" s="153" t="s">
        <v>4948</v>
      </c>
      <c r="F769" s="6"/>
      <c r="G769" s="6"/>
      <c r="H769" s="128">
        <f t="shared" si="12"/>
        <v>0</v>
      </c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29"/>
      <c r="AL769" s="129"/>
      <c r="AM769" s="129"/>
    </row>
    <row r="770" spans="1:39" hidden="1" x14ac:dyDescent="0.25">
      <c r="A770" s="127">
        <v>769</v>
      </c>
      <c r="B770" s="152" t="s">
        <v>1719</v>
      </c>
      <c r="C770" s="153" t="s">
        <v>4057</v>
      </c>
      <c r="D770" s="153" t="s">
        <v>4058</v>
      </c>
      <c r="E770" s="153" t="s">
        <v>4948</v>
      </c>
      <c r="F770" s="6"/>
      <c r="G770" s="6"/>
      <c r="H770" s="128">
        <f t="shared" ref="H770:H833" si="13">SUM(I770:AM770)</f>
        <v>0</v>
      </c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</row>
    <row r="771" spans="1:39" hidden="1" x14ac:dyDescent="0.25">
      <c r="A771" s="127">
        <v>770</v>
      </c>
      <c r="B771" s="152" t="s">
        <v>79</v>
      </c>
      <c r="C771" s="153" t="s">
        <v>4059</v>
      </c>
      <c r="D771" s="153" t="s">
        <v>4060</v>
      </c>
      <c r="E771" s="153" t="s">
        <v>64</v>
      </c>
      <c r="F771" s="6"/>
      <c r="G771" s="6"/>
      <c r="H771" s="128">
        <f t="shared" si="13"/>
        <v>0</v>
      </c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</row>
    <row r="772" spans="1:39" hidden="1" x14ac:dyDescent="0.25">
      <c r="A772" s="127">
        <v>771</v>
      </c>
      <c r="B772" s="152" t="s">
        <v>1725</v>
      </c>
      <c r="C772" s="153" t="s">
        <v>4061</v>
      </c>
      <c r="D772" s="153" t="s">
        <v>4062</v>
      </c>
      <c r="E772" s="153" t="s">
        <v>4948</v>
      </c>
      <c r="F772" s="6"/>
      <c r="G772" s="6"/>
      <c r="H772" s="128">
        <f t="shared" si="13"/>
        <v>0</v>
      </c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</row>
    <row r="773" spans="1:39" hidden="1" x14ac:dyDescent="0.25">
      <c r="A773" s="127">
        <v>772</v>
      </c>
      <c r="B773" s="152" t="s">
        <v>419</v>
      </c>
      <c r="C773" s="153" t="s">
        <v>4063</v>
      </c>
      <c r="D773" s="153" t="s">
        <v>4064</v>
      </c>
      <c r="E773" s="153" t="s">
        <v>4948</v>
      </c>
      <c r="F773" s="6"/>
      <c r="G773" s="6"/>
      <c r="H773" s="128">
        <f t="shared" si="13"/>
        <v>0</v>
      </c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</row>
    <row r="774" spans="1:39" hidden="1" x14ac:dyDescent="0.25">
      <c r="A774" s="127">
        <v>773</v>
      </c>
      <c r="B774" s="152" t="s">
        <v>897</v>
      </c>
      <c r="C774" s="153" t="s">
        <v>4065</v>
      </c>
      <c r="D774" s="153" t="s">
        <v>4066</v>
      </c>
      <c r="E774" s="153" t="s">
        <v>64</v>
      </c>
      <c r="F774" s="6"/>
      <c r="G774" s="6"/>
      <c r="H774" s="128">
        <f t="shared" si="13"/>
        <v>0</v>
      </c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</row>
    <row r="775" spans="1:39" hidden="1" x14ac:dyDescent="0.25">
      <c r="A775" s="127">
        <v>774</v>
      </c>
      <c r="B775" s="152" t="s">
        <v>4067</v>
      </c>
      <c r="C775" s="153" t="s">
        <v>4068</v>
      </c>
      <c r="D775" s="153" t="s">
        <v>4069</v>
      </c>
      <c r="E775" s="153" t="s">
        <v>4948</v>
      </c>
      <c r="F775" s="6"/>
      <c r="G775" s="6"/>
      <c r="H775" s="128">
        <f t="shared" si="13"/>
        <v>0</v>
      </c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</row>
    <row r="776" spans="1:39" hidden="1" x14ac:dyDescent="0.25">
      <c r="A776" s="127">
        <v>775</v>
      </c>
      <c r="B776" s="152" t="s">
        <v>1156</v>
      </c>
      <c r="C776" s="153" t="s">
        <v>4070</v>
      </c>
      <c r="D776" s="153" t="s">
        <v>4071</v>
      </c>
      <c r="E776" s="153" t="s">
        <v>4948</v>
      </c>
      <c r="F776" s="6"/>
      <c r="G776" s="6"/>
      <c r="H776" s="128">
        <f t="shared" si="13"/>
        <v>23.88</v>
      </c>
      <c r="I776" s="129">
        <v>23.88</v>
      </c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</row>
    <row r="777" spans="1:39" hidden="1" x14ac:dyDescent="0.25">
      <c r="A777" s="127">
        <v>776</v>
      </c>
      <c r="B777" s="152" t="s">
        <v>62</v>
      </c>
      <c r="C777" s="153" t="s">
        <v>4072</v>
      </c>
      <c r="D777" s="153" t="s">
        <v>4073</v>
      </c>
      <c r="E777" s="153" t="s">
        <v>4948</v>
      </c>
      <c r="F777" s="6"/>
      <c r="G777" s="6"/>
      <c r="H777" s="128">
        <f t="shared" si="13"/>
        <v>0</v>
      </c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</row>
    <row r="778" spans="1:39" hidden="1" x14ac:dyDescent="0.25">
      <c r="A778" s="127">
        <v>777</v>
      </c>
      <c r="B778" s="152" t="s">
        <v>520</v>
      </c>
      <c r="C778" s="153" t="s">
        <v>4074</v>
      </c>
      <c r="D778" s="153" t="s">
        <v>4075</v>
      </c>
      <c r="E778" s="153" t="s">
        <v>4948</v>
      </c>
      <c r="F778" s="6"/>
      <c r="G778" s="6"/>
      <c r="H778" s="128">
        <f t="shared" si="13"/>
        <v>0</v>
      </c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</row>
    <row r="779" spans="1:39" hidden="1" x14ac:dyDescent="0.25">
      <c r="A779" s="127">
        <v>778</v>
      </c>
      <c r="B779" s="152" t="s">
        <v>985</v>
      </c>
      <c r="C779" s="153" t="s">
        <v>4076</v>
      </c>
      <c r="D779" s="153" t="s">
        <v>4077</v>
      </c>
      <c r="E779" s="153" t="s">
        <v>4948</v>
      </c>
      <c r="F779" s="6"/>
      <c r="G779" s="6"/>
      <c r="H779" s="128">
        <f t="shared" si="13"/>
        <v>9.93</v>
      </c>
      <c r="I779" s="129">
        <v>9.93</v>
      </c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</row>
    <row r="780" spans="1:39" hidden="1" x14ac:dyDescent="0.25">
      <c r="A780" s="127">
        <v>779</v>
      </c>
      <c r="B780" s="152" t="s">
        <v>430</v>
      </c>
      <c r="C780" s="153" t="s">
        <v>4078</v>
      </c>
      <c r="D780" s="153" t="s">
        <v>4079</v>
      </c>
      <c r="E780" s="153" t="s">
        <v>64</v>
      </c>
      <c r="F780" s="6"/>
      <c r="G780" s="6"/>
      <c r="H780" s="128">
        <f t="shared" si="13"/>
        <v>1250</v>
      </c>
      <c r="I780" s="129">
        <v>1250</v>
      </c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  <c r="AA780" s="129"/>
      <c r="AB780" s="129"/>
      <c r="AC780" s="129"/>
      <c r="AD780" s="129"/>
      <c r="AE780" s="129"/>
      <c r="AF780" s="129"/>
      <c r="AG780" s="129"/>
      <c r="AH780" s="129"/>
      <c r="AI780" s="129"/>
      <c r="AJ780" s="129"/>
      <c r="AK780" s="129"/>
      <c r="AL780" s="129"/>
      <c r="AM780" s="129"/>
    </row>
    <row r="781" spans="1:39" hidden="1" x14ac:dyDescent="0.25">
      <c r="A781" s="127">
        <v>780</v>
      </c>
      <c r="B781" s="152" t="s">
        <v>817</v>
      </c>
      <c r="C781" s="153" t="s">
        <v>4080</v>
      </c>
      <c r="D781" s="153" t="s">
        <v>4081</v>
      </c>
      <c r="E781" s="153" t="s">
        <v>4948</v>
      </c>
      <c r="F781" s="6"/>
      <c r="G781" s="6"/>
      <c r="H781" s="128">
        <f t="shared" si="13"/>
        <v>0</v>
      </c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  <c r="AA781" s="129"/>
      <c r="AB781" s="129"/>
      <c r="AC781" s="129"/>
      <c r="AD781" s="129"/>
      <c r="AE781" s="129"/>
      <c r="AF781" s="129"/>
      <c r="AG781" s="129"/>
      <c r="AH781" s="129"/>
      <c r="AI781" s="129"/>
      <c r="AJ781" s="129"/>
      <c r="AK781" s="129"/>
      <c r="AL781" s="129"/>
      <c r="AM781" s="129"/>
    </row>
    <row r="782" spans="1:39" x14ac:dyDescent="0.25">
      <c r="A782" s="127">
        <v>781</v>
      </c>
      <c r="B782" s="152" t="s">
        <v>1313</v>
      </c>
      <c r="C782" s="153" t="s">
        <v>4082</v>
      </c>
      <c r="D782" s="153" t="s">
        <v>4083</v>
      </c>
      <c r="E782" s="153" t="s">
        <v>64</v>
      </c>
      <c r="F782" s="6"/>
      <c r="G782" s="6"/>
      <c r="H782" s="128">
        <f t="shared" si="13"/>
        <v>0</v>
      </c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  <c r="AA782" s="129"/>
      <c r="AB782" s="129"/>
      <c r="AC782" s="129"/>
      <c r="AD782" s="129"/>
      <c r="AE782" s="129"/>
      <c r="AF782" s="129"/>
      <c r="AG782" s="129"/>
      <c r="AH782" s="129"/>
      <c r="AI782" s="129"/>
      <c r="AJ782" s="129"/>
      <c r="AK782" s="129"/>
      <c r="AL782" s="129"/>
      <c r="AM782" s="129"/>
    </row>
    <row r="783" spans="1:39" hidden="1" x14ac:dyDescent="0.25">
      <c r="A783" s="127">
        <v>782</v>
      </c>
      <c r="B783" s="152" t="s">
        <v>1220</v>
      </c>
      <c r="C783" s="153" t="s">
        <v>4084</v>
      </c>
      <c r="D783" s="153" t="s">
        <v>4085</v>
      </c>
      <c r="E783" s="153" t="s">
        <v>4948</v>
      </c>
      <c r="F783" s="6"/>
      <c r="G783" s="6"/>
      <c r="H783" s="128">
        <f t="shared" si="13"/>
        <v>0</v>
      </c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  <c r="AA783" s="129"/>
      <c r="AB783" s="129"/>
      <c r="AC783" s="129"/>
      <c r="AD783" s="129"/>
      <c r="AE783" s="129"/>
      <c r="AF783" s="129"/>
      <c r="AG783" s="129"/>
      <c r="AH783" s="129"/>
      <c r="AI783" s="129"/>
      <c r="AJ783" s="129"/>
      <c r="AK783" s="129"/>
      <c r="AL783" s="129"/>
      <c r="AM783" s="129"/>
    </row>
    <row r="784" spans="1:39" hidden="1" x14ac:dyDescent="0.25">
      <c r="A784" s="127">
        <v>783</v>
      </c>
      <c r="B784" s="152" t="s">
        <v>470</v>
      </c>
      <c r="C784" s="153" t="s">
        <v>4086</v>
      </c>
      <c r="D784" s="153" t="s">
        <v>4087</v>
      </c>
      <c r="E784" s="153" t="s">
        <v>4948</v>
      </c>
      <c r="F784" s="6"/>
      <c r="G784" s="6"/>
      <c r="H784" s="128">
        <f t="shared" si="13"/>
        <v>2850</v>
      </c>
      <c r="I784" s="129">
        <v>750</v>
      </c>
      <c r="J784" s="129"/>
      <c r="K784" s="129"/>
      <c r="L784" s="129"/>
      <c r="M784" s="129"/>
      <c r="N784" s="129"/>
      <c r="O784" s="129"/>
      <c r="P784" s="129"/>
      <c r="Q784" s="129">
        <v>2100</v>
      </c>
      <c r="R784" s="129"/>
      <c r="S784" s="129"/>
      <c r="T784" s="129"/>
      <c r="U784" s="129"/>
      <c r="V784" s="129"/>
      <c r="W784" s="129"/>
      <c r="X784" s="129"/>
      <c r="Y784" s="129"/>
      <c r="Z784" s="129"/>
      <c r="AA784" s="129"/>
      <c r="AB784" s="129"/>
      <c r="AC784" s="129"/>
      <c r="AD784" s="129"/>
      <c r="AE784" s="129"/>
      <c r="AF784" s="129"/>
      <c r="AG784" s="129"/>
      <c r="AH784" s="129"/>
      <c r="AI784" s="129"/>
      <c r="AJ784" s="129"/>
      <c r="AK784" s="129"/>
      <c r="AL784" s="129"/>
      <c r="AM784" s="129"/>
    </row>
    <row r="785" spans="1:39" hidden="1" x14ac:dyDescent="0.25">
      <c r="A785" s="127">
        <v>784</v>
      </c>
      <c r="B785" s="157" t="s">
        <v>769</v>
      </c>
      <c r="C785" s="158" t="s">
        <v>4088</v>
      </c>
      <c r="D785" s="158" t="s">
        <v>4089</v>
      </c>
      <c r="E785" s="153" t="s">
        <v>64</v>
      </c>
      <c r="F785" s="6"/>
      <c r="G785" s="6"/>
      <c r="H785" s="128">
        <f t="shared" si="13"/>
        <v>0</v>
      </c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  <c r="AA785" s="129"/>
      <c r="AB785" s="129"/>
      <c r="AC785" s="129"/>
      <c r="AD785" s="129"/>
      <c r="AE785" s="129"/>
      <c r="AF785" s="129"/>
      <c r="AG785" s="129"/>
      <c r="AH785" s="129"/>
      <c r="AI785" s="129"/>
      <c r="AJ785" s="129"/>
      <c r="AK785" s="129"/>
      <c r="AL785" s="129"/>
      <c r="AM785" s="129"/>
    </row>
    <row r="786" spans="1:39" hidden="1" x14ac:dyDescent="0.25">
      <c r="A786" s="127">
        <v>785</v>
      </c>
      <c r="B786" s="152" t="s">
        <v>1052</v>
      </c>
      <c r="C786" s="153" t="s">
        <v>4090</v>
      </c>
      <c r="D786" s="153" t="s">
        <v>4091</v>
      </c>
      <c r="E786" s="153" t="s">
        <v>64</v>
      </c>
      <c r="F786" s="6"/>
      <c r="G786" s="6"/>
      <c r="H786" s="128">
        <f t="shared" si="13"/>
        <v>0</v>
      </c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  <c r="AA786" s="129"/>
      <c r="AB786" s="129"/>
      <c r="AC786" s="129"/>
      <c r="AD786" s="129"/>
      <c r="AE786" s="129"/>
      <c r="AF786" s="129"/>
      <c r="AG786" s="129"/>
      <c r="AH786" s="129"/>
      <c r="AI786" s="129"/>
      <c r="AJ786" s="129"/>
      <c r="AK786" s="129"/>
      <c r="AL786" s="129"/>
      <c r="AM786" s="129"/>
    </row>
    <row r="787" spans="1:39" hidden="1" x14ac:dyDescent="0.25">
      <c r="A787" s="127">
        <v>786</v>
      </c>
      <c r="B787" s="152" t="s">
        <v>1103</v>
      </c>
      <c r="C787" s="153" t="s">
        <v>4092</v>
      </c>
      <c r="D787" s="153" t="s">
        <v>4093</v>
      </c>
      <c r="E787" s="153" t="s">
        <v>64</v>
      </c>
      <c r="F787" s="6"/>
      <c r="G787" s="6"/>
      <c r="H787" s="128">
        <f t="shared" si="13"/>
        <v>0</v>
      </c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  <c r="AA787" s="129"/>
      <c r="AB787" s="129"/>
      <c r="AC787" s="129"/>
      <c r="AD787" s="129"/>
      <c r="AE787" s="129"/>
      <c r="AF787" s="129"/>
      <c r="AG787" s="129"/>
      <c r="AH787" s="129"/>
      <c r="AI787" s="129"/>
      <c r="AJ787" s="129"/>
      <c r="AK787" s="129"/>
      <c r="AL787" s="129"/>
      <c r="AM787" s="129"/>
    </row>
    <row r="788" spans="1:39" hidden="1" x14ac:dyDescent="0.25">
      <c r="A788" s="127">
        <v>787</v>
      </c>
      <c r="B788" s="152" t="s">
        <v>1015</v>
      </c>
      <c r="C788" s="153" t="s">
        <v>4094</v>
      </c>
      <c r="D788" s="153" t="s">
        <v>4095</v>
      </c>
      <c r="E788" s="153" t="s">
        <v>64</v>
      </c>
      <c r="F788" s="6"/>
      <c r="G788" s="6"/>
      <c r="H788" s="128">
        <f t="shared" si="13"/>
        <v>0</v>
      </c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  <c r="AA788" s="129"/>
      <c r="AB788" s="129"/>
      <c r="AC788" s="129"/>
      <c r="AD788" s="129"/>
      <c r="AE788" s="129"/>
      <c r="AF788" s="129"/>
      <c r="AG788" s="129"/>
      <c r="AH788" s="129"/>
      <c r="AI788" s="129"/>
      <c r="AJ788" s="129"/>
      <c r="AK788" s="129"/>
      <c r="AL788" s="129"/>
      <c r="AM788" s="129"/>
    </row>
    <row r="789" spans="1:39" hidden="1" x14ac:dyDescent="0.25">
      <c r="A789" s="127">
        <v>788</v>
      </c>
      <c r="B789" s="152" t="s">
        <v>936</v>
      </c>
      <c r="C789" s="153" t="s">
        <v>4096</v>
      </c>
      <c r="D789" s="153" t="s">
        <v>4097</v>
      </c>
      <c r="E789" s="153" t="s">
        <v>2086</v>
      </c>
      <c r="F789" s="6"/>
      <c r="G789" s="6"/>
      <c r="H789" s="128">
        <f t="shared" si="13"/>
        <v>0</v>
      </c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  <c r="AA789" s="129"/>
      <c r="AB789" s="129"/>
      <c r="AC789" s="129"/>
      <c r="AD789" s="129"/>
      <c r="AE789" s="129"/>
      <c r="AF789" s="129"/>
      <c r="AG789" s="129"/>
      <c r="AH789" s="129"/>
      <c r="AI789" s="129"/>
      <c r="AJ789" s="129"/>
      <c r="AK789" s="129"/>
      <c r="AL789" s="129"/>
      <c r="AM789" s="129"/>
    </row>
    <row r="790" spans="1:39" hidden="1" x14ac:dyDescent="0.25">
      <c r="A790" s="127">
        <v>789</v>
      </c>
      <c r="B790" s="152" t="s">
        <v>961</v>
      </c>
      <c r="C790" s="153" t="s">
        <v>4098</v>
      </c>
      <c r="D790" s="153" t="s">
        <v>4099</v>
      </c>
      <c r="E790" s="153" t="s">
        <v>4948</v>
      </c>
      <c r="F790" s="6"/>
      <c r="G790" s="6"/>
      <c r="H790" s="128">
        <f t="shared" si="13"/>
        <v>0</v>
      </c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  <c r="AA790" s="129"/>
      <c r="AB790" s="129"/>
      <c r="AC790" s="129"/>
      <c r="AD790" s="129"/>
      <c r="AE790" s="129"/>
      <c r="AF790" s="129"/>
      <c r="AG790" s="129"/>
      <c r="AH790" s="129"/>
      <c r="AI790" s="129"/>
      <c r="AJ790" s="129"/>
      <c r="AK790" s="129"/>
      <c r="AL790" s="129"/>
      <c r="AM790" s="129"/>
    </row>
    <row r="791" spans="1:39" hidden="1" x14ac:dyDescent="0.25">
      <c r="A791" s="127">
        <v>790</v>
      </c>
      <c r="B791" s="152" t="s">
        <v>1096</v>
      </c>
      <c r="C791" s="153" t="s">
        <v>4100</v>
      </c>
      <c r="D791" s="153" t="s">
        <v>4101</v>
      </c>
      <c r="E791" s="153" t="s">
        <v>64</v>
      </c>
      <c r="F791" s="6"/>
      <c r="G791" s="6"/>
      <c r="H791" s="128">
        <f t="shared" si="13"/>
        <v>0</v>
      </c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  <c r="AA791" s="129"/>
      <c r="AB791" s="129"/>
      <c r="AC791" s="129"/>
      <c r="AD791" s="129"/>
      <c r="AE791" s="129"/>
      <c r="AF791" s="129"/>
      <c r="AG791" s="129"/>
      <c r="AH791" s="129"/>
      <c r="AI791" s="129"/>
      <c r="AJ791" s="129"/>
      <c r="AK791" s="129"/>
      <c r="AL791" s="129"/>
      <c r="AM791" s="129"/>
    </row>
    <row r="792" spans="1:39" hidden="1" x14ac:dyDescent="0.25">
      <c r="A792" s="127">
        <v>791</v>
      </c>
      <c r="B792" s="152" t="s">
        <v>905</v>
      </c>
      <c r="C792" s="153" t="s">
        <v>4102</v>
      </c>
      <c r="D792" s="153" t="s">
        <v>4103</v>
      </c>
      <c r="E792" s="153" t="s">
        <v>64</v>
      </c>
      <c r="F792" s="6"/>
      <c r="G792" s="6"/>
      <c r="H792" s="128">
        <f t="shared" si="13"/>
        <v>0</v>
      </c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  <c r="AA792" s="129"/>
      <c r="AB792" s="129"/>
      <c r="AC792" s="129"/>
      <c r="AD792" s="129"/>
      <c r="AE792" s="129"/>
      <c r="AF792" s="129"/>
      <c r="AG792" s="129"/>
      <c r="AH792" s="129"/>
      <c r="AI792" s="129"/>
      <c r="AJ792" s="129"/>
      <c r="AK792" s="129"/>
      <c r="AL792" s="129"/>
      <c r="AM792" s="129"/>
    </row>
    <row r="793" spans="1:39" hidden="1" x14ac:dyDescent="0.25">
      <c r="A793" s="127">
        <v>792</v>
      </c>
      <c r="B793" s="152" t="s">
        <v>458</v>
      </c>
      <c r="C793" s="153" t="s">
        <v>4104</v>
      </c>
      <c r="D793" s="153" t="s">
        <v>4105</v>
      </c>
      <c r="E793" s="153" t="s">
        <v>64</v>
      </c>
      <c r="F793" s="6"/>
      <c r="G793" s="6"/>
      <c r="H793" s="128">
        <f t="shared" si="13"/>
        <v>0</v>
      </c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  <c r="AA793" s="129"/>
      <c r="AB793" s="129"/>
      <c r="AC793" s="129"/>
      <c r="AD793" s="129"/>
      <c r="AE793" s="129"/>
      <c r="AF793" s="129"/>
      <c r="AG793" s="129"/>
      <c r="AH793" s="129"/>
      <c r="AI793" s="129"/>
      <c r="AJ793" s="129"/>
      <c r="AK793" s="129"/>
      <c r="AL793" s="129"/>
      <c r="AM793" s="129"/>
    </row>
    <row r="794" spans="1:39" hidden="1" x14ac:dyDescent="0.25">
      <c r="A794" s="127">
        <v>793</v>
      </c>
      <c r="B794" s="152" t="s">
        <v>807</v>
      </c>
      <c r="C794" s="153" t="s">
        <v>4106</v>
      </c>
      <c r="D794" s="153" t="s">
        <v>4107</v>
      </c>
      <c r="E794" s="153" t="s">
        <v>64</v>
      </c>
      <c r="F794" s="6"/>
      <c r="G794" s="6"/>
      <c r="H794" s="128">
        <f t="shared" si="13"/>
        <v>900</v>
      </c>
      <c r="I794" s="129">
        <v>900</v>
      </c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  <c r="AA794" s="129"/>
      <c r="AB794" s="129"/>
      <c r="AC794" s="129"/>
      <c r="AD794" s="129"/>
      <c r="AE794" s="129"/>
      <c r="AF794" s="129"/>
      <c r="AG794" s="129"/>
      <c r="AH794" s="129"/>
      <c r="AI794" s="129"/>
      <c r="AJ794" s="129"/>
      <c r="AK794" s="129"/>
      <c r="AL794" s="129"/>
      <c r="AM794" s="129"/>
    </row>
    <row r="795" spans="1:39" hidden="1" x14ac:dyDescent="0.25">
      <c r="A795" s="127">
        <v>794</v>
      </c>
      <c r="B795" s="157" t="s">
        <v>1138</v>
      </c>
      <c r="C795" s="158" t="s">
        <v>4108</v>
      </c>
      <c r="D795" s="158" t="s">
        <v>4109</v>
      </c>
      <c r="E795" s="153" t="s">
        <v>64</v>
      </c>
      <c r="F795" s="6"/>
      <c r="G795" s="6"/>
      <c r="H795" s="128">
        <f t="shared" si="13"/>
        <v>0</v>
      </c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  <c r="AA795" s="129"/>
      <c r="AB795" s="129"/>
      <c r="AC795" s="129"/>
      <c r="AD795" s="129"/>
      <c r="AE795" s="129"/>
      <c r="AF795" s="129"/>
      <c r="AG795" s="129"/>
      <c r="AH795" s="129"/>
      <c r="AI795" s="129"/>
      <c r="AJ795" s="129"/>
      <c r="AK795" s="129"/>
      <c r="AL795" s="129"/>
      <c r="AM795" s="129"/>
    </row>
    <row r="796" spans="1:39" hidden="1" x14ac:dyDescent="0.25">
      <c r="A796" s="127">
        <v>795</v>
      </c>
      <c r="B796" s="157" t="s">
        <v>464</v>
      </c>
      <c r="C796" s="158" t="s">
        <v>4110</v>
      </c>
      <c r="D796" s="158" t="s">
        <v>4111</v>
      </c>
      <c r="E796" s="153" t="s">
        <v>64</v>
      </c>
      <c r="F796" s="6"/>
      <c r="G796" s="6"/>
      <c r="H796" s="128">
        <f t="shared" si="13"/>
        <v>0</v>
      </c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  <c r="AA796" s="129"/>
      <c r="AB796" s="129"/>
      <c r="AC796" s="129"/>
      <c r="AD796" s="129"/>
      <c r="AE796" s="129"/>
      <c r="AF796" s="129"/>
      <c r="AG796" s="129"/>
      <c r="AH796" s="129"/>
      <c r="AI796" s="129"/>
      <c r="AJ796" s="129"/>
      <c r="AK796" s="129"/>
      <c r="AL796" s="129"/>
      <c r="AM796" s="129"/>
    </row>
    <row r="797" spans="1:39" hidden="1" x14ac:dyDescent="0.25">
      <c r="A797" s="127">
        <v>796</v>
      </c>
      <c r="B797" s="152" t="s">
        <v>530</v>
      </c>
      <c r="C797" s="153" t="s">
        <v>4112</v>
      </c>
      <c r="D797" s="153" t="s">
        <v>4113</v>
      </c>
      <c r="E797" s="153" t="s">
        <v>4948</v>
      </c>
      <c r="F797" s="6"/>
      <c r="G797" s="6"/>
      <c r="H797" s="128">
        <f t="shared" si="13"/>
        <v>0</v>
      </c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  <c r="AA797" s="129"/>
      <c r="AB797" s="129"/>
      <c r="AC797" s="129"/>
      <c r="AD797" s="129"/>
      <c r="AE797" s="129"/>
      <c r="AF797" s="129"/>
      <c r="AG797" s="129"/>
      <c r="AH797" s="129"/>
      <c r="AI797" s="129"/>
      <c r="AJ797" s="129"/>
      <c r="AK797" s="129"/>
      <c r="AL797" s="129"/>
      <c r="AM797" s="129"/>
    </row>
    <row r="798" spans="1:39" hidden="1" x14ac:dyDescent="0.25">
      <c r="A798" s="127">
        <v>797</v>
      </c>
      <c r="B798" s="152" t="s">
        <v>416</v>
      </c>
      <c r="C798" s="153" t="s">
        <v>4114</v>
      </c>
      <c r="D798" s="153" t="s">
        <v>4115</v>
      </c>
      <c r="E798" s="153" t="s">
        <v>4948</v>
      </c>
      <c r="F798" s="6"/>
      <c r="G798" s="6"/>
      <c r="H798" s="128">
        <f t="shared" si="13"/>
        <v>0</v>
      </c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  <c r="AA798" s="129"/>
      <c r="AB798" s="129"/>
      <c r="AC798" s="129"/>
      <c r="AD798" s="129"/>
      <c r="AE798" s="129"/>
      <c r="AF798" s="129"/>
      <c r="AG798" s="129"/>
      <c r="AH798" s="129"/>
      <c r="AI798" s="129"/>
      <c r="AJ798" s="129"/>
      <c r="AK798" s="129"/>
      <c r="AL798" s="129"/>
      <c r="AM798" s="129"/>
    </row>
    <row r="799" spans="1:39" hidden="1" x14ac:dyDescent="0.25">
      <c r="A799" s="127">
        <v>798</v>
      </c>
      <c r="B799" s="152" t="s">
        <v>1707</v>
      </c>
      <c r="C799" s="153" t="s">
        <v>4116</v>
      </c>
      <c r="D799" s="153" t="s">
        <v>4117</v>
      </c>
      <c r="E799" s="153" t="s">
        <v>4948</v>
      </c>
      <c r="F799" s="6"/>
      <c r="G799" s="6"/>
      <c r="H799" s="128">
        <f t="shared" si="13"/>
        <v>0</v>
      </c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  <c r="AA799" s="129"/>
      <c r="AB799" s="129"/>
      <c r="AC799" s="129"/>
      <c r="AD799" s="129"/>
      <c r="AE799" s="129"/>
      <c r="AF799" s="129"/>
      <c r="AG799" s="129"/>
      <c r="AH799" s="129"/>
      <c r="AI799" s="129"/>
      <c r="AJ799" s="129"/>
      <c r="AK799" s="129"/>
      <c r="AL799" s="129"/>
      <c r="AM799" s="129"/>
    </row>
    <row r="800" spans="1:39" hidden="1" x14ac:dyDescent="0.25">
      <c r="A800" s="127">
        <v>799</v>
      </c>
      <c r="B800" s="152" t="s">
        <v>743</v>
      </c>
      <c r="C800" s="153" t="s">
        <v>4118</v>
      </c>
      <c r="D800" s="153" t="s">
        <v>4119</v>
      </c>
      <c r="E800" s="153" t="s">
        <v>2111</v>
      </c>
      <c r="F800" s="6"/>
      <c r="G800" s="6"/>
      <c r="H800" s="128">
        <f t="shared" si="13"/>
        <v>18540</v>
      </c>
      <c r="I800" s="129">
        <v>9040</v>
      </c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>
        <v>9500</v>
      </c>
      <c r="U800" s="129"/>
      <c r="V800" s="129"/>
      <c r="W800" s="129"/>
      <c r="X800" s="129"/>
      <c r="Y800" s="129"/>
      <c r="Z800" s="129"/>
      <c r="AA800" s="129"/>
      <c r="AB800" s="129"/>
      <c r="AC800" s="129"/>
      <c r="AD800" s="129"/>
      <c r="AE800" s="129"/>
      <c r="AF800" s="129"/>
      <c r="AG800" s="129"/>
      <c r="AH800" s="129"/>
      <c r="AI800" s="129"/>
      <c r="AJ800" s="129"/>
      <c r="AK800" s="129"/>
      <c r="AL800" s="129"/>
      <c r="AM800" s="129"/>
    </row>
    <row r="801" spans="1:39" hidden="1" x14ac:dyDescent="0.25">
      <c r="A801" s="127">
        <v>800</v>
      </c>
      <c r="B801" s="152" t="s">
        <v>1308</v>
      </c>
      <c r="C801" s="153" t="s">
        <v>4120</v>
      </c>
      <c r="D801" s="153" t="s">
        <v>4121</v>
      </c>
      <c r="E801" s="153" t="s">
        <v>2111</v>
      </c>
      <c r="F801" s="6"/>
      <c r="G801" s="6"/>
      <c r="H801" s="128">
        <f t="shared" si="13"/>
        <v>300</v>
      </c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>
        <v>300</v>
      </c>
      <c r="W801" s="129"/>
      <c r="X801" s="129"/>
      <c r="Y801" s="129"/>
      <c r="Z801" s="129"/>
      <c r="AA801" s="129"/>
      <c r="AB801" s="129"/>
      <c r="AC801" s="129"/>
      <c r="AD801" s="129"/>
      <c r="AE801" s="129"/>
      <c r="AF801" s="129"/>
      <c r="AG801" s="129"/>
      <c r="AH801" s="129"/>
      <c r="AI801" s="129"/>
      <c r="AJ801" s="129"/>
      <c r="AK801" s="129"/>
      <c r="AL801" s="129"/>
      <c r="AM801" s="129"/>
    </row>
    <row r="802" spans="1:39" hidden="1" x14ac:dyDescent="0.25">
      <c r="A802" s="127">
        <v>801</v>
      </c>
      <c r="B802" s="152" t="s">
        <v>441</v>
      </c>
      <c r="C802" s="153" t="s">
        <v>4122</v>
      </c>
      <c r="D802" s="153" t="s">
        <v>4123</v>
      </c>
      <c r="E802" s="153" t="s">
        <v>4948</v>
      </c>
      <c r="F802" s="6"/>
      <c r="G802" s="6"/>
      <c r="H802" s="128">
        <f t="shared" si="13"/>
        <v>0</v>
      </c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  <c r="AA802" s="129"/>
      <c r="AB802" s="129"/>
      <c r="AC802" s="129"/>
      <c r="AD802" s="129"/>
      <c r="AE802" s="129"/>
      <c r="AF802" s="129"/>
      <c r="AG802" s="129"/>
      <c r="AH802" s="129"/>
      <c r="AI802" s="129"/>
      <c r="AJ802" s="129"/>
      <c r="AK802" s="129"/>
      <c r="AL802" s="129"/>
      <c r="AM802" s="129"/>
    </row>
    <row r="803" spans="1:39" hidden="1" x14ac:dyDescent="0.25">
      <c r="A803" s="127">
        <v>802</v>
      </c>
      <c r="B803" s="152" t="s">
        <v>1711</v>
      </c>
      <c r="C803" s="153" t="s">
        <v>4124</v>
      </c>
      <c r="D803" s="153" t="s">
        <v>4125</v>
      </c>
      <c r="E803" s="153" t="s">
        <v>4948</v>
      </c>
      <c r="F803" s="6"/>
      <c r="G803" s="6"/>
      <c r="H803" s="128">
        <f t="shared" si="13"/>
        <v>0</v>
      </c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  <c r="AA803" s="129"/>
      <c r="AB803" s="129"/>
      <c r="AC803" s="129"/>
      <c r="AD803" s="129"/>
      <c r="AE803" s="129"/>
      <c r="AF803" s="129"/>
      <c r="AG803" s="129"/>
      <c r="AH803" s="129"/>
      <c r="AI803" s="129"/>
      <c r="AJ803" s="129"/>
      <c r="AK803" s="129"/>
      <c r="AL803" s="129"/>
      <c r="AM803" s="129"/>
    </row>
    <row r="804" spans="1:39" hidden="1" x14ac:dyDescent="0.25">
      <c r="A804" s="127">
        <v>803</v>
      </c>
      <c r="B804" s="152" t="s">
        <v>1592</v>
      </c>
      <c r="C804" s="153" t="s">
        <v>4126</v>
      </c>
      <c r="D804" s="153" t="s">
        <v>4127</v>
      </c>
      <c r="E804" s="153" t="s">
        <v>64</v>
      </c>
      <c r="F804" s="6"/>
      <c r="G804" s="6"/>
      <c r="H804" s="128">
        <f t="shared" si="13"/>
        <v>0</v>
      </c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</row>
    <row r="805" spans="1:39" hidden="1" x14ac:dyDescent="0.25">
      <c r="A805" s="127">
        <v>804</v>
      </c>
      <c r="B805" s="152" t="s">
        <v>983</v>
      </c>
      <c r="C805" s="153" t="s">
        <v>4128</v>
      </c>
      <c r="D805" s="153" t="s">
        <v>4129</v>
      </c>
      <c r="E805" s="153" t="s">
        <v>64</v>
      </c>
      <c r="F805" s="6"/>
      <c r="G805" s="6"/>
      <c r="H805" s="128">
        <f t="shared" si="13"/>
        <v>0</v>
      </c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</row>
    <row r="806" spans="1:39" hidden="1" x14ac:dyDescent="0.25">
      <c r="A806" s="127">
        <v>805</v>
      </c>
      <c r="B806" s="152" t="s">
        <v>1151</v>
      </c>
      <c r="C806" s="153" t="s">
        <v>4130</v>
      </c>
      <c r="D806" s="153" t="s">
        <v>4131</v>
      </c>
      <c r="E806" s="153" t="s">
        <v>4948</v>
      </c>
      <c r="F806" s="6"/>
      <c r="G806" s="6"/>
      <c r="H806" s="128">
        <f t="shared" si="13"/>
        <v>12240</v>
      </c>
      <c r="I806" s="129">
        <v>9000</v>
      </c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>
        <v>3240</v>
      </c>
      <c r="V806" s="129"/>
      <c r="W806" s="129"/>
      <c r="X806" s="129"/>
      <c r="Y806" s="129"/>
      <c r="Z806" s="129"/>
      <c r="AA806" s="129"/>
      <c r="AB806" s="129"/>
      <c r="AC806" s="129"/>
      <c r="AD806" s="129"/>
      <c r="AE806" s="129"/>
      <c r="AF806" s="129"/>
      <c r="AG806" s="129"/>
      <c r="AH806" s="129"/>
      <c r="AI806" s="129"/>
      <c r="AJ806" s="129"/>
      <c r="AK806" s="129"/>
      <c r="AL806" s="129"/>
      <c r="AM806" s="129"/>
    </row>
    <row r="807" spans="1:39" hidden="1" x14ac:dyDescent="0.25">
      <c r="A807" s="127">
        <v>806</v>
      </c>
      <c r="B807" s="152" t="s">
        <v>1341</v>
      </c>
      <c r="C807" s="153" t="s">
        <v>4132</v>
      </c>
      <c r="D807" s="153" t="s">
        <v>4133</v>
      </c>
      <c r="E807" s="153" t="s">
        <v>64</v>
      </c>
      <c r="F807" s="6"/>
      <c r="G807" s="6"/>
      <c r="H807" s="128">
        <f t="shared" si="13"/>
        <v>0</v>
      </c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29"/>
      <c r="AL807" s="129"/>
      <c r="AM807" s="129"/>
    </row>
    <row r="808" spans="1:39" hidden="1" x14ac:dyDescent="0.25">
      <c r="A808" s="127">
        <v>807</v>
      </c>
      <c r="B808" s="152" t="s">
        <v>396</v>
      </c>
      <c r="C808" s="153" t="s">
        <v>4134</v>
      </c>
      <c r="D808" s="153" t="s">
        <v>4135</v>
      </c>
      <c r="E808" s="153" t="s">
        <v>4948</v>
      </c>
      <c r="F808" s="6"/>
      <c r="G808" s="6"/>
      <c r="H808" s="128">
        <f t="shared" si="13"/>
        <v>4320</v>
      </c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>
        <v>4320</v>
      </c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</row>
    <row r="809" spans="1:39" hidden="1" x14ac:dyDescent="0.25">
      <c r="A809" s="127">
        <v>808</v>
      </c>
      <c r="B809" s="152" t="s">
        <v>399</v>
      </c>
      <c r="C809" s="153" t="s">
        <v>4136</v>
      </c>
      <c r="D809" s="153" t="s">
        <v>4137</v>
      </c>
      <c r="E809" s="153" t="s">
        <v>64</v>
      </c>
      <c r="F809" s="6"/>
      <c r="G809" s="6"/>
      <c r="H809" s="128">
        <f t="shared" si="13"/>
        <v>0</v>
      </c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 t="s">
        <v>1625</v>
      </c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</row>
    <row r="810" spans="1:39" hidden="1" x14ac:dyDescent="0.25">
      <c r="A810" s="127">
        <v>809</v>
      </c>
      <c r="B810" s="152" t="s">
        <v>1057</v>
      </c>
      <c r="C810" s="153" t="s">
        <v>4138</v>
      </c>
      <c r="D810" s="153" t="s">
        <v>4139</v>
      </c>
      <c r="E810" s="153" t="s">
        <v>4948</v>
      </c>
      <c r="F810" s="6"/>
      <c r="G810" s="6"/>
      <c r="H810" s="128">
        <f t="shared" si="13"/>
        <v>1250</v>
      </c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>
        <v>1250</v>
      </c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</row>
    <row r="811" spans="1:39" hidden="1" x14ac:dyDescent="0.25">
      <c r="A811" s="127">
        <v>810</v>
      </c>
      <c r="B811" s="152" t="s">
        <v>1252</v>
      </c>
      <c r="C811" s="153" t="s">
        <v>4140</v>
      </c>
      <c r="D811" s="153" t="s">
        <v>4141</v>
      </c>
      <c r="E811" s="153" t="s">
        <v>64</v>
      </c>
      <c r="F811" s="6"/>
      <c r="G811" s="6"/>
      <c r="H811" s="128">
        <f t="shared" si="13"/>
        <v>500</v>
      </c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>
        <v>500</v>
      </c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</row>
    <row r="812" spans="1:39" hidden="1" x14ac:dyDescent="0.25">
      <c r="A812" s="127">
        <v>811</v>
      </c>
      <c r="B812" s="152" t="s">
        <v>1502</v>
      </c>
      <c r="C812" s="153" t="s">
        <v>4142</v>
      </c>
      <c r="D812" s="153" t="s">
        <v>4143</v>
      </c>
      <c r="E812" s="153" t="s">
        <v>4948</v>
      </c>
      <c r="F812" s="6"/>
      <c r="G812" s="6"/>
      <c r="H812" s="128">
        <f t="shared" si="13"/>
        <v>100</v>
      </c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>
        <v>100</v>
      </c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</row>
    <row r="813" spans="1:39" hidden="1" x14ac:dyDescent="0.25">
      <c r="A813" s="127">
        <v>812</v>
      </c>
      <c r="B813" s="152" t="s">
        <v>1541</v>
      </c>
      <c r="C813" s="153" t="s">
        <v>4144</v>
      </c>
      <c r="D813" s="153" t="s">
        <v>4145</v>
      </c>
      <c r="E813" s="153" t="s">
        <v>64</v>
      </c>
      <c r="F813" s="6"/>
      <c r="G813" s="6"/>
      <c r="H813" s="128">
        <f t="shared" si="13"/>
        <v>0</v>
      </c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</row>
    <row r="814" spans="1:39" hidden="1" x14ac:dyDescent="0.25">
      <c r="A814" s="127">
        <v>813</v>
      </c>
      <c r="B814" s="152" t="s">
        <v>4146</v>
      </c>
      <c r="C814" s="153" t="s">
        <v>4147</v>
      </c>
      <c r="D814" s="153" t="s">
        <v>4148</v>
      </c>
      <c r="E814" s="153" t="s">
        <v>4948</v>
      </c>
      <c r="F814" s="6"/>
      <c r="G814" s="6"/>
      <c r="H814" s="128">
        <f t="shared" si="13"/>
        <v>0</v>
      </c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</row>
    <row r="815" spans="1:39" hidden="1" x14ac:dyDescent="0.25">
      <c r="A815" s="127">
        <v>814</v>
      </c>
      <c r="B815" s="152" t="s">
        <v>682</v>
      </c>
      <c r="C815" s="153" t="s">
        <v>4149</v>
      </c>
      <c r="D815" s="153" t="s">
        <v>4150</v>
      </c>
      <c r="E815" s="153" t="s">
        <v>4948</v>
      </c>
      <c r="F815" s="6"/>
      <c r="G815" s="6"/>
      <c r="H815" s="128">
        <f t="shared" si="13"/>
        <v>0</v>
      </c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</row>
    <row r="816" spans="1:39" hidden="1" x14ac:dyDescent="0.25">
      <c r="A816" s="127">
        <v>815</v>
      </c>
      <c r="B816" s="152" t="s">
        <v>835</v>
      </c>
      <c r="C816" s="153" t="s">
        <v>4151</v>
      </c>
      <c r="D816" s="153" t="s">
        <v>4152</v>
      </c>
      <c r="E816" s="153" t="s">
        <v>4948</v>
      </c>
      <c r="F816" s="6"/>
      <c r="G816" s="6"/>
      <c r="H816" s="128">
        <f t="shared" si="13"/>
        <v>0</v>
      </c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</row>
    <row r="817" spans="1:39" hidden="1" x14ac:dyDescent="0.25">
      <c r="A817" s="127">
        <v>816</v>
      </c>
      <c r="B817" s="152" t="s">
        <v>771</v>
      </c>
      <c r="C817" s="153" t="s">
        <v>4153</v>
      </c>
      <c r="D817" s="153" t="s">
        <v>4154</v>
      </c>
      <c r="E817" s="153" t="s">
        <v>64</v>
      </c>
      <c r="F817" s="6"/>
      <c r="G817" s="6"/>
      <c r="H817" s="128">
        <f t="shared" si="13"/>
        <v>0</v>
      </c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</row>
    <row r="818" spans="1:39" hidden="1" x14ac:dyDescent="0.25">
      <c r="A818" s="127">
        <v>817</v>
      </c>
      <c r="B818" s="152" t="s">
        <v>1357</v>
      </c>
      <c r="C818" s="153" t="s">
        <v>4155</v>
      </c>
      <c r="D818" s="153" t="s">
        <v>4156</v>
      </c>
      <c r="E818" s="153" t="s">
        <v>64</v>
      </c>
      <c r="F818" s="6"/>
      <c r="G818" s="6"/>
      <c r="H818" s="128">
        <f t="shared" si="13"/>
        <v>108</v>
      </c>
      <c r="I818" s="129">
        <v>108</v>
      </c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  <c r="AA818" s="129"/>
      <c r="AB818" s="129"/>
      <c r="AC818" s="129"/>
      <c r="AD818" s="129"/>
      <c r="AE818" s="129"/>
      <c r="AF818" s="129"/>
      <c r="AG818" s="129"/>
      <c r="AH818" s="129"/>
      <c r="AI818" s="129"/>
      <c r="AJ818" s="129"/>
      <c r="AK818" s="129"/>
      <c r="AL818" s="129"/>
      <c r="AM818" s="129"/>
    </row>
    <row r="819" spans="1:39" hidden="1" x14ac:dyDescent="0.25">
      <c r="A819" s="127">
        <v>818</v>
      </c>
      <c r="B819" s="152" t="s">
        <v>1440</v>
      </c>
      <c r="C819" s="153" t="s">
        <v>4157</v>
      </c>
      <c r="D819" s="153" t="s">
        <v>4158</v>
      </c>
      <c r="E819" s="153" t="s">
        <v>2111</v>
      </c>
      <c r="F819" s="6"/>
      <c r="G819" s="6"/>
      <c r="H819" s="128">
        <f t="shared" si="13"/>
        <v>68.16</v>
      </c>
      <c r="I819" s="129">
        <v>68.16</v>
      </c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  <c r="AA819" s="129"/>
      <c r="AB819" s="129"/>
      <c r="AC819" s="129"/>
      <c r="AD819" s="129"/>
      <c r="AE819" s="129"/>
      <c r="AF819" s="129"/>
      <c r="AG819" s="129"/>
      <c r="AH819" s="129"/>
      <c r="AI819" s="129"/>
      <c r="AJ819" s="129"/>
      <c r="AK819" s="129"/>
      <c r="AL819" s="129"/>
      <c r="AM819" s="129"/>
    </row>
    <row r="820" spans="1:39" hidden="1" x14ac:dyDescent="0.25">
      <c r="A820" s="127">
        <v>819</v>
      </c>
      <c r="B820" s="152" t="s">
        <v>1555</v>
      </c>
      <c r="C820" s="153" t="s">
        <v>4159</v>
      </c>
      <c r="D820" s="153" t="s">
        <v>4160</v>
      </c>
      <c r="E820" s="153" t="s">
        <v>64</v>
      </c>
      <c r="F820" s="6"/>
      <c r="G820" s="6"/>
      <c r="H820" s="128">
        <f t="shared" si="13"/>
        <v>20</v>
      </c>
      <c r="I820" s="129">
        <v>20</v>
      </c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  <c r="AA820" s="129"/>
      <c r="AB820" s="129"/>
      <c r="AC820" s="129"/>
      <c r="AD820" s="129"/>
      <c r="AE820" s="129"/>
      <c r="AF820" s="129"/>
      <c r="AG820" s="129"/>
      <c r="AH820" s="129"/>
      <c r="AI820" s="129"/>
      <c r="AJ820" s="129"/>
      <c r="AK820" s="129"/>
      <c r="AL820" s="129"/>
      <c r="AM820" s="129"/>
    </row>
    <row r="821" spans="1:39" hidden="1" x14ac:dyDescent="0.25">
      <c r="A821" s="127">
        <v>820</v>
      </c>
      <c r="B821" s="152" t="s">
        <v>1165</v>
      </c>
      <c r="C821" s="153" t="s">
        <v>4161</v>
      </c>
      <c r="D821" s="153" t="s">
        <v>4162</v>
      </c>
      <c r="E821" s="153" t="s">
        <v>64</v>
      </c>
      <c r="F821" s="6"/>
      <c r="G821" s="6"/>
      <c r="H821" s="128">
        <f t="shared" si="13"/>
        <v>576</v>
      </c>
      <c r="I821" s="129">
        <v>576</v>
      </c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  <c r="AA821" s="129"/>
      <c r="AB821" s="129"/>
      <c r="AC821" s="129"/>
      <c r="AD821" s="129"/>
      <c r="AE821" s="129"/>
      <c r="AF821" s="129"/>
      <c r="AG821" s="129"/>
      <c r="AH821" s="129"/>
      <c r="AI821" s="129"/>
      <c r="AJ821" s="129"/>
      <c r="AK821" s="129"/>
      <c r="AL821" s="129"/>
      <c r="AM821" s="129"/>
    </row>
    <row r="822" spans="1:39" hidden="1" x14ac:dyDescent="0.25">
      <c r="A822" s="127">
        <v>821</v>
      </c>
      <c r="B822" s="152" t="s">
        <v>1582</v>
      </c>
      <c r="C822" s="153" t="s">
        <v>4163</v>
      </c>
      <c r="D822" s="153" t="s">
        <v>4164</v>
      </c>
      <c r="E822" s="153" t="s">
        <v>64</v>
      </c>
      <c r="F822" s="6"/>
      <c r="G822" s="6"/>
      <c r="H822" s="128">
        <f t="shared" si="13"/>
        <v>5</v>
      </c>
      <c r="I822" s="129">
        <v>5</v>
      </c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  <c r="AA822" s="129"/>
      <c r="AB822" s="129"/>
      <c r="AC822" s="129"/>
      <c r="AD822" s="129"/>
      <c r="AE822" s="129"/>
      <c r="AF822" s="129"/>
      <c r="AG822" s="129"/>
      <c r="AH822" s="129"/>
      <c r="AI822" s="129"/>
      <c r="AJ822" s="129"/>
      <c r="AK822" s="129"/>
      <c r="AL822" s="129"/>
      <c r="AM822" s="129"/>
    </row>
    <row r="823" spans="1:39" hidden="1" x14ac:dyDescent="0.25">
      <c r="A823" s="127">
        <v>822</v>
      </c>
      <c r="B823" s="152" t="s">
        <v>518</v>
      </c>
      <c r="C823" s="153" t="s">
        <v>4165</v>
      </c>
      <c r="D823" s="153" t="s">
        <v>4166</v>
      </c>
      <c r="E823" s="153" t="s">
        <v>4948</v>
      </c>
      <c r="F823" s="6"/>
      <c r="G823" s="6"/>
      <c r="H823" s="128">
        <f t="shared" si="13"/>
        <v>10</v>
      </c>
      <c r="I823" s="129">
        <v>10</v>
      </c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  <c r="AA823" s="129"/>
      <c r="AB823" s="129"/>
      <c r="AC823" s="129"/>
      <c r="AD823" s="129"/>
      <c r="AE823" s="129"/>
      <c r="AF823" s="129"/>
      <c r="AG823" s="129"/>
      <c r="AH823" s="129"/>
      <c r="AI823" s="129"/>
      <c r="AJ823" s="129"/>
      <c r="AK823" s="129"/>
      <c r="AL823" s="129"/>
      <c r="AM823" s="129"/>
    </row>
    <row r="824" spans="1:39" hidden="1" x14ac:dyDescent="0.25">
      <c r="A824" s="127">
        <v>823</v>
      </c>
      <c r="B824" s="152" t="s">
        <v>1292</v>
      </c>
      <c r="C824" s="153" t="s">
        <v>4167</v>
      </c>
      <c r="D824" s="153" t="s">
        <v>4168</v>
      </c>
      <c r="E824" s="153" t="s">
        <v>64</v>
      </c>
      <c r="F824" s="6"/>
      <c r="G824" s="6"/>
      <c r="H824" s="128">
        <f t="shared" si="13"/>
        <v>0</v>
      </c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  <c r="AA824" s="129"/>
      <c r="AB824" s="129"/>
      <c r="AC824" s="129"/>
      <c r="AD824" s="129"/>
      <c r="AE824" s="129"/>
      <c r="AF824" s="129"/>
      <c r="AG824" s="129"/>
      <c r="AH824" s="129"/>
      <c r="AI824" s="129"/>
      <c r="AJ824" s="129"/>
      <c r="AK824" s="129"/>
      <c r="AL824" s="129"/>
      <c r="AM824" s="129"/>
    </row>
    <row r="825" spans="1:39" hidden="1" x14ac:dyDescent="0.25">
      <c r="A825" s="127">
        <v>824</v>
      </c>
      <c r="B825" s="152" t="s">
        <v>1169</v>
      </c>
      <c r="C825" s="153" t="s">
        <v>4169</v>
      </c>
      <c r="D825" s="153" t="s">
        <v>4170</v>
      </c>
      <c r="E825" s="153" t="s">
        <v>64</v>
      </c>
      <c r="F825" s="6"/>
      <c r="G825" s="6"/>
      <c r="H825" s="128">
        <f t="shared" si="13"/>
        <v>80</v>
      </c>
      <c r="I825" s="129">
        <v>80</v>
      </c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  <c r="AA825" s="129"/>
      <c r="AB825" s="129"/>
      <c r="AC825" s="129"/>
      <c r="AD825" s="129"/>
      <c r="AE825" s="129"/>
      <c r="AF825" s="129"/>
      <c r="AG825" s="129"/>
      <c r="AH825" s="129"/>
      <c r="AI825" s="129"/>
      <c r="AJ825" s="129"/>
      <c r="AK825" s="129"/>
      <c r="AL825" s="129"/>
      <c r="AM825" s="129"/>
    </row>
    <row r="826" spans="1:39" hidden="1" x14ac:dyDescent="0.25">
      <c r="A826" s="127">
        <v>825</v>
      </c>
      <c r="B826" s="152" t="s">
        <v>4171</v>
      </c>
      <c r="C826" s="153" t="s">
        <v>4172</v>
      </c>
      <c r="D826" s="153" t="s">
        <v>4173</v>
      </c>
      <c r="E826" s="153" t="s">
        <v>64</v>
      </c>
      <c r="F826" s="6"/>
      <c r="G826" s="6"/>
      <c r="H826" s="128">
        <f t="shared" si="13"/>
        <v>0</v>
      </c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  <c r="AA826" s="129"/>
      <c r="AB826" s="129"/>
      <c r="AC826" s="129"/>
      <c r="AD826" s="129"/>
      <c r="AE826" s="129"/>
      <c r="AF826" s="129"/>
      <c r="AG826" s="129"/>
      <c r="AH826" s="129"/>
      <c r="AI826" s="129"/>
      <c r="AJ826" s="129"/>
      <c r="AK826" s="129"/>
      <c r="AL826" s="129"/>
      <c r="AM826" s="129"/>
    </row>
    <row r="827" spans="1:39" hidden="1" x14ac:dyDescent="0.25">
      <c r="A827" s="127">
        <v>826</v>
      </c>
      <c r="B827" s="152" t="s">
        <v>1131</v>
      </c>
      <c r="C827" s="153" t="s">
        <v>4174</v>
      </c>
      <c r="D827" s="153" t="s">
        <v>4175</v>
      </c>
      <c r="E827" s="153" t="s">
        <v>4948</v>
      </c>
      <c r="F827" s="6"/>
      <c r="G827" s="6"/>
      <c r="H827" s="128">
        <f t="shared" si="13"/>
        <v>0</v>
      </c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  <c r="AA827" s="129"/>
      <c r="AB827" s="129"/>
      <c r="AC827" s="129"/>
      <c r="AD827" s="129"/>
      <c r="AE827" s="129"/>
      <c r="AF827" s="129"/>
      <c r="AG827" s="129"/>
      <c r="AH827" s="129"/>
      <c r="AI827" s="129"/>
      <c r="AJ827" s="129"/>
      <c r="AK827" s="129"/>
      <c r="AL827" s="129"/>
      <c r="AM827" s="129"/>
    </row>
    <row r="828" spans="1:39" hidden="1" x14ac:dyDescent="0.25">
      <c r="A828" s="127">
        <v>827</v>
      </c>
      <c r="B828" s="152" t="s">
        <v>497</v>
      </c>
      <c r="C828" s="153" t="s">
        <v>4176</v>
      </c>
      <c r="D828" s="153" t="s">
        <v>4177</v>
      </c>
      <c r="E828" s="153" t="s">
        <v>64</v>
      </c>
      <c r="F828" s="6"/>
      <c r="G828" s="6"/>
      <c r="H828" s="128">
        <f t="shared" si="13"/>
        <v>0</v>
      </c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  <c r="AA828" s="129"/>
      <c r="AB828" s="129"/>
      <c r="AC828" s="129"/>
      <c r="AD828" s="129"/>
      <c r="AE828" s="129"/>
      <c r="AF828" s="129"/>
      <c r="AG828" s="129"/>
      <c r="AH828" s="129"/>
      <c r="AI828" s="129"/>
      <c r="AJ828" s="129"/>
      <c r="AK828" s="129"/>
      <c r="AL828" s="129"/>
      <c r="AM828" s="129"/>
    </row>
    <row r="829" spans="1:39" hidden="1" x14ac:dyDescent="0.25">
      <c r="A829" s="127">
        <v>828</v>
      </c>
      <c r="B829" s="152" t="s">
        <v>919</v>
      </c>
      <c r="C829" s="153" t="s">
        <v>4178</v>
      </c>
      <c r="D829" s="153" t="s">
        <v>4179</v>
      </c>
      <c r="E829" s="153" t="s">
        <v>64</v>
      </c>
      <c r="F829" s="6"/>
      <c r="G829" s="6"/>
      <c r="H829" s="128">
        <f t="shared" si="13"/>
        <v>0</v>
      </c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  <c r="AA829" s="129"/>
      <c r="AB829" s="129"/>
      <c r="AC829" s="129"/>
      <c r="AD829" s="129"/>
      <c r="AE829" s="129"/>
      <c r="AF829" s="129"/>
      <c r="AG829" s="129"/>
      <c r="AH829" s="129"/>
      <c r="AI829" s="129"/>
      <c r="AJ829" s="129"/>
      <c r="AK829" s="129"/>
      <c r="AL829" s="129"/>
      <c r="AM829" s="129"/>
    </row>
    <row r="830" spans="1:39" hidden="1" x14ac:dyDescent="0.25">
      <c r="A830" s="127">
        <v>829</v>
      </c>
      <c r="B830" s="152" t="s">
        <v>1269</v>
      </c>
      <c r="C830" s="153" t="s">
        <v>4180</v>
      </c>
      <c r="D830" s="153" t="s">
        <v>4181</v>
      </c>
      <c r="E830" s="153" t="s">
        <v>64</v>
      </c>
      <c r="F830" s="6"/>
      <c r="G830" s="6"/>
      <c r="H830" s="128">
        <f t="shared" si="13"/>
        <v>0</v>
      </c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  <c r="AA830" s="129"/>
      <c r="AB830" s="129"/>
      <c r="AC830" s="129"/>
      <c r="AD830" s="129"/>
      <c r="AE830" s="129"/>
      <c r="AF830" s="129"/>
      <c r="AG830" s="129"/>
      <c r="AH830" s="129"/>
      <c r="AI830" s="129"/>
      <c r="AJ830" s="129"/>
      <c r="AK830" s="129"/>
      <c r="AL830" s="129"/>
      <c r="AM830" s="129"/>
    </row>
    <row r="831" spans="1:39" hidden="1" x14ac:dyDescent="0.25">
      <c r="A831" s="127">
        <v>830</v>
      </c>
      <c r="B831" s="152" t="s">
        <v>1091</v>
      </c>
      <c r="C831" s="153" t="s">
        <v>4182</v>
      </c>
      <c r="D831" s="153" t="s">
        <v>4183</v>
      </c>
      <c r="E831" s="153" t="s">
        <v>64</v>
      </c>
      <c r="F831" s="6"/>
      <c r="G831" s="6"/>
      <c r="H831" s="128">
        <f t="shared" si="13"/>
        <v>0</v>
      </c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  <c r="AA831" s="129"/>
      <c r="AB831" s="129"/>
      <c r="AC831" s="129"/>
      <c r="AD831" s="129"/>
      <c r="AE831" s="129"/>
      <c r="AF831" s="129"/>
      <c r="AG831" s="129"/>
      <c r="AH831" s="129"/>
      <c r="AI831" s="129"/>
      <c r="AJ831" s="129"/>
      <c r="AK831" s="129"/>
      <c r="AL831" s="129"/>
      <c r="AM831" s="129"/>
    </row>
    <row r="832" spans="1:39" hidden="1" x14ac:dyDescent="0.25">
      <c r="A832" s="127">
        <v>831</v>
      </c>
      <c r="B832" s="152" t="s">
        <v>1126</v>
      </c>
      <c r="C832" s="153" t="s">
        <v>4184</v>
      </c>
      <c r="D832" s="153" t="s">
        <v>4185</v>
      </c>
      <c r="E832" s="153" t="s">
        <v>64</v>
      </c>
      <c r="F832" s="6"/>
      <c r="G832" s="6"/>
      <c r="H832" s="128">
        <f t="shared" si="13"/>
        <v>0</v>
      </c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  <c r="AA832" s="129"/>
      <c r="AB832" s="129"/>
      <c r="AC832" s="129"/>
      <c r="AD832" s="129"/>
      <c r="AE832" s="129"/>
      <c r="AF832" s="129"/>
      <c r="AG832" s="129"/>
      <c r="AH832" s="129"/>
      <c r="AI832" s="129"/>
      <c r="AJ832" s="129"/>
      <c r="AK832" s="129"/>
      <c r="AL832" s="129"/>
      <c r="AM832" s="129"/>
    </row>
    <row r="833" spans="1:39" hidden="1" x14ac:dyDescent="0.25">
      <c r="A833" s="127">
        <v>832</v>
      </c>
      <c r="B833" s="152" t="s">
        <v>4186</v>
      </c>
      <c r="C833" s="153" t="s">
        <v>4187</v>
      </c>
      <c r="D833" s="153" t="s">
        <v>4188</v>
      </c>
      <c r="E833" s="153" t="s">
        <v>4948</v>
      </c>
      <c r="F833" s="6"/>
      <c r="G833" s="6"/>
      <c r="H833" s="128">
        <f t="shared" si="13"/>
        <v>0</v>
      </c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  <c r="AA833" s="129"/>
      <c r="AB833" s="129"/>
      <c r="AC833" s="129"/>
      <c r="AD833" s="129"/>
      <c r="AE833" s="129"/>
      <c r="AF833" s="129"/>
      <c r="AG833" s="129"/>
      <c r="AH833" s="129"/>
      <c r="AI833" s="129"/>
      <c r="AJ833" s="129"/>
      <c r="AK833" s="129"/>
      <c r="AL833" s="129"/>
      <c r="AM833" s="129"/>
    </row>
    <row r="834" spans="1:39" hidden="1" x14ac:dyDescent="0.25">
      <c r="A834" s="127">
        <v>833</v>
      </c>
      <c r="B834" s="157" t="s">
        <v>1552</v>
      </c>
      <c r="C834" s="158" t="s">
        <v>4189</v>
      </c>
      <c r="D834" s="158" t="s">
        <v>4190</v>
      </c>
      <c r="E834" s="153" t="s">
        <v>64</v>
      </c>
      <c r="F834" s="6"/>
      <c r="G834" s="6"/>
      <c r="H834" s="128">
        <f t="shared" ref="H834:H897" si="14">SUM(I834:AM834)</f>
        <v>0</v>
      </c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  <c r="AA834" s="129"/>
      <c r="AB834" s="129"/>
      <c r="AC834" s="129"/>
      <c r="AD834" s="129"/>
      <c r="AE834" s="129"/>
      <c r="AF834" s="129"/>
      <c r="AG834" s="129"/>
      <c r="AH834" s="129"/>
      <c r="AI834" s="129"/>
      <c r="AJ834" s="129"/>
      <c r="AK834" s="129"/>
      <c r="AL834" s="129"/>
      <c r="AM834" s="129"/>
    </row>
    <row r="835" spans="1:39" hidden="1" x14ac:dyDescent="0.25">
      <c r="A835" s="127">
        <v>834</v>
      </c>
      <c r="B835" s="152" t="s">
        <v>82</v>
      </c>
      <c r="C835" s="153" t="s">
        <v>4191</v>
      </c>
      <c r="D835" s="153" t="s">
        <v>4192</v>
      </c>
      <c r="E835" s="153" t="s">
        <v>64</v>
      </c>
      <c r="F835" s="6"/>
      <c r="G835" s="6"/>
      <c r="H835" s="128">
        <f t="shared" si="14"/>
        <v>0</v>
      </c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  <c r="AA835" s="129"/>
      <c r="AB835" s="129"/>
      <c r="AC835" s="129"/>
      <c r="AD835" s="129"/>
      <c r="AE835" s="129"/>
      <c r="AF835" s="129"/>
      <c r="AG835" s="129"/>
      <c r="AH835" s="129"/>
      <c r="AI835" s="129"/>
      <c r="AJ835" s="129"/>
      <c r="AK835" s="129"/>
      <c r="AL835" s="129"/>
      <c r="AM835" s="129"/>
    </row>
    <row r="836" spans="1:39" hidden="1" x14ac:dyDescent="0.25">
      <c r="A836" s="127">
        <v>835</v>
      </c>
      <c r="B836" s="152" t="s">
        <v>58</v>
      </c>
      <c r="C836" s="153" t="s">
        <v>4193</v>
      </c>
      <c r="D836" s="153" t="s">
        <v>4194</v>
      </c>
      <c r="E836" s="153" t="s">
        <v>64</v>
      </c>
      <c r="F836" s="6"/>
      <c r="G836" s="6"/>
      <c r="H836" s="128">
        <f t="shared" si="14"/>
        <v>45.6</v>
      </c>
      <c r="I836" s="129">
        <v>45.6</v>
      </c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  <c r="AA836" s="129"/>
      <c r="AB836" s="129"/>
      <c r="AC836" s="129"/>
      <c r="AD836" s="129"/>
      <c r="AE836" s="129"/>
      <c r="AF836" s="129"/>
      <c r="AG836" s="129"/>
      <c r="AH836" s="129"/>
      <c r="AI836" s="129"/>
      <c r="AJ836" s="129"/>
      <c r="AK836" s="129"/>
      <c r="AL836" s="129"/>
      <c r="AM836" s="129"/>
    </row>
    <row r="837" spans="1:39" hidden="1" x14ac:dyDescent="0.25">
      <c r="A837" s="127">
        <v>836</v>
      </c>
      <c r="B837" s="152" t="s">
        <v>544</v>
      </c>
      <c r="C837" s="153" t="s">
        <v>4195</v>
      </c>
      <c r="D837" s="153" t="s">
        <v>4196</v>
      </c>
      <c r="E837" s="153" t="s">
        <v>4948</v>
      </c>
      <c r="F837" s="6"/>
      <c r="G837" s="6"/>
      <c r="H837" s="128">
        <f t="shared" si="14"/>
        <v>0</v>
      </c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  <c r="AA837" s="129"/>
      <c r="AB837" s="129"/>
      <c r="AC837" s="129"/>
      <c r="AD837" s="129"/>
      <c r="AE837" s="129"/>
      <c r="AF837" s="129"/>
      <c r="AG837" s="129"/>
      <c r="AH837" s="129"/>
      <c r="AI837" s="129"/>
      <c r="AJ837" s="129"/>
      <c r="AK837" s="129"/>
      <c r="AL837" s="129"/>
      <c r="AM837" s="129"/>
    </row>
    <row r="838" spans="1:39" hidden="1" x14ac:dyDescent="0.25">
      <c r="A838" s="127">
        <v>837</v>
      </c>
      <c r="B838" s="152" t="s">
        <v>494</v>
      </c>
      <c r="C838" s="153" t="s">
        <v>4197</v>
      </c>
      <c r="D838" s="153" t="s">
        <v>4198</v>
      </c>
      <c r="E838" s="153" t="s">
        <v>4948</v>
      </c>
      <c r="F838" s="6"/>
      <c r="G838" s="6"/>
      <c r="H838" s="128">
        <f t="shared" si="14"/>
        <v>8</v>
      </c>
      <c r="I838" s="129">
        <v>8</v>
      </c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  <c r="AA838" s="129"/>
      <c r="AB838" s="129"/>
      <c r="AC838" s="129"/>
      <c r="AD838" s="129"/>
      <c r="AE838" s="129"/>
      <c r="AF838" s="129"/>
      <c r="AG838" s="129"/>
      <c r="AH838" s="129"/>
      <c r="AI838" s="129"/>
      <c r="AJ838" s="129"/>
      <c r="AK838" s="129"/>
      <c r="AL838" s="129"/>
      <c r="AM838" s="129"/>
    </row>
    <row r="839" spans="1:39" hidden="1" x14ac:dyDescent="0.25">
      <c r="A839" s="127">
        <v>838</v>
      </c>
      <c r="B839" s="152" t="s">
        <v>1129</v>
      </c>
      <c r="C839" s="153" t="s">
        <v>4199</v>
      </c>
      <c r="D839" s="153" t="s">
        <v>4200</v>
      </c>
      <c r="E839" s="153" t="s">
        <v>64</v>
      </c>
      <c r="F839" s="6"/>
      <c r="G839" s="6"/>
      <c r="H839" s="128">
        <f t="shared" si="14"/>
        <v>0</v>
      </c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  <c r="AA839" s="129"/>
      <c r="AB839" s="129"/>
      <c r="AC839" s="129"/>
      <c r="AD839" s="129"/>
      <c r="AE839" s="129"/>
      <c r="AF839" s="129"/>
      <c r="AG839" s="129"/>
      <c r="AH839" s="129"/>
      <c r="AI839" s="129"/>
      <c r="AJ839" s="129"/>
      <c r="AK839" s="129"/>
      <c r="AL839" s="129"/>
      <c r="AM839" s="129"/>
    </row>
    <row r="840" spans="1:39" hidden="1" x14ac:dyDescent="0.25">
      <c r="A840" s="127">
        <v>839</v>
      </c>
      <c r="B840" s="152" t="s">
        <v>474</v>
      </c>
      <c r="C840" s="153" t="s">
        <v>4201</v>
      </c>
      <c r="D840" s="153" t="s">
        <v>4202</v>
      </c>
      <c r="E840" s="153" t="s">
        <v>64</v>
      </c>
      <c r="F840" s="6"/>
      <c r="G840" s="6"/>
      <c r="H840" s="128">
        <f t="shared" si="14"/>
        <v>0</v>
      </c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  <c r="AA840" s="129"/>
      <c r="AB840" s="129"/>
      <c r="AC840" s="129"/>
      <c r="AD840" s="129"/>
      <c r="AE840" s="129"/>
      <c r="AF840" s="129"/>
      <c r="AG840" s="129"/>
      <c r="AH840" s="129"/>
      <c r="AI840" s="129"/>
      <c r="AJ840" s="129"/>
      <c r="AK840" s="129"/>
      <c r="AL840" s="129"/>
      <c r="AM840" s="129"/>
    </row>
    <row r="841" spans="1:39" hidden="1" x14ac:dyDescent="0.25">
      <c r="A841" s="127">
        <v>840</v>
      </c>
      <c r="B841" s="152" t="s">
        <v>1215</v>
      </c>
      <c r="C841" s="153" t="s">
        <v>4203</v>
      </c>
      <c r="D841" s="153" t="s">
        <v>4204</v>
      </c>
      <c r="E841" s="153" t="s">
        <v>4948</v>
      </c>
      <c r="F841" s="6"/>
      <c r="G841" s="6"/>
      <c r="H841" s="128">
        <f t="shared" si="14"/>
        <v>0</v>
      </c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  <c r="AA841" s="129"/>
      <c r="AB841" s="129"/>
      <c r="AC841" s="129"/>
      <c r="AD841" s="129"/>
      <c r="AE841" s="129"/>
      <c r="AF841" s="129"/>
      <c r="AG841" s="129"/>
      <c r="AH841" s="129"/>
      <c r="AI841" s="129"/>
      <c r="AJ841" s="129"/>
      <c r="AK841" s="129"/>
      <c r="AL841" s="129"/>
      <c r="AM841" s="129"/>
    </row>
    <row r="842" spans="1:39" hidden="1" x14ac:dyDescent="0.25">
      <c r="A842" s="127">
        <v>841</v>
      </c>
      <c r="B842" s="152" t="s">
        <v>4205</v>
      </c>
      <c r="C842" s="153" t="s">
        <v>4206</v>
      </c>
      <c r="D842" s="153" t="s">
        <v>4207</v>
      </c>
      <c r="E842" s="153" t="s">
        <v>4948</v>
      </c>
      <c r="F842" s="6"/>
      <c r="G842" s="6"/>
      <c r="H842" s="128">
        <f t="shared" si="14"/>
        <v>0</v>
      </c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</row>
    <row r="843" spans="1:39" hidden="1" x14ac:dyDescent="0.25">
      <c r="A843" s="127">
        <v>842</v>
      </c>
      <c r="B843" s="152" t="s">
        <v>1490</v>
      </c>
      <c r="C843" s="153" t="s">
        <v>4208</v>
      </c>
      <c r="D843" s="153" t="s">
        <v>4209</v>
      </c>
      <c r="E843" s="153" t="s">
        <v>64</v>
      </c>
      <c r="F843" s="6"/>
      <c r="G843" s="6"/>
      <c r="H843" s="128">
        <f t="shared" si="14"/>
        <v>0</v>
      </c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</row>
    <row r="844" spans="1:39" hidden="1" x14ac:dyDescent="0.25">
      <c r="A844" s="127">
        <v>843</v>
      </c>
      <c r="B844" s="152" t="s">
        <v>1295</v>
      </c>
      <c r="C844" s="153" t="s">
        <v>4210</v>
      </c>
      <c r="D844" s="153" t="s">
        <v>4211</v>
      </c>
      <c r="E844" s="153" t="s">
        <v>64</v>
      </c>
      <c r="F844" s="6"/>
      <c r="G844" s="6"/>
      <c r="H844" s="128">
        <f t="shared" si="14"/>
        <v>0</v>
      </c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  <c r="AA844" s="129"/>
      <c r="AB844" s="129"/>
      <c r="AC844" s="129"/>
      <c r="AD844" s="129"/>
      <c r="AE844" s="129"/>
      <c r="AF844" s="129"/>
      <c r="AG844" s="129"/>
      <c r="AH844" s="129"/>
      <c r="AI844" s="129"/>
      <c r="AJ844" s="129"/>
      <c r="AK844" s="129"/>
      <c r="AL844" s="129"/>
      <c r="AM844" s="129"/>
    </row>
    <row r="845" spans="1:39" hidden="1" x14ac:dyDescent="0.25">
      <c r="A845" s="127">
        <v>844</v>
      </c>
      <c r="B845" s="152" t="s">
        <v>1373</v>
      </c>
      <c r="C845" s="153" t="s">
        <v>4212</v>
      </c>
      <c r="D845" s="153" t="s">
        <v>4213</v>
      </c>
      <c r="E845" s="153" t="s">
        <v>2111</v>
      </c>
      <c r="F845" s="6"/>
      <c r="G845" s="6"/>
      <c r="H845" s="128">
        <f t="shared" si="14"/>
        <v>0</v>
      </c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29"/>
      <c r="AL845" s="129"/>
      <c r="AM845" s="129"/>
    </row>
    <row r="846" spans="1:39" hidden="1" x14ac:dyDescent="0.25">
      <c r="A846" s="127">
        <v>845</v>
      </c>
      <c r="B846" s="157" t="s">
        <v>1208</v>
      </c>
      <c r="C846" s="158" t="s">
        <v>4214</v>
      </c>
      <c r="D846" s="158" t="s">
        <v>4215</v>
      </c>
      <c r="E846" s="153" t="s">
        <v>64</v>
      </c>
      <c r="F846" s="6"/>
      <c r="G846" s="6"/>
      <c r="H846" s="128">
        <f t="shared" si="14"/>
        <v>64.8</v>
      </c>
      <c r="I846" s="129">
        <v>64.8</v>
      </c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</row>
    <row r="847" spans="1:39" hidden="1" x14ac:dyDescent="0.25">
      <c r="A847" s="127">
        <v>846</v>
      </c>
      <c r="B847" s="152" t="s">
        <v>1436</v>
      </c>
      <c r="C847" s="153" t="s">
        <v>4216</v>
      </c>
      <c r="D847" s="153" t="s">
        <v>4217</v>
      </c>
      <c r="E847" s="153" t="s">
        <v>64</v>
      </c>
      <c r="F847" s="6"/>
      <c r="G847" s="6"/>
      <c r="H847" s="128">
        <f t="shared" si="14"/>
        <v>0</v>
      </c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</row>
    <row r="848" spans="1:39" hidden="1" x14ac:dyDescent="0.25">
      <c r="A848" s="127">
        <v>847</v>
      </c>
      <c r="B848" s="152" t="s">
        <v>1245</v>
      </c>
      <c r="C848" s="153" t="s">
        <v>4218</v>
      </c>
      <c r="D848" s="153" t="s">
        <v>4219</v>
      </c>
      <c r="E848" s="153" t="s">
        <v>64</v>
      </c>
      <c r="F848" s="6"/>
      <c r="G848" s="6"/>
      <c r="H848" s="128">
        <f t="shared" si="14"/>
        <v>0</v>
      </c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</row>
    <row r="849" spans="1:39" hidden="1" x14ac:dyDescent="0.25">
      <c r="A849" s="127">
        <v>848</v>
      </c>
      <c r="B849" s="157" t="s">
        <v>41</v>
      </c>
      <c r="C849" s="158" t="s">
        <v>4220</v>
      </c>
      <c r="D849" s="158" t="s">
        <v>4221</v>
      </c>
      <c r="E849" s="153" t="s">
        <v>64</v>
      </c>
      <c r="F849" s="6"/>
      <c r="G849" s="6"/>
      <c r="H849" s="128">
        <f t="shared" si="14"/>
        <v>0</v>
      </c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</row>
    <row r="850" spans="1:39" hidden="1" x14ac:dyDescent="0.25">
      <c r="A850" s="127">
        <v>849</v>
      </c>
      <c r="B850" s="152" t="s">
        <v>4222</v>
      </c>
      <c r="C850" s="153" t="s">
        <v>4223</v>
      </c>
      <c r="D850" s="153" t="s">
        <v>4224</v>
      </c>
      <c r="E850" s="153" t="s">
        <v>4948</v>
      </c>
      <c r="F850" s="6"/>
      <c r="G850" s="6"/>
      <c r="H850" s="128">
        <f t="shared" si="14"/>
        <v>0</v>
      </c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</row>
    <row r="851" spans="1:39" hidden="1" x14ac:dyDescent="0.25">
      <c r="A851" s="127">
        <v>850</v>
      </c>
      <c r="B851" s="152" t="s">
        <v>1345</v>
      </c>
      <c r="C851" s="153" t="s">
        <v>4225</v>
      </c>
      <c r="D851" s="153" t="s">
        <v>4226</v>
      </c>
      <c r="E851" s="153" t="s">
        <v>64</v>
      </c>
      <c r="F851" s="6"/>
      <c r="G851" s="6"/>
      <c r="H851" s="128">
        <f t="shared" si="14"/>
        <v>0</v>
      </c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</row>
    <row r="852" spans="1:39" hidden="1" x14ac:dyDescent="0.25">
      <c r="A852" s="127">
        <v>851</v>
      </c>
      <c r="B852" s="152" t="s">
        <v>1526</v>
      </c>
      <c r="C852" s="153" t="s">
        <v>4227</v>
      </c>
      <c r="D852" s="153" t="s">
        <v>4228</v>
      </c>
      <c r="E852" s="153" t="s">
        <v>4948</v>
      </c>
      <c r="F852" s="6"/>
      <c r="G852" s="6"/>
      <c r="H852" s="128">
        <f t="shared" si="14"/>
        <v>5</v>
      </c>
      <c r="I852" s="129">
        <v>5</v>
      </c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</row>
    <row r="853" spans="1:39" hidden="1" x14ac:dyDescent="0.25">
      <c r="A853" s="127">
        <v>852</v>
      </c>
      <c r="B853" s="152" t="s">
        <v>4229</v>
      </c>
      <c r="C853" s="153" t="s">
        <v>4230</v>
      </c>
      <c r="D853" s="153" t="s">
        <v>4231</v>
      </c>
      <c r="E853" s="153" t="s">
        <v>2111</v>
      </c>
      <c r="F853" s="6"/>
      <c r="G853" s="6"/>
      <c r="H853" s="128">
        <f t="shared" si="14"/>
        <v>0</v>
      </c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</row>
    <row r="854" spans="1:39" hidden="1" x14ac:dyDescent="0.25">
      <c r="A854" s="127">
        <v>853</v>
      </c>
      <c r="B854" s="152" t="s">
        <v>1478</v>
      </c>
      <c r="C854" s="153" t="s">
        <v>4232</v>
      </c>
      <c r="D854" s="153" t="s">
        <v>4233</v>
      </c>
      <c r="E854" s="153" t="s">
        <v>4948</v>
      </c>
      <c r="F854" s="6"/>
      <c r="G854" s="6"/>
      <c r="H854" s="128">
        <f t="shared" si="14"/>
        <v>0</v>
      </c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</row>
    <row r="855" spans="1:39" hidden="1" x14ac:dyDescent="0.25">
      <c r="A855" s="127">
        <v>854</v>
      </c>
      <c r="B855" s="152" t="s">
        <v>4234</v>
      </c>
      <c r="C855" s="153" t="s">
        <v>4235</v>
      </c>
      <c r="D855" s="153" t="s">
        <v>4236</v>
      </c>
      <c r="E855" s="153" t="s">
        <v>64</v>
      </c>
      <c r="F855" s="6"/>
      <c r="G855" s="6"/>
      <c r="H855" s="128">
        <f t="shared" si="14"/>
        <v>0</v>
      </c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</row>
    <row r="856" spans="1:39" hidden="1" x14ac:dyDescent="0.25">
      <c r="A856" s="127">
        <v>855</v>
      </c>
      <c r="B856" s="152" t="s">
        <v>1134</v>
      </c>
      <c r="C856" s="153" t="s">
        <v>4237</v>
      </c>
      <c r="D856" s="153" t="s">
        <v>4238</v>
      </c>
      <c r="E856" s="153" t="s">
        <v>64</v>
      </c>
      <c r="F856" s="6"/>
      <c r="G856" s="6"/>
      <c r="H856" s="128">
        <f t="shared" si="14"/>
        <v>9</v>
      </c>
      <c r="I856" s="129">
        <v>9</v>
      </c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  <c r="AA856" s="129"/>
      <c r="AB856" s="129"/>
      <c r="AC856" s="129"/>
      <c r="AD856" s="129"/>
      <c r="AE856" s="129"/>
      <c r="AF856" s="129"/>
      <c r="AG856" s="129"/>
      <c r="AH856" s="129"/>
      <c r="AI856" s="129"/>
      <c r="AJ856" s="129"/>
      <c r="AK856" s="129"/>
      <c r="AL856" s="129"/>
      <c r="AM856" s="129"/>
    </row>
    <row r="857" spans="1:39" hidden="1" x14ac:dyDescent="0.25">
      <c r="A857" s="127">
        <v>856</v>
      </c>
      <c r="B857" s="157" t="s">
        <v>1323</v>
      </c>
      <c r="C857" s="158" t="s">
        <v>4239</v>
      </c>
      <c r="D857" s="158" t="s">
        <v>4240</v>
      </c>
      <c r="E857" s="153" t="s">
        <v>4948</v>
      </c>
      <c r="F857" s="6"/>
      <c r="G857" s="6"/>
      <c r="H857" s="128">
        <f t="shared" si="14"/>
        <v>0</v>
      </c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  <c r="AA857" s="129"/>
      <c r="AB857" s="129"/>
      <c r="AC857" s="129"/>
      <c r="AD857" s="129"/>
      <c r="AE857" s="129"/>
      <c r="AF857" s="129"/>
      <c r="AG857" s="129"/>
      <c r="AH857" s="129"/>
      <c r="AI857" s="129"/>
      <c r="AJ857" s="129"/>
      <c r="AK857" s="129"/>
      <c r="AL857" s="129"/>
      <c r="AM857" s="129"/>
    </row>
    <row r="858" spans="1:39" hidden="1" x14ac:dyDescent="0.25">
      <c r="A858" s="127">
        <v>857</v>
      </c>
      <c r="B858" s="152" t="s">
        <v>1285</v>
      </c>
      <c r="C858" s="153" t="s">
        <v>4241</v>
      </c>
      <c r="D858" s="153" t="s">
        <v>4242</v>
      </c>
      <c r="E858" s="153" t="s">
        <v>64</v>
      </c>
      <c r="F858" s="6"/>
      <c r="G858" s="6"/>
      <c r="H858" s="128">
        <f t="shared" si="14"/>
        <v>0</v>
      </c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  <c r="AA858" s="129"/>
      <c r="AB858" s="129"/>
      <c r="AC858" s="129"/>
      <c r="AD858" s="129"/>
      <c r="AE858" s="129"/>
      <c r="AF858" s="129"/>
      <c r="AG858" s="129"/>
      <c r="AH858" s="129"/>
      <c r="AI858" s="129"/>
      <c r="AJ858" s="129"/>
      <c r="AK858" s="129"/>
      <c r="AL858" s="129"/>
      <c r="AM858" s="129"/>
    </row>
    <row r="859" spans="1:39" hidden="1" x14ac:dyDescent="0.25">
      <c r="A859" s="127">
        <v>858</v>
      </c>
      <c r="B859" s="152" t="s">
        <v>1287</v>
      </c>
      <c r="C859" s="153" t="s">
        <v>1993</v>
      </c>
      <c r="D859" s="153" t="s">
        <v>4243</v>
      </c>
      <c r="E859" s="153" t="s">
        <v>64</v>
      </c>
      <c r="F859" s="6"/>
      <c r="G859" s="6"/>
      <c r="H859" s="128">
        <f t="shared" si="14"/>
        <v>0</v>
      </c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  <c r="AA859" s="129"/>
      <c r="AB859" s="129"/>
      <c r="AC859" s="129"/>
      <c r="AD859" s="129"/>
      <c r="AE859" s="129"/>
      <c r="AF859" s="129"/>
      <c r="AG859" s="129"/>
      <c r="AH859" s="129"/>
      <c r="AI859" s="129"/>
      <c r="AJ859" s="129"/>
      <c r="AK859" s="129"/>
      <c r="AL859" s="129"/>
      <c r="AM859" s="129"/>
    </row>
    <row r="860" spans="1:39" hidden="1" x14ac:dyDescent="0.25">
      <c r="A860" s="127">
        <v>859</v>
      </c>
      <c r="B860" s="152" t="s">
        <v>1386</v>
      </c>
      <c r="C860" s="153" t="s">
        <v>4244</v>
      </c>
      <c r="D860" s="153" t="s">
        <v>4245</v>
      </c>
      <c r="E860" s="153" t="s">
        <v>64</v>
      </c>
      <c r="F860" s="6"/>
      <c r="G860" s="6"/>
      <c r="H860" s="128">
        <f t="shared" si="14"/>
        <v>0</v>
      </c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  <c r="AA860" s="129"/>
      <c r="AB860" s="129"/>
      <c r="AC860" s="129"/>
      <c r="AD860" s="129"/>
      <c r="AE860" s="129"/>
      <c r="AF860" s="129"/>
      <c r="AG860" s="129"/>
      <c r="AH860" s="129"/>
      <c r="AI860" s="129"/>
      <c r="AJ860" s="129"/>
      <c r="AK860" s="129"/>
      <c r="AL860" s="129"/>
      <c r="AM860" s="129"/>
    </row>
    <row r="861" spans="1:39" hidden="1" x14ac:dyDescent="0.25">
      <c r="A861" s="127">
        <v>860</v>
      </c>
      <c r="B861" s="152" t="s">
        <v>1047</v>
      </c>
      <c r="C861" s="153" t="s">
        <v>4246</v>
      </c>
      <c r="D861" s="153" t="s">
        <v>4247</v>
      </c>
      <c r="E861" s="153" t="s">
        <v>64</v>
      </c>
      <c r="F861" s="6"/>
      <c r="G861" s="6"/>
      <c r="H861" s="128">
        <f t="shared" si="14"/>
        <v>176.4</v>
      </c>
      <c r="I861" s="129">
        <v>176.4</v>
      </c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  <c r="AA861" s="129"/>
      <c r="AB861" s="129"/>
      <c r="AC861" s="129"/>
      <c r="AD861" s="129"/>
      <c r="AE861" s="129"/>
      <c r="AF861" s="129"/>
      <c r="AG861" s="129"/>
      <c r="AH861" s="129"/>
      <c r="AI861" s="129"/>
      <c r="AJ861" s="129"/>
      <c r="AK861" s="129"/>
      <c r="AL861" s="129"/>
      <c r="AM861" s="129"/>
    </row>
    <row r="862" spans="1:39" hidden="1" x14ac:dyDescent="0.25">
      <c r="A862" s="127">
        <v>861</v>
      </c>
      <c r="B862" s="152" t="s">
        <v>978</v>
      </c>
      <c r="C862" s="153" t="s">
        <v>4248</v>
      </c>
      <c r="D862" s="153" t="s">
        <v>4249</v>
      </c>
      <c r="E862" s="153" t="s">
        <v>4948</v>
      </c>
      <c r="F862" s="6"/>
      <c r="G862" s="6"/>
      <c r="H862" s="128">
        <f t="shared" si="14"/>
        <v>0</v>
      </c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  <c r="AA862" s="129"/>
      <c r="AB862" s="129"/>
      <c r="AC862" s="129"/>
      <c r="AD862" s="129"/>
      <c r="AE862" s="129"/>
      <c r="AF862" s="129"/>
      <c r="AG862" s="129"/>
      <c r="AH862" s="129"/>
      <c r="AI862" s="129"/>
      <c r="AJ862" s="129"/>
      <c r="AK862" s="129"/>
      <c r="AL862" s="129"/>
      <c r="AM862" s="129"/>
    </row>
    <row r="863" spans="1:39" hidden="1" x14ac:dyDescent="0.25">
      <c r="A863" s="127">
        <v>862</v>
      </c>
      <c r="B863" s="152" t="s">
        <v>1388</v>
      </c>
      <c r="C863" s="153" t="s">
        <v>4250</v>
      </c>
      <c r="D863" s="153" t="s">
        <v>4251</v>
      </c>
      <c r="E863" s="153" t="s">
        <v>64</v>
      </c>
      <c r="F863" s="6"/>
      <c r="G863" s="6"/>
      <c r="H863" s="128">
        <f t="shared" si="14"/>
        <v>0</v>
      </c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  <c r="AA863" s="129"/>
      <c r="AB863" s="129"/>
      <c r="AC863" s="129"/>
      <c r="AD863" s="129"/>
      <c r="AE863" s="129"/>
      <c r="AF863" s="129"/>
      <c r="AG863" s="129"/>
      <c r="AH863" s="129"/>
      <c r="AI863" s="129"/>
      <c r="AJ863" s="129"/>
      <c r="AK863" s="129"/>
      <c r="AL863" s="129"/>
      <c r="AM863" s="129"/>
    </row>
    <row r="864" spans="1:39" hidden="1" x14ac:dyDescent="0.25">
      <c r="A864" s="127">
        <v>863</v>
      </c>
      <c r="B864" s="152" t="s">
        <v>1480</v>
      </c>
      <c r="C864" s="153" t="s">
        <v>4252</v>
      </c>
      <c r="D864" s="153" t="s">
        <v>4253</v>
      </c>
      <c r="E864" s="153" t="s">
        <v>4948</v>
      </c>
      <c r="F864" s="6"/>
      <c r="G864" s="6"/>
      <c r="H864" s="128">
        <f t="shared" si="14"/>
        <v>0</v>
      </c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  <c r="AA864" s="129"/>
      <c r="AB864" s="129"/>
      <c r="AC864" s="129"/>
      <c r="AD864" s="129"/>
      <c r="AE864" s="129"/>
      <c r="AF864" s="129"/>
      <c r="AG864" s="129"/>
      <c r="AH864" s="129"/>
      <c r="AI864" s="129"/>
      <c r="AJ864" s="129"/>
      <c r="AK864" s="129"/>
      <c r="AL864" s="129"/>
      <c r="AM864" s="129"/>
    </row>
    <row r="865" spans="1:39" hidden="1" x14ac:dyDescent="0.25">
      <c r="A865" s="127">
        <v>864</v>
      </c>
      <c r="B865" s="152" t="s">
        <v>691</v>
      </c>
      <c r="C865" s="153" t="s">
        <v>4254</v>
      </c>
      <c r="D865" s="153" t="s">
        <v>4255</v>
      </c>
      <c r="E865" s="153" t="s">
        <v>4948</v>
      </c>
      <c r="F865" s="6"/>
      <c r="G865" s="6"/>
      <c r="H865" s="128">
        <f t="shared" si="14"/>
        <v>10</v>
      </c>
      <c r="I865" s="129">
        <v>10</v>
      </c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  <c r="AA865" s="129"/>
      <c r="AB865" s="129"/>
      <c r="AC865" s="129"/>
      <c r="AD865" s="129"/>
      <c r="AE865" s="129"/>
      <c r="AF865" s="129"/>
      <c r="AG865" s="129"/>
      <c r="AH865" s="129"/>
      <c r="AI865" s="129"/>
      <c r="AJ865" s="129"/>
      <c r="AK865" s="129"/>
      <c r="AL865" s="129"/>
      <c r="AM865" s="129"/>
    </row>
    <row r="866" spans="1:39" hidden="1" x14ac:dyDescent="0.25">
      <c r="A866" s="127">
        <v>865</v>
      </c>
      <c r="B866" s="152" t="s">
        <v>1354</v>
      </c>
      <c r="C866" s="153" t="s">
        <v>4256</v>
      </c>
      <c r="D866" s="153" t="s">
        <v>4257</v>
      </c>
      <c r="E866" s="153" t="s">
        <v>64</v>
      </c>
      <c r="F866" s="6"/>
      <c r="G866" s="6"/>
      <c r="H866" s="128">
        <f t="shared" si="14"/>
        <v>0</v>
      </c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  <c r="AA866" s="129"/>
      <c r="AB866" s="129"/>
      <c r="AC866" s="129"/>
      <c r="AD866" s="129"/>
      <c r="AE866" s="129"/>
      <c r="AF866" s="129"/>
      <c r="AG866" s="129"/>
      <c r="AH866" s="129"/>
      <c r="AI866" s="129"/>
      <c r="AJ866" s="129"/>
      <c r="AK866" s="129"/>
      <c r="AL866" s="129"/>
      <c r="AM866" s="129"/>
    </row>
    <row r="867" spans="1:39" hidden="1" x14ac:dyDescent="0.25">
      <c r="A867" s="127">
        <v>866</v>
      </c>
      <c r="B867" s="152" t="s">
        <v>1167</v>
      </c>
      <c r="C867" s="153" t="s">
        <v>4258</v>
      </c>
      <c r="D867" s="153" t="s">
        <v>4259</v>
      </c>
      <c r="E867" s="153" t="s">
        <v>4948</v>
      </c>
      <c r="F867" s="6"/>
      <c r="G867" s="6"/>
      <c r="H867" s="128">
        <f t="shared" si="14"/>
        <v>0</v>
      </c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  <c r="AA867" s="129"/>
      <c r="AB867" s="129"/>
      <c r="AC867" s="129"/>
      <c r="AD867" s="129"/>
      <c r="AE867" s="129"/>
      <c r="AF867" s="129"/>
      <c r="AG867" s="129"/>
      <c r="AH867" s="129"/>
      <c r="AI867" s="129"/>
      <c r="AJ867" s="129"/>
      <c r="AK867" s="129"/>
      <c r="AL867" s="129"/>
      <c r="AM867" s="129"/>
    </row>
    <row r="868" spans="1:39" hidden="1" x14ac:dyDescent="0.25">
      <c r="A868" s="127">
        <v>867</v>
      </c>
      <c r="B868" s="152" t="s">
        <v>1523</v>
      </c>
      <c r="C868" s="153" t="s">
        <v>4260</v>
      </c>
      <c r="D868" s="153" t="s">
        <v>4261</v>
      </c>
      <c r="E868" s="153" t="s">
        <v>64</v>
      </c>
      <c r="F868" s="6"/>
      <c r="G868" s="6"/>
      <c r="H868" s="128">
        <f t="shared" si="14"/>
        <v>0</v>
      </c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  <c r="AA868" s="129"/>
      <c r="AB868" s="129"/>
      <c r="AC868" s="129"/>
      <c r="AD868" s="129"/>
      <c r="AE868" s="129"/>
      <c r="AF868" s="129"/>
      <c r="AG868" s="129"/>
      <c r="AH868" s="129"/>
      <c r="AI868" s="129"/>
      <c r="AJ868" s="129"/>
      <c r="AK868" s="129"/>
      <c r="AL868" s="129"/>
      <c r="AM868" s="129"/>
    </row>
    <row r="869" spans="1:39" hidden="1" x14ac:dyDescent="0.25">
      <c r="A869" s="127">
        <v>868</v>
      </c>
      <c r="B869" s="152" t="s">
        <v>1122</v>
      </c>
      <c r="C869" s="153" t="s">
        <v>4262</v>
      </c>
      <c r="D869" s="153" t="s">
        <v>4263</v>
      </c>
      <c r="E869" s="153" t="s">
        <v>64</v>
      </c>
      <c r="F869" s="6"/>
      <c r="G869" s="6"/>
      <c r="H869" s="128">
        <f t="shared" si="14"/>
        <v>0</v>
      </c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  <c r="AA869" s="129"/>
      <c r="AB869" s="129"/>
      <c r="AC869" s="129"/>
      <c r="AD869" s="129"/>
      <c r="AE869" s="129"/>
      <c r="AF869" s="129"/>
      <c r="AG869" s="129"/>
      <c r="AH869" s="129"/>
      <c r="AI869" s="129"/>
      <c r="AJ869" s="129"/>
      <c r="AK869" s="129"/>
      <c r="AL869" s="129"/>
      <c r="AM869" s="129"/>
    </row>
    <row r="870" spans="1:39" hidden="1" x14ac:dyDescent="0.25">
      <c r="A870" s="127">
        <v>869</v>
      </c>
      <c r="B870" s="152" t="s">
        <v>851</v>
      </c>
      <c r="C870" s="153" t="s">
        <v>4264</v>
      </c>
      <c r="D870" s="153" t="s">
        <v>4265</v>
      </c>
      <c r="E870" s="153" t="s">
        <v>4948</v>
      </c>
      <c r="F870" s="6"/>
      <c r="G870" s="6"/>
      <c r="H870" s="128">
        <f t="shared" si="14"/>
        <v>0</v>
      </c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  <c r="AA870" s="129"/>
      <c r="AB870" s="129"/>
      <c r="AC870" s="129"/>
      <c r="AD870" s="129"/>
      <c r="AE870" s="129"/>
      <c r="AF870" s="129"/>
      <c r="AG870" s="129"/>
      <c r="AH870" s="129"/>
      <c r="AI870" s="129"/>
      <c r="AJ870" s="129"/>
      <c r="AK870" s="129"/>
      <c r="AL870" s="129"/>
      <c r="AM870" s="129"/>
    </row>
    <row r="871" spans="1:39" hidden="1" x14ac:dyDescent="0.25">
      <c r="A871" s="127">
        <v>870</v>
      </c>
      <c r="B871" s="152" t="s">
        <v>716</v>
      </c>
      <c r="C871" s="153" t="s">
        <v>4266</v>
      </c>
      <c r="D871" s="153" t="s">
        <v>4267</v>
      </c>
      <c r="E871" s="153" t="s">
        <v>4948</v>
      </c>
      <c r="F871" s="6"/>
      <c r="G871" s="6"/>
      <c r="H871" s="128">
        <f t="shared" si="14"/>
        <v>1500</v>
      </c>
      <c r="I871" s="129"/>
      <c r="J871" s="129"/>
      <c r="K871" s="129"/>
      <c r="L871" s="129"/>
      <c r="M871" s="129"/>
      <c r="N871" s="129"/>
      <c r="O871" s="129"/>
      <c r="P871" s="129"/>
      <c r="Q871" s="129">
        <v>1500</v>
      </c>
      <c r="R871" s="129"/>
      <c r="S871" s="129"/>
      <c r="T871" s="129"/>
      <c r="U871" s="129"/>
      <c r="V871" s="129"/>
      <c r="W871" s="129"/>
      <c r="X871" s="129"/>
      <c r="Y871" s="129"/>
      <c r="Z871" s="129"/>
      <c r="AA871" s="129"/>
      <c r="AB871" s="129"/>
      <c r="AC871" s="129"/>
      <c r="AD871" s="129"/>
      <c r="AE871" s="129"/>
      <c r="AF871" s="129"/>
      <c r="AG871" s="129"/>
      <c r="AH871" s="129"/>
      <c r="AI871" s="129"/>
      <c r="AJ871" s="129"/>
      <c r="AK871" s="129"/>
      <c r="AL871" s="129"/>
      <c r="AM871" s="129"/>
    </row>
    <row r="872" spans="1:39" hidden="1" x14ac:dyDescent="0.25">
      <c r="A872" s="127">
        <v>871</v>
      </c>
      <c r="B872" s="152" t="s">
        <v>1202</v>
      </c>
      <c r="C872" s="153" t="s">
        <v>4268</v>
      </c>
      <c r="D872" s="153" t="s">
        <v>4269</v>
      </c>
      <c r="E872" s="153" t="s">
        <v>64</v>
      </c>
      <c r="F872" s="6"/>
      <c r="G872" s="6"/>
      <c r="H872" s="128">
        <f t="shared" si="14"/>
        <v>101.46</v>
      </c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>
        <v>101.46</v>
      </c>
      <c r="U872" s="129"/>
      <c r="V872" s="129"/>
      <c r="W872" s="129"/>
      <c r="X872" s="129"/>
      <c r="Y872" s="129"/>
      <c r="Z872" s="129"/>
      <c r="AA872" s="129"/>
      <c r="AB872" s="129"/>
      <c r="AC872" s="129"/>
      <c r="AD872" s="129"/>
      <c r="AE872" s="129"/>
      <c r="AF872" s="129"/>
      <c r="AG872" s="129"/>
      <c r="AH872" s="129"/>
      <c r="AI872" s="129"/>
      <c r="AJ872" s="129"/>
      <c r="AK872" s="129"/>
      <c r="AL872" s="129"/>
      <c r="AM872" s="129"/>
    </row>
    <row r="873" spans="1:39" hidden="1" x14ac:dyDescent="0.25">
      <c r="A873" s="127">
        <v>872</v>
      </c>
      <c r="B873" s="152" t="s">
        <v>1078</v>
      </c>
      <c r="C873" s="153" t="s">
        <v>4270</v>
      </c>
      <c r="D873" s="153" t="s">
        <v>4271</v>
      </c>
      <c r="E873" s="153" t="s">
        <v>64</v>
      </c>
      <c r="F873" s="6"/>
      <c r="G873" s="6"/>
      <c r="H873" s="128">
        <f t="shared" si="14"/>
        <v>0</v>
      </c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  <c r="AA873" s="129"/>
      <c r="AB873" s="129"/>
      <c r="AC873" s="129"/>
      <c r="AD873" s="129"/>
      <c r="AE873" s="129"/>
      <c r="AF873" s="129"/>
      <c r="AG873" s="129"/>
      <c r="AH873" s="129"/>
      <c r="AI873" s="129"/>
      <c r="AJ873" s="129"/>
      <c r="AK873" s="129"/>
      <c r="AL873" s="129"/>
      <c r="AM873" s="129"/>
    </row>
    <row r="874" spans="1:39" hidden="1" x14ac:dyDescent="0.25">
      <c r="A874" s="127">
        <v>873</v>
      </c>
      <c r="B874" s="152" t="s">
        <v>402</v>
      </c>
      <c r="C874" s="153" t="s">
        <v>4272</v>
      </c>
      <c r="D874" s="153" t="s">
        <v>4273</v>
      </c>
      <c r="E874" s="153" t="s">
        <v>4948</v>
      </c>
      <c r="F874" s="6"/>
      <c r="G874" s="6"/>
      <c r="H874" s="128">
        <f t="shared" si="14"/>
        <v>0</v>
      </c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  <c r="AA874" s="129"/>
      <c r="AB874" s="129"/>
      <c r="AC874" s="129"/>
      <c r="AD874" s="129"/>
      <c r="AE874" s="129"/>
      <c r="AF874" s="129"/>
      <c r="AG874" s="129"/>
      <c r="AH874" s="129"/>
      <c r="AI874" s="129"/>
      <c r="AJ874" s="129"/>
      <c r="AK874" s="129"/>
      <c r="AL874" s="129"/>
      <c r="AM874" s="129"/>
    </row>
    <row r="875" spans="1:39" hidden="1" x14ac:dyDescent="0.25">
      <c r="A875" s="127">
        <v>874</v>
      </c>
      <c r="B875" s="152" t="s">
        <v>635</v>
      </c>
      <c r="C875" s="153" t="s">
        <v>4274</v>
      </c>
      <c r="D875" s="153" t="s">
        <v>4275</v>
      </c>
      <c r="E875" s="153" t="s">
        <v>64</v>
      </c>
      <c r="F875" s="6"/>
      <c r="G875" s="6"/>
      <c r="H875" s="128">
        <f t="shared" si="14"/>
        <v>0</v>
      </c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  <c r="AA875" s="129"/>
      <c r="AB875" s="129"/>
      <c r="AC875" s="129"/>
      <c r="AD875" s="129"/>
      <c r="AE875" s="129"/>
      <c r="AF875" s="129"/>
      <c r="AG875" s="129"/>
      <c r="AH875" s="129"/>
      <c r="AI875" s="129"/>
      <c r="AJ875" s="129"/>
      <c r="AK875" s="129"/>
      <c r="AL875" s="129"/>
      <c r="AM875" s="129"/>
    </row>
    <row r="876" spans="1:39" hidden="1" x14ac:dyDescent="0.25">
      <c r="A876" s="127">
        <v>875</v>
      </c>
      <c r="B876" s="152" t="s">
        <v>1558</v>
      </c>
      <c r="C876" s="153" t="s">
        <v>4276</v>
      </c>
      <c r="D876" s="153" t="s">
        <v>4277</v>
      </c>
      <c r="E876" s="153" t="s">
        <v>64</v>
      </c>
      <c r="F876" s="6"/>
      <c r="G876" s="6"/>
      <c r="H876" s="128">
        <f t="shared" si="14"/>
        <v>0</v>
      </c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  <c r="AA876" s="129"/>
      <c r="AB876" s="129"/>
      <c r="AC876" s="129"/>
      <c r="AD876" s="129"/>
      <c r="AE876" s="129"/>
      <c r="AF876" s="129"/>
      <c r="AG876" s="129"/>
      <c r="AH876" s="129"/>
      <c r="AI876" s="129"/>
      <c r="AJ876" s="129"/>
      <c r="AK876" s="129"/>
      <c r="AL876" s="129"/>
      <c r="AM876" s="129"/>
    </row>
    <row r="877" spans="1:39" hidden="1" x14ac:dyDescent="0.25">
      <c r="A877" s="127">
        <v>876</v>
      </c>
      <c r="B877" s="152" t="s">
        <v>1521</v>
      </c>
      <c r="C877" s="153" t="s">
        <v>4278</v>
      </c>
      <c r="D877" s="153" t="s">
        <v>4279</v>
      </c>
      <c r="E877" s="153" t="s">
        <v>2111</v>
      </c>
      <c r="F877" s="6"/>
      <c r="G877" s="6"/>
      <c r="H877" s="128">
        <f t="shared" si="14"/>
        <v>0</v>
      </c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  <c r="AA877" s="129"/>
      <c r="AB877" s="129"/>
      <c r="AC877" s="129"/>
      <c r="AD877" s="129"/>
      <c r="AE877" s="129"/>
      <c r="AF877" s="129"/>
      <c r="AG877" s="129"/>
      <c r="AH877" s="129"/>
      <c r="AI877" s="129"/>
      <c r="AJ877" s="129"/>
      <c r="AK877" s="129"/>
      <c r="AL877" s="129"/>
      <c r="AM877" s="129"/>
    </row>
    <row r="878" spans="1:39" hidden="1" x14ac:dyDescent="0.25">
      <c r="A878" s="127">
        <v>877</v>
      </c>
      <c r="B878" s="152" t="s">
        <v>1381</v>
      </c>
      <c r="C878" s="153" t="s">
        <v>4280</v>
      </c>
      <c r="D878" s="153" t="s">
        <v>4281</v>
      </c>
      <c r="E878" s="153" t="s">
        <v>64</v>
      </c>
      <c r="F878" s="6"/>
      <c r="G878" s="6"/>
      <c r="H878" s="128">
        <f t="shared" si="14"/>
        <v>3500</v>
      </c>
      <c r="I878" s="129">
        <v>3500</v>
      </c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  <c r="AA878" s="129"/>
      <c r="AB878" s="129"/>
      <c r="AC878" s="129"/>
      <c r="AD878" s="129"/>
      <c r="AE878" s="129"/>
      <c r="AF878" s="129"/>
      <c r="AG878" s="129"/>
      <c r="AH878" s="129"/>
      <c r="AI878" s="129"/>
      <c r="AJ878" s="129"/>
      <c r="AK878" s="129"/>
      <c r="AL878" s="129"/>
      <c r="AM878" s="129"/>
    </row>
    <row r="879" spans="1:39" hidden="1" x14ac:dyDescent="0.25">
      <c r="A879" s="127">
        <v>878</v>
      </c>
      <c r="B879" s="152" t="s">
        <v>1213</v>
      </c>
      <c r="C879" s="153" t="s">
        <v>4282</v>
      </c>
      <c r="D879" s="153" t="s">
        <v>4283</v>
      </c>
      <c r="E879" s="153" t="s">
        <v>64</v>
      </c>
      <c r="F879" s="6"/>
      <c r="G879" s="6"/>
      <c r="H879" s="128">
        <f t="shared" si="14"/>
        <v>5.4480000000000004</v>
      </c>
      <c r="I879" s="129">
        <v>5.4480000000000004</v>
      </c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  <c r="AA879" s="129"/>
      <c r="AB879" s="129"/>
      <c r="AC879" s="129"/>
      <c r="AD879" s="129"/>
      <c r="AE879" s="129"/>
      <c r="AF879" s="129"/>
      <c r="AG879" s="129"/>
      <c r="AH879" s="129"/>
      <c r="AI879" s="129"/>
      <c r="AJ879" s="129"/>
      <c r="AK879" s="129"/>
      <c r="AL879" s="129"/>
      <c r="AM879" s="129"/>
    </row>
    <row r="880" spans="1:39" hidden="1" x14ac:dyDescent="0.25">
      <c r="A880" s="127">
        <v>879</v>
      </c>
      <c r="B880" s="152" t="s">
        <v>1282</v>
      </c>
      <c r="C880" s="153" t="s">
        <v>4284</v>
      </c>
      <c r="D880" s="153" t="s">
        <v>4285</v>
      </c>
      <c r="E880" s="153" t="s">
        <v>64</v>
      </c>
      <c r="F880" s="6"/>
      <c r="G880" s="6"/>
      <c r="H880" s="128">
        <f t="shared" si="14"/>
        <v>0</v>
      </c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</row>
    <row r="881" spans="1:39" hidden="1" x14ac:dyDescent="0.25">
      <c r="A881" s="127">
        <v>880</v>
      </c>
      <c r="B881" s="152" t="s">
        <v>1562</v>
      </c>
      <c r="C881" s="153" t="s">
        <v>4286</v>
      </c>
      <c r="D881" s="153" t="s">
        <v>4287</v>
      </c>
      <c r="E881" s="153" t="s">
        <v>2111</v>
      </c>
      <c r="F881" s="6"/>
      <c r="G881" s="6"/>
      <c r="H881" s="128">
        <f t="shared" si="14"/>
        <v>0</v>
      </c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</row>
    <row r="882" spans="1:39" hidden="1" x14ac:dyDescent="0.25">
      <c r="A882" s="127">
        <v>881</v>
      </c>
      <c r="B882" s="152" t="s">
        <v>1584</v>
      </c>
      <c r="C882" s="153" t="s">
        <v>4288</v>
      </c>
      <c r="D882" s="153" t="s">
        <v>4289</v>
      </c>
      <c r="E882" s="153" t="s">
        <v>64</v>
      </c>
      <c r="F882" s="6"/>
      <c r="G882" s="6"/>
      <c r="H882" s="128">
        <f t="shared" si="14"/>
        <v>0</v>
      </c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  <c r="AA882" s="129"/>
      <c r="AB882" s="129"/>
      <c r="AC882" s="129"/>
      <c r="AD882" s="129"/>
      <c r="AE882" s="129"/>
      <c r="AF882" s="129"/>
      <c r="AG882" s="129"/>
      <c r="AH882" s="129"/>
      <c r="AI882" s="129"/>
      <c r="AJ882" s="129"/>
      <c r="AK882" s="129"/>
      <c r="AL882" s="129"/>
      <c r="AM882" s="129"/>
    </row>
    <row r="883" spans="1:39" hidden="1" x14ac:dyDescent="0.25">
      <c r="A883" s="127">
        <v>882</v>
      </c>
      <c r="B883" s="152" t="s">
        <v>444</v>
      </c>
      <c r="C883" s="153" t="s">
        <v>4290</v>
      </c>
      <c r="D883" s="153" t="s">
        <v>4291</v>
      </c>
      <c r="E883" s="153" t="s">
        <v>4948</v>
      </c>
      <c r="F883" s="6"/>
      <c r="G883" s="6"/>
      <c r="H883" s="128">
        <f t="shared" si="14"/>
        <v>60</v>
      </c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>
        <v>60</v>
      </c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29"/>
      <c r="AL883" s="129"/>
      <c r="AM883" s="129"/>
    </row>
    <row r="884" spans="1:39" hidden="1" x14ac:dyDescent="0.25">
      <c r="A884" s="127">
        <v>883</v>
      </c>
      <c r="B884" s="157" t="s">
        <v>526</v>
      </c>
      <c r="C884" s="158" t="s">
        <v>4292</v>
      </c>
      <c r="D884" s="158" t="s">
        <v>4293</v>
      </c>
      <c r="E884" s="153" t="s">
        <v>64</v>
      </c>
      <c r="F884" s="6"/>
      <c r="G884" s="6"/>
      <c r="H884" s="128">
        <f t="shared" si="14"/>
        <v>0</v>
      </c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</row>
    <row r="885" spans="1:39" hidden="1" x14ac:dyDescent="0.25">
      <c r="A885" s="127">
        <v>884</v>
      </c>
      <c r="B885" s="152" t="s">
        <v>1495</v>
      </c>
      <c r="C885" s="153" t="s">
        <v>4294</v>
      </c>
      <c r="D885" s="153" t="s">
        <v>4295</v>
      </c>
      <c r="E885" s="153" t="s">
        <v>64</v>
      </c>
      <c r="F885" s="6"/>
      <c r="G885" s="6"/>
      <c r="H885" s="128">
        <f t="shared" si="14"/>
        <v>0</v>
      </c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</row>
    <row r="886" spans="1:39" hidden="1" x14ac:dyDescent="0.25">
      <c r="A886" s="127">
        <v>885</v>
      </c>
      <c r="B886" s="152" t="s">
        <v>1211</v>
      </c>
      <c r="C886" s="153" t="s">
        <v>4296</v>
      </c>
      <c r="D886" s="153" t="s">
        <v>4297</v>
      </c>
      <c r="E886" s="153" t="s">
        <v>4948</v>
      </c>
      <c r="F886" s="6"/>
      <c r="G886" s="6"/>
      <c r="H886" s="128">
        <f t="shared" si="14"/>
        <v>0</v>
      </c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</row>
    <row r="887" spans="1:39" hidden="1" x14ac:dyDescent="0.25">
      <c r="A887" s="127">
        <v>886</v>
      </c>
      <c r="B887" s="152" t="s">
        <v>542</v>
      </c>
      <c r="C887" s="153" t="s">
        <v>4298</v>
      </c>
      <c r="D887" s="153" t="s">
        <v>4299</v>
      </c>
      <c r="E887" s="153" t="s">
        <v>4948</v>
      </c>
      <c r="F887" s="6"/>
      <c r="G887" s="6"/>
      <c r="H887" s="128">
        <f t="shared" si="14"/>
        <v>12.96</v>
      </c>
      <c r="I887" s="129">
        <v>12.96</v>
      </c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</row>
    <row r="888" spans="1:39" hidden="1" x14ac:dyDescent="0.25">
      <c r="A888" s="127">
        <v>887</v>
      </c>
      <c r="B888" s="152" t="s">
        <v>480</v>
      </c>
      <c r="C888" s="153" t="s">
        <v>4300</v>
      </c>
      <c r="D888" s="153" t="s">
        <v>4301</v>
      </c>
      <c r="E888" s="153" t="s">
        <v>64</v>
      </c>
      <c r="F888" s="6"/>
      <c r="G888" s="6"/>
      <c r="H888" s="128">
        <f t="shared" si="14"/>
        <v>30</v>
      </c>
      <c r="I888" s="129">
        <v>30</v>
      </c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</row>
    <row r="889" spans="1:39" hidden="1" x14ac:dyDescent="0.25">
      <c r="A889" s="127">
        <v>888</v>
      </c>
      <c r="B889" s="152" t="s">
        <v>4302</v>
      </c>
      <c r="C889" s="153" t="s">
        <v>4303</v>
      </c>
      <c r="D889" s="153" t="s">
        <v>4304</v>
      </c>
      <c r="E889" s="153" t="s">
        <v>4948</v>
      </c>
      <c r="F889" s="6"/>
      <c r="G889" s="6"/>
      <c r="H889" s="128">
        <f t="shared" si="14"/>
        <v>0</v>
      </c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</row>
    <row r="890" spans="1:39" hidden="1" x14ac:dyDescent="0.25">
      <c r="A890" s="127">
        <v>889</v>
      </c>
      <c r="B890" s="152" t="s">
        <v>1460</v>
      </c>
      <c r="C890" s="153" t="s">
        <v>4305</v>
      </c>
      <c r="D890" s="153" t="s">
        <v>4306</v>
      </c>
      <c r="E890" s="153" t="s">
        <v>64</v>
      </c>
      <c r="F890" s="6"/>
      <c r="G890" s="6"/>
      <c r="H890" s="128">
        <f t="shared" si="14"/>
        <v>0</v>
      </c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</row>
    <row r="891" spans="1:39" hidden="1" x14ac:dyDescent="0.25">
      <c r="A891" s="127">
        <v>890</v>
      </c>
      <c r="B891" s="152" t="s">
        <v>1242</v>
      </c>
      <c r="C891" s="153" t="s">
        <v>4307</v>
      </c>
      <c r="D891" s="153" t="s">
        <v>4308</v>
      </c>
      <c r="E891" s="153" t="s">
        <v>64</v>
      </c>
      <c r="F891" s="6"/>
      <c r="G891" s="6"/>
      <c r="H891" s="128">
        <f t="shared" si="14"/>
        <v>0</v>
      </c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</row>
    <row r="892" spans="1:39" hidden="1" x14ac:dyDescent="0.25">
      <c r="A892" s="127">
        <v>891</v>
      </c>
      <c r="B892" s="152" t="s">
        <v>1120</v>
      </c>
      <c r="C892" s="153" t="s">
        <v>4309</v>
      </c>
      <c r="D892" s="153" t="s">
        <v>4310</v>
      </c>
      <c r="E892" s="153" t="s">
        <v>64</v>
      </c>
      <c r="F892" s="6"/>
      <c r="G892" s="6"/>
      <c r="H892" s="128">
        <f t="shared" si="14"/>
        <v>0</v>
      </c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</row>
    <row r="893" spans="1:39" hidden="1" x14ac:dyDescent="0.25">
      <c r="A893" s="127">
        <v>892</v>
      </c>
      <c r="B893" s="152" t="s">
        <v>1576</v>
      </c>
      <c r="C893" s="153" t="s">
        <v>4311</v>
      </c>
      <c r="D893" s="153" t="s">
        <v>4312</v>
      </c>
      <c r="E893" s="153" t="s">
        <v>2111</v>
      </c>
      <c r="F893" s="6"/>
      <c r="G893" s="6"/>
      <c r="H893" s="128">
        <f t="shared" si="14"/>
        <v>0</v>
      </c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</row>
    <row r="894" spans="1:39" hidden="1" x14ac:dyDescent="0.25">
      <c r="A894" s="127">
        <v>893</v>
      </c>
      <c r="B894" s="152" t="s">
        <v>4313</v>
      </c>
      <c r="C894" s="153" t="s">
        <v>4314</v>
      </c>
      <c r="D894" s="153" t="s">
        <v>4315</v>
      </c>
      <c r="E894" s="153" t="s">
        <v>4948</v>
      </c>
      <c r="F894" s="6"/>
      <c r="G894" s="6"/>
      <c r="H894" s="128">
        <f t="shared" si="14"/>
        <v>0</v>
      </c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  <c r="AA894" s="129"/>
      <c r="AB894" s="129"/>
      <c r="AC894" s="129"/>
      <c r="AD894" s="129"/>
      <c r="AE894" s="129"/>
      <c r="AF894" s="129"/>
      <c r="AG894" s="129"/>
      <c r="AH894" s="129"/>
      <c r="AI894" s="129"/>
      <c r="AJ894" s="129"/>
      <c r="AK894" s="129"/>
      <c r="AL894" s="129"/>
      <c r="AM894" s="129"/>
    </row>
    <row r="895" spans="1:39" hidden="1" x14ac:dyDescent="0.25">
      <c r="A895" s="127">
        <v>894</v>
      </c>
      <c r="B895" s="152" t="s">
        <v>538</v>
      </c>
      <c r="C895" s="153" t="s">
        <v>4316</v>
      </c>
      <c r="D895" s="153" t="s">
        <v>4317</v>
      </c>
      <c r="E895" s="153" t="s">
        <v>4948</v>
      </c>
      <c r="F895" s="6"/>
      <c r="G895" s="6"/>
      <c r="H895" s="128">
        <f t="shared" si="14"/>
        <v>10</v>
      </c>
      <c r="I895" s="129">
        <v>10</v>
      </c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  <c r="AA895" s="129"/>
      <c r="AB895" s="129"/>
      <c r="AC895" s="129"/>
      <c r="AD895" s="129"/>
      <c r="AE895" s="129"/>
      <c r="AF895" s="129"/>
      <c r="AG895" s="129"/>
      <c r="AH895" s="129"/>
      <c r="AI895" s="129"/>
      <c r="AJ895" s="129"/>
      <c r="AK895" s="129"/>
      <c r="AL895" s="129"/>
      <c r="AM895" s="129"/>
    </row>
    <row r="896" spans="1:39" hidden="1" x14ac:dyDescent="0.25">
      <c r="A896" s="127">
        <v>895</v>
      </c>
      <c r="B896" s="152" t="s">
        <v>1136</v>
      </c>
      <c r="C896" s="153" t="s">
        <v>4318</v>
      </c>
      <c r="D896" s="153" t="s">
        <v>4319</v>
      </c>
      <c r="E896" s="153" t="s">
        <v>4948</v>
      </c>
      <c r="F896" s="6"/>
      <c r="G896" s="6"/>
      <c r="H896" s="128">
        <f t="shared" si="14"/>
        <v>0</v>
      </c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  <c r="AA896" s="129"/>
      <c r="AB896" s="129"/>
      <c r="AC896" s="129"/>
      <c r="AD896" s="129"/>
      <c r="AE896" s="129"/>
      <c r="AF896" s="129"/>
      <c r="AG896" s="129"/>
      <c r="AH896" s="129"/>
      <c r="AI896" s="129"/>
      <c r="AJ896" s="129"/>
      <c r="AK896" s="129"/>
      <c r="AL896" s="129"/>
      <c r="AM896" s="129"/>
    </row>
    <row r="897" spans="1:39" hidden="1" x14ac:dyDescent="0.25">
      <c r="A897" s="127">
        <v>896</v>
      </c>
      <c r="B897" s="152" t="s">
        <v>488</v>
      </c>
      <c r="C897" s="153" t="s">
        <v>4320</v>
      </c>
      <c r="D897" s="153" t="s">
        <v>4321</v>
      </c>
      <c r="E897" s="153" t="s">
        <v>64</v>
      </c>
      <c r="F897" s="6"/>
      <c r="G897" s="6"/>
      <c r="H897" s="128">
        <f t="shared" si="14"/>
        <v>0</v>
      </c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  <c r="AA897" s="129"/>
      <c r="AB897" s="129"/>
      <c r="AC897" s="129"/>
      <c r="AD897" s="129"/>
      <c r="AE897" s="129"/>
      <c r="AF897" s="129"/>
      <c r="AG897" s="129"/>
      <c r="AH897" s="129"/>
      <c r="AI897" s="129"/>
      <c r="AJ897" s="129"/>
      <c r="AK897" s="129"/>
      <c r="AL897" s="129"/>
      <c r="AM897" s="129"/>
    </row>
    <row r="898" spans="1:39" hidden="1" x14ac:dyDescent="0.25">
      <c r="A898" s="127">
        <v>897</v>
      </c>
      <c r="B898" s="152" t="s">
        <v>1272</v>
      </c>
      <c r="C898" s="153" t="s">
        <v>4322</v>
      </c>
      <c r="D898" s="153" t="s">
        <v>4323</v>
      </c>
      <c r="E898" s="153" t="s">
        <v>64</v>
      </c>
      <c r="F898" s="6"/>
      <c r="G898" s="6"/>
      <c r="H898" s="128">
        <f t="shared" ref="H898:H961" si="15">SUM(I898:AM898)</f>
        <v>0</v>
      </c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  <c r="AA898" s="129"/>
      <c r="AB898" s="129"/>
      <c r="AC898" s="129"/>
      <c r="AD898" s="129"/>
      <c r="AE898" s="129"/>
      <c r="AF898" s="129"/>
      <c r="AG898" s="129"/>
      <c r="AH898" s="129"/>
      <c r="AI898" s="129"/>
      <c r="AJ898" s="129"/>
      <c r="AK898" s="129"/>
      <c r="AL898" s="129"/>
      <c r="AM898" s="129"/>
    </row>
    <row r="899" spans="1:39" hidden="1" x14ac:dyDescent="0.25">
      <c r="A899" s="127">
        <v>898</v>
      </c>
      <c r="B899" s="152" t="s">
        <v>1236</v>
      </c>
      <c r="C899" s="153" t="s">
        <v>4324</v>
      </c>
      <c r="D899" s="153" t="s">
        <v>4325</v>
      </c>
      <c r="E899" s="153" t="s">
        <v>4948</v>
      </c>
      <c r="F899" s="6"/>
      <c r="G899" s="6"/>
      <c r="H899" s="128">
        <f t="shared" si="15"/>
        <v>0</v>
      </c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  <c r="AA899" s="129"/>
      <c r="AB899" s="129"/>
      <c r="AC899" s="129"/>
      <c r="AD899" s="129"/>
      <c r="AE899" s="129"/>
      <c r="AF899" s="129"/>
      <c r="AG899" s="129"/>
      <c r="AH899" s="129"/>
      <c r="AI899" s="129"/>
      <c r="AJ899" s="129"/>
      <c r="AK899" s="129"/>
      <c r="AL899" s="129"/>
      <c r="AM899" s="129"/>
    </row>
    <row r="900" spans="1:39" hidden="1" x14ac:dyDescent="0.25">
      <c r="A900" s="127">
        <v>899</v>
      </c>
      <c r="B900" s="152" t="s">
        <v>1513</v>
      </c>
      <c r="C900" s="153" t="s">
        <v>4326</v>
      </c>
      <c r="D900" s="153" t="s">
        <v>4327</v>
      </c>
      <c r="E900" s="153" t="s">
        <v>64</v>
      </c>
      <c r="F900" s="6"/>
      <c r="G900" s="6"/>
      <c r="H900" s="128">
        <f t="shared" si="15"/>
        <v>0</v>
      </c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  <c r="AA900" s="129"/>
      <c r="AB900" s="129"/>
      <c r="AC900" s="129"/>
      <c r="AD900" s="129"/>
      <c r="AE900" s="129"/>
      <c r="AF900" s="129"/>
      <c r="AG900" s="129"/>
      <c r="AH900" s="129"/>
      <c r="AI900" s="129"/>
      <c r="AJ900" s="129"/>
      <c r="AK900" s="129"/>
      <c r="AL900" s="129"/>
      <c r="AM900" s="129"/>
    </row>
    <row r="901" spans="1:39" hidden="1" x14ac:dyDescent="0.25">
      <c r="A901" s="127">
        <v>900</v>
      </c>
      <c r="B901" s="152" t="s">
        <v>136</v>
      </c>
      <c r="C901" s="153" t="s">
        <v>4328</v>
      </c>
      <c r="D901" s="153" t="s">
        <v>4329</v>
      </c>
      <c r="E901" s="153" t="s">
        <v>64</v>
      </c>
      <c r="F901" s="6"/>
      <c r="G901" s="6"/>
      <c r="H901" s="128">
        <f t="shared" si="15"/>
        <v>0</v>
      </c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  <c r="AA901" s="129"/>
      <c r="AB901" s="129"/>
      <c r="AC901" s="129"/>
      <c r="AD901" s="129"/>
      <c r="AE901" s="129"/>
      <c r="AF901" s="129"/>
      <c r="AG901" s="129"/>
      <c r="AH901" s="129"/>
      <c r="AI901" s="129"/>
      <c r="AJ901" s="129"/>
      <c r="AK901" s="129"/>
      <c r="AL901" s="129"/>
      <c r="AM901" s="129"/>
    </row>
    <row r="902" spans="1:39" hidden="1" x14ac:dyDescent="0.25">
      <c r="A902" s="127">
        <v>901</v>
      </c>
      <c r="B902" s="152" t="s">
        <v>638</v>
      </c>
      <c r="C902" s="153" t="s">
        <v>4330</v>
      </c>
      <c r="D902" s="153" t="s">
        <v>4331</v>
      </c>
      <c r="E902" s="153" t="s">
        <v>64</v>
      </c>
      <c r="F902" s="6"/>
      <c r="G902" s="6"/>
      <c r="H902" s="128">
        <f t="shared" si="15"/>
        <v>40.32</v>
      </c>
      <c r="I902" s="129">
        <v>40.32</v>
      </c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  <c r="AA902" s="129"/>
      <c r="AB902" s="129"/>
      <c r="AC902" s="129"/>
      <c r="AD902" s="129"/>
      <c r="AE902" s="129"/>
      <c r="AF902" s="129"/>
      <c r="AG902" s="129"/>
      <c r="AH902" s="129"/>
      <c r="AI902" s="129"/>
      <c r="AJ902" s="129"/>
      <c r="AK902" s="129"/>
      <c r="AL902" s="129"/>
      <c r="AM902" s="129"/>
    </row>
    <row r="903" spans="1:39" hidden="1" x14ac:dyDescent="0.25">
      <c r="A903" s="127">
        <v>902</v>
      </c>
      <c r="B903" s="152" t="s">
        <v>1463</v>
      </c>
      <c r="C903" s="153" t="s">
        <v>4332</v>
      </c>
      <c r="D903" s="153" t="s">
        <v>4333</v>
      </c>
      <c r="E903" s="153" t="s">
        <v>2111</v>
      </c>
      <c r="F903" s="6"/>
      <c r="G903" s="6"/>
      <c r="H903" s="128">
        <f t="shared" si="15"/>
        <v>0</v>
      </c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  <c r="AA903" s="129"/>
      <c r="AB903" s="129"/>
      <c r="AC903" s="129"/>
      <c r="AD903" s="129"/>
      <c r="AE903" s="129"/>
      <c r="AF903" s="129"/>
      <c r="AG903" s="129"/>
      <c r="AH903" s="129"/>
      <c r="AI903" s="129"/>
      <c r="AJ903" s="129"/>
      <c r="AK903" s="129"/>
      <c r="AL903" s="129"/>
      <c r="AM903" s="129"/>
    </row>
    <row r="904" spans="1:39" hidden="1" x14ac:dyDescent="0.25">
      <c r="A904" s="127">
        <v>903</v>
      </c>
      <c r="B904" s="152" t="s">
        <v>4334</v>
      </c>
      <c r="C904" s="153" t="s">
        <v>4335</v>
      </c>
      <c r="D904" s="153" t="s">
        <v>4336</v>
      </c>
      <c r="E904" s="153" t="s">
        <v>4948</v>
      </c>
      <c r="F904" s="6"/>
      <c r="G904" s="6"/>
      <c r="H904" s="128">
        <f t="shared" si="15"/>
        <v>0</v>
      </c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  <c r="AA904" s="129"/>
      <c r="AB904" s="129"/>
      <c r="AC904" s="129"/>
      <c r="AD904" s="129"/>
      <c r="AE904" s="129"/>
      <c r="AF904" s="129"/>
      <c r="AG904" s="129"/>
      <c r="AH904" s="129"/>
      <c r="AI904" s="129"/>
      <c r="AJ904" s="129"/>
      <c r="AK904" s="129"/>
      <c r="AL904" s="129"/>
      <c r="AM904" s="129"/>
    </row>
    <row r="905" spans="1:39" hidden="1" x14ac:dyDescent="0.25">
      <c r="A905" s="127">
        <v>904</v>
      </c>
      <c r="B905" s="152" t="s">
        <v>514</v>
      </c>
      <c r="C905" s="153" t="s">
        <v>4337</v>
      </c>
      <c r="D905" s="153" t="s">
        <v>4338</v>
      </c>
      <c r="E905" s="153" t="s">
        <v>2086</v>
      </c>
      <c r="F905" s="6"/>
      <c r="G905" s="6"/>
      <c r="H905" s="128">
        <f t="shared" si="15"/>
        <v>0</v>
      </c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  <c r="AA905" s="129"/>
      <c r="AB905" s="129"/>
      <c r="AC905" s="129"/>
      <c r="AD905" s="129"/>
      <c r="AE905" s="129"/>
      <c r="AF905" s="129"/>
      <c r="AG905" s="129"/>
      <c r="AH905" s="129"/>
      <c r="AI905" s="129"/>
      <c r="AJ905" s="129"/>
      <c r="AK905" s="129"/>
      <c r="AL905" s="129"/>
      <c r="AM905" s="129"/>
    </row>
    <row r="906" spans="1:39" hidden="1" x14ac:dyDescent="0.25">
      <c r="A906" s="127">
        <v>905</v>
      </c>
      <c r="B906" s="152" t="s">
        <v>86</v>
      </c>
      <c r="C906" s="153" t="s">
        <v>4339</v>
      </c>
      <c r="D906" s="153" t="s">
        <v>4340</v>
      </c>
      <c r="E906" s="153" t="s">
        <v>64</v>
      </c>
      <c r="F906" s="6"/>
      <c r="G906" s="6"/>
      <c r="H906" s="128">
        <f t="shared" si="15"/>
        <v>1500</v>
      </c>
      <c r="I906" s="129">
        <v>1500</v>
      </c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  <c r="AA906" s="129"/>
      <c r="AB906" s="129"/>
      <c r="AC906" s="129"/>
      <c r="AD906" s="129"/>
      <c r="AE906" s="129"/>
      <c r="AF906" s="129"/>
      <c r="AG906" s="129"/>
      <c r="AH906" s="129"/>
      <c r="AI906" s="129"/>
      <c r="AJ906" s="129"/>
      <c r="AK906" s="129"/>
      <c r="AL906" s="129"/>
      <c r="AM906" s="129"/>
    </row>
    <row r="907" spans="1:39" hidden="1" x14ac:dyDescent="0.25">
      <c r="A907" s="127">
        <v>906</v>
      </c>
      <c r="B907" s="152" t="s">
        <v>449</v>
      </c>
      <c r="C907" s="153" t="s">
        <v>4341</v>
      </c>
      <c r="D907" s="153" t="s">
        <v>4342</v>
      </c>
      <c r="E907" s="153" t="s">
        <v>4948</v>
      </c>
      <c r="F907" s="6"/>
      <c r="G907" s="6"/>
      <c r="H907" s="128">
        <f t="shared" si="15"/>
        <v>0</v>
      </c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  <c r="AA907" s="129"/>
      <c r="AB907" s="129"/>
      <c r="AC907" s="129"/>
      <c r="AD907" s="129"/>
      <c r="AE907" s="129"/>
      <c r="AF907" s="129"/>
      <c r="AG907" s="129"/>
      <c r="AH907" s="129"/>
      <c r="AI907" s="129"/>
      <c r="AJ907" s="129"/>
      <c r="AK907" s="129"/>
      <c r="AL907" s="129"/>
      <c r="AM907" s="129"/>
    </row>
    <row r="908" spans="1:39" hidden="1" x14ac:dyDescent="0.25">
      <c r="A908" s="127">
        <v>907</v>
      </c>
      <c r="B908" s="152" t="s">
        <v>1175</v>
      </c>
      <c r="C908" s="153" t="s">
        <v>4343</v>
      </c>
      <c r="D908" s="153" t="s">
        <v>4344</v>
      </c>
      <c r="E908" s="153" t="s">
        <v>64</v>
      </c>
      <c r="F908" s="6"/>
      <c r="G908" s="6"/>
      <c r="H908" s="128">
        <f t="shared" si="15"/>
        <v>2250</v>
      </c>
      <c r="I908" s="129">
        <v>2250</v>
      </c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  <c r="AA908" s="129"/>
      <c r="AB908" s="129"/>
      <c r="AC908" s="129"/>
      <c r="AD908" s="129"/>
      <c r="AE908" s="129"/>
      <c r="AF908" s="129"/>
      <c r="AG908" s="129"/>
      <c r="AH908" s="129"/>
      <c r="AI908" s="129"/>
      <c r="AJ908" s="129"/>
      <c r="AK908" s="129"/>
      <c r="AL908" s="129"/>
      <c r="AM908" s="129"/>
    </row>
    <row r="909" spans="1:39" hidden="1" x14ac:dyDescent="0.25">
      <c r="A909" s="127">
        <v>908</v>
      </c>
      <c r="B909" s="157" t="s">
        <v>4345</v>
      </c>
      <c r="C909" s="158" t="s">
        <v>4346</v>
      </c>
      <c r="D909" s="158" t="s">
        <v>4347</v>
      </c>
      <c r="E909" s="153" t="s">
        <v>4948</v>
      </c>
      <c r="F909" s="6"/>
      <c r="G909" s="6"/>
      <c r="H909" s="128">
        <f t="shared" si="15"/>
        <v>0</v>
      </c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  <c r="AA909" s="129"/>
      <c r="AB909" s="129"/>
      <c r="AC909" s="129"/>
      <c r="AD909" s="129"/>
      <c r="AE909" s="129"/>
      <c r="AF909" s="129"/>
      <c r="AG909" s="129"/>
      <c r="AH909" s="129"/>
      <c r="AI909" s="129"/>
      <c r="AJ909" s="129"/>
      <c r="AK909" s="129"/>
      <c r="AL909" s="129"/>
      <c r="AM909" s="129"/>
    </row>
    <row r="910" spans="1:39" hidden="1" x14ac:dyDescent="0.25">
      <c r="A910" s="127">
        <v>909</v>
      </c>
      <c r="B910" s="152" t="s">
        <v>4348</v>
      </c>
      <c r="C910" s="153" t="s">
        <v>4349</v>
      </c>
      <c r="D910" s="153" t="s">
        <v>4350</v>
      </c>
      <c r="E910" s="153" t="s">
        <v>64</v>
      </c>
      <c r="F910" s="6"/>
      <c r="G910" s="6"/>
      <c r="H910" s="128">
        <f t="shared" si="15"/>
        <v>0</v>
      </c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  <c r="AA910" s="129"/>
      <c r="AB910" s="129"/>
      <c r="AC910" s="129"/>
      <c r="AD910" s="129"/>
      <c r="AE910" s="129"/>
      <c r="AF910" s="129"/>
      <c r="AG910" s="129"/>
      <c r="AH910" s="129"/>
      <c r="AI910" s="129"/>
      <c r="AJ910" s="129"/>
      <c r="AK910" s="129"/>
      <c r="AL910" s="129"/>
      <c r="AM910" s="129"/>
    </row>
    <row r="911" spans="1:39" hidden="1" x14ac:dyDescent="0.25">
      <c r="A911" s="127">
        <v>910</v>
      </c>
      <c r="B911" s="152" t="s">
        <v>640</v>
      </c>
      <c r="C911" s="153" t="s">
        <v>4351</v>
      </c>
      <c r="D911" s="153" t="s">
        <v>4352</v>
      </c>
      <c r="E911" s="153" t="s">
        <v>4948</v>
      </c>
      <c r="F911" s="6"/>
      <c r="G911" s="6"/>
      <c r="H911" s="128">
        <f t="shared" si="15"/>
        <v>0</v>
      </c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  <c r="AA911" s="129"/>
      <c r="AB911" s="129"/>
      <c r="AC911" s="129"/>
      <c r="AD911" s="129"/>
      <c r="AE911" s="129"/>
      <c r="AF911" s="129"/>
      <c r="AG911" s="129"/>
      <c r="AH911" s="129"/>
      <c r="AI911" s="129"/>
      <c r="AJ911" s="129"/>
      <c r="AK911" s="129"/>
      <c r="AL911" s="129"/>
      <c r="AM911" s="129"/>
    </row>
    <row r="912" spans="1:39" hidden="1" x14ac:dyDescent="0.25">
      <c r="A912" s="127">
        <v>911</v>
      </c>
      <c r="B912" s="152" t="s">
        <v>642</v>
      </c>
      <c r="C912" s="153" t="s">
        <v>4353</v>
      </c>
      <c r="D912" s="153" t="s">
        <v>4354</v>
      </c>
      <c r="E912" s="153" t="s">
        <v>4948</v>
      </c>
      <c r="F912" s="6"/>
      <c r="G912" s="6"/>
      <c r="H912" s="128">
        <f t="shared" si="15"/>
        <v>0</v>
      </c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  <c r="AA912" s="129"/>
      <c r="AB912" s="129"/>
      <c r="AC912" s="129"/>
      <c r="AD912" s="129"/>
      <c r="AE912" s="129"/>
      <c r="AF912" s="129"/>
      <c r="AG912" s="129"/>
      <c r="AH912" s="129"/>
      <c r="AI912" s="129"/>
      <c r="AJ912" s="129"/>
      <c r="AK912" s="129"/>
      <c r="AL912" s="129"/>
      <c r="AM912" s="129"/>
    </row>
    <row r="913" spans="1:39" hidden="1" x14ac:dyDescent="0.25">
      <c r="A913" s="127">
        <v>912</v>
      </c>
      <c r="B913" s="152" t="s">
        <v>1330</v>
      </c>
      <c r="C913" s="153" t="s">
        <v>4355</v>
      </c>
      <c r="D913" s="153" t="s">
        <v>4356</v>
      </c>
      <c r="E913" s="153" t="s">
        <v>64</v>
      </c>
      <c r="F913" s="6"/>
      <c r="G913" s="6"/>
      <c r="H913" s="128">
        <f t="shared" si="15"/>
        <v>0</v>
      </c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  <c r="AA913" s="129"/>
      <c r="AB913" s="129"/>
      <c r="AC913" s="129"/>
      <c r="AD913" s="129"/>
      <c r="AE913" s="129"/>
      <c r="AF913" s="129"/>
      <c r="AG913" s="129"/>
      <c r="AH913" s="129"/>
      <c r="AI913" s="129"/>
      <c r="AJ913" s="129"/>
      <c r="AK913" s="129"/>
      <c r="AL913" s="129"/>
      <c r="AM913" s="129"/>
    </row>
    <row r="914" spans="1:39" hidden="1" x14ac:dyDescent="0.25">
      <c r="A914" s="127">
        <v>913</v>
      </c>
      <c r="B914" s="152" t="s">
        <v>502</v>
      </c>
      <c r="C914" s="153" t="s">
        <v>4357</v>
      </c>
      <c r="D914" s="153" t="s">
        <v>4358</v>
      </c>
      <c r="E914" s="153" t="s">
        <v>64</v>
      </c>
      <c r="F914" s="6"/>
      <c r="G914" s="6"/>
      <c r="H914" s="128">
        <f t="shared" si="15"/>
        <v>0</v>
      </c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  <c r="AA914" s="129"/>
      <c r="AB914" s="129"/>
      <c r="AC914" s="129"/>
      <c r="AD914" s="129"/>
      <c r="AE914" s="129"/>
      <c r="AF914" s="129"/>
      <c r="AG914" s="129"/>
      <c r="AH914" s="129"/>
      <c r="AI914" s="129"/>
      <c r="AJ914" s="129"/>
      <c r="AK914" s="129"/>
      <c r="AL914" s="129"/>
      <c r="AM914" s="129"/>
    </row>
    <row r="915" spans="1:39" hidden="1" x14ac:dyDescent="0.25">
      <c r="A915" s="127">
        <v>914</v>
      </c>
      <c r="B915" s="152" t="s">
        <v>646</v>
      </c>
      <c r="C915" s="153" t="s">
        <v>4359</v>
      </c>
      <c r="D915" s="153" t="s">
        <v>4360</v>
      </c>
      <c r="E915" s="153" t="s">
        <v>4948</v>
      </c>
      <c r="F915" s="6"/>
      <c r="G915" s="6"/>
      <c r="H915" s="128">
        <f t="shared" si="15"/>
        <v>0</v>
      </c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  <c r="AA915" s="129"/>
      <c r="AB915" s="129"/>
      <c r="AC915" s="129"/>
      <c r="AD915" s="129"/>
      <c r="AE915" s="129"/>
      <c r="AF915" s="129"/>
      <c r="AG915" s="129"/>
      <c r="AH915" s="129"/>
      <c r="AI915" s="129"/>
      <c r="AJ915" s="129"/>
      <c r="AK915" s="129"/>
      <c r="AL915" s="129"/>
      <c r="AM915" s="129"/>
    </row>
    <row r="916" spans="1:39" hidden="1" x14ac:dyDescent="0.25">
      <c r="A916" s="127">
        <v>915</v>
      </c>
      <c r="B916" s="152" t="s">
        <v>4361</v>
      </c>
      <c r="C916" s="153" t="s">
        <v>4362</v>
      </c>
      <c r="D916" s="153" t="s">
        <v>4363</v>
      </c>
      <c r="E916" s="153" t="s">
        <v>4948</v>
      </c>
      <c r="F916" s="6"/>
      <c r="G916" s="6"/>
      <c r="H916" s="128">
        <f t="shared" si="15"/>
        <v>0</v>
      </c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  <c r="AA916" s="129"/>
      <c r="AB916" s="129"/>
      <c r="AC916" s="129"/>
      <c r="AD916" s="129"/>
      <c r="AE916" s="129"/>
      <c r="AF916" s="129"/>
      <c r="AG916" s="129"/>
      <c r="AH916" s="129"/>
      <c r="AI916" s="129"/>
      <c r="AJ916" s="129"/>
      <c r="AK916" s="129"/>
      <c r="AL916" s="129"/>
      <c r="AM916" s="129"/>
    </row>
    <row r="917" spans="1:39" hidden="1" x14ac:dyDescent="0.25">
      <c r="A917" s="127">
        <v>916</v>
      </c>
      <c r="B917" s="152" t="s">
        <v>4364</v>
      </c>
      <c r="C917" s="153" t="s">
        <v>4365</v>
      </c>
      <c r="D917" s="153" t="s">
        <v>4366</v>
      </c>
      <c r="E917" s="153" t="s">
        <v>4948</v>
      </c>
      <c r="F917" s="6"/>
      <c r="G917" s="6"/>
      <c r="H917" s="128">
        <f t="shared" si="15"/>
        <v>0</v>
      </c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  <c r="AA917" s="129"/>
      <c r="AB917" s="129"/>
      <c r="AC917" s="129"/>
      <c r="AD917" s="129"/>
      <c r="AE917" s="129"/>
      <c r="AF917" s="129"/>
      <c r="AG917" s="129"/>
      <c r="AH917" s="129"/>
      <c r="AI917" s="129"/>
      <c r="AJ917" s="129"/>
      <c r="AK917" s="129"/>
      <c r="AL917" s="129"/>
      <c r="AM917" s="129"/>
    </row>
    <row r="918" spans="1:39" hidden="1" x14ac:dyDescent="0.25">
      <c r="A918" s="127">
        <v>917</v>
      </c>
      <c r="B918" s="152" t="s">
        <v>4367</v>
      </c>
      <c r="C918" s="153" t="s">
        <v>4368</v>
      </c>
      <c r="D918" s="153" t="e">
        <v>#NAME?</v>
      </c>
      <c r="E918" s="153" t="s">
        <v>4948</v>
      </c>
      <c r="F918" s="6"/>
      <c r="G918" s="6"/>
      <c r="H918" s="128">
        <f t="shared" si="15"/>
        <v>0</v>
      </c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</row>
    <row r="919" spans="1:39" hidden="1" x14ac:dyDescent="0.25">
      <c r="A919" s="127">
        <v>918</v>
      </c>
      <c r="B919" s="152" t="s">
        <v>4369</v>
      </c>
      <c r="C919" s="153" t="s">
        <v>4370</v>
      </c>
      <c r="D919" s="153" t="e">
        <v>#NAME?</v>
      </c>
      <c r="E919" s="153" t="s">
        <v>4948</v>
      </c>
      <c r="F919" s="6"/>
      <c r="G919" s="6"/>
      <c r="H919" s="128">
        <f t="shared" si="15"/>
        <v>0</v>
      </c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</row>
    <row r="920" spans="1:39" hidden="1" x14ac:dyDescent="0.25">
      <c r="A920" s="127">
        <v>919</v>
      </c>
      <c r="B920" s="152" t="s">
        <v>1713</v>
      </c>
      <c r="C920" s="153" t="s">
        <v>4371</v>
      </c>
      <c r="D920" s="153" t="s">
        <v>4372</v>
      </c>
      <c r="E920" s="153" t="s">
        <v>4948</v>
      </c>
      <c r="F920" s="6"/>
      <c r="G920" s="6"/>
      <c r="H920" s="128">
        <f t="shared" si="15"/>
        <v>0</v>
      </c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  <c r="AA920" s="129"/>
      <c r="AB920" s="129"/>
      <c r="AC920" s="129"/>
      <c r="AD920" s="129"/>
      <c r="AE920" s="129"/>
      <c r="AF920" s="129"/>
      <c r="AG920" s="129"/>
      <c r="AH920" s="129"/>
      <c r="AI920" s="129"/>
      <c r="AJ920" s="129"/>
      <c r="AK920" s="129"/>
      <c r="AL920" s="129"/>
      <c r="AM920" s="129"/>
    </row>
    <row r="921" spans="1:39" hidden="1" x14ac:dyDescent="0.25">
      <c r="A921" s="127">
        <v>920</v>
      </c>
      <c r="B921" s="152" t="s">
        <v>4373</v>
      </c>
      <c r="C921" s="153" t="s">
        <v>4374</v>
      </c>
      <c r="D921" s="153" t="s">
        <v>4375</v>
      </c>
      <c r="E921" s="153" t="s">
        <v>4948</v>
      </c>
      <c r="F921" s="6"/>
      <c r="G921" s="6"/>
      <c r="H921" s="128">
        <f t="shared" si="15"/>
        <v>0</v>
      </c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29"/>
      <c r="AL921" s="129"/>
      <c r="AM921" s="129"/>
    </row>
    <row r="922" spans="1:39" hidden="1" x14ac:dyDescent="0.25">
      <c r="A922" s="127">
        <v>921</v>
      </c>
      <c r="B922" s="152" t="s">
        <v>4376</v>
      </c>
      <c r="C922" s="153" t="s">
        <v>4377</v>
      </c>
      <c r="D922" s="153" t="s">
        <v>4378</v>
      </c>
      <c r="E922" s="153" t="s">
        <v>4948</v>
      </c>
      <c r="F922" s="6"/>
      <c r="G922" s="6"/>
      <c r="H922" s="128">
        <f t="shared" si="15"/>
        <v>0</v>
      </c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</row>
    <row r="923" spans="1:39" hidden="1" x14ac:dyDescent="0.25">
      <c r="A923" s="127">
        <v>922</v>
      </c>
      <c r="B923" s="152" t="s">
        <v>4379</v>
      </c>
      <c r="C923" s="153" t="s">
        <v>4380</v>
      </c>
      <c r="D923" s="153" t="s">
        <v>4381</v>
      </c>
      <c r="E923" s="153" t="s">
        <v>4948</v>
      </c>
      <c r="F923" s="6"/>
      <c r="G923" s="6"/>
      <c r="H923" s="128">
        <f t="shared" si="15"/>
        <v>0</v>
      </c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</row>
    <row r="924" spans="1:39" hidden="1" x14ac:dyDescent="0.25">
      <c r="A924" s="127">
        <v>923</v>
      </c>
      <c r="B924" s="152" t="s">
        <v>4382</v>
      </c>
      <c r="C924" s="153" t="s">
        <v>4383</v>
      </c>
      <c r="D924" s="153" t="s">
        <v>4384</v>
      </c>
      <c r="E924" s="153" t="s">
        <v>4948</v>
      </c>
      <c r="F924" s="6"/>
      <c r="G924" s="6"/>
      <c r="H924" s="128">
        <f t="shared" si="15"/>
        <v>0</v>
      </c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</row>
    <row r="925" spans="1:39" hidden="1" x14ac:dyDescent="0.25">
      <c r="A925" s="127">
        <v>924</v>
      </c>
      <c r="B925" s="152" t="s">
        <v>4385</v>
      </c>
      <c r="C925" s="153" t="s">
        <v>4386</v>
      </c>
      <c r="D925" s="153" t="s">
        <v>4387</v>
      </c>
      <c r="E925" s="153" t="s">
        <v>4948</v>
      </c>
      <c r="F925" s="6"/>
      <c r="G925" s="6"/>
      <c r="H925" s="128">
        <f t="shared" si="15"/>
        <v>0</v>
      </c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</row>
    <row r="926" spans="1:39" hidden="1" x14ac:dyDescent="0.25">
      <c r="A926" s="127">
        <v>925</v>
      </c>
      <c r="B926" s="152" t="s">
        <v>4388</v>
      </c>
      <c r="C926" s="153" t="s">
        <v>4389</v>
      </c>
      <c r="D926" s="153" t="s">
        <v>4390</v>
      </c>
      <c r="E926" s="153" t="s">
        <v>4948</v>
      </c>
      <c r="F926" s="6"/>
      <c r="G926" s="6"/>
      <c r="H926" s="128">
        <f t="shared" si="15"/>
        <v>0</v>
      </c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</row>
    <row r="927" spans="1:39" hidden="1" x14ac:dyDescent="0.25">
      <c r="A927" s="127">
        <v>926</v>
      </c>
      <c r="B927" s="152" t="s">
        <v>4391</v>
      </c>
      <c r="C927" s="153" t="s">
        <v>4392</v>
      </c>
      <c r="D927" s="153" t="s">
        <v>4393</v>
      </c>
      <c r="E927" s="153" t="s">
        <v>4948</v>
      </c>
      <c r="F927" s="6"/>
      <c r="G927" s="6"/>
      <c r="H927" s="128">
        <f t="shared" si="15"/>
        <v>0</v>
      </c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</row>
    <row r="928" spans="1:39" hidden="1" x14ac:dyDescent="0.25">
      <c r="A928" s="127">
        <v>927</v>
      </c>
      <c r="B928" s="152" t="s">
        <v>4394</v>
      </c>
      <c r="C928" s="153" t="s">
        <v>4395</v>
      </c>
      <c r="D928" s="153" t="s">
        <v>4396</v>
      </c>
      <c r="E928" s="153" t="s">
        <v>4948</v>
      </c>
      <c r="F928" s="6"/>
      <c r="G928" s="6"/>
      <c r="H928" s="128">
        <f t="shared" si="15"/>
        <v>0</v>
      </c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</row>
    <row r="929" spans="1:39" hidden="1" x14ac:dyDescent="0.25">
      <c r="A929" s="127">
        <v>928</v>
      </c>
      <c r="B929" s="152" t="s">
        <v>4397</v>
      </c>
      <c r="C929" s="153" t="s">
        <v>4398</v>
      </c>
      <c r="D929" s="153" t="s">
        <v>4399</v>
      </c>
      <c r="E929" s="153" t="s">
        <v>4948</v>
      </c>
      <c r="F929" s="6"/>
      <c r="G929" s="6"/>
      <c r="H929" s="128">
        <f t="shared" si="15"/>
        <v>0</v>
      </c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</row>
    <row r="930" spans="1:39" hidden="1" x14ac:dyDescent="0.25">
      <c r="A930" s="127">
        <v>929</v>
      </c>
      <c r="B930" s="152" t="s">
        <v>4400</v>
      </c>
      <c r="C930" s="153" t="s">
        <v>4401</v>
      </c>
      <c r="D930" s="153" t="s">
        <v>4402</v>
      </c>
      <c r="E930" s="153" t="s">
        <v>4948</v>
      </c>
      <c r="F930" s="6"/>
      <c r="G930" s="6"/>
      <c r="H930" s="128">
        <f t="shared" si="15"/>
        <v>0</v>
      </c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</row>
    <row r="931" spans="1:39" hidden="1" x14ac:dyDescent="0.25">
      <c r="A931" s="127">
        <v>930</v>
      </c>
      <c r="B931" s="152" t="s">
        <v>1956</v>
      </c>
      <c r="C931" s="153" t="s">
        <v>4403</v>
      </c>
      <c r="D931" s="153" t="s">
        <v>4404</v>
      </c>
      <c r="E931" s="153" t="s">
        <v>4948</v>
      </c>
      <c r="F931" s="6"/>
      <c r="G931" s="6"/>
      <c r="H931" s="128">
        <f t="shared" si="15"/>
        <v>0</v>
      </c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</row>
    <row r="932" spans="1:39" hidden="1" x14ac:dyDescent="0.25">
      <c r="A932" s="127">
        <v>931</v>
      </c>
      <c r="B932" s="152" t="s">
        <v>4405</v>
      </c>
      <c r="C932" s="153" t="s">
        <v>4406</v>
      </c>
      <c r="D932" s="153" t="s">
        <v>4407</v>
      </c>
      <c r="E932" s="153" t="s">
        <v>4948</v>
      </c>
      <c r="F932" s="6"/>
      <c r="G932" s="6"/>
      <c r="H932" s="128">
        <f t="shared" si="15"/>
        <v>0</v>
      </c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  <c r="AA932" s="129"/>
      <c r="AB932" s="129"/>
      <c r="AC932" s="129"/>
      <c r="AD932" s="129"/>
      <c r="AE932" s="129"/>
      <c r="AF932" s="129"/>
      <c r="AG932" s="129"/>
      <c r="AH932" s="129"/>
      <c r="AI932" s="129"/>
      <c r="AJ932" s="129"/>
      <c r="AK932" s="129"/>
      <c r="AL932" s="129"/>
      <c r="AM932" s="129"/>
    </row>
    <row r="933" spans="1:39" hidden="1" x14ac:dyDescent="0.25">
      <c r="A933" s="127">
        <v>932</v>
      </c>
      <c r="B933" s="152" t="s">
        <v>4408</v>
      </c>
      <c r="C933" s="153" t="s">
        <v>4409</v>
      </c>
      <c r="D933" s="153" t="e">
        <v>#NAME?</v>
      </c>
      <c r="E933" s="153" t="s">
        <v>4948</v>
      </c>
      <c r="F933" s="6"/>
      <c r="G933" s="6"/>
      <c r="H933" s="128">
        <f t="shared" si="15"/>
        <v>0</v>
      </c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  <c r="AA933" s="129"/>
      <c r="AB933" s="129"/>
      <c r="AC933" s="129"/>
      <c r="AD933" s="129"/>
      <c r="AE933" s="129"/>
      <c r="AF933" s="129"/>
      <c r="AG933" s="129"/>
      <c r="AH933" s="129"/>
      <c r="AI933" s="129"/>
      <c r="AJ933" s="129"/>
      <c r="AK933" s="129"/>
      <c r="AL933" s="129"/>
      <c r="AM933" s="129"/>
    </row>
    <row r="934" spans="1:39" hidden="1" x14ac:dyDescent="0.25">
      <c r="A934" s="127">
        <v>933</v>
      </c>
      <c r="B934" s="152" t="s">
        <v>1722</v>
      </c>
      <c r="C934" s="153" t="s">
        <v>4410</v>
      </c>
      <c r="D934" s="153" t="s">
        <v>4411</v>
      </c>
      <c r="E934" s="153" t="s">
        <v>4948</v>
      </c>
      <c r="F934" s="6"/>
      <c r="G934" s="6"/>
      <c r="H934" s="128">
        <f t="shared" si="15"/>
        <v>0</v>
      </c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  <c r="AA934" s="129"/>
      <c r="AB934" s="129"/>
      <c r="AC934" s="129"/>
      <c r="AD934" s="129"/>
      <c r="AE934" s="129"/>
      <c r="AF934" s="129"/>
      <c r="AG934" s="129"/>
      <c r="AH934" s="129"/>
      <c r="AI934" s="129"/>
      <c r="AJ934" s="129"/>
      <c r="AK934" s="129"/>
      <c r="AL934" s="129"/>
      <c r="AM934" s="129"/>
    </row>
    <row r="935" spans="1:39" hidden="1" x14ac:dyDescent="0.25">
      <c r="A935" s="127">
        <v>934</v>
      </c>
      <c r="B935" s="152" t="s">
        <v>1443</v>
      </c>
      <c r="C935" s="153" t="s">
        <v>4412</v>
      </c>
      <c r="D935" s="153" t="s">
        <v>4413</v>
      </c>
      <c r="E935" s="153" t="s">
        <v>64</v>
      </c>
      <c r="F935" s="6"/>
      <c r="G935" s="6"/>
      <c r="H935" s="128">
        <f t="shared" si="15"/>
        <v>0</v>
      </c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  <c r="AA935" s="129"/>
      <c r="AB935" s="129"/>
      <c r="AC935" s="129"/>
      <c r="AD935" s="129"/>
      <c r="AE935" s="129"/>
      <c r="AF935" s="129"/>
      <c r="AG935" s="129"/>
      <c r="AH935" s="129"/>
      <c r="AI935" s="129"/>
      <c r="AJ935" s="129"/>
      <c r="AK935" s="129"/>
      <c r="AL935" s="129"/>
      <c r="AM935" s="129"/>
    </row>
    <row r="936" spans="1:39" hidden="1" x14ac:dyDescent="0.25">
      <c r="A936" s="127">
        <v>935</v>
      </c>
      <c r="B936" s="152" t="s">
        <v>700</v>
      </c>
      <c r="C936" s="153" t="s">
        <v>4414</v>
      </c>
      <c r="D936" s="153" t="s">
        <v>4415</v>
      </c>
      <c r="E936" s="153" t="s">
        <v>4948</v>
      </c>
      <c r="F936" s="6"/>
      <c r="G936" s="6"/>
      <c r="H936" s="128">
        <f t="shared" si="15"/>
        <v>0</v>
      </c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  <c r="AA936" s="129"/>
      <c r="AB936" s="129"/>
      <c r="AC936" s="129"/>
      <c r="AD936" s="129"/>
      <c r="AE936" s="129"/>
      <c r="AF936" s="129"/>
      <c r="AG936" s="129"/>
      <c r="AH936" s="129"/>
      <c r="AI936" s="129"/>
      <c r="AJ936" s="129"/>
      <c r="AK936" s="129"/>
      <c r="AL936" s="129"/>
      <c r="AM936" s="129"/>
    </row>
    <row r="937" spans="1:39" hidden="1" x14ac:dyDescent="0.25">
      <c r="A937" s="127">
        <v>936</v>
      </c>
      <c r="B937" s="152" t="s">
        <v>4416</v>
      </c>
      <c r="C937" s="153" t="s">
        <v>4417</v>
      </c>
      <c r="D937" s="153" t="s">
        <v>4418</v>
      </c>
      <c r="E937" s="153" t="s">
        <v>4948</v>
      </c>
      <c r="F937" s="6"/>
      <c r="G937" s="6"/>
      <c r="H937" s="128">
        <f t="shared" si="15"/>
        <v>0</v>
      </c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  <c r="AA937" s="129"/>
      <c r="AB937" s="129"/>
      <c r="AC937" s="129"/>
      <c r="AD937" s="129"/>
      <c r="AE937" s="129"/>
      <c r="AF937" s="129"/>
      <c r="AG937" s="129"/>
      <c r="AH937" s="129"/>
      <c r="AI937" s="129"/>
      <c r="AJ937" s="129"/>
      <c r="AK937" s="129"/>
      <c r="AL937" s="129"/>
      <c r="AM937" s="129"/>
    </row>
    <row r="938" spans="1:39" hidden="1" x14ac:dyDescent="0.25">
      <c r="A938" s="127">
        <v>937</v>
      </c>
      <c r="B938" s="152" t="s">
        <v>390</v>
      </c>
      <c r="C938" s="153" t="s">
        <v>4419</v>
      </c>
      <c r="D938" s="153" t="s">
        <v>4420</v>
      </c>
      <c r="E938" s="153" t="s">
        <v>4948</v>
      </c>
      <c r="F938" s="6"/>
      <c r="G938" s="6"/>
      <c r="H938" s="128">
        <f t="shared" si="15"/>
        <v>0</v>
      </c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  <c r="AA938" s="129"/>
      <c r="AB938" s="129"/>
      <c r="AC938" s="129"/>
      <c r="AD938" s="129"/>
      <c r="AE938" s="129"/>
      <c r="AF938" s="129"/>
      <c r="AG938" s="129"/>
      <c r="AH938" s="129"/>
      <c r="AI938" s="129"/>
      <c r="AJ938" s="129"/>
      <c r="AK938" s="129"/>
      <c r="AL938" s="129"/>
      <c r="AM938" s="129"/>
    </row>
    <row r="939" spans="1:39" hidden="1" x14ac:dyDescent="0.25">
      <c r="A939" s="127">
        <v>938</v>
      </c>
      <c r="B939" s="152" t="s">
        <v>4421</v>
      </c>
      <c r="C939" s="153" t="s">
        <v>4422</v>
      </c>
      <c r="D939" s="153" t="s">
        <v>4423</v>
      </c>
      <c r="E939" s="153" t="s">
        <v>64</v>
      </c>
      <c r="F939" s="6"/>
      <c r="G939" s="6"/>
      <c r="H939" s="128">
        <f t="shared" si="15"/>
        <v>0</v>
      </c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  <c r="AA939" s="129"/>
      <c r="AB939" s="129"/>
      <c r="AC939" s="129"/>
      <c r="AD939" s="129"/>
      <c r="AE939" s="129"/>
      <c r="AF939" s="129"/>
      <c r="AG939" s="129"/>
      <c r="AH939" s="129"/>
      <c r="AI939" s="129"/>
      <c r="AJ939" s="129"/>
      <c r="AK939" s="129"/>
      <c r="AL939" s="129"/>
      <c r="AM939" s="129"/>
    </row>
    <row r="940" spans="1:39" hidden="1" x14ac:dyDescent="0.25">
      <c r="A940" s="127">
        <v>939</v>
      </c>
      <c r="B940" s="152" t="s">
        <v>499</v>
      </c>
      <c r="C940" s="153" t="s">
        <v>4424</v>
      </c>
      <c r="D940" s="153" t="s">
        <v>4425</v>
      </c>
      <c r="E940" s="153" t="s">
        <v>4948</v>
      </c>
      <c r="F940" s="6"/>
      <c r="G940" s="6"/>
      <c r="H940" s="128">
        <f t="shared" si="15"/>
        <v>0</v>
      </c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  <c r="AA940" s="129"/>
      <c r="AB940" s="129"/>
      <c r="AC940" s="129"/>
      <c r="AD940" s="129"/>
      <c r="AE940" s="129"/>
      <c r="AF940" s="129"/>
      <c r="AG940" s="129"/>
      <c r="AH940" s="129"/>
      <c r="AI940" s="129"/>
      <c r="AJ940" s="129"/>
      <c r="AK940" s="129"/>
      <c r="AL940" s="129"/>
      <c r="AM940" s="129"/>
    </row>
    <row r="941" spans="1:39" hidden="1" x14ac:dyDescent="0.25">
      <c r="A941" s="127">
        <v>940</v>
      </c>
      <c r="B941" s="152" t="s">
        <v>51</v>
      </c>
      <c r="C941" s="153" t="s">
        <v>4426</v>
      </c>
      <c r="D941" s="153" t="s">
        <v>4427</v>
      </c>
      <c r="E941" s="153" t="s">
        <v>64</v>
      </c>
      <c r="F941" s="6"/>
      <c r="G941" s="6"/>
      <c r="H941" s="128">
        <f t="shared" si="15"/>
        <v>0</v>
      </c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  <c r="AA941" s="129"/>
      <c r="AB941" s="129"/>
      <c r="AC941" s="129"/>
      <c r="AD941" s="129"/>
      <c r="AE941" s="129"/>
      <c r="AF941" s="129"/>
      <c r="AG941" s="129"/>
      <c r="AH941" s="129"/>
      <c r="AI941" s="129"/>
      <c r="AJ941" s="129"/>
      <c r="AK941" s="129"/>
      <c r="AL941" s="129"/>
      <c r="AM941" s="129"/>
    </row>
    <row r="942" spans="1:39" hidden="1" x14ac:dyDescent="0.25">
      <c r="A942" s="127">
        <v>941</v>
      </c>
      <c r="B942" s="152" t="s">
        <v>1094</v>
      </c>
      <c r="C942" s="153" t="s">
        <v>4428</v>
      </c>
      <c r="D942" s="153" t="s">
        <v>4429</v>
      </c>
      <c r="E942" s="153" t="s">
        <v>64</v>
      </c>
      <c r="F942" s="6"/>
      <c r="G942" s="6"/>
      <c r="H942" s="128">
        <f t="shared" si="15"/>
        <v>20</v>
      </c>
      <c r="I942" s="129">
        <v>20</v>
      </c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  <c r="AA942" s="129"/>
      <c r="AB942" s="129"/>
      <c r="AC942" s="129"/>
      <c r="AD942" s="129"/>
      <c r="AE942" s="129"/>
      <c r="AF942" s="129"/>
      <c r="AG942" s="129"/>
      <c r="AH942" s="129"/>
      <c r="AI942" s="129"/>
      <c r="AJ942" s="129"/>
      <c r="AK942" s="129"/>
      <c r="AL942" s="129"/>
      <c r="AM942" s="129"/>
    </row>
    <row r="943" spans="1:39" hidden="1" x14ac:dyDescent="0.25">
      <c r="A943" s="127">
        <v>942</v>
      </c>
      <c r="B943" s="152" t="s">
        <v>1432</v>
      </c>
      <c r="C943" s="153" t="s">
        <v>4430</v>
      </c>
      <c r="D943" s="153" t="s">
        <v>4431</v>
      </c>
      <c r="E943" s="153" t="s">
        <v>4948</v>
      </c>
      <c r="F943" s="6"/>
      <c r="G943" s="6"/>
      <c r="H943" s="128">
        <f t="shared" si="15"/>
        <v>0</v>
      </c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  <c r="AA943" s="129"/>
      <c r="AB943" s="129"/>
      <c r="AC943" s="129"/>
      <c r="AD943" s="129"/>
      <c r="AE943" s="129"/>
      <c r="AF943" s="129"/>
      <c r="AG943" s="129"/>
      <c r="AH943" s="129"/>
      <c r="AI943" s="129"/>
      <c r="AJ943" s="129"/>
      <c r="AK943" s="129"/>
      <c r="AL943" s="129"/>
      <c r="AM943" s="129"/>
    </row>
    <row r="944" spans="1:39" hidden="1" x14ac:dyDescent="0.25">
      <c r="A944" s="127">
        <v>943</v>
      </c>
      <c r="B944" s="152" t="s">
        <v>4432</v>
      </c>
      <c r="C944" s="153" t="s">
        <v>4433</v>
      </c>
      <c r="D944" s="153" t="s">
        <v>4434</v>
      </c>
      <c r="E944" s="153" t="s">
        <v>4948</v>
      </c>
      <c r="F944" s="6"/>
      <c r="G944" s="6"/>
      <c r="H944" s="128">
        <f t="shared" si="15"/>
        <v>0</v>
      </c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  <c r="AA944" s="129"/>
      <c r="AB944" s="129"/>
      <c r="AC944" s="129"/>
      <c r="AD944" s="129"/>
      <c r="AE944" s="129"/>
      <c r="AF944" s="129"/>
      <c r="AG944" s="129"/>
      <c r="AH944" s="129"/>
      <c r="AI944" s="129"/>
      <c r="AJ944" s="129"/>
      <c r="AK944" s="129"/>
      <c r="AL944" s="129"/>
      <c r="AM944" s="129"/>
    </row>
    <row r="945" spans="1:39" hidden="1" x14ac:dyDescent="0.25">
      <c r="A945" s="127">
        <v>944</v>
      </c>
      <c r="B945" s="152" t="s">
        <v>68</v>
      </c>
      <c r="C945" s="153" t="s">
        <v>4435</v>
      </c>
      <c r="D945" s="153" t="s">
        <v>4436</v>
      </c>
      <c r="E945" s="153" t="s">
        <v>64</v>
      </c>
      <c r="F945" s="6"/>
      <c r="G945" s="6"/>
      <c r="H945" s="128">
        <f t="shared" si="15"/>
        <v>0</v>
      </c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  <c r="AA945" s="129"/>
      <c r="AB945" s="129"/>
      <c r="AC945" s="129"/>
      <c r="AD945" s="129"/>
      <c r="AE945" s="129"/>
      <c r="AF945" s="129"/>
      <c r="AG945" s="129"/>
      <c r="AH945" s="129"/>
      <c r="AI945" s="129"/>
      <c r="AJ945" s="129"/>
      <c r="AK945" s="129"/>
      <c r="AL945" s="129"/>
      <c r="AM945" s="129"/>
    </row>
    <row r="946" spans="1:39" hidden="1" x14ac:dyDescent="0.25">
      <c r="A946" s="127">
        <v>945</v>
      </c>
      <c r="B946" s="152" t="s">
        <v>749</v>
      </c>
      <c r="C946" s="153" t="s">
        <v>4437</v>
      </c>
      <c r="D946" s="153" t="s">
        <v>4438</v>
      </c>
      <c r="E946" s="153" t="s">
        <v>64</v>
      </c>
      <c r="F946" s="6"/>
      <c r="G946" s="6"/>
      <c r="H946" s="128">
        <f t="shared" si="15"/>
        <v>0</v>
      </c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  <c r="AA946" s="129"/>
      <c r="AB946" s="129"/>
      <c r="AC946" s="129"/>
      <c r="AD946" s="129"/>
      <c r="AE946" s="129"/>
      <c r="AF946" s="129"/>
      <c r="AG946" s="129"/>
      <c r="AH946" s="129"/>
      <c r="AI946" s="129"/>
      <c r="AJ946" s="129"/>
      <c r="AK946" s="129"/>
      <c r="AL946" s="129"/>
      <c r="AM946" s="129"/>
    </row>
    <row r="947" spans="1:39" hidden="1" x14ac:dyDescent="0.25">
      <c r="A947" s="127">
        <v>946</v>
      </c>
      <c r="B947" s="152" t="s">
        <v>4439</v>
      </c>
      <c r="C947" s="153" t="s">
        <v>4440</v>
      </c>
      <c r="D947" s="153" t="s">
        <v>4441</v>
      </c>
      <c r="E947" s="153" t="s">
        <v>4948</v>
      </c>
      <c r="F947" s="6"/>
      <c r="G947" s="6"/>
      <c r="H947" s="128">
        <f t="shared" si="15"/>
        <v>0</v>
      </c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  <c r="AA947" s="129"/>
      <c r="AB947" s="129"/>
      <c r="AC947" s="129"/>
      <c r="AD947" s="129"/>
      <c r="AE947" s="129"/>
      <c r="AF947" s="129"/>
      <c r="AG947" s="129"/>
      <c r="AH947" s="129"/>
      <c r="AI947" s="129"/>
      <c r="AJ947" s="129"/>
      <c r="AK947" s="129"/>
      <c r="AL947" s="129"/>
      <c r="AM947" s="129"/>
    </row>
    <row r="948" spans="1:39" hidden="1" x14ac:dyDescent="0.25">
      <c r="A948" s="127">
        <v>947</v>
      </c>
      <c r="B948" s="152" t="s">
        <v>485</v>
      </c>
      <c r="C948" s="153" t="s">
        <v>4442</v>
      </c>
      <c r="D948" s="153" t="s">
        <v>4443</v>
      </c>
      <c r="E948" s="153" t="s">
        <v>64</v>
      </c>
      <c r="F948" s="6"/>
      <c r="G948" s="6"/>
      <c r="H948" s="128">
        <f t="shared" si="15"/>
        <v>0</v>
      </c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  <c r="AA948" s="129"/>
      <c r="AB948" s="129"/>
      <c r="AC948" s="129"/>
      <c r="AD948" s="129"/>
      <c r="AE948" s="129"/>
      <c r="AF948" s="129"/>
      <c r="AG948" s="129"/>
      <c r="AH948" s="129"/>
      <c r="AI948" s="129"/>
      <c r="AJ948" s="129"/>
      <c r="AK948" s="129"/>
      <c r="AL948" s="129"/>
      <c r="AM948" s="129"/>
    </row>
    <row r="949" spans="1:39" hidden="1" x14ac:dyDescent="0.25">
      <c r="A949" s="127">
        <v>948</v>
      </c>
      <c r="B949" s="152" t="s">
        <v>114</v>
      </c>
      <c r="C949" s="153" t="s">
        <v>4444</v>
      </c>
      <c r="D949" s="153" t="s">
        <v>4445</v>
      </c>
      <c r="E949" s="153" t="s">
        <v>64</v>
      </c>
      <c r="F949" s="6"/>
      <c r="G949" s="6"/>
      <c r="H949" s="128">
        <f t="shared" si="15"/>
        <v>0</v>
      </c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  <c r="AA949" s="129"/>
      <c r="AB949" s="129"/>
      <c r="AC949" s="129"/>
      <c r="AD949" s="129"/>
      <c r="AE949" s="129"/>
      <c r="AF949" s="129"/>
      <c r="AG949" s="129"/>
      <c r="AH949" s="129"/>
      <c r="AI949" s="129"/>
      <c r="AJ949" s="129"/>
      <c r="AK949" s="129"/>
      <c r="AL949" s="129"/>
      <c r="AM949" s="129"/>
    </row>
    <row r="950" spans="1:39" hidden="1" x14ac:dyDescent="0.25">
      <c r="A950" s="127">
        <v>949</v>
      </c>
      <c r="B950" s="152" t="s">
        <v>4446</v>
      </c>
      <c r="C950" s="153" t="s">
        <v>4447</v>
      </c>
      <c r="D950" s="153" t="s">
        <v>4448</v>
      </c>
      <c r="E950" s="153" t="s">
        <v>4948</v>
      </c>
      <c r="F950" s="6"/>
      <c r="G950" s="6"/>
      <c r="H950" s="128">
        <f t="shared" si="15"/>
        <v>0</v>
      </c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  <c r="AA950" s="129"/>
      <c r="AB950" s="129"/>
      <c r="AC950" s="129"/>
      <c r="AD950" s="129"/>
      <c r="AE950" s="129"/>
      <c r="AF950" s="129"/>
      <c r="AG950" s="129"/>
      <c r="AH950" s="129"/>
      <c r="AI950" s="129"/>
      <c r="AJ950" s="129"/>
      <c r="AK950" s="129"/>
      <c r="AL950" s="129"/>
      <c r="AM950" s="129"/>
    </row>
    <row r="951" spans="1:39" hidden="1" x14ac:dyDescent="0.25">
      <c r="A951" s="127">
        <v>950</v>
      </c>
      <c r="B951" s="152" t="s">
        <v>131</v>
      </c>
      <c r="C951" s="153" t="s">
        <v>4449</v>
      </c>
      <c r="D951" s="153" t="s">
        <v>4450</v>
      </c>
      <c r="E951" s="153" t="s">
        <v>64</v>
      </c>
      <c r="F951" s="6"/>
      <c r="G951" s="6"/>
      <c r="H951" s="128">
        <f t="shared" si="15"/>
        <v>1000</v>
      </c>
      <c r="I951" s="129">
        <v>1000</v>
      </c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  <c r="AA951" s="129"/>
      <c r="AB951" s="129"/>
      <c r="AC951" s="129"/>
      <c r="AD951" s="129"/>
      <c r="AE951" s="129"/>
      <c r="AF951" s="129"/>
      <c r="AG951" s="129"/>
      <c r="AH951" s="129"/>
      <c r="AI951" s="129"/>
      <c r="AJ951" s="129"/>
      <c r="AK951" s="129"/>
      <c r="AL951" s="129"/>
      <c r="AM951" s="129"/>
    </row>
    <row r="952" spans="1:39" hidden="1" x14ac:dyDescent="0.25">
      <c r="A952" s="127">
        <v>951</v>
      </c>
      <c r="B952" s="152" t="s">
        <v>483</v>
      </c>
      <c r="C952" s="153" t="s">
        <v>4451</v>
      </c>
      <c r="D952" s="153" t="s">
        <v>4452</v>
      </c>
      <c r="E952" s="153" t="s">
        <v>4948</v>
      </c>
      <c r="F952" s="6"/>
      <c r="G952" s="6"/>
      <c r="H952" s="128">
        <f t="shared" si="15"/>
        <v>10</v>
      </c>
      <c r="I952" s="129">
        <v>10</v>
      </c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  <c r="AA952" s="129"/>
      <c r="AB952" s="129"/>
      <c r="AC952" s="129"/>
      <c r="AD952" s="129"/>
      <c r="AE952" s="129"/>
      <c r="AF952" s="129"/>
      <c r="AG952" s="129"/>
      <c r="AH952" s="129"/>
      <c r="AI952" s="129"/>
      <c r="AJ952" s="129"/>
      <c r="AK952" s="129"/>
      <c r="AL952" s="129"/>
      <c r="AM952" s="129"/>
    </row>
    <row r="953" spans="1:39" hidden="1" x14ac:dyDescent="0.25">
      <c r="A953" s="127">
        <v>952</v>
      </c>
      <c r="B953" s="152" t="s">
        <v>74</v>
      </c>
      <c r="C953" s="153" t="s">
        <v>4453</v>
      </c>
      <c r="D953" s="153" t="s">
        <v>4454</v>
      </c>
      <c r="E953" s="153" t="s">
        <v>64</v>
      </c>
      <c r="F953" s="6"/>
      <c r="G953" s="6"/>
      <c r="H953" s="128">
        <f t="shared" si="15"/>
        <v>600</v>
      </c>
      <c r="I953" s="129"/>
      <c r="J953" s="129"/>
      <c r="K953" s="129"/>
      <c r="L953" s="129"/>
      <c r="M953" s="129"/>
      <c r="N953" s="129"/>
      <c r="O953" s="129"/>
      <c r="P953" s="129">
        <v>600</v>
      </c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  <c r="AA953" s="129"/>
      <c r="AB953" s="129"/>
      <c r="AC953" s="129"/>
      <c r="AD953" s="129"/>
      <c r="AE953" s="129"/>
      <c r="AF953" s="129"/>
      <c r="AG953" s="129"/>
      <c r="AH953" s="129"/>
      <c r="AI953" s="129"/>
      <c r="AJ953" s="129"/>
      <c r="AK953" s="129"/>
      <c r="AL953" s="129"/>
      <c r="AM953" s="129"/>
    </row>
    <row r="954" spans="1:39" hidden="1" x14ac:dyDescent="0.25">
      <c r="A954" s="127">
        <v>953</v>
      </c>
      <c r="B954" s="152" t="s">
        <v>1360</v>
      </c>
      <c r="C954" s="153" t="s">
        <v>4455</v>
      </c>
      <c r="D954" s="153" t="s">
        <v>4456</v>
      </c>
      <c r="E954" s="153" t="s">
        <v>4948</v>
      </c>
      <c r="F954" s="6"/>
      <c r="G954" s="6"/>
      <c r="H954" s="128">
        <f t="shared" si="15"/>
        <v>0</v>
      </c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  <c r="AA954" s="129"/>
      <c r="AB954" s="129"/>
      <c r="AC954" s="129"/>
      <c r="AD954" s="129"/>
      <c r="AE954" s="129"/>
      <c r="AF954" s="129"/>
      <c r="AG954" s="129"/>
      <c r="AH954" s="129"/>
      <c r="AI954" s="129"/>
      <c r="AJ954" s="129"/>
      <c r="AK954" s="129"/>
      <c r="AL954" s="129"/>
      <c r="AM954" s="129"/>
    </row>
    <row r="955" spans="1:39" hidden="1" x14ac:dyDescent="0.25">
      <c r="A955" s="127">
        <v>954</v>
      </c>
      <c r="B955" s="157" t="s">
        <v>688</v>
      </c>
      <c r="C955" s="158" t="s">
        <v>4457</v>
      </c>
      <c r="D955" s="158" t="s">
        <v>4458</v>
      </c>
      <c r="E955" s="153" t="s">
        <v>2111</v>
      </c>
      <c r="F955" s="6"/>
      <c r="G955" s="6"/>
      <c r="H955" s="128">
        <f t="shared" si="15"/>
        <v>0</v>
      </c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  <c r="AA955" s="129"/>
      <c r="AB955" s="129"/>
      <c r="AC955" s="129"/>
      <c r="AD955" s="129"/>
      <c r="AE955" s="129"/>
      <c r="AF955" s="129"/>
      <c r="AG955" s="129"/>
      <c r="AH955" s="129"/>
      <c r="AI955" s="129"/>
      <c r="AJ955" s="129"/>
      <c r="AK955" s="129"/>
      <c r="AL955" s="129"/>
      <c r="AM955" s="129"/>
    </row>
    <row r="956" spans="1:39" hidden="1" x14ac:dyDescent="0.25">
      <c r="A956" s="127">
        <v>955</v>
      </c>
      <c r="B956" s="152" t="s">
        <v>1533</v>
      </c>
      <c r="C956" s="153" t="s">
        <v>4459</v>
      </c>
      <c r="D956" s="153" t="s">
        <v>4460</v>
      </c>
      <c r="E956" s="153" t="s">
        <v>2111</v>
      </c>
      <c r="F956" s="6"/>
      <c r="G956" s="6"/>
      <c r="H956" s="128">
        <f t="shared" si="15"/>
        <v>0</v>
      </c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</row>
    <row r="957" spans="1:39" hidden="1" x14ac:dyDescent="0.25">
      <c r="A957" s="127">
        <v>956</v>
      </c>
      <c r="B957" s="152" t="s">
        <v>111</v>
      </c>
      <c r="C957" s="153" t="s">
        <v>4461</v>
      </c>
      <c r="D957" s="153" t="s">
        <v>4462</v>
      </c>
      <c r="E957" s="153" t="s">
        <v>2111</v>
      </c>
      <c r="F957" s="6"/>
      <c r="G957" s="6"/>
      <c r="H957" s="128">
        <f t="shared" si="15"/>
        <v>1200</v>
      </c>
      <c r="I957" s="129">
        <v>1200</v>
      </c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</row>
    <row r="958" spans="1:39" hidden="1" x14ac:dyDescent="0.25">
      <c r="A958" s="127">
        <v>957</v>
      </c>
      <c r="B958" s="152" t="s">
        <v>1110</v>
      </c>
      <c r="C958" s="153" t="s">
        <v>4463</v>
      </c>
      <c r="D958" s="153" t="s">
        <v>4464</v>
      </c>
      <c r="E958" s="153" t="s">
        <v>2111</v>
      </c>
      <c r="F958" s="6"/>
      <c r="G958" s="6"/>
      <c r="H958" s="128">
        <f t="shared" si="15"/>
        <v>270</v>
      </c>
      <c r="I958" s="129">
        <v>270</v>
      </c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  <c r="AA958" s="129"/>
      <c r="AB958" s="129"/>
      <c r="AC958" s="129"/>
      <c r="AD958" s="129"/>
      <c r="AE958" s="129"/>
      <c r="AF958" s="129"/>
      <c r="AG958" s="129"/>
      <c r="AH958" s="129"/>
      <c r="AI958" s="129"/>
      <c r="AJ958" s="129"/>
      <c r="AK958" s="129"/>
      <c r="AL958" s="129"/>
      <c r="AM958" s="129"/>
    </row>
    <row r="959" spans="1:39" hidden="1" x14ac:dyDescent="0.25">
      <c r="A959" s="127">
        <v>958</v>
      </c>
      <c r="B959" s="152" t="s">
        <v>812</v>
      </c>
      <c r="C959" s="153" t="s">
        <v>4465</v>
      </c>
      <c r="D959" s="153" t="s">
        <v>4466</v>
      </c>
      <c r="E959" s="153" t="s">
        <v>4948</v>
      </c>
      <c r="F959" s="6"/>
      <c r="G959" s="6"/>
      <c r="H959" s="128">
        <f t="shared" si="15"/>
        <v>0</v>
      </c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29"/>
      <c r="AL959" s="129"/>
      <c r="AM959" s="129"/>
    </row>
    <row r="960" spans="1:39" hidden="1" x14ac:dyDescent="0.25">
      <c r="A960" s="127">
        <v>959</v>
      </c>
      <c r="B960" s="152" t="s">
        <v>1416</v>
      </c>
      <c r="C960" s="153" t="s">
        <v>4467</v>
      </c>
      <c r="D960" s="153" t="s">
        <v>4468</v>
      </c>
      <c r="E960" s="153" t="s">
        <v>4948</v>
      </c>
      <c r="F960" s="6"/>
      <c r="G960" s="6"/>
      <c r="H960" s="128">
        <f t="shared" si="15"/>
        <v>0</v>
      </c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</row>
    <row r="961" spans="1:39" hidden="1" x14ac:dyDescent="0.25">
      <c r="A961" s="127">
        <v>960</v>
      </c>
      <c r="B961" s="157" t="s">
        <v>992</v>
      </c>
      <c r="C961" s="158" t="s">
        <v>4469</v>
      </c>
      <c r="D961" s="158" t="s">
        <v>4470</v>
      </c>
      <c r="E961" s="153" t="s">
        <v>4948</v>
      </c>
      <c r="F961" s="6"/>
      <c r="G961" s="6"/>
      <c r="H961" s="128">
        <f t="shared" si="15"/>
        <v>268.8</v>
      </c>
      <c r="I961" s="129">
        <v>268.8</v>
      </c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</row>
    <row r="962" spans="1:39" hidden="1" x14ac:dyDescent="0.25">
      <c r="A962" s="127">
        <v>961</v>
      </c>
      <c r="B962" s="152" t="s">
        <v>4471</v>
      </c>
      <c r="C962" s="153" t="s">
        <v>4472</v>
      </c>
      <c r="D962" s="153" t="s">
        <v>4473</v>
      </c>
      <c r="E962" s="153" t="s">
        <v>4948</v>
      </c>
      <c r="F962" s="6"/>
      <c r="G962" s="6"/>
      <c r="H962" s="128">
        <f t="shared" ref="H962:H1025" si="16">SUM(I962:AM962)</f>
        <v>0</v>
      </c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</row>
    <row r="963" spans="1:39" hidden="1" x14ac:dyDescent="0.25">
      <c r="A963" s="127">
        <v>962</v>
      </c>
      <c r="B963" s="152" t="s">
        <v>1466</v>
      </c>
      <c r="C963" s="153" t="s">
        <v>4474</v>
      </c>
      <c r="D963" s="153" t="s">
        <v>4475</v>
      </c>
      <c r="E963" s="153" t="s">
        <v>64</v>
      </c>
      <c r="F963" s="6"/>
      <c r="G963" s="6"/>
      <c r="H963" s="128">
        <f t="shared" si="16"/>
        <v>0</v>
      </c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</row>
    <row r="964" spans="1:39" hidden="1" x14ac:dyDescent="0.25">
      <c r="A964" s="127">
        <v>963</v>
      </c>
      <c r="B964" s="152" t="s">
        <v>1185</v>
      </c>
      <c r="C964" s="153" t="s">
        <v>4476</v>
      </c>
      <c r="D964" s="153" t="s">
        <v>4477</v>
      </c>
      <c r="E964" s="153" t="s">
        <v>64</v>
      </c>
      <c r="F964" s="6"/>
      <c r="G964" s="6"/>
      <c r="H964" s="128">
        <f t="shared" si="16"/>
        <v>0</v>
      </c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</row>
    <row r="965" spans="1:39" hidden="1" x14ac:dyDescent="0.25">
      <c r="A965" s="127">
        <v>964</v>
      </c>
      <c r="B965" s="152" t="s">
        <v>404</v>
      </c>
      <c r="C965" s="153" t="s">
        <v>4478</v>
      </c>
      <c r="D965" s="153" t="s">
        <v>4479</v>
      </c>
      <c r="E965" s="153" t="s">
        <v>4948</v>
      </c>
      <c r="F965" s="6"/>
      <c r="G965" s="6"/>
      <c r="H965" s="128">
        <f t="shared" si="16"/>
        <v>0</v>
      </c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</row>
    <row r="966" spans="1:39" hidden="1" x14ac:dyDescent="0.25">
      <c r="A966" s="127">
        <v>965</v>
      </c>
      <c r="B966" s="152" t="s">
        <v>1021</v>
      </c>
      <c r="C966" s="153" t="s">
        <v>4480</v>
      </c>
      <c r="D966" s="153" t="s">
        <v>4481</v>
      </c>
      <c r="E966" s="153" t="s">
        <v>4948</v>
      </c>
      <c r="F966" s="6"/>
      <c r="G966" s="6"/>
      <c r="H966" s="128">
        <f t="shared" si="16"/>
        <v>0</v>
      </c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</row>
    <row r="967" spans="1:39" hidden="1" x14ac:dyDescent="0.25">
      <c r="A967" s="127">
        <v>966</v>
      </c>
      <c r="B967" s="152" t="s">
        <v>1149</v>
      </c>
      <c r="C967" s="153" t="s">
        <v>4482</v>
      </c>
      <c r="D967" s="153" t="s">
        <v>4483</v>
      </c>
      <c r="E967" s="153" t="s">
        <v>64</v>
      </c>
      <c r="F967" s="6"/>
      <c r="G967" s="6"/>
      <c r="H967" s="128">
        <f t="shared" si="16"/>
        <v>0</v>
      </c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</row>
    <row r="968" spans="1:39" hidden="1" x14ac:dyDescent="0.25">
      <c r="A968" s="127">
        <v>967</v>
      </c>
      <c r="B968" s="152" t="s">
        <v>39</v>
      </c>
      <c r="C968" s="153" t="s">
        <v>4484</v>
      </c>
      <c r="D968" s="153" t="s">
        <v>4485</v>
      </c>
      <c r="E968" s="153" t="s">
        <v>4948</v>
      </c>
      <c r="F968" s="6"/>
      <c r="G968" s="6"/>
      <c r="H968" s="128">
        <f t="shared" si="16"/>
        <v>0</v>
      </c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</row>
    <row r="969" spans="1:39" hidden="1" x14ac:dyDescent="0.25">
      <c r="A969" s="127">
        <v>968</v>
      </c>
      <c r="B969" s="152" t="s">
        <v>1998</v>
      </c>
      <c r="C969" s="153" t="s">
        <v>4486</v>
      </c>
      <c r="D969" s="153" t="s">
        <v>4487</v>
      </c>
      <c r="E969" s="153" t="s">
        <v>2086</v>
      </c>
      <c r="F969" s="6"/>
      <c r="G969" s="6"/>
      <c r="H969" s="128">
        <f t="shared" si="16"/>
        <v>0</v>
      </c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</row>
    <row r="970" spans="1:39" hidden="1" x14ac:dyDescent="0.25">
      <c r="A970" s="127">
        <v>969</v>
      </c>
      <c r="B970" s="152" t="s">
        <v>1027</v>
      </c>
      <c r="C970" s="153" t="s">
        <v>4488</v>
      </c>
      <c r="D970" s="153" t="s">
        <v>4489</v>
      </c>
      <c r="E970" s="153" t="s">
        <v>4948</v>
      </c>
      <c r="F970" s="6"/>
      <c r="G970" s="6"/>
      <c r="H970" s="128">
        <f t="shared" si="16"/>
        <v>0</v>
      </c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  <c r="AA970" s="129"/>
      <c r="AB970" s="129"/>
      <c r="AC970" s="129"/>
      <c r="AD970" s="129"/>
      <c r="AE970" s="129"/>
      <c r="AF970" s="129"/>
      <c r="AG970" s="129"/>
      <c r="AH970" s="129"/>
      <c r="AI970" s="129"/>
      <c r="AJ970" s="129"/>
      <c r="AK970" s="129"/>
      <c r="AL970" s="129"/>
      <c r="AM970" s="129"/>
    </row>
    <row r="971" spans="1:39" hidden="1" x14ac:dyDescent="0.25">
      <c r="A971" s="127">
        <v>970</v>
      </c>
      <c r="B971" s="152" t="s">
        <v>819</v>
      </c>
      <c r="C971" s="153" t="s">
        <v>4490</v>
      </c>
      <c r="D971" s="153" t="s">
        <v>4491</v>
      </c>
      <c r="E971" s="153" t="s">
        <v>4948</v>
      </c>
      <c r="F971" s="6"/>
      <c r="G971" s="6"/>
      <c r="H971" s="128">
        <f t="shared" si="16"/>
        <v>9800</v>
      </c>
      <c r="I971" s="129">
        <v>9800</v>
      </c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  <c r="AA971" s="129"/>
      <c r="AB971" s="129"/>
      <c r="AC971" s="129"/>
      <c r="AD971" s="129"/>
      <c r="AE971" s="129"/>
      <c r="AF971" s="129"/>
      <c r="AG971" s="129"/>
      <c r="AH971" s="129"/>
      <c r="AI971" s="129"/>
      <c r="AJ971" s="129"/>
      <c r="AK971" s="129"/>
      <c r="AL971" s="129"/>
      <c r="AM971" s="129"/>
    </row>
    <row r="972" spans="1:39" hidden="1" x14ac:dyDescent="0.25">
      <c r="A972" s="127">
        <v>971</v>
      </c>
      <c r="B972" s="157" t="s">
        <v>1547</v>
      </c>
      <c r="C972" s="158" t="s">
        <v>4492</v>
      </c>
      <c r="D972" s="158" t="s">
        <v>4493</v>
      </c>
      <c r="E972" s="153" t="s">
        <v>64</v>
      </c>
      <c r="F972" s="6"/>
      <c r="G972" s="6"/>
      <c r="H972" s="128">
        <f t="shared" si="16"/>
        <v>0</v>
      </c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  <c r="AA972" s="129"/>
      <c r="AB972" s="129"/>
      <c r="AC972" s="129"/>
      <c r="AD972" s="129"/>
      <c r="AE972" s="129"/>
      <c r="AF972" s="129"/>
      <c r="AG972" s="129"/>
      <c r="AH972" s="129"/>
      <c r="AI972" s="129"/>
      <c r="AJ972" s="129"/>
      <c r="AK972" s="129"/>
      <c r="AL972" s="129"/>
      <c r="AM972" s="129"/>
    </row>
    <row r="973" spans="1:39" hidden="1" x14ac:dyDescent="0.25">
      <c r="A973" s="127">
        <v>972</v>
      </c>
      <c r="B973" s="152" t="s">
        <v>105</v>
      </c>
      <c r="C973" s="153" t="s">
        <v>4494</v>
      </c>
      <c r="D973" s="153" t="s">
        <v>4495</v>
      </c>
      <c r="E973" s="153" t="s">
        <v>2111</v>
      </c>
      <c r="F973" s="6"/>
      <c r="G973" s="6"/>
      <c r="H973" s="128">
        <f t="shared" si="16"/>
        <v>0</v>
      </c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  <c r="AA973" s="129"/>
      <c r="AB973" s="129"/>
      <c r="AC973" s="129"/>
      <c r="AD973" s="129"/>
      <c r="AE973" s="129"/>
      <c r="AF973" s="129"/>
      <c r="AG973" s="129"/>
      <c r="AH973" s="129"/>
      <c r="AI973" s="129"/>
      <c r="AJ973" s="129"/>
      <c r="AK973" s="129"/>
      <c r="AL973" s="129"/>
      <c r="AM973" s="129"/>
    </row>
    <row r="974" spans="1:39" hidden="1" x14ac:dyDescent="0.25">
      <c r="A974" s="127">
        <v>973</v>
      </c>
      <c r="B974" s="152" t="s">
        <v>888</v>
      </c>
      <c r="C974" s="153" t="s">
        <v>4496</v>
      </c>
      <c r="D974" s="153" t="s">
        <v>4497</v>
      </c>
      <c r="E974" s="153" t="s">
        <v>4948</v>
      </c>
      <c r="F974" s="6"/>
      <c r="G974" s="6"/>
      <c r="H974" s="128">
        <f t="shared" si="16"/>
        <v>840</v>
      </c>
      <c r="I974" s="129"/>
      <c r="J974" s="129"/>
      <c r="K974" s="129"/>
      <c r="L974" s="129"/>
      <c r="M974" s="129"/>
      <c r="N974" s="129"/>
      <c r="O974" s="129"/>
      <c r="P974" s="129">
        <v>840</v>
      </c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  <c r="AA974" s="129"/>
      <c r="AB974" s="129"/>
      <c r="AC974" s="129"/>
      <c r="AD974" s="129"/>
      <c r="AE974" s="129"/>
      <c r="AF974" s="129"/>
      <c r="AG974" s="129"/>
      <c r="AH974" s="129"/>
      <c r="AI974" s="129"/>
      <c r="AJ974" s="129"/>
      <c r="AK974" s="129"/>
      <c r="AL974" s="129"/>
      <c r="AM974" s="129"/>
    </row>
    <row r="975" spans="1:39" hidden="1" x14ac:dyDescent="0.25">
      <c r="A975" s="127">
        <v>974</v>
      </c>
      <c r="B975" s="152" t="s">
        <v>387</v>
      </c>
      <c r="C975" s="153" t="s">
        <v>4498</v>
      </c>
      <c r="D975" s="153" t="s">
        <v>4499</v>
      </c>
      <c r="E975" s="153" t="s">
        <v>4948</v>
      </c>
      <c r="F975" s="6"/>
      <c r="G975" s="6"/>
      <c r="H975" s="128">
        <f t="shared" si="16"/>
        <v>0</v>
      </c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  <c r="AA975" s="129"/>
      <c r="AB975" s="129"/>
      <c r="AC975" s="129"/>
      <c r="AD975" s="129"/>
      <c r="AE975" s="129"/>
      <c r="AF975" s="129"/>
      <c r="AG975" s="129"/>
      <c r="AH975" s="129"/>
      <c r="AI975" s="129"/>
      <c r="AJ975" s="129"/>
      <c r="AK975" s="129"/>
      <c r="AL975" s="129"/>
      <c r="AM975" s="129"/>
    </row>
    <row r="976" spans="1:39" hidden="1" x14ac:dyDescent="0.25">
      <c r="A976" s="127">
        <v>975</v>
      </c>
      <c r="B976" s="152" t="s">
        <v>1378</v>
      </c>
      <c r="C976" s="153" t="s">
        <v>4500</v>
      </c>
      <c r="D976" s="153" t="s">
        <v>4501</v>
      </c>
      <c r="E976" s="153" t="s">
        <v>4948</v>
      </c>
      <c r="F976" s="6"/>
      <c r="G976" s="6"/>
      <c r="H976" s="128">
        <f t="shared" si="16"/>
        <v>135</v>
      </c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>
        <v>135</v>
      </c>
      <c r="V976" s="129"/>
      <c r="W976" s="129"/>
      <c r="X976" s="129"/>
      <c r="Y976" s="129"/>
      <c r="Z976" s="129"/>
      <c r="AA976" s="129"/>
      <c r="AB976" s="129"/>
      <c r="AC976" s="129"/>
      <c r="AD976" s="129"/>
      <c r="AE976" s="129"/>
      <c r="AF976" s="129"/>
      <c r="AG976" s="129"/>
      <c r="AH976" s="129"/>
      <c r="AI976" s="129"/>
      <c r="AJ976" s="129"/>
      <c r="AK976" s="129"/>
      <c r="AL976" s="129"/>
      <c r="AM976" s="129"/>
    </row>
    <row r="977" spans="1:39" hidden="1" x14ac:dyDescent="0.25">
      <c r="A977" s="127">
        <v>976</v>
      </c>
      <c r="B977" s="152" t="s">
        <v>874</v>
      </c>
      <c r="C977" s="153" t="s">
        <v>4502</v>
      </c>
      <c r="D977" s="153" t="s">
        <v>4503</v>
      </c>
      <c r="E977" s="153" t="s">
        <v>2111</v>
      </c>
      <c r="F977" s="6"/>
      <c r="G977" s="6"/>
      <c r="H977" s="128">
        <f t="shared" si="16"/>
        <v>0</v>
      </c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  <c r="AA977" s="129"/>
      <c r="AB977" s="129"/>
      <c r="AC977" s="129"/>
      <c r="AD977" s="129"/>
      <c r="AE977" s="129"/>
      <c r="AF977" s="129"/>
      <c r="AG977" s="129"/>
      <c r="AH977" s="129"/>
      <c r="AI977" s="129"/>
      <c r="AJ977" s="129"/>
      <c r="AK977" s="129"/>
      <c r="AL977" s="129"/>
      <c r="AM977" s="129"/>
    </row>
    <row r="978" spans="1:39" hidden="1" x14ac:dyDescent="0.25">
      <c r="A978" s="127">
        <v>977</v>
      </c>
      <c r="B978" s="152" t="s">
        <v>1350</v>
      </c>
      <c r="C978" s="153" t="s">
        <v>4504</v>
      </c>
      <c r="D978" s="153" t="s">
        <v>4505</v>
      </c>
      <c r="E978" s="153" t="s">
        <v>2086</v>
      </c>
      <c r="F978" s="6"/>
      <c r="G978" s="6"/>
      <c r="H978" s="128">
        <f t="shared" si="16"/>
        <v>96</v>
      </c>
      <c r="I978" s="129">
        <v>96</v>
      </c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  <c r="AA978" s="129"/>
      <c r="AB978" s="129"/>
      <c r="AC978" s="129"/>
      <c r="AD978" s="129"/>
      <c r="AE978" s="129"/>
      <c r="AF978" s="129"/>
      <c r="AG978" s="129"/>
      <c r="AH978" s="129"/>
      <c r="AI978" s="129"/>
      <c r="AJ978" s="129"/>
      <c r="AK978" s="129"/>
      <c r="AL978" s="129"/>
      <c r="AM978" s="129"/>
    </row>
    <row r="979" spans="1:39" hidden="1" x14ac:dyDescent="0.25">
      <c r="A979" s="127">
        <v>978</v>
      </c>
      <c r="B979" s="152" t="s">
        <v>719</v>
      </c>
      <c r="C979" s="153" t="s">
        <v>4506</v>
      </c>
      <c r="D979" s="153" t="s">
        <v>4507</v>
      </c>
      <c r="E979" s="153" t="s">
        <v>4948</v>
      </c>
      <c r="F979" s="6"/>
      <c r="G979" s="6"/>
      <c r="H979" s="128">
        <f t="shared" si="16"/>
        <v>600</v>
      </c>
      <c r="I979" s="129">
        <v>600</v>
      </c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  <c r="AA979" s="129"/>
      <c r="AB979" s="129"/>
      <c r="AC979" s="129"/>
      <c r="AD979" s="129"/>
      <c r="AE979" s="129"/>
      <c r="AF979" s="129"/>
      <c r="AG979" s="129"/>
      <c r="AH979" s="129"/>
      <c r="AI979" s="129"/>
      <c r="AJ979" s="129"/>
      <c r="AK979" s="129"/>
      <c r="AL979" s="129"/>
      <c r="AM979" s="129"/>
    </row>
    <row r="980" spans="1:39" hidden="1" x14ac:dyDescent="0.25">
      <c r="A980" s="127">
        <v>979</v>
      </c>
      <c r="B980" s="152" t="s">
        <v>1196</v>
      </c>
      <c r="C980" s="153" t="s">
        <v>4508</v>
      </c>
      <c r="D980" s="153" t="s">
        <v>4509</v>
      </c>
      <c r="E980" s="153" t="s">
        <v>2086</v>
      </c>
      <c r="F980" s="6"/>
      <c r="G980" s="6"/>
      <c r="H980" s="128">
        <f t="shared" si="16"/>
        <v>0</v>
      </c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  <c r="AA980" s="129"/>
      <c r="AB980" s="129"/>
      <c r="AC980" s="129"/>
      <c r="AD980" s="129"/>
      <c r="AE980" s="129"/>
      <c r="AF980" s="129"/>
      <c r="AG980" s="129"/>
      <c r="AH980" s="129"/>
      <c r="AI980" s="129"/>
      <c r="AJ980" s="129"/>
      <c r="AK980" s="129"/>
      <c r="AL980" s="129"/>
      <c r="AM980" s="129"/>
    </row>
    <row r="981" spans="1:39" hidden="1" x14ac:dyDescent="0.25">
      <c r="A981" s="127">
        <v>980</v>
      </c>
      <c r="B981" s="152" t="s">
        <v>912</v>
      </c>
      <c r="C981" s="153" t="s">
        <v>4510</v>
      </c>
      <c r="D981" s="153" t="s">
        <v>4511</v>
      </c>
      <c r="E981" s="153" t="s">
        <v>2111</v>
      </c>
      <c r="F981" s="6"/>
      <c r="G981" s="6"/>
      <c r="H981" s="128">
        <f t="shared" si="16"/>
        <v>600</v>
      </c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>
        <f>600</f>
        <v>600</v>
      </c>
      <c r="U981" s="129"/>
      <c r="V981" s="129"/>
      <c r="W981" s="129"/>
      <c r="X981" s="129"/>
      <c r="Y981" s="129"/>
      <c r="Z981" s="129"/>
      <c r="AA981" s="129"/>
      <c r="AB981" s="129"/>
      <c r="AC981" s="129"/>
      <c r="AD981" s="129"/>
      <c r="AE981" s="129"/>
      <c r="AF981" s="129"/>
      <c r="AG981" s="129"/>
      <c r="AH981" s="129"/>
      <c r="AI981" s="129"/>
      <c r="AJ981" s="129"/>
      <c r="AK981" s="129"/>
      <c r="AL981" s="129"/>
      <c r="AM981" s="129"/>
    </row>
    <row r="982" spans="1:39" hidden="1" x14ac:dyDescent="0.25">
      <c r="A982" s="127">
        <v>981</v>
      </c>
      <c r="B982" s="152" t="s">
        <v>4512</v>
      </c>
      <c r="C982" s="153" t="s">
        <v>4513</v>
      </c>
      <c r="D982" s="153" t="s">
        <v>4514</v>
      </c>
      <c r="E982" s="153" t="s">
        <v>4948</v>
      </c>
      <c r="F982" s="6"/>
      <c r="G982" s="6"/>
      <c r="H982" s="128">
        <f t="shared" si="16"/>
        <v>0</v>
      </c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  <c r="AA982" s="129"/>
      <c r="AB982" s="129"/>
      <c r="AC982" s="129"/>
      <c r="AD982" s="129"/>
      <c r="AE982" s="129"/>
      <c r="AF982" s="129"/>
      <c r="AG982" s="129"/>
      <c r="AH982" s="129"/>
      <c r="AI982" s="129"/>
      <c r="AJ982" s="129"/>
      <c r="AK982" s="129"/>
      <c r="AL982" s="129"/>
      <c r="AM982" s="129"/>
    </row>
    <row r="983" spans="1:39" hidden="1" x14ac:dyDescent="0.25">
      <c r="A983" s="127">
        <v>982</v>
      </c>
      <c r="B983" s="152" t="s">
        <v>713</v>
      </c>
      <c r="C983" s="153" t="s">
        <v>4515</v>
      </c>
      <c r="D983" s="153" t="s">
        <v>4516</v>
      </c>
      <c r="E983" s="153" t="s">
        <v>4948</v>
      </c>
      <c r="F983" s="6"/>
      <c r="G983" s="6"/>
      <c r="H983" s="128">
        <f t="shared" si="16"/>
        <v>0</v>
      </c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  <c r="AA983" s="129"/>
      <c r="AB983" s="129"/>
      <c r="AC983" s="129"/>
      <c r="AD983" s="129"/>
      <c r="AE983" s="129"/>
      <c r="AF983" s="129"/>
      <c r="AG983" s="129"/>
      <c r="AH983" s="129"/>
      <c r="AI983" s="129"/>
      <c r="AJ983" s="129"/>
      <c r="AK983" s="129"/>
      <c r="AL983" s="129"/>
      <c r="AM983" s="129"/>
    </row>
    <row r="984" spans="1:39" hidden="1" x14ac:dyDescent="0.25">
      <c r="A984" s="127">
        <v>983</v>
      </c>
      <c r="B984" s="152" t="s">
        <v>4517</v>
      </c>
      <c r="C984" s="153" t="s">
        <v>4518</v>
      </c>
      <c r="D984" s="153" t="s">
        <v>4519</v>
      </c>
      <c r="E984" s="153" t="s">
        <v>4948</v>
      </c>
      <c r="F984" s="6"/>
      <c r="G984" s="6"/>
      <c r="H984" s="128">
        <f t="shared" si="16"/>
        <v>0</v>
      </c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  <c r="AA984" s="129"/>
      <c r="AB984" s="129"/>
      <c r="AC984" s="129"/>
      <c r="AD984" s="129"/>
      <c r="AE984" s="129"/>
      <c r="AF984" s="129"/>
      <c r="AG984" s="129"/>
      <c r="AH984" s="129"/>
      <c r="AI984" s="129"/>
      <c r="AJ984" s="129"/>
      <c r="AK984" s="129"/>
      <c r="AL984" s="129"/>
      <c r="AM984" s="129"/>
    </row>
    <row r="985" spans="1:39" hidden="1" x14ac:dyDescent="0.25">
      <c r="A985" s="127">
        <v>984</v>
      </c>
      <c r="B985" s="152" t="s">
        <v>432</v>
      </c>
      <c r="C985" s="153" t="s">
        <v>4520</v>
      </c>
      <c r="D985" s="153" t="s">
        <v>4521</v>
      </c>
      <c r="E985" s="153" t="s">
        <v>4948</v>
      </c>
      <c r="F985" s="6"/>
      <c r="G985" s="6"/>
      <c r="H985" s="128">
        <f t="shared" si="16"/>
        <v>140.4</v>
      </c>
      <c r="I985" s="129">
        <v>140.4</v>
      </c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  <c r="AA985" s="129"/>
      <c r="AB985" s="129"/>
      <c r="AC985" s="129"/>
      <c r="AD985" s="129"/>
      <c r="AE985" s="129"/>
      <c r="AF985" s="129"/>
      <c r="AG985" s="129"/>
      <c r="AH985" s="129"/>
      <c r="AI985" s="129"/>
      <c r="AJ985" s="129"/>
      <c r="AK985" s="129"/>
      <c r="AL985" s="129"/>
      <c r="AM985" s="129"/>
    </row>
    <row r="986" spans="1:39" hidden="1" x14ac:dyDescent="0.25">
      <c r="A986" s="127">
        <v>985</v>
      </c>
      <c r="B986" s="152" t="s">
        <v>788</v>
      </c>
      <c r="C986" s="153" t="s">
        <v>4522</v>
      </c>
      <c r="D986" s="153" t="s">
        <v>4523</v>
      </c>
      <c r="E986" s="153" t="s">
        <v>2111</v>
      </c>
      <c r="F986" s="6"/>
      <c r="G986" s="6"/>
      <c r="H986" s="128">
        <f t="shared" si="16"/>
        <v>0</v>
      </c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  <c r="AA986" s="129"/>
      <c r="AB986" s="129"/>
      <c r="AC986" s="129"/>
      <c r="AD986" s="129"/>
      <c r="AE986" s="129"/>
      <c r="AF986" s="129"/>
      <c r="AG986" s="129"/>
      <c r="AH986" s="129"/>
      <c r="AI986" s="129"/>
      <c r="AJ986" s="129"/>
      <c r="AK986" s="129"/>
      <c r="AL986" s="129"/>
      <c r="AM986" s="129"/>
    </row>
    <row r="987" spans="1:39" hidden="1" x14ac:dyDescent="0.25">
      <c r="A987" s="127">
        <v>986</v>
      </c>
      <c r="B987" s="152" t="s">
        <v>4524</v>
      </c>
      <c r="C987" s="153" t="s">
        <v>4525</v>
      </c>
      <c r="D987" s="153" t="s">
        <v>4526</v>
      </c>
      <c r="E987" s="153" t="s">
        <v>4948</v>
      </c>
      <c r="F987" s="6"/>
      <c r="G987" s="6"/>
      <c r="H987" s="128">
        <f t="shared" si="16"/>
        <v>0</v>
      </c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  <c r="AA987" s="129"/>
      <c r="AB987" s="129"/>
      <c r="AC987" s="129"/>
      <c r="AD987" s="129"/>
      <c r="AE987" s="129"/>
      <c r="AF987" s="129"/>
      <c r="AG987" s="129"/>
      <c r="AH987" s="129"/>
      <c r="AI987" s="129"/>
      <c r="AJ987" s="129"/>
      <c r="AK987" s="129"/>
      <c r="AL987" s="129"/>
      <c r="AM987" s="129"/>
    </row>
    <row r="988" spans="1:39" hidden="1" x14ac:dyDescent="0.25">
      <c r="A988" s="127">
        <v>987</v>
      </c>
      <c r="B988" s="152" t="s">
        <v>4527</v>
      </c>
      <c r="C988" s="153" t="s">
        <v>4528</v>
      </c>
      <c r="D988" s="153" t="s">
        <v>4529</v>
      </c>
      <c r="E988" s="153" t="s">
        <v>2111</v>
      </c>
      <c r="F988" s="6"/>
      <c r="G988" s="6"/>
      <c r="H988" s="128">
        <f t="shared" si="16"/>
        <v>0</v>
      </c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  <c r="AA988" s="129"/>
      <c r="AB988" s="129"/>
      <c r="AC988" s="129"/>
      <c r="AD988" s="129"/>
      <c r="AE988" s="129"/>
      <c r="AF988" s="129"/>
      <c r="AG988" s="129"/>
      <c r="AH988" s="129"/>
      <c r="AI988" s="129"/>
      <c r="AJ988" s="129"/>
      <c r="AK988" s="129"/>
      <c r="AL988" s="129"/>
      <c r="AM988" s="129"/>
    </row>
    <row r="989" spans="1:39" hidden="1" x14ac:dyDescent="0.25">
      <c r="A989" s="127">
        <v>988</v>
      </c>
      <c r="B989" s="157" t="s">
        <v>1538</v>
      </c>
      <c r="C989" s="158" t="s">
        <v>4530</v>
      </c>
      <c r="D989" s="158" t="s">
        <v>4531</v>
      </c>
      <c r="E989" s="153" t="s">
        <v>64</v>
      </c>
      <c r="F989" s="6"/>
      <c r="G989" s="6"/>
      <c r="H989" s="128">
        <f t="shared" si="16"/>
        <v>168</v>
      </c>
      <c r="I989" s="129">
        <v>168</v>
      </c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  <c r="AA989" s="129"/>
      <c r="AB989" s="129"/>
      <c r="AC989" s="129"/>
      <c r="AD989" s="129"/>
      <c r="AE989" s="129"/>
      <c r="AF989" s="129"/>
      <c r="AG989" s="129"/>
      <c r="AH989" s="129"/>
      <c r="AI989" s="129"/>
      <c r="AJ989" s="129"/>
      <c r="AK989" s="129"/>
      <c r="AL989" s="129"/>
      <c r="AM989" s="129"/>
    </row>
    <row r="990" spans="1:39" hidden="1" x14ac:dyDescent="0.25">
      <c r="A990" s="127">
        <v>989</v>
      </c>
      <c r="B990" s="152" t="s">
        <v>4532</v>
      </c>
      <c r="C990" s="153" t="s">
        <v>4533</v>
      </c>
      <c r="D990" s="153" t="s">
        <v>4534</v>
      </c>
      <c r="E990" s="153" t="s">
        <v>4948</v>
      </c>
      <c r="F990" s="6"/>
      <c r="G990" s="6"/>
      <c r="H990" s="128">
        <f t="shared" si="16"/>
        <v>0</v>
      </c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  <c r="AA990" s="129"/>
      <c r="AB990" s="129"/>
      <c r="AC990" s="129"/>
      <c r="AD990" s="129"/>
      <c r="AE990" s="129"/>
      <c r="AF990" s="129"/>
      <c r="AG990" s="129"/>
      <c r="AH990" s="129"/>
      <c r="AI990" s="129"/>
      <c r="AJ990" s="129"/>
      <c r="AK990" s="129"/>
      <c r="AL990" s="129"/>
      <c r="AM990" s="129"/>
    </row>
    <row r="991" spans="1:39" hidden="1" x14ac:dyDescent="0.25">
      <c r="A991" s="127">
        <v>990</v>
      </c>
      <c r="B991" s="152" t="s">
        <v>786</v>
      </c>
      <c r="C991" s="153" t="s">
        <v>4535</v>
      </c>
      <c r="D991" s="153" t="s">
        <v>4536</v>
      </c>
      <c r="E991" s="153" t="s">
        <v>2111</v>
      </c>
      <c r="F991" s="6"/>
      <c r="G991" s="6"/>
      <c r="H991" s="128">
        <f t="shared" si="16"/>
        <v>0</v>
      </c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  <c r="AA991" s="129"/>
      <c r="AB991" s="129"/>
      <c r="AC991" s="129"/>
      <c r="AD991" s="129"/>
      <c r="AE991" s="129"/>
      <c r="AF991" s="129"/>
      <c r="AG991" s="129"/>
      <c r="AH991" s="129"/>
      <c r="AI991" s="129"/>
      <c r="AJ991" s="129"/>
      <c r="AK991" s="129"/>
      <c r="AL991" s="129"/>
      <c r="AM991" s="129"/>
    </row>
    <row r="992" spans="1:39" hidden="1" x14ac:dyDescent="0.25">
      <c r="A992" s="127">
        <v>991</v>
      </c>
      <c r="B992" s="152" t="s">
        <v>1799</v>
      </c>
      <c r="C992" s="153" t="s">
        <v>4537</v>
      </c>
      <c r="D992" s="153" t="s">
        <v>4538</v>
      </c>
      <c r="E992" s="153" t="s">
        <v>2111</v>
      </c>
      <c r="F992" s="6"/>
      <c r="G992" s="6"/>
      <c r="H992" s="128">
        <f t="shared" si="16"/>
        <v>0</v>
      </c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  <c r="AA992" s="129"/>
      <c r="AB992" s="129"/>
      <c r="AC992" s="129"/>
      <c r="AD992" s="129"/>
      <c r="AE992" s="129"/>
      <c r="AF992" s="129"/>
      <c r="AG992" s="129"/>
      <c r="AH992" s="129"/>
      <c r="AI992" s="129"/>
      <c r="AJ992" s="129"/>
      <c r="AK992" s="129"/>
      <c r="AL992" s="129"/>
      <c r="AM992" s="129"/>
    </row>
    <row r="993" spans="1:39" hidden="1" x14ac:dyDescent="0.25">
      <c r="A993" s="127">
        <v>992</v>
      </c>
      <c r="B993" s="152" t="s">
        <v>127</v>
      </c>
      <c r="C993" s="153" t="s">
        <v>4539</v>
      </c>
      <c r="D993" s="153" t="s">
        <v>4540</v>
      </c>
      <c r="E993" s="153" t="s">
        <v>2111</v>
      </c>
      <c r="F993" s="6"/>
      <c r="G993" s="6"/>
      <c r="H993" s="128">
        <f t="shared" si="16"/>
        <v>0</v>
      </c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  <c r="AA993" s="129"/>
      <c r="AB993" s="129"/>
      <c r="AC993" s="129"/>
      <c r="AD993" s="129"/>
      <c r="AE993" s="129"/>
      <c r="AF993" s="129"/>
      <c r="AG993" s="129"/>
      <c r="AH993" s="129"/>
      <c r="AI993" s="129"/>
      <c r="AJ993" s="129"/>
      <c r="AK993" s="129"/>
      <c r="AL993" s="129"/>
      <c r="AM993" s="129"/>
    </row>
    <row r="994" spans="1:39" hidden="1" x14ac:dyDescent="0.25">
      <c r="A994" s="127">
        <v>993</v>
      </c>
      <c r="B994" s="152" t="s">
        <v>1247</v>
      </c>
      <c r="C994" s="153" t="s">
        <v>4541</v>
      </c>
      <c r="D994" s="153" t="s">
        <v>4542</v>
      </c>
      <c r="E994" s="153" t="s">
        <v>2111</v>
      </c>
      <c r="F994" s="6"/>
      <c r="G994" s="6"/>
      <c r="H994" s="128">
        <f t="shared" si="16"/>
        <v>0</v>
      </c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</row>
    <row r="995" spans="1:39" hidden="1" x14ac:dyDescent="0.25">
      <c r="A995" s="127">
        <v>994</v>
      </c>
      <c r="B995" s="152" t="s">
        <v>1086</v>
      </c>
      <c r="C995" s="153" t="s">
        <v>4543</v>
      </c>
      <c r="D995" s="153" t="s">
        <v>4544</v>
      </c>
      <c r="E995" s="153" t="s">
        <v>2111</v>
      </c>
      <c r="F995" s="6"/>
      <c r="G995" s="6"/>
      <c r="H995" s="128">
        <f t="shared" si="16"/>
        <v>0</v>
      </c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</row>
    <row r="996" spans="1:39" hidden="1" x14ac:dyDescent="0.25">
      <c r="A996" s="127">
        <v>995</v>
      </c>
      <c r="B996" s="152" t="s">
        <v>1352</v>
      </c>
      <c r="C996" s="153" t="s">
        <v>4545</v>
      </c>
      <c r="D996" s="153" t="s">
        <v>4546</v>
      </c>
      <c r="E996" s="153" t="s">
        <v>2111</v>
      </c>
      <c r="F996" s="6"/>
      <c r="G996" s="6"/>
      <c r="H996" s="128">
        <f t="shared" si="16"/>
        <v>0</v>
      </c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29"/>
      <c r="AA996" s="129"/>
      <c r="AB996" s="129"/>
      <c r="AC996" s="129"/>
      <c r="AD996" s="129"/>
      <c r="AE996" s="129"/>
      <c r="AF996" s="129"/>
      <c r="AG996" s="129"/>
      <c r="AH996" s="129"/>
      <c r="AI996" s="129"/>
      <c r="AJ996" s="129"/>
      <c r="AK996" s="129"/>
      <c r="AL996" s="129"/>
      <c r="AM996" s="129"/>
    </row>
    <row r="997" spans="1:39" hidden="1" x14ac:dyDescent="0.25">
      <c r="A997" s="127">
        <v>996</v>
      </c>
      <c r="B997" s="152" t="s">
        <v>4547</v>
      </c>
      <c r="C997" s="153" t="s">
        <v>4548</v>
      </c>
      <c r="D997" s="153" t="s">
        <v>4549</v>
      </c>
      <c r="E997" s="153" t="s">
        <v>4948</v>
      </c>
      <c r="F997" s="6"/>
      <c r="G997" s="6"/>
      <c r="H997" s="128">
        <f t="shared" si="16"/>
        <v>0</v>
      </c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29"/>
      <c r="AL997" s="129"/>
      <c r="AM997" s="129"/>
    </row>
    <row r="998" spans="1:39" hidden="1" x14ac:dyDescent="0.25">
      <c r="A998" s="127">
        <v>997</v>
      </c>
      <c r="B998" s="152" t="s">
        <v>1143</v>
      </c>
      <c r="C998" s="153" t="s">
        <v>4550</v>
      </c>
      <c r="D998" s="153" t="s">
        <v>4551</v>
      </c>
      <c r="E998" s="153" t="s">
        <v>2111</v>
      </c>
      <c r="F998" s="6"/>
      <c r="G998" s="6"/>
      <c r="H998" s="128">
        <f t="shared" si="16"/>
        <v>402</v>
      </c>
      <c r="I998" s="129">
        <v>402</v>
      </c>
      <c r="J998" s="129"/>
      <c r="K998" s="129"/>
      <c r="L998" s="129"/>
      <c r="M998" s="129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</row>
    <row r="999" spans="1:39" hidden="1" x14ac:dyDescent="0.25">
      <c r="A999" s="127">
        <v>998</v>
      </c>
      <c r="B999" s="152" t="s">
        <v>1218</v>
      </c>
      <c r="C999" s="153" t="s">
        <v>4552</v>
      </c>
      <c r="D999" s="153" t="s">
        <v>4553</v>
      </c>
      <c r="E999" s="153" t="s">
        <v>2111</v>
      </c>
      <c r="F999" s="6"/>
      <c r="G999" s="6"/>
      <c r="H999" s="128">
        <f t="shared" si="16"/>
        <v>360</v>
      </c>
      <c r="I999" s="129">
        <v>360</v>
      </c>
      <c r="J999" s="129"/>
      <c r="K999" s="129"/>
      <c r="L999" s="129"/>
      <c r="M999" s="129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</row>
    <row r="1000" spans="1:39" hidden="1" x14ac:dyDescent="0.25">
      <c r="A1000" s="127">
        <v>999</v>
      </c>
      <c r="B1000" s="152" t="s">
        <v>1438</v>
      </c>
      <c r="C1000" s="153" t="s">
        <v>4554</v>
      </c>
      <c r="D1000" s="153" t="s">
        <v>4555</v>
      </c>
      <c r="E1000" s="153" t="s">
        <v>2111</v>
      </c>
      <c r="F1000" s="6"/>
      <c r="G1000" s="6"/>
      <c r="H1000" s="128">
        <f t="shared" si="16"/>
        <v>0</v>
      </c>
      <c r="I1000" s="129"/>
      <c r="J1000" s="129"/>
      <c r="K1000" s="129"/>
      <c r="L1000" s="129"/>
      <c r="M1000" s="129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</row>
    <row r="1001" spans="1:39" hidden="1" x14ac:dyDescent="0.25">
      <c r="A1001" s="127">
        <v>1000</v>
      </c>
      <c r="B1001" s="152" t="s">
        <v>1453</v>
      </c>
      <c r="C1001" s="153" t="s">
        <v>4556</v>
      </c>
      <c r="D1001" s="153" t="s">
        <v>4557</v>
      </c>
      <c r="E1001" s="153" t="s">
        <v>2111</v>
      </c>
      <c r="F1001" s="6"/>
      <c r="G1001" s="6"/>
      <c r="H1001" s="128">
        <f t="shared" si="16"/>
        <v>0</v>
      </c>
      <c r="I1001" s="129"/>
      <c r="J1001" s="129"/>
      <c r="K1001" s="129"/>
      <c r="L1001" s="129"/>
      <c r="M1001" s="129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</row>
    <row r="1002" spans="1:39" hidden="1" x14ac:dyDescent="0.25">
      <c r="A1002" s="127">
        <v>1001</v>
      </c>
      <c r="B1002" s="152" t="s">
        <v>4558</v>
      </c>
      <c r="C1002" s="153" t="s">
        <v>4559</v>
      </c>
      <c r="D1002" s="153" t="s">
        <v>4560</v>
      </c>
      <c r="E1002" s="153" t="s">
        <v>2111</v>
      </c>
      <c r="F1002" s="6"/>
      <c r="G1002" s="6"/>
      <c r="H1002" s="128">
        <f t="shared" si="16"/>
        <v>0</v>
      </c>
      <c r="I1002" s="129"/>
      <c r="J1002" s="129"/>
      <c r="K1002" s="129"/>
      <c r="L1002" s="129"/>
      <c r="M1002" s="129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</row>
    <row r="1003" spans="1:39" hidden="1" x14ac:dyDescent="0.25">
      <c r="A1003" s="127">
        <v>1002</v>
      </c>
      <c r="B1003" s="152" t="s">
        <v>1401</v>
      </c>
      <c r="C1003" s="153" t="s">
        <v>4561</v>
      </c>
      <c r="D1003" s="153" t="s">
        <v>4562</v>
      </c>
      <c r="E1003" s="153" t="s">
        <v>2111</v>
      </c>
      <c r="F1003" s="6"/>
      <c r="G1003" s="6"/>
      <c r="H1003" s="128">
        <f t="shared" si="16"/>
        <v>0</v>
      </c>
      <c r="I1003" s="129"/>
      <c r="J1003" s="129"/>
      <c r="K1003" s="129"/>
      <c r="L1003" s="129"/>
      <c r="M1003" s="129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</row>
    <row r="1004" spans="1:39" hidden="1" x14ac:dyDescent="0.25">
      <c r="A1004" s="127">
        <v>1003</v>
      </c>
      <c r="B1004" s="152" t="s">
        <v>1511</v>
      </c>
      <c r="C1004" s="153" t="s">
        <v>4563</v>
      </c>
      <c r="D1004" s="153" t="s">
        <v>4564</v>
      </c>
      <c r="E1004" s="153" t="s">
        <v>2111</v>
      </c>
      <c r="F1004" s="6"/>
      <c r="G1004" s="6"/>
      <c r="H1004" s="128">
        <f t="shared" si="16"/>
        <v>42</v>
      </c>
      <c r="I1004" s="129"/>
      <c r="J1004" s="129"/>
      <c r="K1004" s="129"/>
      <c r="L1004" s="129"/>
      <c r="M1004" s="129"/>
      <c r="N1004" s="129"/>
      <c r="O1004" s="129"/>
      <c r="P1004" s="129">
        <v>42</v>
      </c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</row>
    <row r="1005" spans="1:39" hidden="1" x14ac:dyDescent="0.25">
      <c r="A1005" s="127">
        <v>1004</v>
      </c>
      <c r="B1005" s="152" t="s">
        <v>987</v>
      </c>
      <c r="C1005" s="153" t="s">
        <v>4565</v>
      </c>
      <c r="D1005" s="153" t="s">
        <v>4566</v>
      </c>
      <c r="E1005" s="153" t="s">
        <v>2111</v>
      </c>
      <c r="F1005" s="6"/>
      <c r="G1005" s="6"/>
      <c r="H1005" s="128">
        <f t="shared" si="16"/>
        <v>0</v>
      </c>
      <c r="I1005" s="129"/>
      <c r="J1005" s="129"/>
      <c r="K1005" s="129"/>
      <c r="L1005" s="129"/>
      <c r="M1005" s="129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</row>
    <row r="1006" spans="1:39" hidden="1" x14ac:dyDescent="0.25">
      <c r="A1006" s="127">
        <v>1005</v>
      </c>
      <c r="B1006" s="152" t="s">
        <v>865</v>
      </c>
      <c r="C1006" s="153" t="s">
        <v>4567</v>
      </c>
      <c r="D1006" s="153" t="s">
        <v>4568</v>
      </c>
      <c r="E1006" s="153" t="s">
        <v>4948</v>
      </c>
      <c r="F1006" s="6"/>
      <c r="G1006" s="6"/>
      <c r="H1006" s="128">
        <f t="shared" si="16"/>
        <v>1584</v>
      </c>
      <c r="I1006" s="129">
        <v>240</v>
      </c>
      <c r="J1006" s="129"/>
      <c r="K1006" s="129"/>
      <c r="L1006" s="129"/>
      <c r="M1006" s="129"/>
      <c r="N1006" s="129"/>
      <c r="O1006" s="129"/>
      <c r="P1006" s="129"/>
      <c r="Q1006" s="129">
        <v>1344</v>
      </c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</row>
    <row r="1007" spans="1:39" hidden="1" x14ac:dyDescent="0.25">
      <c r="A1007" s="127">
        <v>1006</v>
      </c>
      <c r="B1007" s="152" t="s">
        <v>4569</v>
      </c>
      <c r="C1007" s="153" t="s">
        <v>4570</v>
      </c>
      <c r="D1007" s="153" t="s">
        <v>4571</v>
      </c>
      <c r="E1007" s="153" t="s">
        <v>4948</v>
      </c>
      <c r="F1007" s="6"/>
      <c r="G1007" s="6"/>
      <c r="H1007" s="128">
        <f t="shared" si="16"/>
        <v>0</v>
      </c>
      <c r="I1007" s="129"/>
      <c r="J1007" s="129"/>
      <c r="K1007" s="129"/>
      <c r="L1007" s="129"/>
      <c r="M1007" s="129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</row>
    <row r="1008" spans="1:39" hidden="1" x14ac:dyDescent="0.25">
      <c r="A1008" s="127">
        <v>1007</v>
      </c>
      <c r="B1008" s="152" t="s">
        <v>4572</v>
      </c>
      <c r="C1008" s="153" t="s">
        <v>4573</v>
      </c>
      <c r="D1008" s="153" t="s">
        <v>4574</v>
      </c>
      <c r="E1008" s="153" t="s">
        <v>4948</v>
      </c>
      <c r="F1008" s="6"/>
      <c r="G1008" s="6"/>
      <c r="H1008" s="128">
        <f t="shared" si="16"/>
        <v>0</v>
      </c>
      <c r="I1008" s="129"/>
      <c r="J1008" s="129"/>
      <c r="K1008" s="129"/>
      <c r="L1008" s="129"/>
      <c r="M1008" s="129"/>
      <c r="N1008" s="129"/>
      <c r="O1008" s="129"/>
      <c r="P1008" s="129"/>
      <c r="Q1008" s="129"/>
      <c r="R1008" s="129"/>
      <c r="S1008" s="129"/>
      <c r="T1008" s="129"/>
      <c r="U1008" s="129"/>
      <c r="V1008" s="129"/>
      <c r="W1008" s="129"/>
      <c r="X1008" s="129"/>
      <c r="Y1008" s="129"/>
      <c r="Z1008" s="129"/>
      <c r="AA1008" s="129"/>
      <c r="AB1008" s="129"/>
      <c r="AC1008" s="129"/>
      <c r="AD1008" s="129"/>
      <c r="AE1008" s="129"/>
      <c r="AF1008" s="129"/>
      <c r="AG1008" s="129"/>
      <c r="AH1008" s="129"/>
      <c r="AI1008" s="129"/>
      <c r="AJ1008" s="129"/>
      <c r="AK1008" s="129"/>
      <c r="AL1008" s="129"/>
      <c r="AM1008" s="129"/>
    </row>
    <row r="1009" spans="1:39" hidden="1" x14ac:dyDescent="0.25">
      <c r="A1009" s="127">
        <v>1008</v>
      </c>
      <c r="B1009" s="152" t="s">
        <v>1181</v>
      </c>
      <c r="C1009" s="153" t="s">
        <v>4575</v>
      </c>
      <c r="D1009" s="153" t="s">
        <v>4576</v>
      </c>
      <c r="E1009" s="153" t="s">
        <v>2111</v>
      </c>
      <c r="F1009" s="6"/>
      <c r="G1009" s="6"/>
      <c r="H1009" s="128">
        <f t="shared" si="16"/>
        <v>0</v>
      </c>
      <c r="I1009" s="129"/>
      <c r="J1009" s="129"/>
      <c r="K1009" s="129"/>
      <c r="L1009" s="129"/>
      <c r="M1009" s="129"/>
      <c r="N1009" s="129"/>
      <c r="O1009" s="129"/>
      <c r="P1009" s="129"/>
      <c r="Q1009" s="129"/>
      <c r="R1009" s="129"/>
      <c r="S1009" s="129"/>
      <c r="T1009" s="129"/>
      <c r="U1009" s="129"/>
      <c r="V1009" s="129"/>
      <c r="W1009" s="129"/>
      <c r="X1009" s="129"/>
      <c r="Y1009" s="129"/>
      <c r="Z1009" s="129"/>
      <c r="AA1009" s="129"/>
      <c r="AB1009" s="129"/>
      <c r="AC1009" s="129"/>
      <c r="AD1009" s="129"/>
      <c r="AE1009" s="129"/>
      <c r="AF1009" s="129"/>
      <c r="AG1009" s="129"/>
      <c r="AH1009" s="129"/>
      <c r="AI1009" s="129"/>
      <c r="AJ1009" s="129"/>
      <c r="AK1009" s="129"/>
      <c r="AL1009" s="129"/>
      <c r="AM1009" s="129"/>
    </row>
    <row r="1010" spans="1:39" hidden="1" x14ac:dyDescent="0.25">
      <c r="A1010" s="127">
        <v>1009</v>
      </c>
      <c r="B1010" s="152" t="s">
        <v>824</v>
      </c>
      <c r="C1010" s="153" t="s">
        <v>4577</v>
      </c>
      <c r="D1010" s="153" t="s">
        <v>4578</v>
      </c>
      <c r="E1010" s="153" t="s">
        <v>64</v>
      </c>
      <c r="F1010" s="6"/>
      <c r="G1010" s="6"/>
      <c r="H1010" s="128">
        <f t="shared" si="16"/>
        <v>0</v>
      </c>
      <c r="I1010" s="129"/>
      <c r="J1010" s="129"/>
      <c r="K1010" s="129"/>
      <c r="L1010" s="129"/>
      <c r="M1010" s="129"/>
      <c r="N1010" s="129"/>
      <c r="O1010" s="129"/>
      <c r="P1010" s="129"/>
      <c r="Q1010" s="129"/>
      <c r="R1010" s="129"/>
      <c r="S1010" s="129"/>
      <c r="T1010" s="129"/>
      <c r="U1010" s="129"/>
      <c r="V1010" s="129"/>
      <c r="W1010" s="129"/>
      <c r="X1010" s="129"/>
      <c r="Y1010" s="129"/>
      <c r="Z1010" s="129"/>
      <c r="AA1010" s="129"/>
      <c r="AB1010" s="129"/>
      <c r="AC1010" s="129"/>
      <c r="AD1010" s="129"/>
      <c r="AE1010" s="129"/>
      <c r="AF1010" s="129"/>
      <c r="AG1010" s="129"/>
      <c r="AH1010" s="129"/>
      <c r="AI1010" s="129"/>
      <c r="AJ1010" s="129"/>
      <c r="AK1010" s="129"/>
      <c r="AL1010" s="129"/>
      <c r="AM1010" s="129"/>
    </row>
    <row r="1011" spans="1:39" hidden="1" x14ac:dyDescent="0.25">
      <c r="A1011" s="127">
        <v>1010</v>
      </c>
      <c r="B1011" s="152" t="s">
        <v>702</v>
      </c>
      <c r="C1011" s="153" t="s">
        <v>4579</v>
      </c>
      <c r="D1011" s="153" t="s">
        <v>4580</v>
      </c>
      <c r="E1011" s="153" t="s">
        <v>64</v>
      </c>
      <c r="F1011" s="6"/>
      <c r="G1011" s="6"/>
      <c r="H1011" s="128">
        <f t="shared" si="16"/>
        <v>1600</v>
      </c>
      <c r="I1011" s="129">
        <v>1600</v>
      </c>
      <c r="J1011" s="129"/>
      <c r="K1011" s="129"/>
      <c r="L1011" s="129"/>
      <c r="M1011" s="129"/>
      <c r="N1011" s="129"/>
      <c r="O1011" s="129"/>
      <c r="P1011" s="129"/>
      <c r="Q1011" s="129"/>
      <c r="R1011" s="129"/>
      <c r="S1011" s="129"/>
      <c r="T1011" s="129"/>
      <c r="U1011" s="129"/>
      <c r="V1011" s="129"/>
      <c r="W1011" s="129"/>
      <c r="X1011" s="129"/>
      <c r="Y1011" s="129"/>
      <c r="Z1011" s="129"/>
      <c r="AA1011" s="129"/>
      <c r="AB1011" s="129"/>
      <c r="AC1011" s="129"/>
      <c r="AD1011" s="129"/>
      <c r="AE1011" s="129"/>
      <c r="AF1011" s="129"/>
      <c r="AG1011" s="129"/>
      <c r="AH1011" s="129"/>
      <c r="AI1011" s="129"/>
      <c r="AJ1011" s="129"/>
      <c r="AK1011" s="129"/>
      <c r="AL1011" s="129"/>
      <c r="AM1011" s="129"/>
    </row>
    <row r="1012" spans="1:39" hidden="1" x14ac:dyDescent="0.25">
      <c r="A1012" s="127">
        <v>1011</v>
      </c>
      <c r="B1012" s="152" t="s">
        <v>1365</v>
      </c>
      <c r="C1012" s="153" t="s">
        <v>4581</v>
      </c>
      <c r="D1012" s="153" t="s">
        <v>4582</v>
      </c>
      <c r="E1012" s="153" t="s">
        <v>2086</v>
      </c>
      <c r="F1012" s="6"/>
      <c r="G1012" s="6"/>
      <c r="H1012" s="128">
        <f t="shared" si="16"/>
        <v>40000</v>
      </c>
      <c r="I1012" s="129">
        <v>40000</v>
      </c>
      <c r="J1012" s="129"/>
      <c r="K1012" s="129"/>
      <c r="L1012" s="129"/>
      <c r="M1012" s="129"/>
      <c r="N1012" s="129"/>
      <c r="O1012" s="129"/>
      <c r="P1012" s="129"/>
      <c r="Q1012" s="129"/>
      <c r="R1012" s="129"/>
      <c r="S1012" s="129"/>
      <c r="T1012" s="129"/>
      <c r="U1012" s="129"/>
      <c r="V1012" s="129"/>
      <c r="W1012" s="129"/>
      <c r="X1012" s="129"/>
      <c r="Y1012" s="129"/>
      <c r="Z1012" s="129"/>
      <c r="AA1012" s="129"/>
      <c r="AB1012" s="129"/>
      <c r="AC1012" s="129"/>
      <c r="AD1012" s="129"/>
      <c r="AE1012" s="129"/>
      <c r="AF1012" s="129"/>
      <c r="AG1012" s="129"/>
      <c r="AH1012" s="129"/>
      <c r="AI1012" s="129"/>
      <c r="AJ1012" s="129"/>
      <c r="AK1012" s="129"/>
      <c r="AL1012" s="129"/>
      <c r="AM1012" s="129"/>
    </row>
    <row r="1013" spans="1:39" hidden="1" x14ac:dyDescent="0.25">
      <c r="A1013" s="127">
        <v>1012</v>
      </c>
      <c r="B1013" s="152" t="s">
        <v>827</v>
      </c>
      <c r="C1013" s="153" t="s">
        <v>4583</v>
      </c>
      <c r="D1013" s="153" t="s">
        <v>4584</v>
      </c>
      <c r="E1013" s="153" t="s">
        <v>4948</v>
      </c>
      <c r="F1013" s="6"/>
      <c r="G1013" s="6"/>
      <c r="H1013" s="128">
        <f t="shared" si="16"/>
        <v>0</v>
      </c>
      <c r="I1013" s="129"/>
      <c r="J1013" s="129"/>
      <c r="K1013" s="129"/>
      <c r="L1013" s="129"/>
      <c r="M1013" s="129"/>
      <c r="N1013" s="129"/>
      <c r="O1013" s="129"/>
      <c r="P1013" s="129"/>
      <c r="Q1013" s="129"/>
      <c r="R1013" s="129"/>
      <c r="S1013" s="129"/>
      <c r="T1013" s="129"/>
      <c r="U1013" s="129"/>
      <c r="V1013" s="129"/>
      <c r="W1013" s="129"/>
      <c r="X1013" s="129"/>
      <c r="Y1013" s="129"/>
      <c r="Z1013" s="129"/>
      <c r="AA1013" s="129"/>
      <c r="AB1013" s="129"/>
      <c r="AC1013" s="129"/>
      <c r="AD1013" s="129"/>
      <c r="AE1013" s="129"/>
      <c r="AF1013" s="129"/>
      <c r="AG1013" s="129"/>
      <c r="AH1013" s="129"/>
      <c r="AI1013" s="129"/>
      <c r="AJ1013" s="129"/>
      <c r="AK1013" s="129"/>
      <c r="AL1013" s="129"/>
      <c r="AM1013" s="129"/>
    </row>
    <row r="1014" spans="1:39" hidden="1" x14ac:dyDescent="0.25">
      <c r="A1014" s="127">
        <v>1013</v>
      </c>
      <c r="B1014" s="152" t="s">
        <v>4585</v>
      </c>
      <c r="C1014" s="153" t="s">
        <v>4586</v>
      </c>
      <c r="D1014" s="153" t="s">
        <v>4587</v>
      </c>
      <c r="E1014" s="153" t="s">
        <v>4948</v>
      </c>
      <c r="F1014" s="6"/>
      <c r="G1014" s="6"/>
      <c r="H1014" s="128">
        <f t="shared" si="16"/>
        <v>0</v>
      </c>
      <c r="I1014" s="129"/>
      <c r="J1014" s="129"/>
      <c r="K1014" s="129"/>
      <c r="L1014" s="129"/>
      <c r="M1014" s="129"/>
      <c r="N1014" s="129"/>
      <c r="O1014" s="129"/>
      <c r="P1014" s="129"/>
      <c r="Q1014" s="129"/>
      <c r="R1014" s="129"/>
      <c r="S1014" s="129"/>
      <c r="T1014" s="129"/>
      <c r="U1014" s="129"/>
      <c r="V1014" s="129"/>
      <c r="W1014" s="129"/>
      <c r="X1014" s="129"/>
      <c r="Y1014" s="129"/>
      <c r="Z1014" s="129"/>
      <c r="AA1014" s="129"/>
      <c r="AB1014" s="129"/>
      <c r="AC1014" s="129"/>
      <c r="AD1014" s="129"/>
      <c r="AE1014" s="129"/>
      <c r="AF1014" s="129"/>
      <c r="AG1014" s="129"/>
      <c r="AH1014" s="129"/>
      <c r="AI1014" s="129"/>
      <c r="AJ1014" s="129"/>
      <c r="AK1014" s="129"/>
      <c r="AL1014" s="129"/>
      <c r="AM1014" s="129"/>
    </row>
    <row r="1015" spans="1:39" hidden="1" x14ac:dyDescent="0.25">
      <c r="A1015" s="127">
        <v>1014</v>
      </c>
      <c r="B1015" s="152" t="s">
        <v>1819</v>
      </c>
      <c r="C1015" s="153" t="s">
        <v>4588</v>
      </c>
      <c r="D1015" s="153" t="s">
        <v>4589</v>
      </c>
      <c r="E1015" s="153" t="s">
        <v>4948</v>
      </c>
      <c r="F1015" s="6"/>
      <c r="G1015" s="6"/>
      <c r="H1015" s="128">
        <f t="shared" si="16"/>
        <v>0</v>
      </c>
      <c r="I1015" s="129"/>
      <c r="J1015" s="129"/>
      <c r="K1015" s="129"/>
      <c r="L1015" s="129"/>
      <c r="M1015" s="129"/>
      <c r="N1015" s="129"/>
      <c r="O1015" s="129"/>
      <c r="P1015" s="129"/>
      <c r="Q1015" s="129"/>
      <c r="R1015" s="129"/>
      <c r="S1015" s="129"/>
      <c r="T1015" s="129"/>
      <c r="U1015" s="129"/>
      <c r="V1015" s="129"/>
      <c r="W1015" s="129"/>
      <c r="X1015" s="129"/>
      <c r="Y1015" s="129"/>
      <c r="Z1015" s="129"/>
      <c r="AA1015" s="129"/>
      <c r="AB1015" s="129"/>
      <c r="AC1015" s="129"/>
      <c r="AD1015" s="129"/>
      <c r="AE1015" s="129"/>
      <c r="AF1015" s="129"/>
      <c r="AG1015" s="129"/>
      <c r="AH1015" s="129"/>
      <c r="AI1015" s="129"/>
      <c r="AJ1015" s="129"/>
      <c r="AK1015" s="129"/>
      <c r="AL1015" s="129"/>
      <c r="AM1015" s="129"/>
    </row>
    <row r="1016" spans="1:39" hidden="1" x14ac:dyDescent="0.25">
      <c r="A1016" s="127">
        <v>1015</v>
      </c>
      <c r="B1016" s="152" t="s">
        <v>2005</v>
      </c>
      <c r="C1016" s="153" t="s">
        <v>4590</v>
      </c>
      <c r="D1016" s="153" t="s">
        <v>4591</v>
      </c>
      <c r="E1016" s="153" t="s">
        <v>4948</v>
      </c>
      <c r="F1016" s="6"/>
      <c r="G1016" s="6"/>
      <c r="H1016" s="128">
        <f t="shared" si="16"/>
        <v>0</v>
      </c>
      <c r="I1016" s="129"/>
      <c r="J1016" s="129"/>
      <c r="K1016" s="129"/>
      <c r="L1016" s="129"/>
      <c r="M1016" s="129"/>
      <c r="N1016" s="129"/>
      <c r="O1016" s="129"/>
      <c r="P1016" s="129"/>
      <c r="Q1016" s="129"/>
      <c r="R1016" s="129"/>
      <c r="S1016" s="129"/>
      <c r="T1016" s="129"/>
      <c r="U1016" s="129"/>
      <c r="V1016" s="129"/>
      <c r="W1016" s="129"/>
      <c r="X1016" s="129"/>
      <c r="Y1016" s="129"/>
      <c r="Z1016" s="129"/>
      <c r="AA1016" s="129"/>
      <c r="AB1016" s="129"/>
      <c r="AC1016" s="129"/>
      <c r="AD1016" s="129"/>
      <c r="AE1016" s="129"/>
      <c r="AF1016" s="129"/>
      <c r="AG1016" s="129"/>
      <c r="AH1016" s="129"/>
      <c r="AI1016" s="129"/>
      <c r="AJ1016" s="129"/>
      <c r="AK1016" s="129"/>
      <c r="AL1016" s="129"/>
      <c r="AM1016" s="129"/>
    </row>
    <row r="1017" spans="1:39" hidden="1" x14ac:dyDescent="0.25">
      <c r="A1017" s="127">
        <v>1016</v>
      </c>
      <c r="B1017" s="152" t="s">
        <v>938</v>
      </c>
      <c r="C1017" s="153" t="s">
        <v>4592</v>
      </c>
      <c r="D1017" s="153" t="s">
        <v>4593</v>
      </c>
      <c r="E1017" s="153" t="s">
        <v>64</v>
      </c>
      <c r="F1017" s="6"/>
      <c r="G1017" s="6"/>
      <c r="H1017" s="128">
        <f t="shared" si="16"/>
        <v>8</v>
      </c>
      <c r="I1017" s="129">
        <v>8</v>
      </c>
      <c r="J1017" s="129"/>
      <c r="K1017" s="129"/>
      <c r="L1017" s="129"/>
      <c r="M1017" s="129"/>
      <c r="N1017" s="129"/>
      <c r="O1017" s="129"/>
      <c r="P1017" s="129"/>
      <c r="Q1017" s="129"/>
      <c r="R1017" s="129"/>
      <c r="S1017" s="129"/>
      <c r="T1017" s="129"/>
      <c r="U1017" s="129"/>
      <c r="V1017" s="129"/>
      <c r="W1017" s="129"/>
      <c r="X1017" s="129"/>
      <c r="Y1017" s="129"/>
      <c r="Z1017" s="129"/>
      <c r="AA1017" s="129"/>
      <c r="AB1017" s="129"/>
      <c r="AC1017" s="129"/>
      <c r="AD1017" s="129"/>
      <c r="AE1017" s="129"/>
      <c r="AF1017" s="129"/>
      <c r="AG1017" s="129"/>
      <c r="AH1017" s="129"/>
      <c r="AI1017" s="129"/>
      <c r="AJ1017" s="129"/>
      <c r="AK1017" s="129"/>
      <c r="AL1017" s="129"/>
      <c r="AM1017" s="129"/>
    </row>
    <row r="1018" spans="1:39" hidden="1" x14ac:dyDescent="0.25">
      <c r="A1018" s="127">
        <v>1017</v>
      </c>
      <c r="B1018" s="157" t="s">
        <v>648</v>
      </c>
      <c r="C1018" s="158" t="s">
        <v>4594</v>
      </c>
      <c r="D1018" s="158" t="s">
        <v>4595</v>
      </c>
      <c r="E1018" s="153" t="s">
        <v>4948</v>
      </c>
      <c r="F1018" s="6"/>
      <c r="G1018" s="6"/>
      <c r="H1018" s="128">
        <f t="shared" si="16"/>
        <v>0</v>
      </c>
      <c r="I1018" s="129"/>
      <c r="J1018" s="129"/>
      <c r="K1018" s="129"/>
      <c r="L1018" s="129"/>
      <c r="M1018" s="129"/>
      <c r="N1018" s="129"/>
      <c r="O1018" s="129"/>
      <c r="P1018" s="129"/>
      <c r="Q1018" s="129"/>
      <c r="R1018" s="129"/>
      <c r="S1018" s="129"/>
      <c r="T1018" s="129"/>
      <c r="U1018" s="129"/>
      <c r="V1018" s="129"/>
      <c r="W1018" s="129"/>
      <c r="X1018" s="129"/>
      <c r="Y1018" s="129"/>
      <c r="Z1018" s="129"/>
      <c r="AA1018" s="129"/>
      <c r="AB1018" s="129"/>
      <c r="AC1018" s="129"/>
      <c r="AD1018" s="129"/>
      <c r="AE1018" s="129"/>
      <c r="AF1018" s="129"/>
      <c r="AG1018" s="129"/>
      <c r="AH1018" s="129"/>
      <c r="AI1018" s="129"/>
      <c r="AJ1018" s="129"/>
      <c r="AK1018" s="129"/>
      <c r="AL1018" s="129"/>
      <c r="AM1018" s="129"/>
    </row>
    <row r="1019" spans="1:39" hidden="1" x14ac:dyDescent="0.25">
      <c r="A1019" s="127">
        <v>1018</v>
      </c>
      <c r="B1019" s="152" t="s">
        <v>1974</v>
      </c>
      <c r="C1019" s="153" t="s">
        <v>4596</v>
      </c>
      <c r="D1019" s="153" t="s">
        <v>4597</v>
      </c>
      <c r="E1019" s="153" t="s">
        <v>64</v>
      </c>
      <c r="F1019" s="6"/>
      <c r="G1019" s="6"/>
      <c r="H1019" s="128">
        <f t="shared" si="16"/>
        <v>0</v>
      </c>
      <c r="I1019" s="129"/>
      <c r="J1019" s="129"/>
      <c r="K1019" s="129"/>
      <c r="L1019" s="129"/>
      <c r="M1019" s="129"/>
      <c r="N1019" s="129"/>
      <c r="O1019" s="129"/>
      <c r="P1019" s="129"/>
      <c r="Q1019" s="129"/>
      <c r="R1019" s="129"/>
      <c r="S1019" s="129"/>
      <c r="T1019" s="129"/>
      <c r="U1019" s="129"/>
      <c r="V1019" s="129"/>
      <c r="W1019" s="129"/>
      <c r="X1019" s="129"/>
      <c r="Y1019" s="129"/>
      <c r="Z1019" s="129"/>
      <c r="AA1019" s="129"/>
      <c r="AB1019" s="129"/>
      <c r="AC1019" s="129"/>
      <c r="AD1019" s="129"/>
      <c r="AE1019" s="129"/>
      <c r="AF1019" s="129"/>
      <c r="AG1019" s="129"/>
      <c r="AH1019" s="129"/>
      <c r="AI1019" s="129"/>
      <c r="AJ1019" s="129"/>
      <c r="AK1019" s="129"/>
      <c r="AL1019" s="129"/>
      <c r="AM1019" s="129"/>
    </row>
    <row r="1020" spans="1:39" hidden="1" x14ac:dyDescent="0.25">
      <c r="A1020" s="127">
        <v>1019</v>
      </c>
      <c r="B1020" s="152" t="s">
        <v>4598</v>
      </c>
      <c r="C1020" s="153" t="s">
        <v>4599</v>
      </c>
      <c r="D1020" s="153" t="s">
        <v>4600</v>
      </c>
      <c r="E1020" s="153" t="s">
        <v>64</v>
      </c>
      <c r="F1020" s="6"/>
      <c r="G1020" s="6"/>
      <c r="H1020" s="128">
        <f t="shared" si="16"/>
        <v>0</v>
      </c>
      <c r="I1020" s="129"/>
      <c r="J1020" s="129"/>
      <c r="K1020" s="129"/>
      <c r="L1020" s="129"/>
      <c r="M1020" s="129"/>
      <c r="N1020" s="129"/>
      <c r="O1020" s="129"/>
      <c r="P1020" s="129"/>
      <c r="Q1020" s="129"/>
      <c r="R1020" s="129"/>
      <c r="S1020" s="129"/>
      <c r="T1020" s="129"/>
      <c r="U1020" s="129"/>
      <c r="V1020" s="129"/>
      <c r="W1020" s="129"/>
      <c r="X1020" s="129"/>
      <c r="Y1020" s="129"/>
      <c r="Z1020" s="129"/>
      <c r="AA1020" s="129"/>
      <c r="AB1020" s="129"/>
      <c r="AC1020" s="129"/>
      <c r="AD1020" s="129"/>
      <c r="AE1020" s="129"/>
      <c r="AF1020" s="129"/>
      <c r="AG1020" s="129"/>
      <c r="AH1020" s="129"/>
      <c r="AI1020" s="129"/>
      <c r="AJ1020" s="129"/>
      <c r="AK1020" s="129"/>
      <c r="AL1020" s="129"/>
      <c r="AM1020" s="129"/>
    </row>
    <row r="1021" spans="1:39" hidden="1" x14ac:dyDescent="0.25">
      <c r="A1021" s="127">
        <v>1020</v>
      </c>
      <c r="B1021" s="152" t="s">
        <v>4601</v>
      </c>
      <c r="C1021" s="153" t="s">
        <v>4602</v>
      </c>
      <c r="D1021" s="153" t="s">
        <v>4603</v>
      </c>
      <c r="E1021" s="153" t="s">
        <v>4948</v>
      </c>
      <c r="F1021" s="6"/>
      <c r="G1021" s="6"/>
      <c r="H1021" s="128">
        <f t="shared" si="16"/>
        <v>0</v>
      </c>
      <c r="I1021" s="129"/>
      <c r="J1021" s="129"/>
      <c r="K1021" s="129"/>
      <c r="L1021" s="129"/>
      <c r="M1021" s="129"/>
      <c r="N1021" s="129"/>
      <c r="O1021" s="129"/>
      <c r="P1021" s="129"/>
      <c r="Q1021" s="129"/>
      <c r="R1021" s="129"/>
      <c r="S1021" s="129"/>
      <c r="T1021" s="129"/>
      <c r="U1021" s="129"/>
      <c r="V1021" s="129"/>
      <c r="W1021" s="129"/>
      <c r="X1021" s="129"/>
      <c r="Y1021" s="129"/>
      <c r="Z1021" s="129"/>
      <c r="AA1021" s="129"/>
      <c r="AB1021" s="129"/>
      <c r="AC1021" s="129"/>
      <c r="AD1021" s="129"/>
      <c r="AE1021" s="129"/>
      <c r="AF1021" s="129"/>
      <c r="AG1021" s="129"/>
      <c r="AH1021" s="129"/>
      <c r="AI1021" s="129"/>
      <c r="AJ1021" s="129"/>
      <c r="AK1021" s="129"/>
      <c r="AL1021" s="129"/>
      <c r="AM1021" s="129"/>
    </row>
    <row r="1022" spans="1:39" hidden="1" x14ac:dyDescent="0.25">
      <c r="A1022" s="127">
        <v>1021</v>
      </c>
      <c r="B1022" s="152" t="s">
        <v>2063</v>
      </c>
      <c r="C1022" s="153" t="s">
        <v>4604</v>
      </c>
      <c r="D1022" s="153" t="s">
        <v>4605</v>
      </c>
      <c r="E1022" s="153" t="s">
        <v>4948</v>
      </c>
      <c r="F1022" s="6"/>
      <c r="G1022" s="6"/>
      <c r="H1022" s="128">
        <f t="shared" si="16"/>
        <v>0</v>
      </c>
      <c r="I1022" s="129"/>
      <c r="J1022" s="129"/>
      <c r="K1022" s="129"/>
      <c r="L1022" s="129"/>
      <c r="M1022" s="129"/>
      <c r="N1022" s="129"/>
      <c r="O1022" s="129"/>
      <c r="P1022" s="129"/>
      <c r="Q1022" s="129"/>
      <c r="R1022" s="129"/>
      <c r="S1022" s="129"/>
      <c r="T1022" s="129"/>
      <c r="U1022" s="129"/>
      <c r="V1022" s="129"/>
      <c r="W1022" s="129"/>
      <c r="X1022" s="129"/>
      <c r="Y1022" s="129"/>
      <c r="Z1022" s="129"/>
      <c r="AA1022" s="129"/>
      <c r="AB1022" s="129"/>
      <c r="AC1022" s="129"/>
      <c r="AD1022" s="129"/>
      <c r="AE1022" s="129"/>
      <c r="AF1022" s="129"/>
      <c r="AG1022" s="129"/>
      <c r="AH1022" s="129"/>
      <c r="AI1022" s="129"/>
      <c r="AJ1022" s="129"/>
      <c r="AK1022" s="129"/>
      <c r="AL1022" s="129"/>
      <c r="AM1022" s="129"/>
    </row>
    <row r="1023" spans="1:39" hidden="1" x14ac:dyDescent="0.25">
      <c r="A1023" s="127">
        <v>1022</v>
      </c>
      <c r="B1023" s="152" t="s">
        <v>4606</v>
      </c>
      <c r="C1023" s="153" t="s">
        <v>4607</v>
      </c>
      <c r="D1023" s="153" t="s">
        <v>4608</v>
      </c>
      <c r="E1023" s="153" t="s">
        <v>4948</v>
      </c>
      <c r="F1023" s="6"/>
      <c r="G1023" s="6"/>
      <c r="H1023" s="128">
        <f t="shared" si="16"/>
        <v>0</v>
      </c>
      <c r="I1023" s="129"/>
      <c r="J1023" s="129"/>
      <c r="K1023" s="129"/>
      <c r="L1023" s="129"/>
      <c r="M1023" s="129"/>
      <c r="N1023" s="129"/>
      <c r="O1023" s="129"/>
      <c r="P1023" s="129"/>
      <c r="Q1023" s="129"/>
      <c r="R1023" s="129"/>
      <c r="S1023" s="129"/>
      <c r="T1023" s="129"/>
      <c r="U1023" s="129"/>
      <c r="V1023" s="129"/>
      <c r="W1023" s="129"/>
      <c r="X1023" s="129"/>
      <c r="Y1023" s="129"/>
      <c r="Z1023" s="129"/>
      <c r="AA1023" s="129"/>
      <c r="AB1023" s="129"/>
      <c r="AC1023" s="129"/>
      <c r="AD1023" s="129"/>
      <c r="AE1023" s="129"/>
      <c r="AF1023" s="129"/>
      <c r="AG1023" s="129"/>
      <c r="AH1023" s="129"/>
      <c r="AI1023" s="129"/>
      <c r="AJ1023" s="129"/>
      <c r="AK1023" s="129"/>
      <c r="AL1023" s="129"/>
      <c r="AM1023" s="129"/>
    </row>
    <row r="1024" spans="1:39" hidden="1" x14ac:dyDescent="0.25">
      <c r="A1024" s="127">
        <v>1023</v>
      </c>
      <c r="B1024" s="152" t="s">
        <v>868</v>
      </c>
      <c r="C1024" s="153" t="s">
        <v>4609</v>
      </c>
      <c r="D1024" s="153" t="s">
        <v>4610</v>
      </c>
      <c r="E1024" s="153" t="s">
        <v>4948</v>
      </c>
      <c r="F1024" s="6"/>
      <c r="G1024" s="6"/>
      <c r="H1024" s="128">
        <f t="shared" si="16"/>
        <v>7932.0599999999995</v>
      </c>
      <c r="I1024" s="129"/>
      <c r="J1024" s="129"/>
      <c r="K1024" s="129"/>
      <c r="L1024" s="129"/>
      <c r="M1024" s="129"/>
      <c r="N1024" s="129"/>
      <c r="O1024" s="129"/>
      <c r="P1024" s="129"/>
      <c r="Q1024" s="129"/>
      <c r="R1024" s="129"/>
      <c r="S1024" s="129">
        <v>2024.7</v>
      </c>
      <c r="T1024" s="129"/>
      <c r="U1024" s="129"/>
      <c r="V1024" s="129">
        <v>5907.36</v>
      </c>
      <c r="W1024" s="129"/>
      <c r="X1024" s="129"/>
      <c r="Y1024" s="129"/>
      <c r="Z1024" s="129"/>
      <c r="AA1024" s="129"/>
      <c r="AB1024" s="129"/>
      <c r="AC1024" s="129"/>
      <c r="AD1024" s="129"/>
      <c r="AE1024" s="129"/>
      <c r="AF1024" s="129"/>
      <c r="AG1024" s="129"/>
      <c r="AH1024" s="129"/>
      <c r="AI1024" s="129"/>
      <c r="AJ1024" s="129"/>
      <c r="AK1024" s="129"/>
      <c r="AL1024" s="129"/>
      <c r="AM1024" s="129"/>
    </row>
    <row r="1025" spans="1:39" hidden="1" x14ac:dyDescent="0.25">
      <c r="A1025" s="127">
        <v>1024</v>
      </c>
      <c r="B1025" s="152" t="s">
        <v>532</v>
      </c>
      <c r="C1025" s="153" t="s">
        <v>4611</v>
      </c>
      <c r="D1025" s="153" t="s">
        <v>4612</v>
      </c>
      <c r="E1025" s="153" t="s">
        <v>4948</v>
      </c>
      <c r="F1025" s="6"/>
      <c r="G1025" s="6"/>
      <c r="H1025" s="128">
        <f t="shared" si="16"/>
        <v>0</v>
      </c>
      <c r="I1025" s="129"/>
      <c r="J1025" s="129"/>
      <c r="K1025" s="129"/>
      <c r="L1025" s="129"/>
      <c r="M1025" s="129"/>
      <c r="N1025" s="129"/>
      <c r="O1025" s="129"/>
      <c r="P1025" s="129"/>
      <c r="Q1025" s="129"/>
      <c r="R1025" s="129"/>
      <c r="S1025" s="129"/>
      <c r="T1025" s="129"/>
      <c r="U1025" s="129"/>
      <c r="V1025" s="129"/>
      <c r="W1025" s="129"/>
      <c r="X1025" s="129"/>
      <c r="Y1025" s="129"/>
      <c r="Z1025" s="129"/>
      <c r="AA1025" s="129"/>
      <c r="AB1025" s="129"/>
      <c r="AC1025" s="129"/>
      <c r="AD1025" s="129"/>
      <c r="AE1025" s="129"/>
      <c r="AF1025" s="129"/>
      <c r="AG1025" s="129"/>
      <c r="AH1025" s="129"/>
      <c r="AI1025" s="129"/>
      <c r="AJ1025" s="129"/>
      <c r="AK1025" s="129"/>
      <c r="AL1025" s="129"/>
      <c r="AM1025" s="129"/>
    </row>
    <row r="1026" spans="1:39" hidden="1" x14ac:dyDescent="0.25">
      <c r="A1026" s="127">
        <v>1025</v>
      </c>
      <c r="B1026" s="152" t="s">
        <v>4613</v>
      </c>
      <c r="C1026" s="153" t="s">
        <v>4614</v>
      </c>
      <c r="D1026" s="153" t="s">
        <v>4615</v>
      </c>
      <c r="E1026" s="153" t="s">
        <v>4948</v>
      </c>
      <c r="F1026" s="6"/>
      <c r="G1026" s="6"/>
      <c r="H1026" s="128">
        <f t="shared" ref="H1026:H1089" si="17">SUM(I1026:AM1026)</f>
        <v>300</v>
      </c>
      <c r="I1026" s="129">
        <v>300</v>
      </c>
      <c r="J1026" s="129"/>
      <c r="K1026" s="129"/>
      <c r="L1026" s="129"/>
      <c r="M1026" s="129"/>
      <c r="N1026" s="129"/>
      <c r="O1026" s="129"/>
      <c r="P1026" s="129"/>
      <c r="Q1026" s="129"/>
      <c r="R1026" s="129"/>
      <c r="S1026" s="129"/>
      <c r="T1026" s="129"/>
      <c r="U1026" s="129"/>
      <c r="V1026" s="129"/>
      <c r="W1026" s="129"/>
      <c r="X1026" s="129"/>
      <c r="Y1026" s="129"/>
      <c r="Z1026" s="129"/>
      <c r="AA1026" s="129"/>
      <c r="AB1026" s="129"/>
      <c r="AC1026" s="129"/>
      <c r="AD1026" s="129"/>
      <c r="AE1026" s="129"/>
      <c r="AF1026" s="129"/>
      <c r="AG1026" s="129"/>
      <c r="AH1026" s="129"/>
      <c r="AI1026" s="129"/>
      <c r="AJ1026" s="129"/>
      <c r="AK1026" s="129"/>
      <c r="AL1026" s="129"/>
      <c r="AM1026" s="129"/>
    </row>
    <row r="1027" spans="1:39" hidden="1" x14ac:dyDescent="0.25">
      <c r="A1027" s="127">
        <v>1026</v>
      </c>
      <c r="B1027" s="157" t="s">
        <v>1504</v>
      </c>
      <c r="C1027" s="158" t="s">
        <v>4616</v>
      </c>
      <c r="D1027" s="158" t="s">
        <v>4617</v>
      </c>
      <c r="E1027" s="153" t="s">
        <v>4948</v>
      </c>
      <c r="F1027" s="6"/>
      <c r="G1027" s="6"/>
      <c r="H1027" s="128">
        <f t="shared" si="17"/>
        <v>0</v>
      </c>
      <c r="I1027" s="129"/>
      <c r="J1027" s="129"/>
      <c r="K1027" s="129"/>
      <c r="L1027" s="129"/>
      <c r="M1027" s="129"/>
      <c r="N1027" s="129"/>
      <c r="O1027" s="129"/>
      <c r="P1027" s="129"/>
      <c r="Q1027" s="129"/>
      <c r="R1027" s="129"/>
      <c r="S1027" s="129"/>
      <c r="T1027" s="129"/>
      <c r="U1027" s="129"/>
      <c r="V1027" s="129"/>
      <c r="W1027" s="129"/>
      <c r="X1027" s="129"/>
      <c r="Y1027" s="129"/>
      <c r="Z1027" s="129"/>
      <c r="AA1027" s="129"/>
      <c r="AB1027" s="129"/>
      <c r="AC1027" s="129"/>
      <c r="AD1027" s="129"/>
      <c r="AE1027" s="129"/>
      <c r="AF1027" s="129"/>
      <c r="AG1027" s="129"/>
      <c r="AH1027" s="129"/>
      <c r="AI1027" s="129"/>
      <c r="AJ1027" s="129"/>
      <c r="AK1027" s="129"/>
      <c r="AL1027" s="129"/>
      <c r="AM1027" s="129"/>
    </row>
    <row r="1028" spans="1:39" hidden="1" x14ac:dyDescent="0.25">
      <c r="A1028" s="127">
        <v>1027</v>
      </c>
      <c r="B1028" s="152" t="s">
        <v>4618</v>
      </c>
      <c r="C1028" s="153" t="s">
        <v>4619</v>
      </c>
      <c r="D1028" s="153" t="s">
        <v>4620</v>
      </c>
      <c r="E1028" s="153" t="s">
        <v>64</v>
      </c>
      <c r="F1028" s="6"/>
      <c r="G1028" s="6"/>
      <c r="H1028" s="128">
        <f t="shared" si="17"/>
        <v>0</v>
      </c>
      <c r="I1028" s="129"/>
      <c r="J1028" s="129"/>
      <c r="K1028" s="129"/>
      <c r="L1028" s="129"/>
      <c r="M1028" s="129"/>
      <c r="N1028" s="129"/>
      <c r="O1028" s="129"/>
      <c r="P1028" s="129"/>
      <c r="Q1028" s="129"/>
      <c r="R1028" s="129"/>
      <c r="S1028" s="129"/>
      <c r="T1028" s="129"/>
      <c r="U1028" s="129"/>
      <c r="V1028" s="129"/>
      <c r="W1028" s="129"/>
      <c r="X1028" s="129"/>
      <c r="Y1028" s="129"/>
      <c r="Z1028" s="129"/>
      <c r="AA1028" s="129"/>
      <c r="AB1028" s="129"/>
      <c r="AC1028" s="129"/>
      <c r="AD1028" s="129"/>
      <c r="AE1028" s="129"/>
      <c r="AF1028" s="129"/>
      <c r="AG1028" s="129"/>
      <c r="AH1028" s="129"/>
      <c r="AI1028" s="129"/>
      <c r="AJ1028" s="129"/>
      <c r="AK1028" s="129"/>
      <c r="AL1028" s="129"/>
      <c r="AM1028" s="129"/>
    </row>
    <row r="1029" spans="1:39" hidden="1" x14ac:dyDescent="0.25">
      <c r="A1029" s="127">
        <v>1028</v>
      </c>
      <c r="B1029" s="152" t="s">
        <v>4621</v>
      </c>
      <c r="C1029" s="153" t="s">
        <v>4622</v>
      </c>
      <c r="D1029" s="153" t="s">
        <v>4623</v>
      </c>
      <c r="E1029" s="153" t="s">
        <v>64</v>
      </c>
      <c r="F1029" s="6"/>
      <c r="G1029" s="6"/>
      <c r="H1029" s="128">
        <f t="shared" si="17"/>
        <v>0</v>
      </c>
      <c r="I1029" s="129"/>
      <c r="J1029" s="129"/>
      <c r="K1029" s="129"/>
      <c r="L1029" s="129"/>
      <c r="M1029" s="129"/>
      <c r="N1029" s="129"/>
      <c r="O1029" s="129"/>
      <c r="P1029" s="129"/>
      <c r="Q1029" s="129"/>
      <c r="R1029" s="129"/>
      <c r="S1029" s="129"/>
      <c r="T1029" s="129"/>
      <c r="U1029" s="129"/>
      <c r="V1029" s="129"/>
      <c r="W1029" s="129"/>
      <c r="X1029" s="129"/>
      <c r="Y1029" s="129"/>
      <c r="Z1029" s="129"/>
      <c r="AA1029" s="129"/>
      <c r="AB1029" s="129"/>
      <c r="AC1029" s="129"/>
      <c r="AD1029" s="129"/>
      <c r="AE1029" s="129"/>
      <c r="AF1029" s="129"/>
      <c r="AG1029" s="129"/>
      <c r="AH1029" s="129"/>
      <c r="AI1029" s="129"/>
      <c r="AJ1029" s="129"/>
      <c r="AK1029" s="129"/>
      <c r="AL1029" s="129"/>
      <c r="AM1029" s="129"/>
    </row>
    <row r="1030" spans="1:39" hidden="1" x14ac:dyDescent="0.25">
      <c r="A1030" s="127">
        <v>1029</v>
      </c>
      <c r="B1030" s="152" t="s">
        <v>4624</v>
      </c>
      <c r="C1030" s="153" t="s">
        <v>4625</v>
      </c>
      <c r="D1030" s="153" t="s">
        <v>4626</v>
      </c>
      <c r="E1030" s="153" t="s">
        <v>4948</v>
      </c>
      <c r="F1030" s="6"/>
      <c r="G1030" s="6"/>
      <c r="H1030" s="128">
        <f t="shared" si="17"/>
        <v>0</v>
      </c>
      <c r="I1030" s="129"/>
      <c r="J1030" s="129"/>
      <c r="K1030" s="129"/>
      <c r="L1030" s="129"/>
      <c r="M1030" s="129"/>
      <c r="N1030" s="129"/>
      <c r="O1030" s="129"/>
      <c r="P1030" s="129"/>
      <c r="Q1030" s="129"/>
      <c r="R1030" s="129"/>
      <c r="S1030" s="129"/>
      <c r="T1030" s="129"/>
      <c r="U1030" s="129"/>
      <c r="V1030" s="129"/>
      <c r="W1030" s="129"/>
      <c r="X1030" s="129"/>
      <c r="Y1030" s="129"/>
      <c r="Z1030" s="129"/>
      <c r="AA1030" s="129"/>
      <c r="AB1030" s="129"/>
      <c r="AC1030" s="129"/>
      <c r="AD1030" s="129"/>
      <c r="AE1030" s="129"/>
      <c r="AF1030" s="129"/>
      <c r="AG1030" s="129"/>
      <c r="AH1030" s="129"/>
      <c r="AI1030" s="129"/>
      <c r="AJ1030" s="129"/>
      <c r="AK1030" s="129"/>
      <c r="AL1030" s="129"/>
      <c r="AM1030" s="129"/>
    </row>
    <row r="1031" spans="1:39" hidden="1" x14ac:dyDescent="0.25">
      <c r="A1031" s="127">
        <v>1030</v>
      </c>
      <c r="B1031" s="152" t="s">
        <v>4627</v>
      </c>
      <c r="C1031" s="153" t="s">
        <v>4628</v>
      </c>
      <c r="D1031" s="153" t="s">
        <v>4629</v>
      </c>
      <c r="E1031" s="153" t="s">
        <v>4948</v>
      </c>
      <c r="F1031" s="6"/>
      <c r="G1031" s="6"/>
      <c r="H1031" s="128">
        <f t="shared" si="17"/>
        <v>0</v>
      </c>
      <c r="I1031" s="129"/>
      <c r="J1031" s="129"/>
      <c r="K1031" s="129"/>
      <c r="L1031" s="129"/>
      <c r="M1031" s="129"/>
      <c r="N1031" s="129"/>
      <c r="O1031" s="129"/>
      <c r="P1031" s="129"/>
      <c r="Q1031" s="129"/>
      <c r="R1031" s="129"/>
      <c r="S1031" s="129"/>
      <c r="T1031" s="129"/>
      <c r="U1031" s="129"/>
      <c r="V1031" s="129"/>
      <c r="W1031" s="129"/>
      <c r="X1031" s="129"/>
      <c r="Y1031" s="129"/>
      <c r="Z1031" s="129"/>
      <c r="AA1031" s="129"/>
      <c r="AB1031" s="129"/>
      <c r="AC1031" s="129"/>
      <c r="AD1031" s="129"/>
      <c r="AE1031" s="129"/>
      <c r="AF1031" s="129"/>
      <c r="AG1031" s="129"/>
      <c r="AH1031" s="129"/>
      <c r="AI1031" s="129"/>
      <c r="AJ1031" s="129"/>
      <c r="AK1031" s="129"/>
      <c r="AL1031" s="129"/>
      <c r="AM1031" s="129"/>
    </row>
    <row r="1032" spans="1:39" hidden="1" x14ac:dyDescent="0.25">
      <c r="A1032" s="127">
        <v>1031</v>
      </c>
      <c r="B1032" s="152" t="s">
        <v>4630</v>
      </c>
      <c r="C1032" s="153" t="s">
        <v>4631</v>
      </c>
      <c r="D1032" s="153" t="s">
        <v>4632</v>
      </c>
      <c r="E1032" s="153" t="s">
        <v>4948</v>
      </c>
      <c r="F1032" s="6"/>
      <c r="G1032" s="6"/>
      <c r="H1032" s="128">
        <f t="shared" si="17"/>
        <v>0</v>
      </c>
      <c r="I1032" s="129"/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</row>
    <row r="1033" spans="1:39" hidden="1" x14ac:dyDescent="0.25">
      <c r="A1033" s="127">
        <v>1032</v>
      </c>
      <c r="B1033" s="152" t="s">
        <v>4633</v>
      </c>
      <c r="C1033" s="153" t="s">
        <v>4634</v>
      </c>
      <c r="D1033" s="153" t="s">
        <v>4635</v>
      </c>
      <c r="E1033" s="153" t="s">
        <v>4948</v>
      </c>
      <c r="F1033" s="6"/>
      <c r="G1033" s="6"/>
      <c r="H1033" s="128">
        <f t="shared" si="17"/>
        <v>0</v>
      </c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</row>
    <row r="1034" spans="1:39" hidden="1" x14ac:dyDescent="0.25">
      <c r="A1034" s="127">
        <v>1033</v>
      </c>
      <c r="B1034" s="152" t="s">
        <v>4636</v>
      </c>
      <c r="C1034" s="153" t="s">
        <v>4637</v>
      </c>
      <c r="D1034" s="153" t="s">
        <v>4638</v>
      </c>
      <c r="E1034" s="153" t="s">
        <v>4948</v>
      </c>
      <c r="F1034" s="6"/>
      <c r="G1034" s="6"/>
      <c r="H1034" s="128">
        <f t="shared" si="17"/>
        <v>0</v>
      </c>
      <c r="I1034" s="129"/>
      <c r="J1034" s="129"/>
      <c r="K1034" s="129"/>
      <c r="L1034" s="129"/>
      <c r="M1034" s="129"/>
      <c r="N1034" s="129"/>
      <c r="O1034" s="129"/>
      <c r="P1034" s="129"/>
      <c r="Q1034" s="129"/>
      <c r="R1034" s="129"/>
      <c r="S1034" s="129"/>
      <c r="T1034" s="129"/>
      <c r="U1034" s="129"/>
      <c r="V1034" s="129"/>
      <c r="W1034" s="129"/>
      <c r="X1034" s="129"/>
      <c r="Y1034" s="129"/>
      <c r="Z1034" s="129"/>
      <c r="AA1034" s="129"/>
      <c r="AB1034" s="129"/>
      <c r="AC1034" s="129"/>
      <c r="AD1034" s="129"/>
      <c r="AE1034" s="129"/>
      <c r="AF1034" s="129"/>
      <c r="AG1034" s="129"/>
      <c r="AH1034" s="129"/>
      <c r="AI1034" s="129"/>
      <c r="AJ1034" s="129"/>
      <c r="AK1034" s="129"/>
      <c r="AL1034" s="129"/>
      <c r="AM1034" s="129"/>
    </row>
    <row r="1035" spans="1:39" hidden="1" x14ac:dyDescent="0.25">
      <c r="A1035" s="127">
        <v>1034</v>
      </c>
      <c r="B1035" s="152" t="s">
        <v>4639</v>
      </c>
      <c r="C1035" s="153" t="s">
        <v>4640</v>
      </c>
      <c r="D1035" s="153" t="s">
        <v>4641</v>
      </c>
      <c r="E1035" s="153" t="s">
        <v>4948</v>
      </c>
      <c r="F1035" s="6"/>
      <c r="G1035" s="6"/>
      <c r="H1035" s="128">
        <f t="shared" si="17"/>
        <v>0</v>
      </c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29"/>
      <c r="AL1035" s="129"/>
      <c r="AM1035" s="129"/>
    </row>
    <row r="1036" spans="1:39" hidden="1" x14ac:dyDescent="0.25">
      <c r="A1036" s="127">
        <v>1035</v>
      </c>
      <c r="B1036" s="152" t="s">
        <v>4642</v>
      </c>
      <c r="C1036" s="153" t="s">
        <v>4643</v>
      </c>
      <c r="D1036" s="153" t="s">
        <v>4644</v>
      </c>
      <c r="E1036" s="153" t="s">
        <v>4948</v>
      </c>
      <c r="F1036" s="6"/>
      <c r="G1036" s="6"/>
      <c r="H1036" s="128">
        <f t="shared" si="17"/>
        <v>0</v>
      </c>
      <c r="I1036" s="129"/>
      <c r="J1036" s="129"/>
      <c r="K1036" s="129"/>
      <c r="L1036" s="129"/>
      <c r="M1036" s="129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</row>
    <row r="1037" spans="1:39" hidden="1" x14ac:dyDescent="0.25">
      <c r="A1037" s="127">
        <v>1036</v>
      </c>
      <c r="B1037" s="152" t="s">
        <v>4645</v>
      </c>
      <c r="C1037" s="153" t="s">
        <v>4646</v>
      </c>
      <c r="D1037" s="153" t="s">
        <v>4647</v>
      </c>
      <c r="E1037" s="153" t="s">
        <v>4948</v>
      </c>
      <c r="F1037" s="6"/>
      <c r="G1037" s="6"/>
      <c r="H1037" s="128">
        <f t="shared" si="17"/>
        <v>0</v>
      </c>
      <c r="I1037" s="129"/>
      <c r="J1037" s="129"/>
      <c r="K1037" s="129"/>
      <c r="L1037" s="129"/>
      <c r="M1037" s="129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</row>
    <row r="1038" spans="1:39" hidden="1" x14ac:dyDescent="0.25">
      <c r="A1038" s="127">
        <v>1037</v>
      </c>
      <c r="B1038" s="152" t="s">
        <v>4648</v>
      </c>
      <c r="C1038" s="153" t="s">
        <v>4649</v>
      </c>
      <c r="D1038" s="153" t="s">
        <v>4650</v>
      </c>
      <c r="E1038" s="153" t="s">
        <v>4948</v>
      </c>
      <c r="F1038" s="6"/>
      <c r="G1038" s="6"/>
      <c r="H1038" s="128">
        <f t="shared" si="17"/>
        <v>0</v>
      </c>
      <c r="I1038" s="129"/>
      <c r="J1038" s="129"/>
      <c r="K1038" s="129"/>
      <c r="L1038" s="129"/>
      <c r="M1038" s="129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</row>
    <row r="1039" spans="1:39" hidden="1" x14ac:dyDescent="0.25">
      <c r="A1039" s="127">
        <v>1038</v>
      </c>
      <c r="B1039" s="157" t="s">
        <v>4651</v>
      </c>
      <c r="C1039" s="158" t="s">
        <v>4652</v>
      </c>
      <c r="D1039" s="158" t="s">
        <v>4653</v>
      </c>
      <c r="E1039" s="153" t="s">
        <v>4948</v>
      </c>
      <c r="F1039" s="6"/>
      <c r="G1039" s="6"/>
      <c r="H1039" s="128">
        <f t="shared" si="17"/>
        <v>0</v>
      </c>
      <c r="I1039" s="129"/>
      <c r="J1039" s="129"/>
      <c r="K1039" s="129"/>
      <c r="L1039" s="129"/>
      <c r="M1039" s="129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</row>
    <row r="1040" spans="1:39" hidden="1" x14ac:dyDescent="0.25">
      <c r="A1040" s="127">
        <v>1039</v>
      </c>
      <c r="B1040" s="152" t="s">
        <v>665</v>
      </c>
      <c r="C1040" s="153" t="s">
        <v>4654</v>
      </c>
      <c r="D1040" s="153" t="s">
        <v>4655</v>
      </c>
      <c r="E1040" s="153" t="s">
        <v>64</v>
      </c>
      <c r="F1040" s="6"/>
      <c r="G1040" s="6"/>
      <c r="H1040" s="128">
        <f t="shared" si="17"/>
        <v>0</v>
      </c>
      <c r="I1040" s="129"/>
      <c r="J1040" s="129"/>
      <c r="K1040" s="129"/>
      <c r="L1040" s="129"/>
      <c r="M1040" s="129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</row>
    <row r="1041" spans="1:39" hidden="1" x14ac:dyDescent="0.25">
      <c r="A1041" s="127">
        <v>1040</v>
      </c>
      <c r="B1041" s="152" t="s">
        <v>120</v>
      </c>
      <c r="C1041" s="153" t="s">
        <v>4656</v>
      </c>
      <c r="D1041" s="153" t="s">
        <v>4657</v>
      </c>
      <c r="E1041" s="153" t="s">
        <v>4948</v>
      </c>
      <c r="F1041" s="6"/>
      <c r="G1041" s="6"/>
      <c r="H1041" s="128">
        <f t="shared" si="17"/>
        <v>0</v>
      </c>
      <c r="I1041" s="129"/>
      <c r="J1041" s="129"/>
      <c r="K1041" s="129"/>
      <c r="L1041" s="129"/>
      <c r="M1041" s="129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</row>
    <row r="1042" spans="1:39" hidden="1" x14ac:dyDescent="0.25">
      <c r="A1042" s="127">
        <v>1041</v>
      </c>
      <c r="B1042" s="152" t="s">
        <v>2009</v>
      </c>
      <c r="C1042" s="153" t="s">
        <v>2010</v>
      </c>
      <c r="D1042" s="153" t="s">
        <v>4658</v>
      </c>
      <c r="E1042" s="153" t="s">
        <v>4948</v>
      </c>
      <c r="F1042" s="6"/>
      <c r="G1042" s="6"/>
      <c r="H1042" s="128">
        <f t="shared" si="17"/>
        <v>0</v>
      </c>
      <c r="I1042" s="129"/>
      <c r="J1042" s="129"/>
      <c r="K1042" s="129"/>
      <c r="L1042" s="129"/>
      <c r="M1042" s="129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</row>
    <row r="1043" spans="1:39" hidden="1" x14ac:dyDescent="0.25">
      <c r="A1043" s="127">
        <v>1042</v>
      </c>
      <c r="B1043" s="152" t="s">
        <v>652</v>
      </c>
      <c r="C1043" s="153" t="s">
        <v>4659</v>
      </c>
      <c r="D1043" s="153" t="s">
        <v>4660</v>
      </c>
      <c r="E1043" s="153" t="s">
        <v>4948</v>
      </c>
      <c r="F1043" s="6"/>
      <c r="G1043" s="6"/>
      <c r="H1043" s="128">
        <f t="shared" si="17"/>
        <v>3.2</v>
      </c>
      <c r="I1043" s="190">
        <v>3.2</v>
      </c>
      <c r="J1043" s="129"/>
      <c r="K1043" s="129"/>
      <c r="L1043" s="129"/>
      <c r="M1043" s="129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</row>
    <row r="1044" spans="1:39" hidden="1" x14ac:dyDescent="0.25">
      <c r="A1044" s="127">
        <v>1043</v>
      </c>
      <c r="B1044" s="152" t="s">
        <v>47</v>
      </c>
      <c r="C1044" s="153" t="s">
        <v>4661</v>
      </c>
      <c r="D1044" s="153" t="s">
        <v>4662</v>
      </c>
      <c r="E1044" s="153" t="s">
        <v>64</v>
      </c>
      <c r="F1044" s="6"/>
      <c r="G1044" s="6"/>
      <c r="H1044" s="128">
        <f t="shared" si="17"/>
        <v>0</v>
      </c>
      <c r="I1044" s="129"/>
      <c r="J1044" s="129"/>
      <c r="K1044" s="129"/>
      <c r="L1044" s="129"/>
      <c r="M1044" s="129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</row>
    <row r="1045" spans="1:39" hidden="1" x14ac:dyDescent="0.25">
      <c r="A1045" s="127">
        <v>1044</v>
      </c>
      <c r="B1045" s="152" t="s">
        <v>1289</v>
      </c>
      <c r="C1045" s="153" t="s">
        <v>4663</v>
      </c>
      <c r="D1045" s="153" t="s">
        <v>4664</v>
      </c>
      <c r="E1045" s="153" t="s">
        <v>4948</v>
      </c>
      <c r="F1045" s="6"/>
      <c r="G1045" s="6"/>
      <c r="H1045" s="128">
        <f t="shared" si="17"/>
        <v>9.52</v>
      </c>
      <c r="I1045" s="129">
        <v>9.52</v>
      </c>
      <c r="J1045" s="129"/>
      <c r="K1045" s="129"/>
      <c r="L1045" s="129"/>
      <c r="M1045" s="129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</row>
    <row r="1046" spans="1:39" hidden="1" x14ac:dyDescent="0.25">
      <c r="A1046" s="127">
        <v>1045</v>
      </c>
      <c r="B1046" s="152" t="s">
        <v>4665</v>
      </c>
      <c r="C1046" s="153" t="s">
        <v>4666</v>
      </c>
      <c r="D1046" s="153" t="s">
        <v>4667</v>
      </c>
      <c r="E1046" s="153" t="s">
        <v>4948</v>
      </c>
      <c r="F1046" s="6"/>
      <c r="G1046" s="6"/>
      <c r="H1046" s="128">
        <f t="shared" si="17"/>
        <v>0</v>
      </c>
      <c r="I1046" s="129"/>
      <c r="J1046" s="129"/>
      <c r="K1046" s="129"/>
      <c r="L1046" s="129"/>
      <c r="M1046" s="129"/>
      <c r="N1046" s="129"/>
      <c r="O1046" s="129"/>
      <c r="P1046" s="129"/>
      <c r="Q1046" s="129"/>
      <c r="R1046" s="129"/>
      <c r="S1046" s="129"/>
      <c r="T1046" s="129"/>
      <c r="U1046" s="129"/>
      <c r="V1046" s="129"/>
      <c r="W1046" s="129"/>
      <c r="X1046" s="129"/>
      <c r="Y1046" s="129"/>
      <c r="Z1046" s="129"/>
      <c r="AA1046" s="129"/>
      <c r="AB1046" s="129"/>
      <c r="AC1046" s="129"/>
      <c r="AD1046" s="129"/>
      <c r="AE1046" s="129"/>
      <c r="AF1046" s="129"/>
      <c r="AG1046" s="129"/>
      <c r="AH1046" s="129"/>
      <c r="AI1046" s="129"/>
      <c r="AJ1046" s="129"/>
      <c r="AK1046" s="129"/>
      <c r="AL1046" s="129"/>
      <c r="AM1046" s="129"/>
    </row>
    <row r="1047" spans="1:39" hidden="1" x14ac:dyDescent="0.25">
      <c r="A1047" s="127">
        <v>1046</v>
      </c>
      <c r="B1047" s="152" t="s">
        <v>65</v>
      </c>
      <c r="C1047" s="153" t="s">
        <v>4668</v>
      </c>
      <c r="D1047" s="153" t="s">
        <v>4669</v>
      </c>
      <c r="E1047" s="153" t="s">
        <v>64</v>
      </c>
      <c r="F1047" s="6"/>
      <c r="G1047" s="6"/>
      <c r="H1047" s="128">
        <f t="shared" si="17"/>
        <v>0</v>
      </c>
      <c r="I1047" s="129"/>
      <c r="J1047" s="129"/>
      <c r="K1047" s="129"/>
      <c r="L1047" s="129"/>
      <c r="M1047" s="129"/>
      <c r="N1047" s="129"/>
      <c r="O1047" s="129"/>
      <c r="P1047" s="129"/>
      <c r="Q1047" s="129"/>
      <c r="R1047" s="129"/>
      <c r="S1047" s="129"/>
      <c r="T1047" s="129"/>
      <c r="U1047" s="129"/>
      <c r="V1047" s="129"/>
      <c r="W1047" s="129"/>
      <c r="X1047" s="129"/>
      <c r="Y1047" s="129"/>
      <c r="Z1047" s="129"/>
      <c r="AA1047" s="129"/>
      <c r="AB1047" s="129"/>
      <c r="AC1047" s="129"/>
      <c r="AD1047" s="129"/>
      <c r="AE1047" s="129"/>
      <c r="AF1047" s="129"/>
      <c r="AG1047" s="129"/>
      <c r="AH1047" s="129"/>
      <c r="AI1047" s="129"/>
      <c r="AJ1047" s="129"/>
      <c r="AK1047" s="129"/>
      <c r="AL1047" s="129"/>
      <c r="AM1047" s="129"/>
    </row>
    <row r="1048" spans="1:39" hidden="1" x14ac:dyDescent="0.25">
      <c r="A1048" s="127">
        <v>1047</v>
      </c>
      <c r="B1048" s="152" t="s">
        <v>1321</v>
      </c>
      <c r="C1048" s="153" t="s">
        <v>4670</v>
      </c>
      <c r="D1048" s="153" t="s">
        <v>4671</v>
      </c>
      <c r="E1048" s="153" t="s">
        <v>64</v>
      </c>
      <c r="F1048" s="6"/>
      <c r="G1048" s="6"/>
      <c r="H1048" s="128">
        <f t="shared" si="17"/>
        <v>0</v>
      </c>
      <c r="I1048" s="129"/>
      <c r="J1048" s="129"/>
      <c r="K1048" s="129"/>
      <c r="L1048" s="129"/>
      <c r="M1048" s="129"/>
      <c r="N1048" s="129"/>
      <c r="O1048" s="129"/>
      <c r="P1048" s="129"/>
      <c r="Q1048" s="129"/>
      <c r="R1048" s="129"/>
      <c r="S1048" s="129"/>
      <c r="T1048" s="129"/>
      <c r="U1048" s="129"/>
      <c r="V1048" s="129"/>
      <c r="W1048" s="129"/>
      <c r="X1048" s="129"/>
      <c r="Y1048" s="129"/>
      <c r="Z1048" s="129"/>
      <c r="AA1048" s="129"/>
      <c r="AB1048" s="129"/>
      <c r="AC1048" s="129"/>
      <c r="AD1048" s="129"/>
      <c r="AE1048" s="129"/>
      <c r="AF1048" s="129"/>
      <c r="AG1048" s="129"/>
      <c r="AH1048" s="129"/>
      <c r="AI1048" s="129"/>
      <c r="AJ1048" s="129"/>
      <c r="AK1048" s="129"/>
      <c r="AL1048" s="129"/>
      <c r="AM1048" s="129"/>
    </row>
    <row r="1049" spans="1:39" hidden="1" x14ac:dyDescent="0.25">
      <c r="A1049" s="127">
        <v>1048</v>
      </c>
      <c r="B1049" s="152" t="s">
        <v>1471</v>
      </c>
      <c r="C1049" s="153" t="s">
        <v>4672</v>
      </c>
      <c r="D1049" s="153" t="s">
        <v>4673</v>
      </c>
      <c r="E1049" s="153" t="s">
        <v>2111</v>
      </c>
      <c r="F1049" s="6"/>
      <c r="G1049" s="6"/>
      <c r="H1049" s="128">
        <f t="shared" si="17"/>
        <v>0</v>
      </c>
      <c r="I1049" s="129"/>
      <c r="J1049" s="129"/>
      <c r="K1049" s="129"/>
      <c r="L1049" s="129"/>
      <c r="M1049" s="129"/>
      <c r="N1049" s="129"/>
      <c r="O1049" s="129"/>
      <c r="P1049" s="129"/>
      <c r="Q1049" s="129"/>
      <c r="R1049" s="129"/>
      <c r="S1049" s="129"/>
      <c r="T1049" s="129"/>
      <c r="U1049" s="129"/>
      <c r="V1049" s="129"/>
      <c r="W1049" s="129"/>
      <c r="X1049" s="129"/>
      <c r="Y1049" s="129"/>
      <c r="Z1049" s="129"/>
      <c r="AA1049" s="129"/>
      <c r="AB1049" s="129"/>
      <c r="AC1049" s="129"/>
      <c r="AD1049" s="129"/>
      <c r="AE1049" s="129"/>
      <c r="AF1049" s="129"/>
      <c r="AG1049" s="129"/>
      <c r="AH1049" s="129"/>
      <c r="AI1049" s="129"/>
      <c r="AJ1049" s="129"/>
      <c r="AK1049" s="129"/>
      <c r="AL1049" s="129"/>
      <c r="AM1049" s="129"/>
    </row>
    <row r="1050" spans="1:39" hidden="1" x14ac:dyDescent="0.25">
      <c r="A1050" s="127">
        <v>1049</v>
      </c>
      <c r="B1050" s="152" t="s">
        <v>508</v>
      </c>
      <c r="C1050" s="153" t="s">
        <v>4674</v>
      </c>
      <c r="D1050" s="153" t="s">
        <v>4675</v>
      </c>
      <c r="E1050" s="153" t="s">
        <v>64</v>
      </c>
      <c r="F1050" s="6"/>
      <c r="G1050" s="6"/>
      <c r="H1050" s="128">
        <f t="shared" si="17"/>
        <v>0</v>
      </c>
      <c r="I1050" s="129"/>
      <c r="J1050" s="129"/>
      <c r="K1050" s="129"/>
      <c r="L1050" s="129"/>
      <c r="M1050" s="129"/>
      <c r="N1050" s="129"/>
      <c r="O1050" s="129"/>
      <c r="P1050" s="129"/>
      <c r="Q1050" s="129"/>
      <c r="R1050" s="129"/>
      <c r="S1050" s="129"/>
      <c r="T1050" s="129"/>
      <c r="U1050" s="129"/>
      <c r="V1050" s="129"/>
      <c r="W1050" s="129"/>
      <c r="X1050" s="129"/>
      <c r="Y1050" s="129"/>
      <c r="Z1050" s="129"/>
      <c r="AA1050" s="129"/>
      <c r="AB1050" s="129"/>
      <c r="AC1050" s="129"/>
      <c r="AD1050" s="129"/>
      <c r="AE1050" s="129"/>
      <c r="AF1050" s="129"/>
      <c r="AG1050" s="129"/>
      <c r="AH1050" s="129"/>
      <c r="AI1050" s="129"/>
      <c r="AJ1050" s="129"/>
      <c r="AK1050" s="129"/>
      <c r="AL1050" s="129"/>
      <c r="AM1050" s="129"/>
    </row>
    <row r="1051" spans="1:39" hidden="1" x14ac:dyDescent="0.25">
      <c r="A1051" s="127">
        <v>1050</v>
      </c>
      <c r="B1051" s="152" t="s">
        <v>4676</v>
      </c>
      <c r="C1051" s="153" t="s">
        <v>4677</v>
      </c>
      <c r="D1051" s="153" t="s">
        <v>4678</v>
      </c>
      <c r="E1051" s="153" t="s">
        <v>4948</v>
      </c>
      <c r="F1051" s="6"/>
      <c r="G1051" s="6"/>
      <c r="H1051" s="128">
        <f t="shared" si="17"/>
        <v>0</v>
      </c>
      <c r="I1051" s="129"/>
      <c r="J1051" s="129"/>
      <c r="K1051" s="129"/>
      <c r="L1051" s="129"/>
      <c r="M1051" s="129"/>
      <c r="N1051" s="129"/>
      <c r="O1051" s="129"/>
      <c r="P1051" s="129"/>
      <c r="Q1051" s="129"/>
      <c r="R1051" s="129"/>
      <c r="S1051" s="129"/>
      <c r="T1051" s="129"/>
      <c r="U1051" s="129"/>
      <c r="V1051" s="129"/>
      <c r="W1051" s="129"/>
      <c r="X1051" s="129"/>
      <c r="Y1051" s="129"/>
      <c r="Z1051" s="129"/>
      <c r="AA1051" s="129"/>
      <c r="AB1051" s="129"/>
      <c r="AC1051" s="129"/>
      <c r="AD1051" s="129"/>
      <c r="AE1051" s="129"/>
      <c r="AF1051" s="129"/>
      <c r="AG1051" s="129"/>
      <c r="AH1051" s="129"/>
      <c r="AI1051" s="129"/>
      <c r="AJ1051" s="129"/>
      <c r="AK1051" s="129"/>
      <c r="AL1051" s="129"/>
      <c r="AM1051" s="129"/>
    </row>
    <row r="1052" spans="1:39" hidden="1" x14ac:dyDescent="0.25">
      <c r="A1052" s="127">
        <v>1051</v>
      </c>
      <c r="B1052" s="152" t="s">
        <v>422</v>
      </c>
      <c r="C1052" s="153" t="s">
        <v>4679</v>
      </c>
      <c r="D1052" s="153" t="s">
        <v>4680</v>
      </c>
      <c r="E1052" s="153" t="s">
        <v>4948</v>
      </c>
      <c r="F1052" s="6"/>
      <c r="G1052" s="6"/>
      <c r="H1052" s="128">
        <f t="shared" si="17"/>
        <v>0</v>
      </c>
      <c r="I1052" s="129"/>
      <c r="J1052" s="129"/>
      <c r="K1052" s="129"/>
      <c r="L1052" s="129"/>
      <c r="M1052" s="129"/>
      <c r="N1052" s="129"/>
      <c r="O1052" s="129"/>
      <c r="P1052" s="129"/>
      <c r="Q1052" s="129"/>
      <c r="R1052" s="129"/>
      <c r="S1052" s="129"/>
      <c r="T1052" s="129"/>
      <c r="U1052" s="129"/>
      <c r="V1052" s="129"/>
      <c r="W1052" s="129"/>
      <c r="X1052" s="129"/>
      <c r="Y1052" s="129"/>
      <c r="Z1052" s="129"/>
      <c r="AA1052" s="129"/>
      <c r="AB1052" s="129"/>
      <c r="AC1052" s="129"/>
      <c r="AD1052" s="129"/>
      <c r="AE1052" s="129"/>
      <c r="AF1052" s="129"/>
      <c r="AG1052" s="129"/>
      <c r="AH1052" s="129"/>
      <c r="AI1052" s="129"/>
      <c r="AJ1052" s="129"/>
      <c r="AK1052" s="129"/>
      <c r="AL1052" s="129"/>
      <c r="AM1052" s="129"/>
    </row>
    <row r="1053" spans="1:39" hidden="1" x14ac:dyDescent="0.25">
      <c r="A1053" s="127">
        <v>1052</v>
      </c>
      <c r="B1053" s="152" t="s">
        <v>4681</v>
      </c>
      <c r="C1053" s="153" t="s">
        <v>4682</v>
      </c>
      <c r="D1053" s="153" t="s">
        <v>4683</v>
      </c>
      <c r="E1053" s="153" t="s">
        <v>4948</v>
      </c>
      <c r="F1053" s="6"/>
      <c r="G1053" s="6"/>
      <c r="H1053" s="128">
        <f t="shared" si="17"/>
        <v>0</v>
      </c>
      <c r="I1053" s="129"/>
      <c r="J1053" s="129"/>
      <c r="K1053" s="129"/>
      <c r="L1053" s="129"/>
      <c r="M1053" s="129"/>
      <c r="N1053" s="129"/>
      <c r="O1053" s="129"/>
      <c r="P1053" s="129"/>
      <c r="Q1053" s="129"/>
      <c r="R1053" s="129"/>
      <c r="S1053" s="129"/>
      <c r="T1053" s="129"/>
      <c r="U1053" s="129"/>
      <c r="V1053" s="129"/>
      <c r="W1053" s="129"/>
      <c r="X1053" s="129"/>
      <c r="Y1053" s="129"/>
      <c r="Z1053" s="129"/>
      <c r="AA1053" s="129"/>
      <c r="AB1053" s="129"/>
      <c r="AC1053" s="129"/>
      <c r="AD1053" s="129"/>
      <c r="AE1053" s="129"/>
      <c r="AF1053" s="129"/>
      <c r="AG1053" s="129"/>
      <c r="AH1053" s="129"/>
      <c r="AI1053" s="129"/>
      <c r="AJ1053" s="129"/>
      <c r="AK1053" s="129"/>
      <c r="AL1053" s="129"/>
      <c r="AM1053" s="129"/>
    </row>
    <row r="1054" spans="1:39" hidden="1" x14ac:dyDescent="0.25">
      <c r="A1054" s="127">
        <v>1053</v>
      </c>
      <c r="B1054" s="152" t="s">
        <v>1004</v>
      </c>
      <c r="C1054" s="153" t="s">
        <v>4684</v>
      </c>
      <c r="D1054" s="153" t="s">
        <v>4685</v>
      </c>
      <c r="E1054" s="153" t="s">
        <v>64</v>
      </c>
      <c r="F1054" s="6"/>
      <c r="G1054" s="6"/>
      <c r="H1054" s="128">
        <f t="shared" si="17"/>
        <v>0</v>
      </c>
      <c r="I1054" s="129"/>
      <c r="J1054" s="129"/>
      <c r="K1054" s="129"/>
      <c r="L1054" s="129"/>
      <c r="M1054" s="129"/>
      <c r="N1054" s="129"/>
      <c r="O1054" s="129"/>
      <c r="P1054" s="129"/>
      <c r="Q1054" s="129"/>
      <c r="R1054" s="129"/>
      <c r="S1054" s="129"/>
      <c r="T1054" s="129"/>
      <c r="U1054" s="129"/>
      <c r="V1054" s="129"/>
      <c r="W1054" s="129"/>
      <c r="X1054" s="129"/>
      <c r="Y1054" s="129"/>
      <c r="Z1054" s="129"/>
      <c r="AA1054" s="129"/>
      <c r="AB1054" s="129"/>
      <c r="AC1054" s="129"/>
      <c r="AD1054" s="129"/>
      <c r="AE1054" s="129"/>
      <c r="AF1054" s="129"/>
      <c r="AG1054" s="129"/>
      <c r="AH1054" s="129"/>
      <c r="AI1054" s="129"/>
      <c r="AJ1054" s="129"/>
      <c r="AK1054" s="129"/>
      <c r="AL1054" s="129"/>
      <c r="AM1054" s="129"/>
    </row>
    <row r="1055" spans="1:39" hidden="1" x14ac:dyDescent="0.25">
      <c r="A1055" s="127">
        <v>1054</v>
      </c>
      <c r="B1055" s="152" t="s">
        <v>903</v>
      </c>
      <c r="C1055" s="153" t="s">
        <v>4686</v>
      </c>
      <c r="D1055" s="153" t="s">
        <v>4687</v>
      </c>
      <c r="E1055" s="153" t="s">
        <v>4948</v>
      </c>
      <c r="F1055" s="6"/>
      <c r="G1055" s="6"/>
      <c r="H1055" s="128">
        <f t="shared" si="17"/>
        <v>0</v>
      </c>
      <c r="I1055" s="129"/>
      <c r="J1055" s="129"/>
      <c r="K1055" s="129"/>
      <c r="L1055" s="129"/>
      <c r="M1055" s="129"/>
      <c r="N1055" s="129"/>
      <c r="O1055" s="129"/>
      <c r="P1055" s="129"/>
      <c r="Q1055" s="129"/>
      <c r="R1055" s="129"/>
      <c r="S1055" s="129"/>
      <c r="T1055" s="129"/>
      <c r="U1055" s="129"/>
      <c r="V1055" s="129"/>
      <c r="W1055" s="129"/>
      <c r="X1055" s="129"/>
      <c r="Y1055" s="129"/>
      <c r="Z1055" s="129"/>
      <c r="AA1055" s="129"/>
      <c r="AB1055" s="129"/>
      <c r="AC1055" s="129"/>
      <c r="AD1055" s="129"/>
      <c r="AE1055" s="129"/>
      <c r="AF1055" s="129"/>
      <c r="AG1055" s="129"/>
      <c r="AH1055" s="129"/>
      <c r="AI1055" s="129"/>
      <c r="AJ1055" s="129"/>
      <c r="AK1055" s="129"/>
      <c r="AL1055" s="129"/>
      <c r="AM1055" s="129"/>
    </row>
    <row r="1056" spans="1:39" hidden="1" x14ac:dyDescent="0.25">
      <c r="A1056" s="127">
        <v>1055</v>
      </c>
      <c r="B1056" s="152" t="s">
        <v>534</v>
      </c>
      <c r="C1056" s="153" t="s">
        <v>4688</v>
      </c>
      <c r="D1056" s="153" t="s">
        <v>4689</v>
      </c>
      <c r="E1056" s="153" t="s">
        <v>4948</v>
      </c>
      <c r="F1056" s="6"/>
      <c r="G1056" s="6"/>
      <c r="H1056" s="128">
        <f t="shared" si="17"/>
        <v>16</v>
      </c>
      <c r="I1056" s="129">
        <v>16</v>
      </c>
      <c r="J1056" s="129"/>
      <c r="K1056" s="129"/>
      <c r="L1056" s="129"/>
      <c r="M1056" s="129"/>
      <c r="N1056" s="129"/>
      <c r="O1056" s="129"/>
      <c r="P1056" s="129"/>
      <c r="Q1056" s="129"/>
      <c r="R1056" s="129"/>
      <c r="S1056" s="129"/>
      <c r="T1056" s="129"/>
      <c r="U1056" s="129"/>
      <c r="V1056" s="129"/>
      <c r="W1056" s="129"/>
      <c r="X1056" s="129"/>
      <c r="Y1056" s="129"/>
      <c r="Z1056" s="129"/>
      <c r="AA1056" s="129"/>
      <c r="AB1056" s="129"/>
      <c r="AC1056" s="129"/>
      <c r="AD1056" s="129"/>
      <c r="AE1056" s="129"/>
      <c r="AF1056" s="129"/>
      <c r="AG1056" s="129"/>
      <c r="AH1056" s="129"/>
      <c r="AI1056" s="129"/>
      <c r="AJ1056" s="129"/>
      <c r="AK1056" s="129"/>
      <c r="AL1056" s="129"/>
      <c r="AM1056" s="129"/>
    </row>
    <row r="1057" spans="1:39" hidden="1" x14ac:dyDescent="0.25">
      <c r="A1057" s="127">
        <v>1056</v>
      </c>
      <c r="B1057" s="152" t="s">
        <v>1978</v>
      </c>
      <c r="C1057" s="153" t="s">
        <v>4690</v>
      </c>
      <c r="D1057" s="153" t="s">
        <v>4691</v>
      </c>
      <c r="E1057" s="153" t="s">
        <v>64</v>
      </c>
      <c r="F1057" s="6"/>
      <c r="G1057" s="6"/>
      <c r="H1057" s="128">
        <f t="shared" si="17"/>
        <v>0</v>
      </c>
      <c r="I1057" s="129"/>
      <c r="J1057" s="129"/>
      <c r="K1057" s="129"/>
      <c r="L1057" s="129"/>
      <c r="M1057" s="129"/>
      <c r="N1057" s="129"/>
      <c r="O1057" s="129"/>
      <c r="P1057" s="129"/>
      <c r="Q1057" s="129"/>
      <c r="R1057" s="129"/>
      <c r="S1057" s="129"/>
      <c r="T1057" s="129"/>
      <c r="U1057" s="129"/>
      <c r="V1057" s="129"/>
      <c r="W1057" s="129"/>
      <c r="X1057" s="129"/>
      <c r="Y1057" s="129"/>
      <c r="Z1057" s="129"/>
      <c r="AA1057" s="129"/>
      <c r="AB1057" s="129"/>
      <c r="AC1057" s="129"/>
      <c r="AD1057" s="129"/>
      <c r="AE1057" s="129"/>
      <c r="AF1057" s="129"/>
      <c r="AG1057" s="129"/>
      <c r="AH1057" s="129"/>
      <c r="AI1057" s="129"/>
      <c r="AJ1057" s="129"/>
      <c r="AK1057" s="129"/>
      <c r="AL1057" s="129"/>
      <c r="AM1057" s="129"/>
    </row>
    <row r="1058" spans="1:39" hidden="1" x14ac:dyDescent="0.25">
      <c r="A1058" s="127">
        <v>1057</v>
      </c>
      <c r="B1058" s="152" t="s">
        <v>1778</v>
      </c>
      <c r="C1058" s="153" t="s">
        <v>4692</v>
      </c>
      <c r="D1058" s="153" t="s">
        <v>4693</v>
      </c>
      <c r="E1058" s="153" t="s">
        <v>4948</v>
      </c>
      <c r="F1058" s="6"/>
      <c r="G1058" s="6"/>
      <c r="H1058" s="128">
        <f t="shared" si="17"/>
        <v>300</v>
      </c>
      <c r="I1058" s="129">
        <v>300</v>
      </c>
      <c r="J1058" s="129"/>
      <c r="K1058" s="129"/>
      <c r="L1058" s="129"/>
      <c r="M1058" s="129"/>
      <c r="N1058" s="129"/>
      <c r="O1058" s="129"/>
      <c r="P1058" s="129"/>
      <c r="Q1058" s="129"/>
      <c r="R1058" s="129"/>
      <c r="S1058" s="129"/>
      <c r="T1058" s="129"/>
      <c r="U1058" s="129"/>
      <c r="V1058" s="129"/>
      <c r="W1058" s="129"/>
      <c r="X1058" s="129"/>
      <c r="Y1058" s="129"/>
      <c r="Z1058" s="129"/>
      <c r="AA1058" s="129"/>
      <c r="AB1058" s="129"/>
      <c r="AC1058" s="129"/>
      <c r="AD1058" s="129"/>
      <c r="AE1058" s="129"/>
      <c r="AF1058" s="129"/>
      <c r="AG1058" s="129"/>
      <c r="AH1058" s="129"/>
      <c r="AI1058" s="129"/>
      <c r="AJ1058" s="129"/>
      <c r="AK1058" s="129"/>
      <c r="AL1058" s="129"/>
      <c r="AM1058" s="129"/>
    </row>
    <row r="1059" spans="1:39" hidden="1" x14ac:dyDescent="0.25">
      <c r="A1059" s="127">
        <v>1058</v>
      </c>
      <c r="B1059" s="152" t="s">
        <v>1780</v>
      </c>
      <c r="C1059" s="153" t="s">
        <v>4694</v>
      </c>
      <c r="D1059" s="153" t="s">
        <v>4695</v>
      </c>
      <c r="E1059" s="153" t="s">
        <v>4948</v>
      </c>
      <c r="F1059" s="6"/>
      <c r="G1059" s="6"/>
      <c r="H1059" s="128">
        <f t="shared" si="17"/>
        <v>0</v>
      </c>
      <c r="I1059" s="129"/>
      <c r="J1059" s="129"/>
      <c r="K1059" s="129"/>
      <c r="L1059" s="129"/>
      <c r="M1059" s="129"/>
      <c r="N1059" s="129"/>
      <c r="O1059" s="129"/>
      <c r="P1059" s="129"/>
      <c r="Q1059" s="129"/>
      <c r="R1059" s="129"/>
      <c r="S1059" s="129"/>
      <c r="T1059" s="129"/>
      <c r="U1059" s="129"/>
      <c r="V1059" s="129"/>
      <c r="W1059" s="129"/>
      <c r="X1059" s="129"/>
      <c r="Y1059" s="129"/>
      <c r="Z1059" s="129"/>
      <c r="AA1059" s="129"/>
      <c r="AB1059" s="129"/>
      <c r="AC1059" s="129"/>
      <c r="AD1059" s="129"/>
      <c r="AE1059" s="129"/>
      <c r="AF1059" s="129"/>
      <c r="AG1059" s="129"/>
      <c r="AH1059" s="129"/>
      <c r="AI1059" s="129"/>
      <c r="AJ1059" s="129"/>
      <c r="AK1059" s="129"/>
      <c r="AL1059" s="129"/>
      <c r="AM1059" s="129"/>
    </row>
    <row r="1060" spans="1:39" hidden="1" x14ac:dyDescent="0.25">
      <c r="A1060" s="127">
        <v>1059</v>
      </c>
      <c r="B1060" s="152" t="s">
        <v>1814</v>
      </c>
      <c r="C1060" s="153" t="s">
        <v>4696</v>
      </c>
      <c r="D1060" s="153" t="s">
        <v>4697</v>
      </c>
      <c r="E1060" s="153" t="s">
        <v>64</v>
      </c>
      <c r="F1060" s="6"/>
      <c r="G1060" s="6"/>
      <c r="H1060" s="128">
        <f t="shared" si="17"/>
        <v>0</v>
      </c>
      <c r="I1060" s="129"/>
      <c r="J1060" s="129"/>
      <c r="K1060" s="129"/>
      <c r="L1060" s="129"/>
      <c r="M1060" s="129"/>
      <c r="N1060" s="129"/>
      <c r="O1060" s="129"/>
      <c r="P1060" s="129"/>
      <c r="Q1060" s="129"/>
      <c r="R1060" s="129"/>
      <c r="S1060" s="129"/>
      <c r="T1060" s="129"/>
      <c r="U1060" s="129"/>
      <c r="V1060" s="129"/>
      <c r="W1060" s="129"/>
      <c r="X1060" s="129"/>
      <c r="Y1060" s="129"/>
      <c r="Z1060" s="129"/>
      <c r="AA1060" s="129"/>
      <c r="AB1060" s="129"/>
      <c r="AC1060" s="129"/>
      <c r="AD1060" s="129"/>
      <c r="AE1060" s="129"/>
      <c r="AF1060" s="129"/>
      <c r="AG1060" s="129"/>
      <c r="AH1060" s="129"/>
      <c r="AI1060" s="129"/>
      <c r="AJ1060" s="129"/>
      <c r="AK1060" s="129"/>
      <c r="AL1060" s="129"/>
      <c r="AM1060" s="129"/>
    </row>
    <row r="1061" spans="1:39" hidden="1" x14ac:dyDescent="0.25">
      <c r="A1061" s="127">
        <v>1060</v>
      </c>
      <c r="B1061" s="152" t="s">
        <v>660</v>
      </c>
      <c r="C1061" s="153" t="s">
        <v>4698</v>
      </c>
      <c r="D1061" s="153" t="s">
        <v>4699</v>
      </c>
      <c r="E1061" s="153" t="s">
        <v>4948</v>
      </c>
      <c r="F1061" s="6"/>
      <c r="G1061" s="6"/>
      <c r="H1061" s="128">
        <f t="shared" si="17"/>
        <v>9.36</v>
      </c>
      <c r="I1061" s="129">
        <v>9.36</v>
      </c>
      <c r="J1061" s="129"/>
      <c r="K1061" s="129"/>
      <c r="L1061" s="129"/>
      <c r="M1061" s="129"/>
      <c r="N1061" s="129"/>
      <c r="O1061" s="129"/>
      <c r="P1061" s="129"/>
      <c r="Q1061" s="129"/>
      <c r="R1061" s="129"/>
      <c r="S1061" s="129"/>
      <c r="T1061" s="129"/>
      <c r="U1061" s="129"/>
      <c r="V1061" s="129"/>
      <c r="W1061" s="129"/>
      <c r="X1061" s="129"/>
      <c r="Y1061" s="129"/>
      <c r="Z1061" s="129"/>
      <c r="AA1061" s="129"/>
      <c r="AB1061" s="129"/>
      <c r="AC1061" s="129"/>
      <c r="AD1061" s="129"/>
      <c r="AE1061" s="129"/>
      <c r="AF1061" s="129"/>
      <c r="AG1061" s="129"/>
      <c r="AH1061" s="129"/>
      <c r="AI1061" s="129"/>
      <c r="AJ1061" s="129"/>
      <c r="AK1061" s="129"/>
      <c r="AL1061" s="129"/>
      <c r="AM1061" s="129"/>
    </row>
    <row r="1062" spans="1:39" hidden="1" x14ac:dyDescent="0.25">
      <c r="A1062" s="127">
        <v>1061</v>
      </c>
      <c r="B1062" s="152" t="s">
        <v>1954</v>
      </c>
      <c r="C1062" s="153" t="s">
        <v>4700</v>
      </c>
      <c r="D1062" s="153" t="s">
        <v>4701</v>
      </c>
      <c r="E1062" s="153" t="s">
        <v>4948</v>
      </c>
      <c r="F1062" s="6"/>
      <c r="G1062" s="6"/>
      <c r="H1062" s="128">
        <f t="shared" si="17"/>
        <v>18</v>
      </c>
      <c r="I1062" s="129">
        <v>18</v>
      </c>
      <c r="J1062" s="129"/>
      <c r="K1062" s="129"/>
      <c r="L1062" s="129"/>
      <c r="M1062" s="129"/>
      <c r="N1062" s="129"/>
      <c r="O1062" s="129"/>
      <c r="P1062" s="129"/>
      <c r="Q1062" s="129"/>
      <c r="R1062" s="129"/>
      <c r="S1062" s="129"/>
      <c r="T1062" s="129"/>
      <c r="U1062" s="129"/>
      <c r="V1062" s="129"/>
      <c r="W1062" s="129"/>
      <c r="X1062" s="129"/>
      <c r="Y1062" s="129"/>
      <c r="Z1062" s="129"/>
      <c r="AA1062" s="129"/>
      <c r="AB1062" s="129"/>
      <c r="AC1062" s="129"/>
      <c r="AD1062" s="129"/>
      <c r="AE1062" s="129"/>
      <c r="AF1062" s="129"/>
      <c r="AG1062" s="129"/>
      <c r="AH1062" s="129"/>
      <c r="AI1062" s="129"/>
      <c r="AJ1062" s="129"/>
      <c r="AK1062" s="129"/>
      <c r="AL1062" s="129"/>
      <c r="AM1062" s="129"/>
    </row>
    <row r="1063" spans="1:39" hidden="1" x14ac:dyDescent="0.25">
      <c r="A1063" s="127">
        <v>1062</v>
      </c>
      <c r="B1063" s="152" t="s">
        <v>1980</v>
      </c>
      <c r="C1063" s="153" t="s">
        <v>4702</v>
      </c>
      <c r="D1063" s="153" t="s">
        <v>4703</v>
      </c>
      <c r="E1063" s="153" t="s">
        <v>4948</v>
      </c>
      <c r="F1063" s="6"/>
      <c r="G1063" s="6"/>
      <c r="H1063" s="128">
        <f t="shared" si="17"/>
        <v>0</v>
      </c>
      <c r="I1063" s="129"/>
      <c r="J1063" s="129"/>
      <c r="K1063" s="129"/>
      <c r="L1063" s="129"/>
      <c r="M1063" s="129"/>
      <c r="N1063" s="129"/>
      <c r="O1063" s="129"/>
      <c r="P1063" s="129"/>
      <c r="Q1063" s="129"/>
      <c r="R1063" s="129"/>
      <c r="S1063" s="129"/>
      <c r="T1063" s="129"/>
      <c r="U1063" s="129"/>
      <c r="V1063" s="129"/>
      <c r="W1063" s="129"/>
      <c r="X1063" s="129"/>
      <c r="Y1063" s="129"/>
      <c r="Z1063" s="129"/>
      <c r="AA1063" s="129"/>
      <c r="AB1063" s="129"/>
      <c r="AC1063" s="129"/>
      <c r="AD1063" s="129"/>
      <c r="AE1063" s="129"/>
      <c r="AF1063" s="129"/>
      <c r="AG1063" s="129"/>
      <c r="AH1063" s="129"/>
      <c r="AI1063" s="129"/>
      <c r="AJ1063" s="129"/>
      <c r="AK1063" s="129"/>
      <c r="AL1063" s="129"/>
      <c r="AM1063" s="129"/>
    </row>
    <row r="1064" spans="1:39" hidden="1" x14ac:dyDescent="0.25">
      <c r="A1064" s="127">
        <v>1063</v>
      </c>
      <c r="B1064" s="152" t="s">
        <v>2015</v>
      </c>
      <c r="C1064" s="153" t="s">
        <v>4704</v>
      </c>
      <c r="D1064" s="153" t="s">
        <v>4705</v>
      </c>
      <c r="E1064" s="153" t="s">
        <v>64</v>
      </c>
      <c r="F1064" s="6"/>
      <c r="G1064" s="6"/>
      <c r="H1064" s="128">
        <f t="shared" si="17"/>
        <v>448</v>
      </c>
      <c r="I1064" s="129">
        <v>448</v>
      </c>
      <c r="J1064" s="129"/>
      <c r="K1064" s="129"/>
      <c r="L1064" s="129"/>
      <c r="M1064" s="129"/>
      <c r="N1064" s="129"/>
      <c r="O1064" s="129"/>
      <c r="P1064" s="129"/>
      <c r="Q1064" s="129"/>
      <c r="R1064" s="129"/>
      <c r="S1064" s="129"/>
      <c r="T1064" s="129"/>
      <c r="U1064" s="129"/>
      <c r="V1064" s="129"/>
      <c r="W1064" s="129"/>
      <c r="X1064" s="129"/>
      <c r="Y1064" s="129"/>
      <c r="Z1064" s="129"/>
      <c r="AA1064" s="129"/>
      <c r="AB1064" s="129"/>
      <c r="AC1064" s="129"/>
      <c r="AD1064" s="129"/>
      <c r="AE1064" s="129"/>
      <c r="AF1064" s="129"/>
      <c r="AG1064" s="129"/>
      <c r="AH1064" s="129"/>
      <c r="AI1064" s="129"/>
      <c r="AJ1064" s="129"/>
      <c r="AK1064" s="129"/>
      <c r="AL1064" s="129"/>
      <c r="AM1064" s="129"/>
    </row>
    <row r="1065" spans="1:39" hidden="1" x14ac:dyDescent="0.25">
      <c r="A1065" s="127">
        <v>1064</v>
      </c>
      <c r="B1065" s="152" t="s">
        <v>4706</v>
      </c>
      <c r="C1065" s="153" t="s">
        <v>4707</v>
      </c>
      <c r="D1065" s="153" t="s">
        <v>4708</v>
      </c>
      <c r="E1065" s="153" t="s">
        <v>4948</v>
      </c>
      <c r="F1065" s="6"/>
      <c r="G1065" s="6"/>
      <c r="H1065" s="128">
        <f t="shared" si="17"/>
        <v>0</v>
      </c>
      <c r="I1065" s="129"/>
      <c r="J1065" s="129"/>
      <c r="K1065" s="129"/>
      <c r="L1065" s="129"/>
      <c r="M1065" s="129"/>
      <c r="N1065" s="129"/>
      <c r="O1065" s="129"/>
      <c r="P1065" s="129"/>
      <c r="Q1065" s="129"/>
      <c r="R1065" s="129"/>
      <c r="S1065" s="129"/>
      <c r="T1065" s="129"/>
      <c r="U1065" s="129"/>
      <c r="V1065" s="129"/>
      <c r="W1065" s="129"/>
      <c r="X1065" s="129"/>
      <c r="Y1065" s="129"/>
      <c r="Z1065" s="129"/>
      <c r="AA1065" s="129"/>
      <c r="AB1065" s="129"/>
      <c r="AC1065" s="129"/>
      <c r="AD1065" s="129"/>
      <c r="AE1065" s="129"/>
      <c r="AF1065" s="129"/>
      <c r="AG1065" s="129"/>
      <c r="AH1065" s="129"/>
      <c r="AI1065" s="129"/>
      <c r="AJ1065" s="129"/>
      <c r="AK1065" s="129"/>
      <c r="AL1065" s="129"/>
      <c r="AM1065" s="129"/>
    </row>
    <row r="1066" spans="1:39" hidden="1" x14ac:dyDescent="0.25">
      <c r="A1066" s="127">
        <v>1065</v>
      </c>
      <c r="B1066" s="157" t="s">
        <v>1965</v>
      </c>
      <c r="C1066" s="158" t="s">
        <v>4709</v>
      </c>
      <c r="D1066" s="158" t="s">
        <v>4710</v>
      </c>
      <c r="E1066" s="153" t="s">
        <v>4948</v>
      </c>
      <c r="F1066" s="6"/>
      <c r="G1066" s="6"/>
      <c r="H1066" s="128">
        <f t="shared" si="17"/>
        <v>0</v>
      </c>
      <c r="I1066" s="129"/>
      <c r="J1066" s="129"/>
      <c r="K1066" s="129"/>
      <c r="L1066" s="129"/>
      <c r="M1066" s="129"/>
      <c r="N1066" s="129"/>
      <c r="O1066" s="129"/>
      <c r="P1066" s="129"/>
      <c r="Q1066" s="129"/>
      <c r="R1066" s="129"/>
      <c r="S1066" s="129"/>
      <c r="T1066" s="129"/>
      <c r="U1066" s="129"/>
      <c r="V1066" s="129"/>
      <c r="W1066" s="129"/>
      <c r="X1066" s="129"/>
      <c r="Y1066" s="129"/>
      <c r="Z1066" s="129"/>
      <c r="AA1066" s="129"/>
      <c r="AB1066" s="129"/>
      <c r="AC1066" s="129"/>
      <c r="AD1066" s="129"/>
      <c r="AE1066" s="129"/>
      <c r="AF1066" s="129"/>
      <c r="AG1066" s="129"/>
      <c r="AH1066" s="129"/>
      <c r="AI1066" s="129"/>
      <c r="AJ1066" s="129"/>
      <c r="AK1066" s="129"/>
      <c r="AL1066" s="129"/>
      <c r="AM1066" s="129"/>
    </row>
    <row r="1067" spans="1:39" hidden="1" x14ac:dyDescent="0.25">
      <c r="A1067" s="127">
        <v>1066</v>
      </c>
      <c r="B1067" s="152" t="s">
        <v>540</v>
      </c>
      <c r="C1067" s="153" t="s">
        <v>4711</v>
      </c>
      <c r="D1067" s="153" t="s">
        <v>4712</v>
      </c>
      <c r="E1067" s="153" t="s">
        <v>2111</v>
      </c>
      <c r="F1067" s="6"/>
      <c r="G1067" s="6"/>
      <c r="H1067" s="128">
        <f t="shared" si="17"/>
        <v>0</v>
      </c>
      <c r="I1067" s="129"/>
      <c r="J1067" s="129"/>
      <c r="K1067" s="129"/>
      <c r="L1067" s="129"/>
      <c r="M1067" s="129"/>
      <c r="N1067" s="129"/>
      <c r="O1067" s="129"/>
      <c r="P1067" s="129"/>
      <c r="Q1067" s="129"/>
      <c r="R1067" s="129"/>
      <c r="S1067" s="129"/>
      <c r="T1067" s="129"/>
      <c r="U1067" s="129"/>
      <c r="V1067" s="129"/>
      <c r="W1067" s="129"/>
      <c r="X1067" s="129"/>
      <c r="Y1067" s="129"/>
      <c r="Z1067" s="129"/>
      <c r="AA1067" s="129"/>
      <c r="AB1067" s="129"/>
      <c r="AC1067" s="129"/>
      <c r="AD1067" s="129"/>
      <c r="AE1067" s="129"/>
      <c r="AF1067" s="129"/>
      <c r="AG1067" s="129"/>
      <c r="AH1067" s="129"/>
      <c r="AI1067" s="129"/>
      <c r="AJ1067" s="129"/>
      <c r="AK1067" s="129"/>
      <c r="AL1067" s="129"/>
      <c r="AM1067" s="129"/>
    </row>
    <row r="1068" spans="1:39" x14ac:dyDescent="0.25">
      <c r="A1068" s="127">
        <v>1067</v>
      </c>
      <c r="B1068" s="152" t="s">
        <v>536</v>
      </c>
      <c r="C1068" s="153" t="s">
        <v>4713</v>
      </c>
      <c r="D1068" s="153" t="s">
        <v>4714</v>
      </c>
      <c r="E1068" s="153" t="s">
        <v>4948</v>
      </c>
      <c r="F1068" s="6"/>
      <c r="G1068" s="6"/>
      <c r="H1068" s="128">
        <f t="shared" si="17"/>
        <v>7.5</v>
      </c>
      <c r="I1068" s="129">
        <v>7.5</v>
      </c>
      <c r="J1068" s="129"/>
      <c r="K1068" s="129"/>
      <c r="L1068" s="129"/>
      <c r="M1068" s="129"/>
      <c r="N1068" s="129"/>
      <c r="O1068" s="129"/>
      <c r="P1068" s="129"/>
      <c r="Q1068" s="129"/>
      <c r="R1068" s="129"/>
      <c r="S1068" s="129"/>
      <c r="T1068" s="129"/>
      <c r="U1068" s="129"/>
      <c r="V1068" s="129"/>
      <c r="W1068" s="129"/>
      <c r="X1068" s="129"/>
      <c r="Y1068" s="129"/>
      <c r="Z1068" s="129"/>
      <c r="AA1068" s="129"/>
      <c r="AB1068" s="129"/>
      <c r="AC1068" s="129"/>
      <c r="AD1068" s="129"/>
      <c r="AE1068" s="129"/>
      <c r="AF1068" s="129"/>
      <c r="AG1068" s="129"/>
      <c r="AH1068" s="129"/>
      <c r="AI1068" s="129"/>
      <c r="AJ1068" s="129"/>
      <c r="AK1068" s="129"/>
      <c r="AL1068" s="129"/>
      <c r="AM1068" s="129"/>
    </row>
    <row r="1069" spans="1:39" hidden="1" x14ac:dyDescent="0.25">
      <c r="A1069" s="127">
        <v>1068</v>
      </c>
      <c r="B1069" s="152" t="s">
        <v>1970</v>
      </c>
      <c r="C1069" s="153" t="s">
        <v>4715</v>
      </c>
      <c r="D1069" s="153" t="s">
        <v>4716</v>
      </c>
      <c r="E1069" s="153" t="s">
        <v>4948</v>
      </c>
      <c r="F1069" s="6"/>
      <c r="G1069" s="6"/>
      <c r="H1069" s="128">
        <f t="shared" si="17"/>
        <v>0</v>
      </c>
      <c r="I1069" s="129"/>
      <c r="J1069" s="129"/>
      <c r="K1069" s="129"/>
      <c r="L1069" s="129"/>
      <c r="M1069" s="129"/>
      <c r="N1069" s="129"/>
      <c r="O1069" s="129"/>
      <c r="P1069" s="129"/>
      <c r="Q1069" s="129"/>
      <c r="R1069" s="129"/>
      <c r="S1069" s="129"/>
      <c r="T1069" s="129"/>
      <c r="U1069" s="129"/>
      <c r="V1069" s="129"/>
      <c r="W1069" s="129"/>
      <c r="X1069" s="129"/>
      <c r="Y1069" s="129"/>
      <c r="Z1069" s="129"/>
      <c r="AA1069" s="129"/>
      <c r="AB1069" s="129"/>
      <c r="AC1069" s="129"/>
      <c r="AD1069" s="129"/>
      <c r="AE1069" s="129"/>
      <c r="AF1069" s="129"/>
      <c r="AG1069" s="129"/>
      <c r="AH1069" s="129"/>
      <c r="AI1069" s="129"/>
      <c r="AJ1069" s="129"/>
      <c r="AK1069" s="129"/>
      <c r="AL1069" s="129"/>
      <c r="AM1069" s="129"/>
    </row>
    <row r="1070" spans="1:39" hidden="1" x14ac:dyDescent="0.25">
      <c r="A1070" s="127">
        <v>1069</v>
      </c>
      <c r="B1070" s="152" t="s">
        <v>4717</v>
      </c>
      <c r="C1070" s="153" t="s">
        <v>4718</v>
      </c>
      <c r="D1070" s="153" t="s">
        <v>4719</v>
      </c>
      <c r="E1070" s="153" t="s">
        <v>4948</v>
      </c>
      <c r="F1070" s="6"/>
      <c r="G1070" s="6"/>
      <c r="H1070" s="128">
        <f t="shared" si="17"/>
        <v>0</v>
      </c>
      <c r="I1070" s="129"/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</row>
    <row r="1071" spans="1:39" hidden="1" x14ac:dyDescent="0.25">
      <c r="A1071" s="127">
        <v>1070</v>
      </c>
      <c r="B1071" s="152" t="s">
        <v>4720</v>
      </c>
      <c r="C1071" s="153" t="s">
        <v>4721</v>
      </c>
      <c r="D1071" s="153" t="s">
        <v>4722</v>
      </c>
      <c r="E1071" s="153" t="s">
        <v>4948</v>
      </c>
      <c r="F1071" s="6"/>
      <c r="G1071" s="6"/>
      <c r="H1071" s="128">
        <f t="shared" si="17"/>
        <v>0</v>
      </c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</row>
    <row r="1072" spans="1:39" hidden="1" x14ac:dyDescent="0.25">
      <c r="A1072" s="127">
        <v>1071</v>
      </c>
      <c r="B1072" s="152" t="s">
        <v>1782</v>
      </c>
      <c r="C1072" s="153" t="s">
        <v>4723</v>
      </c>
      <c r="D1072" s="153" t="s">
        <v>4724</v>
      </c>
      <c r="E1072" s="153" t="s">
        <v>2111</v>
      </c>
      <c r="F1072" s="6"/>
      <c r="G1072" s="6"/>
      <c r="H1072" s="128">
        <f t="shared" si="17"/>
        <v>0</v>
      </c>
      <c r="I1072" s="129"/>
      <c r="J1072" s="129"/>
      <c r="K1072" s="129"/>
      <c r="L1072" s="129"/>
      <c r="M1072" s="129"/>
      <c r="N1072" s="129"/>
      <c r="O1072" s="129"/>
      <c r="P1072" s="129"/>
      <c r="Q1072" s="129"/>
      <c r="R1072" s="129"/>
      <c r="S1072" s="129"/>
      <c r="T1072" s="129"/>
      <c r="U1072" s="129"/>
      <c r="V1072" s="129"/>
      <c r="W1072" s="129"/>
      <c r="X1072" s="129"/>
      <c r="Y1072" s="129"/>
      <c r="Z1072" s="129"/>
      <c r="AA1072" s="129"/>
      <c r="AB1072" s="129"/>
      <c r="AC1072" s="129"/>
      <c r="AD1072" s="129"/>
      <c r="AE1072" s="129"/>
      <c r="AF1072" s="129"/>
      <c r="AG1072" s="129"/>
      <c r="AH1072" s="129"/>
      <c r="AI1072" s="129"/>
      <c r="AJ1072" s="129"/>
      <c r="AK1072" s="129"/>
      <c r="AL1072" s="129"/>
      <c r="AM1072" s="129"/>
    </row>
    <row r="1073" spans="1:39" hidden="1" x14ac:dyDescent="0.25">
      <c r="A1073" s="127">
        <v>1072</v>
      </c>
      <c r="B1073" s="152" t="s">
        <v>1727</v>
      </c>
      <c r="C1073" s="153" t="s">
        <v>4725</v>
      </c>
      <c r="D1073" s="153" t="s">
        <v>4726</v>
      </c>
      <c r="E1073" s="153" t="s">
        <v>4948</v>
      </c>
      <c r="F1073" s="6"/>
      <c r="G1073" s="6"/>
      <c r="H1073" s="128">
        <f t="shared" si="17"/>
        <v>100</v>
      </c>
      <c r="I1073" s="129">
        <v>100</v>
      </c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29"/>
      <c r="AL1073" s="129"/>
      <c r="AM1073" s="129"/>
    </row>
    <row r="1074" spans="1:39" hidden="1" x14ac:dyDescent="0.25">
      <c r="A1074" s="127">
        <v>1073</v>
      </c>
      <c r="B1074" s="152" t="s">
        <v>1949</v>
      </c>
      <c r="C1074" s="153" t="s">
        <v>1950</v>
      </c>
      <c r="D1074" s="153" t="s">
        <v>4727</v>
      </c>
      <c r="E1074" s="153" t="s">
        <v>4948</v>
      </c>
      <c r="F1074" s="6"/>
      <c r="G1074" s="6"/>
      <c r="H1074" s="128">
        <f t="shared" si="17"/>
        <v>0</v>
      </c>
      <c r="I1074" s="129"/>
      <c r="J1074" s="129"/>
      <c r="K1074" s="129"/>
      <c r="L1074" s="129"/>
      <c r="M1074" s="129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</row>
    <row r="1075" spans="1:39" hidden="1" x14ac:dyDescent="0.25">
      <c r="A1075" s="127">
        <v>1074</v>
      </c>
      <c r="B1075" s="152" t="s">
        <v>4728</v>
      </c>
      <c r="C1075" s="153" t="s">
        <v>4729</v>
      </c>
      <c r="D1075" s="153" t="s">
        <v>4730</v>
      </c>
      <c r="E1075" s="153" t="s">
        <v>64</v>
      </c>
      <c r="F1075" s="6"/>
      <c r="G1075" s="6"/>
      <c r="H1075" s="128">
        <f t="shared" si="17"/>
        <v>0</v>
      </c>
      <c r="I1075" s="129"/>
      <c r="J1075" s="129"/>
      <c r="K1075" s="129"/>
      <c r="L1075" s="129"/>
      <c r="M1075" s="129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</row>
    <row r="1076" spans="1:39" hidden="1" x14ac:dyDescent="0.25">
      <c r="A1076" s="127">
        <v>1075</v>
      </c>
      <c r="B1076" s="152" t="s">
        <v>4731</v>
      </c>
      <c r="C1076" s="153" t="s">
        <v>4732</v>
      </c>
      <c r="D1076" s="153" t="s">
        <v>4733</v>
      </c>
      <c r="E1076" s="153" t="s">
        <v>604</v>
      </c>
      <c r="F1076" s="6"/>
      <c r="G1076" s="6"/>
      <c r="H1076" s="128">
        <f t="shared" si="17"/>
        <v>0</v>
      </c>
      <c r="I1076" s="129"/>
      <c r="J1076" s="129"/>
      <c r="K1076" s="129"/>
      <c r="L1076" s="129"/>
      <c r="M1076" s="129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</row>
    <row r="1077" spans="1:39" hidden="1" x14ac:dyDescent="0.25">
      <c r="A1077" s="127">
        <v>1076</v>
      </c>
      <c r="B1077" s="152" t="s">
        <v>4734</v>
      </c>
      <c r="C1077" s="153" t="s">
        <v>4735</v>
      </c>
      <c r="D1077" s="153" t="s">
        <v>4736</v>
      </c>
      <c r="E1077" s="153" t="s">
        <v>4948</v>
      </c>
      <c r="F1077" s="6"/>
      <c r="G1077" s="6"/>
      <c r="H1077" s="128">
        <f t="shared" si="17"/>
        <v>0</v>
      </c>
      <c r="I1077" s="129"/>
      <c r="J1077" s="129"/>
      <c r="K1077" s="129"/>
      <c r="L1077" s="129"/>
      <c r="M1077" s="129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</row>
    <row r="1078" spans="1:39" hidden="1" x14ac:dyDescent="0.25">
      <c r="A1078" s="127">
        <v>1077</v>
      </c>
      <c r="B1078" s="152" t="s">
        <v>4737</v>
      </c>
      <c r="C1078" s="153" t="s">
        <v>4738</v>
      </c>
      <c r="D1078" s="153" t="s">
        <v>4739</v>
      </c>
      <c r="E1078" s="153" t="s">
        <v>4948</v>
      </c>
      <c r="F1078" s="6"/>
      <c r="G1078" s="6"/>
      <c r="H1078" s="128">
        <f t="shared" si="17"/>
        <v>0</v>
      </c>
      <c r="I1078" s="129"/>
      <c r="J1078" s="129"/>
      <c r="K1078" s="129"/>
      <c r="L1078" s="129"/>
      <c r="M1078" s="129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</row>
    <row r="1079" spans="1:39" hidden="1" x14ac:dyDescent="0.25">
      <c r="A1079" s="127">
        <v>1078</v>
      </c>
      <c r="B1079" s="152" t="s">
        <v>4740</v>
      </c>
      <c r="C1079" s="153" t="s">
        <v>4741</v>
      </c>
      <c r="D1079" s="153" t="s">
        <v>4742</v>
      </c>
      <c r="E1079" s="153" t="s">
        <v>4948</v>
      </c>
      <c r="F1079" s="6"/>
      <c r="G1079" s="6"/>
      <c r="H1079" s="128">
        <f t="shared" si="17"/>
        <v>0</v>
      </c>
      <c r="I1079" s="129"/>
      <c r="J1079" s="129"/>
      <c r="K1079" s="129"/>
      <c r="L1079" s="129"/>
      <c r="M1079" s="129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</row>
    <row r="1080" spans="1:39" hidden="1" x14ac:dyDescent="0.25">
      <c r="A1080" s="127">
        <v>1079</v>
      </c>
      <c r="B1080" s="152" t="s">
        <v>4743</v>
      </c>
      <c r="C1080" s="153" t="s">
        <v>4744</v>
      </c>
      <c r="D1080" s="153" t="s">
        <v>4745</v>
      </c>
      <c r="E1080" s="153" t="s">
        <v>4948</v>
      </c>
      <c r="F1080" s="6"/>
      <c r="G1080" s="6"/>
      <c r="H1080" s="128">
        <f t="shared" si="17"/>
        <v>0</v>
      </c>
      <c r="I1080" s="129"/>
      <c r="J1080" s="129"/>
      <c r="K1080" s="129"/>
      <c r="L1080" s="129"/>
      <c r="M1080" s="129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</row>
    <row r="1081" spans="1:39" hidden="1" x14ac:dyDescent="0.25">
      <c r="A1081" s="127">
        <v>1080</v>
      </c>
      <c r="B1081" s="152" t="s">
        <v>4746</v>
      </c>
      <c r="C1081" s="153" t="s">
        <v>4747</v>
      </c>
      <c r="D1081" s="153" t="s">
        <v>4748</v>
      </c>
      <c r="E1081" s="153" t="s">
        <v>4948</v>
      </c>
      <c r="F1081" s="6"/>
      <c r="G1081" s="6"/>
      <c r="H1081" s="128">
        <f t="shared" si="17"/>
        <v>0</v>
      </c>
      <c r="I1081" s="129"/>
      <c r="J1081" s="129"/>
      <c r="K1081" s="129"/>
      <c r="L1081" s="129"/>
      <c r="M1081" s="129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</row>
    <row r="1082" spans="1:39" hidden="1" x14ac:dyDescent="0.25">
      <c r="A1082" s="127">
        <v>1081</v>
      </c>
      <c r="B1082" s="152" t="s">
        <v>4750</v>
      </c>
      <c r="C1082" s="153" t="s">
        <v>4751</v>
      </c>
      <c r="D1082" s="153" t="s">
        <v>4752</v>
      </c>
      <c r="E1082" s="153" t="s">
        <v>4948</v>
      </c>
      <c r="F1082" s="6"/>
      <c r="G1082" s="6"/>
      <c r="H1082" s="128">
        <f t="shared" si="17"/>
        <v>0</v>
      </c>
      <c r="I1082" s="129"/>
      <c r="J1082" s="129"/>
      <c r="K1082" s="129"/>
      <c r="L1082" s="129"/>
      <c r="M1082" s="129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</row>
    <row r="1083" spans="1:39" hidden="1" x14ac:dyDescent="0.25">
      <c r="A1083" s="127">
        <v>1082</v>
      </c>
      <c r="B1083" s="152" t="s">
        <v>4753</v>
      </c>
      <c r="C1083" s="153" t="s">
        <v>4754</v>
      </c>
      <c r="D1083" s="153" t="s">
        <v>4755</v>
      </c>
      <c r="E1083" s="153" t="s">
        <v>4948</v>
      </c>
      <c r="F1083" s="6"/>
      <c r="G1083" s="6"/>
      <c r="H1083" s="128">
        <f t="shared" si="17"/>
        <v>0</v>
      </c>
      <c r="I1083" s="129"/>
      <c r="J1083" s="129"/>
      <c r="K1083" s="129"/>
      <c r="L1083" s="129"/>
      <c r="M1083" s="129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</row>
    <row r="1084" spans="1:39" hidden="1" x14ac:dyDescent="0.25">
      <c r="A1084" s="127">
        <v>1083</v>
      </c>
      <c r="B1084" s="152" t="s">
        <v>2002</v>
      </c>
      <c r="C1084" s="153" t="s">
        <v>4756</v>
      </c>
      <c r="D1084" s="153" t="s">
        <v>4757</v>
      </c>
      <c r="E1084" s="153" t="s">
        <v>4948</v>
      </c>
      <c r="F1084" s="6"/>
      <c r="G1084" s="6"/>
      <c r="H1084" s="128">
        <f t="shared" si="17"/>
        <v>0</v>
      </c>
      <c r="I1084" s="129"/>
      <c r="J1084" s="129"/>
      <c r="K1084" s="129"/>
      <c r="L1084" s="129"/>
      <c r="M1084" s="129"/>
      <c r="N1084" s="129"/>
      <c r="O1084" s="129"/>
      <c r="P1084" s="129"/>
      <c r="Q1084" s="129"/>
      <c r="R1084" s="129"/>
      <c r="S1084" s="129"/>
      <c r="T1084" s="129"/>
      <c r="U1084" s="129"/>
      <c r="V1084" s="129"/>
      <c r="W1084" s="129"/>
      <c r="X1084" s="129"/>
      <c r="Y1084" s="129"/>
      <c r="Z1084" s="129"/>
      <c r="AA1084" s="129"/>
      <c r="AB1084" s="129"/>
      <c r="AC1084" s="129"/>
      <c r="AD1084" s="129"/>
      <c r="AE1084" s="129"/>
      <c r="AF1084" s="129"/>
      <c r="AG1084" s="129"/>
      <c r="AH1084" s="129"/>
      <c r="AI1084" s="129"/>
      <c r="AJ1084" s="129"/>
      <c r="AK1084" s="129"/>
      <c r="AL1084" s="129"/>
      <c r="AM1084" s="129"/>
    </row>
    <row r="1085" spans="1:39" hidden="1" x14ac:dyDescent="0.25">
      <c r="A1085" s="127">
        <v>1084</v>
      </c>
      <c r="B1085" s="152" t="s">
        <v>4758</v>
      </c>
      <c r="C1085" s="153" t="s">
        <v>4759</v>
      </c>
      <c r="D1085" s="153" t="s">
        <v>4760</v>
      </c>
      <c r="E1085" s="153" t="s">
        <v>4948</v>
      </c>
      <c r="F1085" s="6"/>
      <c r="G1085" s="6"/>
      <c r="H1085" s="128">
        <f t="shared" si="17"/>
        <v>0</v>
      </c>
      <c r="I1085" s="129"/>
      <c r="J1085" s="129"/>
      <c r="K1085" s="129"/>
      <c r="L1085" s="129"/>
      <c r="M1085" s="129"/>
      <c r="N1085" s="129"/>
      <c r="O1085" s="129"/>
      <c r="P1085" s="129"/>
      <c r="Q1085" s="129"/>
      <c r="R1085" s="129"/>
      <c r="S1085" s="129"/>
      <c r="T1085" s="129"/>
      <c r="U1085" s="129"/>
      <c r="V1085" s="129"/>
      <c r="W1085" s="129"/>
      <c r="X1085" s="129"/>
      <c r="Y1085" s="129"/>
      <c r="Z1085" s="129"/>
      <c r="AA1085" s="129"/>
      <c r="AB1085" s="129"/>
      <c r="AC1085" s="129"/>
      <c r="AD1085" s="129"/>
      <c r="AE1085" s="129"/>
      <c r="AF1085" s="129"/>
      <c r="AG1085" s="129"/>
      <c r="AH1085" s="129"/>
      <c r="AI1085" s="129"/>
      <c r="AJ1085" s="129"/>
      <c r="AK1085" s="129"/>
      <c r="AL1085" s="129"/>
      <c r="AM1085" s="129"/>
    </row>
    <row r="1086" spans="1:39" hidden="1" x14ac:dyDescent="0.25">
      <c r="A1086" s="127">
        <v>1085</v>
      </c>
      <c r="B1086" s="152" t="s">
        <v>4761</v>
      </c>
      <c r="C1086" s="153" t="s">
        <v>4762</v>
      </c>
      <c r="D1086" s="153" t="s">
        <v>4763</v>
      </c>
      <c r="E1086" s="153" t="s">
        <v>4948</v>
      </c>
      <c r="F1086" s="6"/>
      <c r="G1086" s="6"/>
      <c r="H1086" s="128">
        <f t="shared" si="17"/>
        <v>0</v>
      </c>
      <c r="I1086" s="129"/>
      <c r="J1086" s="129"/>
      <c r="K1086" s="129"/>
      <c r="L1086" s="129"/>
      <c r="M1086" s="129"/>
      <c r="N1086" s="129"/>
      <c r="O1086" s="129"/>
      <c r="P1086" s="129"/>
      <c r="Q1086" s="129"/>
      <c r="R1086" s="129"/>
      <c r="S1086" s="129"/>
      <c r="T1086" s="129"/>
      <c r="U1086" s="129"/>
      <c r="V1086" s="129"/>
      <c r="W1086" s="129"/>
      <c r="X1086" s="129"/>
      <c r="Y1086" s="129"/>
      <c r="Z1086" s="129"/>
      <c r="AA1086" s="129"/>
      <c r="AB1086" s="129"/>
      <c r="AC1086" s="129"/>
      <c r="AD1086" s="129"/>
      <c r="AE1086" s="129"/>
      <c r="AF1086" s="129"/>
      <c r="AG1086" s="129"/>
      <c r="AH1086" s="129"/>
      <c r="AI1086" s="129"/>
      <c r="AJ1086" s="129"/>
      <c r="AK1086" s="129"/>
      <c r="AL1086" s="129"/>
      <c r="AM1086" s="129"/>
    </row>
    <row r="1087" spans="1:39" hidden="1" x14ac:dyDescent="0.25">
      <c r="A1087" s="127">
        <v>1086</v>
      </c>
      <c r="B1087" s="152" t="s">
        <v>1991</v>
      </c>
      <c r="C1087" s="153" t="s">
        <v>4764</v>
      </c>
      <c r="D1087" s="153" t="s">
        <v>4765</v>
      </c>
      <c r="E1087" s="153" t="s">
        <v>64</v>
      </c>
      <c r="F1087" s="6"/>
      <c r="G1087" s="6"/>
      <c r="H1087" s="128">
        <f t="shared" si="17"/>
        <v>0</v>
      </c>
      <c r="I1087" s="129"/>
      <c r="J1087" s="129"/>
      <c r="K1087" s="129"/>
      <c r="L1087" s="129"/>
      <c r="M1087" s="129"/>
      <c r="N1087" s="129"/>
      <c r="O1087" s="129"/>
      <c r="P1087" s="129"/>
      <c r="Q1087" s="129"/>
      <c r="R1087" s="129"/>
      <c r="S1087" s="129"/>
      <c r="T1087" s="129"/>
      <c r="U1087" s="129"/>
      <c r="V1087" s="129"/>
      <c r="W1087" s="129"/>
      <c r="X1087" s="129"/>
      <c r="Y1087" s="129"/>
      <c r="Z1087" s="129"/>
      <c r="AA1087" s="129"/>
      <c r="AB1087" s="129"/>
      <c r="AC1087" s="129"/>
      <c r="AD1087" s="129"/>
      <c r="AE1087" s="129"/>
      <c r="AF1087" s="129"/>
      <c r="AG1087" s="129"/>
      <c r="AH1087" s="129"/>
      <c r="AI1087" s="129"/>
      <c r="AJ1087" s="129"/>
      <c r="AK1087" s="129"/>
      <c r="AL1087" s="129"/>
      <c r="AM1087" s="129"/>
    </row>
    <row r="1088" spans="1:39" hidden="1" x14ac:dyDescent="0.25">
      <c r="A1088" s="127">
        <v>1087</v>
      </c>
      <c r="B1088" s="152" t="s">
        <v>1695</v>
      </c>
      <c r="C1088" s="153" t="s">
        <v>4766</v>
      </c>
      <c r="D1088" s="153" t="s">
        <v>4767</v>
      </c>
      <c r="E1088" s="153" t="s">
        <v>2111</v>
      </c>
      <c r="F1088" s="6"/>
      <c r="G1088" s="6"/>
      <c r="H1088" s="128">
        <f t="shared" si="17"/>
        <v>0</v>
      </c>
      <c r="I1088" s="129"/>
      <c r="J1088" s="129"/>
      <c r="K1088" s="129"/>
      <c r="L1088" s="129"/>
      <c r="M1088" s="129"/>
      <c r="N1088" s="129"/>
      <c r="O1088" s="129"/>
      <c r="P1088" s="129"/>
      <c r="Q1088" s="129"/>
      <c r="R1088" s="129"/>
      <c r="S1088" s="129"/>
      <c r="T1088" s="129"/>
      <c r="U1088" s="129"/>
      <c r="V1088" s="129"/>
      <c r="W1088" s="129"/>
      <c r="X1088" s="129"/>
      <c r="Y1088" s="129"/>
      <c r="Z1088" s="129"/>
      <c r="AA1088" s="129"/>
      <c r="AB1088" s="129"/>
      <c r="AC1088" s="129"/>
      <c r="AD1088" s="129"/>
      <c r="AE1088" s="129"/>
      <c r="AF1088" s="129"/>
      <c r="AG1088" s="129"/>
      <c r="AH1088" s="129"/>
      <c r="AI1088" s="129"/>
      <c r="AJ1088" s="129"/>
      <c r="AK1088" s="129"/>
      <c r="AL1088" s="129"/>
      <c r="AM1088" s="129"/>
    </row>
    <row r="1089" spans="1:39" hidden="1" x14ac:dyDescent="0.25">
      <c r="A1089" s="127">
        <v>1088</v>
      </c>
      <c r="B1089" s="157" t="s">
        <v>1709</v>
      </c>
      <c r="C1089" s="158" t="s">
        <v>4768</v>
      </c>
      <c r="D1089" s="158" t="s">
        <v>4769</v>
      </c>
      <c r="E1089" s="153" t="s">
        <v>2111</v>
      </c>
      <c r="F1089" s="6"/>
      <c r="G1089" s="6"/>
      <c r="H1089" s="128">
        <f t="shared" si="17"/>
        <v>0</v>
      </c>
      <c r="I1089" s="129"/>
      <c r="J1089" s="129"/>
      <c r="K1089" s="129"/>
      <c r="L1089" s="129"/>
      <c r="M1089" s="129"/>
      <c r="N1089" s="129"/>
      <c r="O1089" s="129"/>
      <c r="P1089" s="129"/>
      <c r="Q1089" s="129"/>
      <c r="R1089" s="129"/>
      <c r="S1089" s="129"/>
      <c r="T1089" s="129"/>
      <c r="U1089" s="129"/>
      <c r="V1089" s="129"/>
      <c r="W1089" s="129"/>
      <c r="X1089" s="129"/>
      <c r="Y1089" s="129"/>
      <c r="Z1089" s="129"/>
      <c r="AA1089" s="129"/>
      <c r="AB1089" s="129"/>
      <c r="AC1089" s="129"/>
      <c r="AD1089" s="129"/>
      <c r="AE1089" s="129"/>
      <c r="AF1089" s="129"/>
      <c r="AG1089" s="129"/>
      <c r="AH1089" s="129"/>
      <c r="AI1089" s="129"/>
      <c r="AJ1089" s="129"/>
      <c r="AK1089" s="129"/>
      <c r="AL1089" s="129"/>
      <c r="AM1089" s="129"/>
    </row>
    <row r="1090" spans="1:39" hidden="1" x14ac:dyDescent="0.25">
      <c r="A1090" s="127">
        <v>1089</v>
      </c>
      <c r="B1090" s="152" t="s">
        <v>1960</v>
      </c>
      <c r="C1090" s="153" t="s">
        <v>4770</v>
      </c>
      <c r="D1090" s="153" t="s">
        <v>4771</v>
      </c>
      <c r="E1090" s="153" t="s">
        <v>4948</v>
      </c>
      <c r="F1090" s="6"/>
      <c r="G1090" s="6"/>
      <c r="H1090" s="128">
        <f t="shared" ref="H1090:H1105" si="18">SUM(I1090:AM1090)</f>
        <v>0</v>
      </c>
      <c r="I1090" s="129"/>
      <c r="J1090" s="129"/>
      <c r="K1090" s="129"/>
      <c r="L1090" s="129"/>
      <c r="M1090" s="129"/>
      <c r="N1090" s="129"/>
      <c r="O1090" s="129"/>
      <c r="P1090" s="129"/>
      <c r="Q1090" s="129"/>
      <c r="R1090" s="129"/>
      <c r="S1090" s="129"/>
      <c r="T1090" s="129"/>
      <c r="U1090" s="129"/>
      <c r="V1090" s="129"/>
      <c r="W1090" s="129"/>
      <c r="X1090" s="129"/>
      <c r="Y1090" s="129"/>
      <c r="Z1090" s="129"/>
      <c r="AA1090" s="129"/>
      <c r="AB1090" s="129"/>
      <c r="AC1090" s="129"/>
      <c r="AD1090" s="129"/>
      <c r="AE1090" s="129"/>
      <c r="AF1090" s="129"/>
      <c r="AG1090" s="129"/>
      <c r="AH1090" s="129"/>
      <c r="AI1090" s="129"/>
      <c r="AJ1090" s="129"/>
      <c r="AK1090" s="129"/>
      <c r="AL1090" s="129"/>
      <c r="AM1090" s="129"/>
    </row>
    <row r="1091" spans="1:39" hidden="1" x14ac:dyDescent="0.25">
      <c r="A1091" s="127">
        <v>1090</v>
      </c>
      <c r="B1091" s="152" t="s">
        <v>1961</v>
      </c>
      <c r="C1091" s="153" t="s">
        <v>4772</v>
      </c>
      <c r="D1091" s="153" t="s">
        <v>4773</v>
      </c>
      <c r="E1091" s="153" t="s">
        <v>4948</v>
      </c>
      <c r="F1091" s="6"/>
      <c r="G1091" s="6"/>
      <c r="H1091" s="128">
        <f t="shared" si="18"/>
        <v>0</v>
      </c>
      <c r="I1091" s="129"/>
      <c r="J1091" s="129"/>
      <c r="K1091" s="129"/>
      <c r="L1091" s="129"/>
      <c r="M1091" s="129"/>
      <c r="N1091" s="129"/>
      <c r="O1091" s="129"/>
      <c r="P1091" s="129"/>
      <c r="Q1091" s="129"/>
      <c r="R1091" s="129"/>
      <c r="S1091" s="129"/>
      <c r="T1091" s="129"/>
      <c r="U1091" s="129"/>
      <c r="V1091" s="129"/>
      <c r="W1091" s="129"/>
      <c r="X1091" s="129"/>
      <c r="Y1091" s="129"/>
      <c r="Z1091" s="129"/>
      <c r="AA1091" s="129"/>
      <c r="AB1091" s="129"/>
      <c r="AC1091" s="129"/>
      <c r="AD1091" s="129"/>
      <c r="AE1091" s="129"/>
      <c r="AF1091" s="129"/>
      <c r="AG1091" s="129"/>
      <c r="AH1091" s="129"/>
      <c r="AI1091" s="129"/>
      <c r="AJ1091" s="129"/>
      <c r="AK1091" s="129"/>
      <c r="AL1091" s="129"/>
      <c r="AM1091" s="129"/>
    </row>
    <row r="1092" spans="1:39" hidden="1" x14ac:dyDescent="0.25">
      <c r="A1092" s="127">
        <v>1091</v>
      </c>
      <c r="B1092" s="152" t="s">
        <v>4774</v>
      </c>
      <c r="C1092" s="153" t="s">
        <v>4775</v>
      </c>
      <c r="D1092" s="153" t="s">
        <v>4776</v>
      </c>
      <c r="E1092" s="153" t="s">
        <v>4948</v>
      </c>
      <c r="F1092" s="6"/>
      <c r="G1092" s="6"/>
      <c r="H1092" s="128">
        <f t="shared" si="18"/>
        <v>0</v>
      </c>
      <c r="I1092" s="129"/>
      <c r="J1092" s="129"/>
      <c r="K1092" s="129"/>
      <c r="L1092" s="129"/>
      <c r="M1092" s="129"/>
      <c r="N1092" s="129"/>
      <c r="O1092" s="129"/>
      <c r="P1092" s="129"/>
      <c r="Q1092" s="129"/>
      <c r="R1092" s="129"/>
      <c r="S1092" s="129"/>
      <c r="T1092" s="129"/>
      <c r="U1092" s="129"/>
      <c r="V1092" s="129"/>
      <c r="W1092" s="129"/>
      <c r="X1092" s="129"/>
      <c r="Y1092" s="129"/>
      <c r="Z1092" s="129"/>
      <c r="AA1092" s="129"/>
      <c r="AB1092" s="129"/>
      <c r="AC1092" s="129"/>
      <c r="AD1092" s="129"/>
      <c r="AE1092" s="129"/>
      <c r="AF1092" s="129"/>
      <c r="AG1092" s="129"/>
      <c r="AH1092" s="129"/>
      <c r="AI1092" s="129"/>
      <c r="AJ1092" s="129"/>
      <c r="AK1092" s="129"/>
      <c r="AL1092" s="129"/>
      <c r="AM1092" s="129"/>
    </row>
    <row r="1093" spans="1:39" hidden="1" x14ac:dyDescent="0.25">
      <c r="A1093" s="127">
        <v>1092</v>
      </c>
      <c r="B1093" s="152" t="s">
        <v>4777</v>
      </c>
      <c r="C1093" s="153" t="s">
        <v>4778</v>
      </c>
      <c r="D1093" s="153" t="s">
        <v>4779</v>
      </c>
      <c r="E1093" s="153" t="s">
        <v>4948</v>
      </c>
      <c r="F1093" s="6"/>
      <c r="G1093" s="6"/>
      <c r="H1093" s="128">
        <f t="shared" si="18"/>
        <v>0</v>
      </c>
      <c r="I1093" s="129"/>
      <c r="J1093" s="129"/>
      <c r="K1093" s="129"/>
      <c r="L1093" s="129"/>
      <c r="M1093" s="129"/>
      <c r="N1093" s="129"/>
      <c r="O1093" s="129"/>
      <c r="P1093" s="129"/>
      <c r="Q1093" s="129"/>
      <c r="R1093" s="129"/>
      <c r="S1093" s="129"/>
      <c r="T1093" s="129"/>
      <c r="U1093" s="129"/>
      <c r="V1093" s="129"/>
      <c r="W1093" s="129"/>
      <c r="X1093" s="129"/>
      <c r="Y1093" s="129"/>
      <c r="Z1093" s="129"/>
      <c r="AA1093" s="129"/>
      <c r="AB1093" s="129"/>
      <c r="AC1093" s="129"/>
      <c r="AD1093" s="129"/>
      <c r="AE1093" s="129"/>
      <c r="AF1093" s="129"/>
      <c r="AG1093" s="129"/>
      <c r="AH1093" s="129"/>
      <c r="AI1093" s="129"/>
      <c r="AJ1093" s="129"/>
      <c r="AK1093" s="129"/>
      <c r="AL1093" s="129"/>
      <c r="AM1093" s="129"/>
    </row>
    <row r="1094" spans="1:39" hidden="1" x14ac:dyDescent="0.25">
      <c r="A1094" s="127">
        <v>1093</v>
      </c>
      <c r="B1094" s="152" t="s">
        <v>4780</v>
      </c>
      <c r="C1094" s="153" t="s">
        <v>4781</v>
      </c>
      <c r="D1094" s="153" t="s">
        <v>4782</v>
      </c>
      <c r="E1094" s="153" t="s">
        <v>4948</v>
      </c>
      <c r="F1094" s="6"/>
      <c r="G1094" s="6"/>
      <c r="H1094" s="128">
        <f t="shared" si="18"/>
        <v>0</v>
      </c>
      <c r="I1094" s="129"/>
      <c r="J1094" s="129"/>
      <c r="K1094" s="129"/>
      <c r="L1094" s="129"/>
      <c r="M1094" s="129"/>
      <c r="N1094" s="129"/>
      <c r="O1094" s="129"/>
      <c r="P1094" s="129"/>
      <c r="Q1094" s="129"/>
      <c r="R1094" s="129"/>
      <c r="S1094" s="129"/>
      <c r="T1094" s="129"/>
      <c r="U1094" s="129"/>
      <c r="V1094" s="129"/>
      <c r="W1094" s="129"/>
      <c r="X1094" s="129"/>
      <c r="Y1094" s="129"/>
      <c r="Z1094" s="129"/>
      <c r="AA1094" s="129"/>
      <c r="AB1094" s="129"/>
      <c r="AC1094" s="129"/>
      <c r="AD1094" s="129"/>
      <c r="AE1094" s="129"/>
      <c r="AF1094" s="129"/>
      <c r="AG1094" s="129"/>
      <c r="AH1094" s="129"/>
      <c r="AI1094" s="129"/>
      <c r="AJ1094" s="129"/>
      <c r="AK1094" s="129"/>
      <c r="AL1094" s="129"/>
      <c r="AM1094" s="129"/>
    </row>
    <row r="1095" spans="1:39" hidden="1" x14ac:dyDescent="0.25">
      <c r="A1095" s="127">
        <v>1094</v>
      </c>
      <c r="B1095" s="152" t="s">
        <v>4783</v>
      </c>
      <c r="C1095" s="153" t="s">
        <v>4784</v>
      </c>
      <c r="D1095" s="153" t="s">
        <v>4785</v>
      </c>
      <c r="E1095" s="153" t="s">
        <v>4948</v>
      </c>
      <c r="F1095" s="6"/>
      <c r="G1095" s="6"/>
      <c r="H1095" s="128">
        <f t="shared" si="18"/>
        <v>0</v>
      </c>
      <c r="I1095" s="129"/>
      <c r="J1095" s="129"/>
      <c r="K1095" s="129"/>
      <c r="L1095" s="129"/>
      <c r="M1095" s="129"/>
      <c r="N1095" s="129"/>
      <c r="O1095" s="129"/>
      <c r="P1095" s="129"/>
      <c r="Q1095" s="129"/>
      <c r="R1095" s="129"/>
      <c r="S1095" s="129"/>
      <c r="T1095" s="129"/>
      <c r="U1095" s="129"/>
      <c r="V1095" s="129"/>
      <c r="W1095" s="129"/>
      <c r="X1095" s="129"/>
      <c r="Y1095" s="129"/>
      <c r="Z1095" s="129"/>
      <c r="AA1095" s="129"/>
      <c r="AB1095" s="129"/>
      <c r="AC1095" s="129"/>
      <c r="AD1095" s="129"/>
      <c r="AE1095" s="129"/>
      <c r="AF1095" s="129"/>
      <c r="AG1095" s="129"/>
      <c r="AH1095" s="129"/>
      <c r="AI1095" s="129"/>
      <c r="AJ1095" s="129"/>
      <c r="AK1095" s="129"/>
      <c r="AL1095" s="129"/>
      <c r="AM1095" s="129"/>
    </row>
    <row r="1096" spans="1:39" hidden="1" x14ac:dyDescent="0.25">
      <c r="A1096" s="127">
        <v>1095</v>
      </c>
      <c r="B1096" s="152" t="s">
        <v>4786</v>
      </c>
      <c r="C1096" s="153" t="s">
        <v>4787</v>
      </c>
      <c r="D1096" s="153" t="s">
        <v>4788</v>
      </c>
      <c r="E1096" s="153" t="s">
        <v>4948</v>
      </c>
      <c r="F1096" s="6"/>
      <c r="G1096" s="6"/>
      <c r="H1096" s="128">
        <f t="shared" si="18"/>
        <v>0</v>
      </c>
      <c r="I1096" s="129"/>
      <c r="J1096" s="129"/>
      <c r="K1096" s="129"/>
      <c r="L1096" s="129"/>
      <c r="M1096" s="129"/>
      <c r="N1096" s="129"/>
      <c r="O1096" s="129"/>
      <c r="P1096" s="129"/>
      <c r="Q1096" s="129"/>
      <c r="R1096" s="129"/>
      <c r="S1096" s="129"/>
      <c r="T1096" s="129"/>
      <c r="U1096" s="129"/>
      <c r="V1096" s="129"/>
      <c r="W1096" s="129"/>
      <c r="X1096" s="129"/>
      <c r="Y1096" s="129"/>
      <c r="Z1096" s="129"/>
      <c r="AA1096" s="129"/>
      <c r="AB1096" s="129"/>
      <c r="AC1096" s="129"/>
      <c r="AD1096" s="129"/>
      <c r="AE1096" s="129"/>
      <c r="AF1096" s="129"/>
      <c r="AG1096" s="129"/>
      <c r="AH1096" s="129"/>
      <c r="AI1096" s="129"/>
      <c r="AJ1096" s="129"/>
      <c r="AK1096" s="129"/>
      <c r="AL1096" s="129"/>
      <c r="AM1096" s="129"/>
    </row>
    <row r="1097" spans="1:39" ht="15.75" hidden="1" x14ac:dyDescent="0.25">
      <c r="A1097" s="127">
        <v>1096</v>
      </c>
      <c r="B1097" s="152" t="s">
        <v>4789</v>
      </c>
      <c r="C1097" s="153" t="s">
        <v>4790</v>
      </c>
      <c r="D1097" s="153" t="s">
        <v>4791</v>
      </c>
      <c r="E1097" s="153" t="s">
        <v>4948</v>
      </c>
      <c r="F1097" s="9"/>
      <c r="G1097" s="9"/>
      <c r="H1097" s="128">
        <f t="shared" si="18"/>
        <v>0</v>
      </c>
      <c r="I1097" s="129"/>
      <c r="J1097" s="129"/>
      <c r="K1097" s="129"/>
      <c r="L1097" s="129"/>
      <c r="M1097" s="129"/>
      <c r="N1097" s="129"/>
      <c r="O1097" s="129"/>
      <c r="P1097" s="129"/>
      <c r="Q1097" s="129"/>
      <c r="R1097" s="129"/>
      <c r="S1097" s="129"/>
      <c r="T1097" s="129"/>
      <c r="U1097" s="129"/>
      <c r="V1097" s="129"/>
      <c r="W1097" s="129"/>
      <c r="X1097" s="129"/>
      <c r="Y1097" s="129"/>
      <c r="Z1097" s="129"/>
      <c r="AA1097" s="129"/>
      <c r="AB1097" s="129"/>
      <c r="AC1097" s="129"/>
      <c r="AD1097" s="129"/>
      <c r="AE1097" s="129"/>
      <c r="AF1097" s="129"/>
      <c r="AG1097" s="129"/>
      <c r="AH1097" s="129"/>
      <c r="AI1097" s="129"/>
      <c r="AJ1097" s="129"/>
      <c r="AK1097" s="129"/>
      <c r="AL1097" s="129"/>
      <c r="AM1097" s="129"/>
    </row>
    <row r="1098" spans="1:39" ht="15.75" hidden="1" x14ac:dyDescent="0.25">
      <c r="A1098" s="127">
        <v>1097</v>
      </c>
      <c r="B1098" s="152" t="s">
        <v>4792</v>
      </c>
      <c r="C1098" s="153" t="s">
        <v>4793</v>
      </c>
      <c r="D1098" s="153" t="s">
        <v>4794</v>
      </c>
      <c r="E1098" s="153" t="s">
        <v>4948</v>
      </c>
      <c r="F1098" s="9"/>
      <c r="G1098" s="9"/>
      <c r="H1098" s="128">
        <f t="shared" si="18"/>
        <v>0</v>
      </c>
      <c r="I1098" s="129"/>
      <c r="J1098" s="129"/>
      <c r="K1098" s="129"/>
      <c r="L1098" s="129"/>
      <c r="M1098" s="129"/>
      <c r="N1098" s="129"/>
      <c r="O1098" s="129"/>
      <c r="P1098" s="129"/>
      <c r="Q1098" s="129"/>
      <c r="R1098" s="129"/>
      <c r="S1098" s="129"/>
      <c r="T1098" s="129"/>
      <c r="U1098" s="129"/>
      <c r="V1098" s="129"/>
      <c r="W1098" s="129"/>
      <c r="X1098" s="129"/>
      <c r="Y1098" s="129"/>
      <c r="Z1098" s="129"/>
      <c r="AA1098" s="129"/>
      <c r="AB1098" s="129"/>
      <c r="AC1098" s="129"/>
      <c r="AD1098" s="129"/>
      <c r="AE1098" s="129"/>
      <c r="AF1098" s="129"/>
      <c r="AG1098" s="129"/>
      <c r="AH1098" s="129"/>
      <c r="AI1098" s="129"/>
      <c r="AJ1098" s="129"/>
      <c r="AK1098" s="129"/>
      <c r="AL1098" s="129"/>
      <c r="AM1098" s="129"/>
    </row>
    <row r="1099" spans="1:39" ht="15.75" hidden="1" x14ac:dyDescent="0.25">
      <c r="A1099" s="127">
        <v>1098</v>
      </c>
      <c r="B1099" s="152" t="s">
        <v>4795</v>
      </c>
      <c r="C1099" s="153" t="s">
        <v>4796</v>
      </c>
      <c r="D1099" s="153" t="s">
        <v>4797</v>
      </c>
      <c r="E1099" s="153" t="s">
        <v>4948</v>
      </c>
      <c r="F1099" s="9"/>
      <c r="G1099" s="9"/>
      <c r="H1099" s="128">
        <f t="shared" si="18"/>
        <v>0</v>
      </c>
      <c r="I1099" s="129"/>
      <c r="J1099" s="129"/>
      <c r="K1099" s="129"/>
      <c r="L1099" s="129"/>
      <c r="M1099" s="129"/>
      <c r="N1099" s="129"/>
      <c r="O1099" s="129"/>
      <c r="P1099" s="129"/>
      <c r="Q1099" s="129"/>
      <c r="R1099" s="129"/>
      <c r="S1099" s="129"/>
      <c r="T1099" s="129"/>
      <c r="U1099" s="129"/>
      <c r="V1099" s="129"/>
      <c r="W1099" s="129"/>
      <c r="X1099" s="129"/>
      <c r="Y1099" s="129"/>
      <c r="Z1099" s="129"/>
      <c r="AA1099" s="129"/>
      <c r="AB1099" s="129"/>
      <c r="AC1099" s="129"/>
      <c r="AD1099" s="129"/>
      <c r="AE1099" s="129"/>
      <c r="AF1099" s="129"/>
      <c r="AG1099" s="129"/>
      <c r="AH1099" s="129"/>
      <c r="AI1099" s="129"/>
      <c r="AJ1099" s="129"/>
      <c r="AK1099" s="129"/>
      <c r="AL1099" s="129"/>
      <c r="AM1099" s="129"/>
    </row>
    <row r="1100" spans="1:39" ht="15.75" hidden="1" x14ac:dyDescent="0.25">
      <c r="A1100" s="127">
        <v>1099</v>
      </c>
      <c r="B1100" s="152" t="s">
        <v>4798</v>
      </c>
      <c r="C1100" s="153" t="s">
        <v>4799</v>
      </c>
      <c r="D1100" s="153" t="s">
        <v>4800</v>
      </c>
      <c r="E1100" s="153" t="s">
        <v>4948</v>
      </c>
      <c r="F1100" s="130"/>
      <c r="G1100" s="130"/>
      <c r="H1100" s="128">
        <f t="shared" si="18"/>
        <v>0</v>
      </c>
      <c r="I1100" s="129"/>
      <c r="J1100" s="129"/>
      <c r="K1100" s="129"/>
      <c r="L1100" s="129"/>
      <c r="M1100" s="129"/>
      <c r="N1100" s="129"/>
      <c r="O1100" s="129"/>
      <c r="P1100" s="129"/>
      <c r="Q1100" s="129"/>
      <c r="R1100" s="129"/>
      <c r="S1100" s="129"/>
      <c r="T1100" s="129"/>
      <c r="U1100" s="129"/>
      <c r="V1100" s="129"/>
      <c r="W1100" s="129"/>
      <c r="X1100" s="129"/>
      <c r="Y1100" s="129"/>
      <c r="Z1100" s="129"/>
      <c r="AA1100" s="129"/>
      <c r="AB1100" s="129"/>
      <c r="AC1100" s="129"/>
      <c r="AD1100" s="129"/>
      <c r="AE1100" s="129"/>
      <c r="AF1100" s="129"/>
      <c r="AG1100" s="129"/>
      <c r="AH1100" s="129"/>
      <c r="AI1100" s="129"/>
      <c r="AJ1100" s="129"/>
      <c r="AK1100" s="129"/>
      <c r="AL1100" s="129"/>
      <c r="AM1100" s="129"/>
    </row>
    <row r="1101" spans="1:39" ht="15.75" hidden="1" x14ac:dyDescent="0.25">
      <c r="A1101" s="127">
        <v>1100</v>
      </c>
      <c r="B1101" s="152" t="s">
        <v>4801</v>
      </c>
      <c r="C1101" s="153" t="s">
        <v>4802</v>
      </c>
      <c r="D1101" s="153" t="s">
        <v>4803</v>
      </c>
      <c r="E1101" s="153" t="s">
        <v>4948</v>
      </c>
      <c r="F1101" s="130"/>
      <c r="G1101" s="130"/>
      <c r="H1101" s="128">
        <f t="shared" si="18"/>
        <v>0</v>
      </c>
      <c r="I1101" s="129"/>
      <c r="J1101" s="129"/>
      <c r="K1101" s="129"/>
      <c r="L1101" s="129"/>
      <c r="M1101" s="129"/>
      <c r="N1101" s="129"/>
      <c r="O1101" s="129"/>
      <c r="P1101" s="129"/>
      <c r="Q1101" s="129"/>
      <c r="R1101" s="129"/>
      <c r="S1101" s="129"/>
      <c r="T1101" s="129"/>
      <c r="U1101" s="129"/>
      <c r="V1101" s="129"/>
      <c r="W1101" s="129"/>
      <c r="X1101" s="129"/>
      <c r="Y1101" s="129"/>
      <c r="Z1101" s="129"/>
      <c r="AA1101" s="129"/>
      <c r="AB1101" s="129"/>
      <c r="AC1101" s="129"/>
      <c r="AD1101" s="129"/>
      <c r="AE1101" s="129"/>
      <c r="AF1101" s="129"/>
      <c r="AG1101" s="129"/>
      <c r="AH1101" s="129"/>
      <c r="AI1101" s="129"/>
      <c r="AJ1101" s="129"/>
      <c r="AK1101" s="129"/>
      <c r="AL1101" s="129"/>
      <c r="AM1101" s="129"/>
    </row>
    <row r="1102" spans="1:39" ht="15.75" hidden="1" x14ac:dyDescent="0.25">
      <c r="A1102" s="127">
        <v>1101</v>
      </c>
      <c r="B1102" s="152" t="s">
        <v>4804</v>
      </c>
      <c r="C1102" s="153" t="s">
        <v>4805</v>
      </c>
      <c r="D1102" s="153" t="s">
        <v>4806</v>
      </c>
      <c r="E1102" s="153" t="s">
        <v>4948</v>
      </c>
      <c r="F1102" s="130"/>
      <c r="G1102" s="130"/>
      <c r="H1102" s="128">
        <f t="shared" si="18"/>
        <v>0</v>
      </c>
      <c r="I1102" s="129"/>
      <c r="J1102" s="129"/>
      <c r="K1102" s="129"/>
      <c r="L1102" s="129"/>
      <c r="M1102" s="129"/>
      <c r="N1102" s="129"/>
      <c r="O1102" s="129"/>
      <c r="P1102" s="129"/>
      <c r="Q1102" s="129"/>
      <c r="R1102" s="129"/>
      <c r="S1102" s="129"/>
      <c r="T1102" s="129"/>
      <c r="U1102" s="129"/>
      <c r="V1102" s="129"/>
      <c r="W1102" s="129"/>
      <c r="X1102" s="129"/>
      <c r="Y1102" s="129"/>
      <c r="Z1102" s="129"/>
      <c r="AA1102" s="129"/>
      <c r="AB1102" s="129"/>
      <c r="AC1102" s="129"/>
      <c r="AD1102" s="129"/>
      <c r="AE1102" s="129"/>
      <c r="AF1102" s="129"/>
      <c r="AG1102" s="129"/>
      <c r="AH1102" s="129"/>
      <c r="AI1102" s="129"/>
      <c r="AJ1102" s="129"/>
      <c r="AK1102" s="129"/>
      <c r="AL1102" s="129"/>
      <c r="AM1102" s="129"/>
    </row>
    <row r="1103" spans="1:39" ht="15.75" hidden="1" x14ac:dyDescent="0.25">
      <c r="A1103" s="127">
        <v>1102</v>
      </c>
      <c r="B1103" s="152" t="s">
        <v>4807</v>
      </c>
      <c r="C1103" s="153" t="s">
        <v>4808</v>
      </c>
      <c r="D1103" s="153" t="s">
        <v>4809</v>
      </c>
      <c r="E1103" s="153" t="s">
        <v>4948</v>
      </c>
      <c r="F1103" s="130"/>
      <c r="G1103" s="130"/>
      <c r="H1103" s="128">
        <f t="shared" si="18"/>
        <v>0</v>
      </c>
      <c r="I1103" s="129"/>
      <c r="J1103" s="129"/>
      <c r="K1103" s="129"/>
      <c r="L1103" s="129"/>
      <c r="M1103" s="129"/>
      <c r="N1103" s="129"/>
      <c r="O1103" s="129"/>
      <c r="P1103" s="129"/>
      <c r="Q1103" s="129"/>
      <c r="R1103" s="129"/>
      <c r="S1103" s="129"/>
      <c r="T1103" s="129"/>
      <c r="U1103" s="129"/>
      <c r="V1103" s="129"/>
      <c r="W1103" s="129"/>
      <c r="X1103" s="129"/>
      <c r="Y1103" s="129"/>
      <c r="Z1103" s="129"/>
      <c r="AA1103" s="129"/>
      <c r="AB1103" s="129"/>
      <c r="AC1103" s="129"/>
      <c r="AD1103" s="129"/>
      <c r="AE1103" s="129"/>
      <c r="AF1103" s="129"/>
      <c r="AG1103" s="129"/>
      <c r="AH1103" s="129"/>
      <c r="AI1103" s="129"/>
      <c r="AJ1103" s="129"/>
      <c r="AK1103" s="129"/>
      <c r="AL1103" s="129"/>
      <c r="AM1103" s="129"/>
    </row>
    <row r="1104" spans="1:39" ht="15.75" hidden="1" x14ac:dyDescent="0.25">
      <c r="A1104" s="127">
        <v>1103</v>
      </c>
      <c r="B1104" s="152" t="s">
        <v>4810</v>
      </c>
      <c r="C1104" s="153" t="s">
        <v>4811</v>
      </c>
      <c r="D1104" s="153" t="s">
        <v>4812</v>
      </c>
      <c r="E1104" s="153" t="s">
        <v>4948</v>
      </c>
      <c r="F1104" s="130"/>
      <c r="G1104" s="130"/>
      <c r="H1104" s="128">
        <f t="shared" si="18"/>
        <v>0</v>
      </c>
      <c r="I1104" s="129"/>
      <c r="J1104" s="129"/>
      <c r="K1104" s="129"/>
      <c r="L1104" s="129"/>
      <c r="M1104" s="129"/>
      <c r="N1104" s="129"/>
      <c r="O1104" s="129"/>
      <c r="P1104" s="129"/>
      <c r="Q1104" s="129"/>
      <c r="R1104" s="129"/>
      <c r="S1104" s="129"/>
      <c r="T1104" s="129"/>
      <c r="U1104" s="129"/>
      <c r="V1104" s="129"/>
      <c r="W1104" s="129"/>
      <c r="X1104" s="129"/>
      <c r="Y1104" s="129"/>
      <c r="Z1104" s="129"/>
      <c r="AA1104" s="129"/>
      <c r="AB1104" s="129"/>
      <c r="AC1104" s="129"/>
      <c r="AD1104" s="129"/>
      <c r="AE1104" s="129"/>
      <c r="AF1104" s="129"/>
      <c r="AG1104" s="129"/>
      <c r="AH1104" s="129"/>
      <c r="AI1104" s="129"/>
      <c r="AJ1104" s="129"/>
      <c r="AK1104" s="129"/>
      <c r="AL1104" s="129"/>
      <c r="AM1104" s="129"/>
    </row>
    <row r="1105" spans="1:39" ht="15.75" hidden="1" x14ac:dyDescent="0.25">
      <c r="A1105" s="127">
        <v>1104</v>
      </c>
      <c r="B1105" s="152" t="s">
        <v>1063</v>
      </c>
      <c r="C1105" s="153" t="s">
        <v>1064</v>
      </c>
      <c r="D1105" s="153" t="e">
        <v>#N/A</v>
      </c>
      <c r="E1105" s="153" t="s">
        <v>2086</v>
      </c>
      <c r="F1105" s="130"/>
      <c r="G1105" s="130"/>
      <c r="H1105" s="128">
        <f t="shared" si="18"/>
        <v>0</v>
      </c>
      <c r="I1105" s="129"/>
      <c r="J1105" s="129"/>
      <c r="K1105" s="129"/>
      <c r="L1105" s="129"/>
      <c r="M1105" s="129"/>
      <c r="N1105" s="129"/>
      <c r="O1105" s="129"/>
      <c r="P1105" s="129"/>
      <c r="Q1105" s="129"/>
      <c r="R1105" s="129"/>
      <c r="S1105" s="129"/>
      <c r="T1105" s="129"/>
      <c r="U1105" s="129"/>
      <c r="V1105" s="129"/>
      <c r="W1105" s="129"/>
      <c r="X1105" s="129"/>
      <c r="Y1105" s="129"/>
      <c r="Z1105" s="129"/>
      <c r="AA1105" s="129"/>
      <c r="AB1105" s="129"/>
      <c r="AC1105" s="129"/>
      <c r="AD1105" s="129"/>
      <c r="AE1105" s="129"/>
      <c r="AF1105" s="129"/>
      <c r="AG1105" s="129"/>
      <c r="AH1105" s="129"/>
      <c r="AI1105" s="129"/>
      <c r="AJ1105" s="129"/>
      <c r="AK1105" s="129"/>
      <c r="AL1105" s="129"/>
      <c r="AM1105" s="129"/>
    </row>
    <row r="1106" spans="1:39" ht="15.75" hidden="1" x14ac:dyDescent="0.25">
      <c r="A1106" s="127">
        <v>1105</v>
      </c>
      <c r="B1106" s="152" t="s">
        <v>4813</v>
      </c>
      <c r="C1106" s="153" t="s">
        <v>4814</v>
      </c>
      <c r="D1106" s="153" t="e">
        <v>#N/A</v>
      </c>
      <c r="E1106" s="153" t="s">
        <v>2086</v>
      </c>
      <c r="F1106" s="130"/>
      <c r="G1106" s="130"/>
      <c r="H1106" s="128">
        <f t="shared" ref="H1106:H1110" si="19">SUM(I1106:AM1106)</f>
        <v>0</v>
      </c>
      <c r="I1106" s="129"/>
      <c r="J1106" s="129"/>
      <c r="K1106" s="129"/>
      <c r="L1106" s="129"/>
      <c r="M1106" s="129"/>
      <c r="N1106" s="129"/>
      <c r="O1106" s="129"/>
      <c r="P1106" s="129"/>
      <c r="Q1106" s="129"/>
      <c r="R1106" s="129"/>
      <c r="S1106" s="129"/>
      <c r="T1106" s="129"/>
      <c r="U1106" s="129"/>
      <c r="V1106" s="129"/>
      <c r="W1106" s="129"/>
      <c r="X1106" s="129"/>
      <c r="Y1106" s="129"/>
      <c r="Z1106" s="129"/>
      <c r="AA1106" s="129"/>
      <c r="AB1106" s="129"/>
      <c r="AC1106" s="129"/>
      <c r="AD1106" s="129"/>
      <c r="AE1106" s="129"/>
      <c r="AF1106" s="129"/>
      <c r="AG1106" s="129"/>
      <c r="AH1106" s="129"/>
      <c r="AI1106" s="129"/>
      <c r="AJ1106" s="129"/>
      <c r="AK1106" s="129"/>
      <c r="AL1106" s="129"/>
      <c r="AM1106" s="129"/>
    </row>
    <row r="1107" spans="1:39" ht="15.75" hidden="1" x14ac:dyDescent="0.25">
      <c r="A1107" s="127">
        <v>1106</v>
      </c>
      <c r="B1107" s="152" t="s">
        <v>4815</v>
      </c>
      <c r="C1107" s="153" t="s">
        <v>4816</v>
      </c>
      <c r="D1107" s="153" t="e">
        <v>#N/A</v>
      </c>
      <c r="E1107" s="153" t="s">
        <v>2086</v>
      </c>
      <c r="F1107" s="130"/>
      <c r="G1107" s="130"/>
      <c r="H1107" s="128">
        <f t="shared" si="19"/>
        <v>0</v>
      </c>
      <c r="I1107" s="129"/>
      <c r="J1107" s="129"/>
      <c r="K1107" s="129"/>
      <c r="L1107" s="129"/>
      <c r="M1107" s="129"/>
      <c r="N1107" s="129"/>
      <c r="O1107" s="129"/>
      <c r="P1107" s="129"/>
      <c r="Q1107" s="129"/>
      <c r="R1107" s="129"/>
      <c r="S1107" s="129"/>
      <c r="T1107" s="129"/>
      <c r="U1107" s="129"/>
      <c r="V1107" s="129"/>
      <c r="W1107" s="129"/>
      <c r="X1107" s="129"/>
      <c r="Y1107" s="129"/>
      <c r="Z1107" s="129"/>
      <c r="AA1107" s="129"/>
      <c r="AB1107" s="129"/>
      <c r="AC1107" s="129"/>
      <c r="AD1107" s="129"/>
      <c r="AE1107" s="129"/>
      <c r="AF1107" s="129"/>
      <c r="AG1107" s="129"/>
      <c r="AH1107" s="129"/>
      <c r="AI1107" s="129"/>
      <c r="AJ1107" s="129"/>
      <c r="AK1107" s="129"/>
      <c r="AL1107" s="129"/>
      <c r="AM1107" s="129"/>
    </row>
    <row r="1108" spans="1:39" ht="15.75" hidden="1" x14ac:dyDescent="0.25">
      <c r="A1108" s="127">
        <v>1107</v>
      </c>
      <c r="B1108" s="152" t="s">
        <v>4817</v>
      </c>
      <c r="C1108" s="153" t="s">
        <v>4818</v>
      </c>
      <c r="D1108" s="153" t="e">
        <v>#N/A</v>
      </c>
      <c r="E1108" s="153" t="s">
        <v>2086</v>
      </c>
      <c r="F1108" s="130"/>
      <c r="G1108" s="130"/>
      <c r="H1108" s="128">
        <f t="shared" si="19"/>
        <v>0</v>
      </c>
      <c r="I1108" s="129"/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</row>
    <row r="1109" spans="1:39" ht="15.75" hidden="1" x14ac:dyDescent="0.25">
      <c r="A1109" s="127">
        <v>1108</v>
      </c>
      <c r="B1109" s="152" t="s">
        <v>4819</v>
      </c>
      <c r="C1109" s="153" t="s">
        <v>4820</v>
      </c>
      <c r="D1109" s="153" t="e">
        <v>#N/A</v>
      </c>
      <c r="E1109" s="153" t="s">
        <v>2086</v>
      </c>
      <c r="F1109" s="130"/>
      <c r="G1109" s="130"/>
      <c r="H1109" s="128">
        <f t="shared" si="19"/>
        <v>0</v>
      </c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</row>
    <row r="1110" spans="1:39" ht="15.75" hidden="1" x14ac:dyDescent="0.25">
      <c r="A1110" s="127">
        <v>1109</v>
      </c>
      <c r="B1110" s="152" t="s">
        <v>4821</v>
      </c>
      <c r="C1110" s="153" t="s">
        <v>4822</v>
      </c>
      <c r="D1110" s="153" t="e">
        <v>#N/A</v>
      </c>
      <c r="E1110" s="153" t="s">
        <v>2086</v>
      </c>
      <c r="F1110" s="130"/>
      <c r="G1110" s="130"/>
      <c r="H1110" s="128">
        <f t="shared" si="19"/>
        <v>0</v>
      </c>
      <c r="I1110" s="129"/>
      <c r="J1110" s="129"/>
      <c r="K1110" s="129"/>
      <c r="L1110" s="129"/>
      <c r="M1110" s="129"/>
      <c r="N1110" s="129"/>
      <c r="O1110" s="129"/>
      <c r="P1110" s="129"/>
      <c r="Q1110" s="129"/>
      <c r="R1110" s="129"/>
      <c r="S1110" s="129"/>
      <c r="T1110" s="129"/>
      <c r="U1110" s="129"/>
      <c r="V1110" s="129"/>
      <c r="W1110" s="129"/>
      <c r="X1110" s="129"/>
      <c r="Y1110" s="129"/>
      <c r="Z1110" s="129"/>
      <c r="AA1110" s="129"/>
      <c r="AB1110" s="129"/>
      <c r="AC1110" s="129"/>
      <c r="AD1110" s="129"/>
      <c r="AE1110" s="129"/>
      <c r="AF1110" s="129"/>
      <c r="AG1110" s="129"/>
      <c r="AH1110" s="129"/>
      <c r="AI1110" s="129"/>
      <c r="AJ1110" s="129"/>
      <c r="AK1110" s="129"/>
      <c r="AL1110" s="129"/>
      <c r="AM1110" s="129"/>
    </row>
    <row r="1111" spans="1:39" ht="15.75" hidden="1" x14ac:dyDescent="0.25">
      <c r="A1111" s="127">
        <v>1110</v>
      </c>
      <c r="B1111" s="152" t="s">
        <v>4823</v>
      </c>
      <c r="C1111" s="153" t="s">
        <v>4824</v>
      </c>
      <c r="D1111" s="153" t="e">
        <v>#N/A</v>
      </c>
      <c r="E1111" s="153" t="s">
        <v>2086</v>
      </c>
      <c r="F1111" s="130"/>
      <c r="G1111" s="130"/>
      <c r="H1111" s="128">
        <f t="shared" ref="H1111:H1120" si="20">SUM(I1111:AM1111)</f>
        <v>0</v>
      </c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29"/>
      <c r="AL1111" s="129"/>
      <c r="AM1111" s="129"/>
    </row>
    <row r="1112" spans="1:39" ht="15.75" hidden="1" x14ac:dyDescent="0.25">
      <c r="A1112" s="127">
        <v>1111</v>
      </c>
      <c r="B1112" s="152" t="s">
        <v>4825</v>
      </c>
      <c r="C1112" s="153" t="s">
        <v>4826</v>
      </c>
      <c r="D1112" s="153" t="e">
        <v>#N/A</v>
      </c>
      <c r="E1112" s="153" t="s">
        <v>2086</v>
      </c>
      <c r="F1112" s="130"/>
      <c r="G1112" s="130"/>
      <c r="H1112" s="128">
        <f t="shared" si="20"/>
        <v>0</v>
      </c>
      <c r="I1112" s="129"/>
      <c r="J1112" s="129"/>
      <c r="K1112" s="129"/>
      <c r="L1112" s="129"/>
      <c r="M1112" s="129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</row>
    <row r="1113" spans="1:39" ht="15.75" hidden="1" x14ac:dyDescent="0.25">
      <c r="A1113" s="127">
        <v>1112</v>
      </c>
      <c r="B1113" s="152" t="s">
        <v>4827</v>
      </c>
      <c r="C1113" s="153" t="s">
        <v>4828</v>
      </c>
      <c r="D1113" s="153" t="e">
        <v>#N/A</v>
      </c>
      <c r="E1113" s="153" t="s">
        <v>2086</v>
      </c>
      <c r="F1113" s="130"/>
      <c r="G1113" s="130"/>
      <c r="H1113" s="128">
        <f t="shared" si="20"/>
        <v>0</v>
      </c>
      <c r="I1113" s="129"/>
      <c r="J1113" s="129"/>
      <c r="K1113" s="129"/>
      <c r="L1113" s="129"/>
      <c r="M1113" s="129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</row>
    <row r="1114" spans="1:39" ht="15.75" hidden="1" x14ac:dyDescent="0.25">
      <c r="A1114" s="127">
        <v>1113</v>
      </c>
      <c r="B1114" s="152" t="s">
        <v>548</v>
      </c>
      <c r="C1114" s="153" t="s">
        <v>549</v>
      </c>
      <c r="D1114" s="153" t="e">
        <v>#N/A</v>
      </c>
      <c r="E1114" s="153" t="s">
        <v>2086</v>
      </c>
      <c r="F1114" s="130"/>
      <c r="G1114" s="130"/>
      <c r="H1114" s="128">
        <f t="shared" si="20"/>
        <v>0</v>
      </c>
      <c r="I1114" s="129"/>
      <c r="J1114" s="129"/>
      <c r="K1114" s="129"/>
      <c r="L1114" s="129"/>
      <c r="M1114" s="129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</row>
    <row r="1115" spans="1:39" ht="15.75" hidden="1" x14ac:dyDescent="0.25">
      <c r="A1115" s="127">
        <v>1114</v>
      </c>
      <c r="B1115" s="152" t="s">
        <v>554</v>
      </c>
      <c r="C1115" s="153" t="s">
        <v>555</v>
      </c>
      <c r="D1115" s="153" t="e">
        <v>#N/A</v>
      </c>
      <c r="E1115" s="153" t="s">
        <v>2086</v>
      </c>
      <c r="F1115" s="130"/>
      <c r="G1115" s="130"/>
      <c r="H1115" s="128">
        <f t="shared" si="20"/>
        <v>0</v>
      </c>
      <c r="I1115" s="129"/>
      <c r="J1115" s="129"/>
      <c r="K1115" s="129"/>
      <c r="L1115" s="129"/>
      <c r="M1115" s="129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</row>
    <row r="1116" spans="1:39" ht="15.75" hidden="1" x14ac:dyDescent="0.25">
      <c r="A1116" s="127">
        <v>1115</v>
      </c>
      <c r="B1116" s="152" t="s">
        <v>4829</v>
      </c>
      <c r="C1116" s="153" t="s">
        <v>4830</v>
      </c>
      <c r="D1116" s="153" t="e">
        <v>#N/A</v>
      </c>
      <c r="E1116" s="153" t="s">
        <v>2086</v>
      </c>
      <c r="F1116" s="130"/>
      <c r="G1116" s="130"/>
      <c r="H1116" s="128">
        <f t="shared" si="20"/>
        <v>0</v>
      </c>
      <c r="I1116" s="129"/>
      <c r="J1116" s="129"/>
      <c r="K1116" s="129"/>
      <c r="L1116" s="129"/>
      <c r="M1116" s="129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</row>
    <row r="1117" spans="1:39" ht="30" hidden="1" x14ac:dyDescent="0.25">
      <c r="A1117" s="127">
        <v>1116</v>
      </c>
      <c r="B1117" s="152" t="s">
        <v>4831</v>
      </c>
      <c r="C1117" s="159" t="s">
        <v>4832</v>
      </c>
      <c r="D1117" s="159" t="e">
        <v>#N/A</v>
      </c>
      <c r="E1117" s="153" t="s">
        <v>2086</v>
      </c>
      <c r="F1117" s="130"/>
      <c r="G1117" s="130"/>
      <c r="H1117" s="128">
        <f t="shared" si="20"/>
        <v>0</v>
      </c>
      <c r="I1117" s="129"/>
      <c r="J1117" s="129"/>
      <c r="K1117" s="129"/>
      <c r="L1117" s="129"/>
      <c r="M1117" s="129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</row>
    <row r="1118" spans="1:39" ht="15.75" hidden="1" x14ac:dyDescent="0.25">
      <c r="A1118" s="127">
        <v>1117</v>
      </c>
      <c r="B1118" s="152" t="s">
        <v>4833</v>
      </c>
      <c r="C1118" s="153" t="s">
        <v>4834</v>
      </c>
      <c r="D1118" s="153" t="e">
        <v>#N/A</v>
      </c>
      <c r="E1118" s="153" t="s">
        <v>2086</v>
      </c>
      <c r="F1118" s="130"/>
      <c r="G1118" s="130"/>
      <c r="H1118" s="128">
        <f t="shared" si="20"/>
        <v>0</v>
      </c>
      <c r="I1118" s="129"/>
      <c r="J1118" s="129"/>
      <c r="K1118" s="129"/>
      <c r="L1118" s="129"/>
      <c r="M1118" s="129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</row>
    <row r="1119" spans="1:39" ht="15.75" hidden="1" x14ac:dyDescent="0.25">
      <c r="A1119" s="127">
        <v>1118</v>
      </c>
      <c r="B1119" s="152" t="s">
        <v>4835</v>
      </c>
      <c r="C1119" s="153" t="s">
        <v>4836</v>
      </c>
      <c r="D1119" s="153" t="e">
        <v>#N/A</v>
      </c>
      <c r="E1119" s="153" t="s">
        <v>2086</v>
      </c>
      <c r="F1119" s="130"/>
      <c r="G1119" s="130"/>
      <c r="H1119" s="128">
        <f t="shared" si="20"/>
        <v>0</v>
      </c>
      <c r="I1119" s="129"/>
      <c r="J1119" s="129"/>
      <c r="K1119" s="129"/>
      <c r="L1119" s="129"/>
      <c r="M1119" s="129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</row>
    <row r="1120" spans="1:39" ht="15.75" hidden="1" x14ac:dyDescent="0.25">
      <c r="A1120" s="127">
        <v>1119</v>
      </c>
      <c r="B1120" s="152" t="s">
        <v>4837</v>
      </c>
      <c r="C1120" s="153" t="s">
        <v>4838</v>
      </c>
      <c r="D1120" s="153" t="e">
        <v>#N/A</v>
      </c>
      <c r="E1120" s="153" t="s">
        <v>2086</v>
      </c>
      <c r="F1120" s="130"/>
      <c r="G1120" s="130"/>
      <c r="H1120" s="128">
        <f t="shared" si="20"/>
        <v>0</v>
      </c>
      <c r="I1120" s="129"/>
      <c r="J1120" s="129"/>
      <c r="K1120" s="129"/>
      <c r="L1120" s="129"/>
      <c r="M1120" s="129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</row>
    <row r="1121" spans="1:39" ht="15.75" hidden="1" x14ac:dyDescent="0.25">
      <c r="A1121" s="127">
        <v>1120</v>
      </c>
      <c r="B1121" s="152" t="s">
        <v>4839</v>
      </c>
      <c r="C1121" s="153" t="s">
        <v>4840</v>
      </c>
      <c r="D1121" s="153" t="e">
        <v>#N/A</v>
      </c>
      <c r="E1121" s="153" t="s">
        <v>2086</v>
      </c>
      <c r="F1121" s="130"/>
      <c r="G1121" s="130"/>
      <c r="H1121" s="128">
        <f>SUM(I1121:AM1121)</f>
        <v>0</v>
      </c>
      <c r="I1121" s="129"/>
      <c r="J1121" s="129"/>
      <c r="K1121" s="129"/>
      <c r="L1121" s="129"/>
      <c r="M1121" s="129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</row>
    <row r="1122" spans="1:39" ht="15.75" hidden="1" x14ac:dyDescent="0.25">
      <c r="A1122" s="127">
        <v>1121</v>
      </c>
      <c r="B1122" s="152" t="s">
        <v>4841</v>
      </c>
      <c r="C1122" s="153" t="s">
        <v>4842</v>
      </c>
      <c r="D1122" s="153" t="e">
        <v>#N/A</v>
      </c>
      <c r="E1122" s="153" t="s">
        <v>2086</v>
      </c>
      <c r="F1122" s="130"/>
      <c r="G1122" s="130"/>
      <c r="H1122" s="128">
        <f t="shared" ref="H1122:H1154" si="21">SUM(I1122:AM1122)</f>
        <v>0</v>
      </c>
      <c r="I1122" s="129"/>
      <c r="J1122" s="129"/>
      <c r="K1122" s="129"/>
      <c r="L1122" s="129"/>
      <c r="M1122" s="129"/>
      <c r="N1122" s="129"/>
      <c r="O1122" s="129"/>
      <c r="P1122" s="129"/>
      <c r="Q1122" s="129"/>
      <c r="R1122" s="129"/>
      <c r="S1122" s="129"/>
      <c r="T1122" s="129"/>
      <c r="U1122" s="129"/>
      <c r="V1122" s="129"/>
      <c r="W1122" s="129"/>
      <c r="X1122" s="129"/>
      <c r="Y1122" s="129"/>
      <c r="Z1122" s="129"/>
      <c r="AA1122" s="129"/>
      <c r="AB1122" s="129"/>
      <c r="AC1122" s="129"/>
      <c r="AD1122" s="129"/>
      <c r="AE1122" s="129"/>
      <c r="AF1122" s="129"/>
      <c r="AG1122" s="129"/>
      <c r="AH1122" s="129"/>
      <c r="AI1122" s="129"/>
      <c r="AJ1122" s="129"/>
      <c r="AK1122" s="129"/>
      <c r="AL1122" s="129"/>
      <c r="AM1122" s="129"/>
    </row>
    <row r="1123" spans="1:39" ht="15.75" hidden="1" x14ac:dyDescent="0.25">
      <c r="A1123" s="127">
        <v>1122</v>
      </c>
      <c r="B1123" s="152" t="s">
        <v>4843</v>
      </c>
      <c r="C1123" s="153" t="s">
        <v>4844</v>
      </c>
      <c r="D1123" s="153" t="e">
        <v>#N/A</v>
      </c>
      <c r="E1123" s="153" t="s">
        <v>2086</v>
      </c>
      <c r="F1123" s="130"/>
      <c r="G1123" s="130"/>
      <c r="H1123" s="128">
        <f t="shared" si="21"/>
        <v>0</v>
      </c>
      <c r="I1123" s="129"/>
      <c r="J1123" s="129"/>
      <c r="K1123" s="129"/>
      <c r="L1123" s="129"/>
      <c r="M1123" s="129"/>
      <c r="N1123" s="129"/>
      <c r="O1123" s="129"/>
      <c r="P1123" s="129"/>
      <c r="Q1123" s="129"/>
      <c r="R1123" s="129"/>
      <c r="S1123" s="129"/>
      <c r="T1123" s="129"/>
      <c r="U1123" s="129"/>
      <c r="V1123" s="129"/>
      <c r="W1123" s="129"/>
      <c r="X1123" s="129"/>
      <c r="Y1123" s="129"/>
      <c r="Z1123" s="129"/>
      <c r="AA1123" s="129"/>
      <c r="AB1123" s="129"/>
      <c r="AC1123" s="129"/>
      <c r="AD1123" s="129"/>
      <c r="AE1123" s="129"/>
      <c r="AF1123" s="129"/>
      <c r="AG1123" s="129"/>
      <c r="AH1123" s="129"/>
      <c r="AI1123" s="129"/>
      <c r="AJ1123" s="129"/>
      <c r="AK1123" s="129"/>
      <c r="AL1123" s="129"/>
      <c r="AM1123" s="129"/>
    </row>
    <row r="1124" spans="1:39" ht="15.75" hidden="1" x14ac:dyDescent="0.25">
      <c r="A1124" s="127">
        <v>1123</v>
      </c>
      <c r="B1124" s="152" t="s">
        <v>4845</v>
      </c>
      <c r="C1124" s="153" t="s">
        <v>4846</v>
      </c>
      <c r="D1124" s="153" t="e">
        <v>#N/A</v>
      </c>
      <c r="E1124" s="153" t="s">
        <v>2086</v>
      </c>
      <c r="F1124" s="130"/>
      <c r="G1124" s="130"/>
      <c r="H1124" s="128">
        <f t="shared" si="21"/>
        <v>0</v>
      </c>
      <c r="I1124" s="129"/>
      <c r="J1124" s="129"/>
      <c r="K1124" s="129"/>
      <c r="L1124" s="129"/>
      <c r="M1124" s="129"/>
      <c r="N1124" s="129"/>
      <c r="O1124" s="129"/>
      <c r="P1124" s="129"/>
      <c r="Q1124" s="129"/>
      <c r="R1124" s="129"/>
      <c r="S1124" s="129"/>
      <c r="T1124" s="129"/>
      <c r="U1124" s="129"/>
      <c r="V1124" s="129"/>
      <c r="W1124" s="129"/>
      <c r="X1124" s="129"/>
      <c r="Y1124" s="129"/>
      <c r="Z1124" s="129"/>
      <c r="AA1124" s="129"/>
      <c r="AB1124" s="129"/>
      <c r="AC1124" s="129"/>
      <c r="AD1124" s="129"/>
      <c r="AE1124" s="129"/>
      <c r="AF1124" s="129"/>
      <c r="AG1124" s="129"/>
      <c r="AH1124" s="129"/>
      <c r="AI1124" s="129"/>
      <c r="AJ1124" s="129"/>
      <c r="AK1124" s="129"/>
      <c r="AL1124" s="129"/>
      <c r="AM1124" s="129"/>
    </row>
    <row r="1125" spans="1:39" ht="15.75" hidden="1" x14ac:dyDescent="0.25">
      <c r="A1125" s="127">
        <v>1124</v>
      </c>
      <c r="B1125" s="152" t="s">
        <v>4847</v>
      </c>
      <c r="C1125" s="153" t="s">
        <v>4848</v>
      </c>
      <c r="D1125" s="153" t="e">
        <v>#N/A</v>
      </c>
      <c r="E1125" s="153" t="s">
        <v>2086</v>
      </c>
      <c r="F1125" s="130"/>
      <c r="G1125" s="130"/>
      <c r="H1125" s="128">
        <f t="shared" si="21"/>
        <v>0</v>
      </c>
      <c r="I1125" s="129"/>
      <c r="J1125" s="129"/>
      <c r="K1125" s="129"/>
      <c r="L1125" s="129"/>
      <c r="M1125" s="129"/>
      <c r="N1125" s="129"/>
      <c r="O1125" s="129"/>
      <c r="P1125" s="129"/>
      <c r="Q1125" s="129"/>
      <c r="R1125" s="129"/>
      <c r="S1125" s="129"/>
      <c r="T1125" s="129"/>
      <c r="U1125" s="129"/>
      <c r="V1125" s="129"/>
      <c r="W1125" s="129"/>
      <c r="X1125" s="129"/>
      <c r="Y1125" s="129"/>
      <c r="Z1125" s="129"/>
      <c r="AA1125" s="129"/>
      <c r="AB1125" s="129"/>
      <c r="AC1125" s="129"/>
      <c r="AD1125" s="129"/>
      <c r="AE1125" s="129"/>
      <c r="AF1125" s="129"/>
      <c r="AG1125" s="129"/>
      <c r="AH1125" s="129"/>
      <c r="AI1125" s="129"/>
      <c r="AJ1125" s="129"/>
      <c r="AK1125" s="129"/>
      <c r="AL1125" s="129"/>
      <c r="AM1125" s="129"/>
    </row>
    <row r="1126" spans="1:39" ht="15.75" hidden="1" x14ac:dyDescent="0.25">
      <c r="A1126" s="127">
        <v>1125</v>
      </c>
      <c r="B1126" s="152" t="s">
        <v>1507</v>
      </c>
      <c r="C1126" s="153" t="s">
        <v>1508</v>
      </c>
      <c r="D1126" s="153" t="e">
        <v>#N/A</v>
      </c>
      <c r="E1126" s="153" t="s">
        <v>2086</v>
      </c>
      <c r="F1126" s="130"/>
      <c r="G1126" s="130"/>
      <c r="H1126" s="128">
        <f t="shared" si="21"/>
        <v>0</v>
      </c>
      <c r="I1126" s="129"/>
      <c r="J1126" s="129"/>
      <c r="K1126" s="129"/>
      <c r="L1126" s="129"/>
      <c r="M1126" s="129"/>
      <c r="N1126" s="129"/>
      <c r="O1126" s="129"/>
      <c r="P1126" s="129"/>
      <c r="Q1126" s="129"/>
      <c r="R1126" s="129"/>
      <c r="S1126" s="129"/>
      <c r="T1126" s="129"/>
      <c r="U1126" s="129"/>
      <c r="V1126" s="129"/>
      <c r="W1126" s="129"/>
      <c r="X1126" s="129"/>
      <c r="Y1126" s="129"/>
      <c r="Z1126" s="129"/>
      <c r="AA1126" s="129"/>
      <c r="AB1126" s="129"/>
      <c r="AC1126" s="129"/>
      <c r="AD1126" s="129"/>
      <c r="AE1126" s="129"/>
      <c r="AF1126" s="129"/>
      <c r="AG1126" s="129"/>
      <c r="AH1126" s="129"/>
      <c r="AI1126" s="129"/>
      <c r="AJ1126" s="129"/>
      <c r="AK1126" s="129"/>
      <c r="AL1126" s="129"/>
      <c r="AM1126" s="129"/>
    </row>
    <row r="1127" spans="1:39" ht="15.75" hidden="1" x14ac:dyDescent="0.25">
      <c r="A1127" s="127">
        <v>1126</v>
      </c>
      <c r="B1127" s="152" t="s">
        <v>4849</v>
      </c>
      <c r="C1127" s="153" t="s">
        <v>4850</v>
      </c>
      <c r="D1127" s="153" t="e">
        <v>#N/A</v>
      </c>
      <c r="E1127" s="153" t="s">
        <v>2086</v>
      </c>
      <c r="F1127" s="130"/>
      <c r="G1127" s="130"/>
      <c r="H1127" s="128">
        <f t="shared" si="21"/>
        <v>0</v>
      </c>
      <c r="I1127" s="129"/>
      <c r="J1127" s="129"/>
      <c r="K1127" s="129"/>
      <c r="L1127" s="129"/>
      <c r="M1127" s="129"/>
      <c r="N1127" s="129"/>
      <c r="O1127" s="129"/>
      <c r="P1127" s="129"/>
      <c r="Q1127" s="129"/>
      <c r="R1127" s="129"/>
      <c r="S1127" s="129"/>
      <c r="T1127" s="129"/>
      <c r="U1127" s="129"/>
      <c r="V1127" s="129"/>
      <c r="W1127" s="129"/>
      <c r="X1127" s="129"/>
      <c r="Y1127" s="129"/>
      <c r="Z1127" s="129"/>
      <c r="AA1127" s="129"/>
      <c r="AB1127" s="129"/>
      <c r="AC1127" s="129"/>
      <c r="AD1127" s="129"/>
      <c r="AE1127" s="129"/>
      <c r="AF1127" s="129"/>
      <c r="AG1127" s="129"/>
      <c r="AH1127" s="129"/>
      <c r="AI1127" s="129"/>
      <c r="AJ1127" s="129"/>
      <c r="AK1127" s="129"/>
      <c r="AL1127" s="129"/>
      <c r="AM1127" s="129"/>
    </row>
    <row r="1128" spans="1:39" ht="15.75" hidden="1" x14ac:dyDescent="0.25">
      <c r="A1128" s="127">
        <v>1127</v>
      </c>
      <c r="B1128" s="152" t="s">
        <v>4851</v>
      </c>
      <c r="C1128" s="153" t="s">
        <v>4852</v>
      </c>
      <c r="D1128" s="153" t="e">
        <v>#N/A</v>
      </c>
      <c r="E1128" s="153" t="s">
        <v>2086</v>
      </c>
      <c r="F1128" s="130"/>
      <c r="G1128" s="130"/>
      <c r="H1128" s="128">
        <f t="shared" si="21"/>
        <v>0</v>
      </c>
      <c r="I1128" s="129"/>
      <c r="J1128" s="129"/>
      <c r="K1128" s="129"/>
      <c r="L1128" s="129"/>
      <c r="M1128" s="129"/>
      <c r="N1128" s="129"/>
      <c r="O1128" s="129"/>
      <c r="P1128" s="129"/>
      <c r="Q1128" s="129"/>
      <c r="R1128" s="129"/>
      <c r="S1128" s="129"/>
      <c r="T1128" s="129"/>
      <c r="U1128" s="129"/>
      <c r="V1128" s="129"/>
      <c r="W1128" s="129"/>
      <c r="X1128" s="129"/>
      <c r="Y1128" s="129"/>
      <c r="Z1128" s="129"/>
      <c r="AA1128" s="129"/>
      <c r="AB1128" s="129"/>
      <c r="AC1128" s="129"/>
      <c r="AD1128" s="129"/>
      <c r="AE1128" s="129"/>
      <c r="AF1128" s="129"/>
      <c r="AG1128" s="129"/>
      <c r="AH1128" s="129"/>
      <c r="AI1128" s="129"/>
      <c r="AJ1128" s="129"/>
      <c r="AK1128" s="129"/>
      <c r="AL1128" s="129"/>
      <c r="AM1128" s="129"/>
    </row>
    <row r="1129" spans="1:39" ht="15.75" hidden="1" x14ac:dyDescent="0.25">
      <c r="A1129" s="127">
        <v>1128</v>
      </c>
      <c r="B1129" s="152" t="s">
        <v>4853</v>
      </c>
      <c r="C1129" s="153" t="s">
        <v>4854</v>
      </c>
      <c r="D1129" s="153" t="e">
        <v>#N/A</v>
      </c>
      <c r="E1129" s="153" t="s">
        <v>2086</v>
      </c>
      <c r="F1129" s="130"/>
      <c r="G1129" s="130"/>
      <c r="H1129" s="128">
        <f t="shared" si="21"/>
        <v>0</v>
      </c>
      <c r="I1129" s="129"/>
      <c r="J1129" s="129"/>
      <c r="K1129" s="129"/>
      <c r="L1129" s="129"/>
      <c r="M1129" s="129"/>
      <c r="N1129" s="129"/>
      <c r="O1129" s="129"/>
      <c r="P1129" s="129"/>
      <c r="Q1129" s="129"/>
      <c r="R1129" s="129"/>
      <c r="S1129" s="129"/>
      <c r="T1129" s="129"/>
      <c r="U1129" s="129"/>
      <c r="V1129" s="129"/>
      <c r="W1129" s="129"/>
      <c r="X1129" s="129"/>
      <c r="Y1129" s="129"/>
      <c r="Z1129" s="129"/>
      <c r="AA1129" s="129"/>
      <c r="AB1129" s="129"/>
      <c r="AC1129" s="129"/>
      <c r="AD1129" s="129"/>
      <c r="AE1129" s="129"/>
      <c r="AF1129" s="129"/>
      <c r="AG1129" s="129"/>
      <c r="AH1129" s="129"/>
      <c r="AI1129" s="129"/>
      <c r="AJ1129" s="129"/>
      <c r="AK1129" s="129"/>
      <c r="AL1129" s="129"/>
      <c r="AM1129" s="129"/>
    </row>
    <row r="1130" spans="1:39" ht="15.75" hidden="1" x14ac:dyDescent="0.25">
      <c r="A1130" s="127">
        <v>1129</v>
      </c>
      <c r="B1130" s="152" t="s">
        <v>4855</v>
      </c>
      <c r="C1130" s="153" t="s">
        <v>4856</v>
      </c>
      <c r="D1130" s="153" t="e">
        <v>#N/A</v>
      </c>
      <c r="E1130" s="153" t="s">
        <v>2086</v>
      </c>
      <c r="F1130" s="130"/>
      <c r="G1130" s="130"/>
      <c r="H1130" s="128">
        <f t="shared" si="21"/>
        <v>0</v>
      </c>
      <c r="I1130" s="129"/>
      <c r="J1130" s="129"/>
      <c r="K1130" s="129"/>
      <c r="L1130" s="129"/>
      <c r="M1130" s="129"/>
      <c r="N1130" s="129"/>
      <c r="O1130" s="129"/>
      <c r="P1130" s="129"/>
      <c r="Q1130" s="129"/>
      <c r="R1130" s="129"/>
      <c r="S1130" s="129"/>
      <c r="T1130" s="129"/>
      <c r="U1130" s="129"/>
      <c r="V1130" s="129"/>
      <c r="W1130" s="129"/>
      <c r="X1130" s="129"/>
      <c r="Y1130" s="129"/>
      <c r="Z1130" s="129"/>
      <c r="AA1130" s="129"/>
      <c r="AB1130" s="129"/>
      <c r="AC1130" s="129"/>
      <c r="AD1130" s="129"/>
      <c r="AE1130" s="129"/>
      <c r="AF1130" s="129"/>
      <c r="AG1130" s="129"/>
      <c r="AH1130" s="129"/>
      <c r="AI1130" s="129"/>
      <c r="AJ1130" s="129"/>
      <c r="AK1130" s="129"/>
      <c r="AL1130" s="129"/>
      <c r="AM1130" s="129"/>
    </row>
    <row r="1131" spans="1:39" ht="15.75" hidden="1" x14ac:dyDescent="0.25">
      <c r="A1131" s="127">
        <v>1130</v>
      </c>
      <c r="B1131" s="152" t="s">
        <v>4857</v>
      </c>
      <c r="C1131" s="153" t="s">
        <v>4858</v>
      </c>
      <c r="D1131" s="153" t="e">
        <v>#N/A</v>
      </c>
      <c r="E1131" s="153" t="s">
        <v>2086</v>
      </c>
      <c r="F1131" s="130"/>
      <c r="G1131" s="130"/>
      <c r="H1131" s="128">
        <f t="shared" si="21"/>
        <v>0</v>
      </c>
      <c r="I1131" s="129"/>
      <c r="J1131" s="129"/>
      <c r="K1131" s="129"/>
      <c r="L1131" s="129"/>
      <c r="M1131" s="129"/>
      <c r="N1131" s="129"/>
      <c r="O1131" s="129"/>
      <c r="P1131" s="129"/>
      <c r="Q1131" s="129"/>
      <c r="R1131" s="129"/>
      <c r="S1131" s="129"/>
      <c r="T1131" s="129"/>
      <c r="U1131" s="129"/>
      <c r="V1131" s="129"/>
      <c r="W1131" s="129"/>
      <c r="X1131" s="129"/>
      <c r="Y1131" s="129"/>
      <c r="Z1131" s="129"/>
      <c r="AA1131" s="129"/>
      <c r="AB1131" s="129"/>
      <c r="AC1131" s="129"/>
      <c r="AD1131" s="129"/>
      <c r="AE1131" s="129"/>
      <c r="AF1131" s="129"/>
      <c r="AG1131" s="129"/>
      <c r="AH1131" s="129"/>
      <c r="AI1131" s="129"/>
      <c r="AJ1131" s="129"/>
      <c r="AK1131" s="129"/>
      <c r="AL1131" s="129"/>
      <c r="AM1131" s="129"/>
    </row>
    <row r="1132" spans="1:39" ht="15.75" hidden="1" x14ac:dyDescent="0.25">
      <c r="A1132" s="127">
        <v>1131</v>
      </c>
      <c r="B1132" s="152" t="s">
        <v>4859</v>
      </c>
      <c r="C1132" s="153" t="s">
        <v>4860</v>
      </c>
      <c r="D1132" s="153" t="e">
        <v>#N/A</v>
      </c>
      <c r="E1132" s="153" t="s">
        <v>2086</v>
      </c>
      <c r="F1132" s="130"/>
      <c r="G1132" s="130"/>
      <c r="H1132" s="128">
        <f t="shared" si="21"/>
        <v>0</v>
      </c>
      <c r="I1132" s="129"/>
      <c r="J1132" s="129"/>
      <c r="K1132" s="129"/>
      <c r="L1132" s="129"/>
      <c r="M1132" s="129"/>
      <c r="N1132" s="129"/>
      <c r="O1132" s="129"/>
      <c r="P1132" s="129"/>
      <c r="Q1132" s="129"/>
      <c r="R1132" s="129"/>
      <c r="S1132" s="129"/>
      <c r="T1132" s="129"/>
      <c r="U1132" s="129"/>
      <c r="V1132" s="129"/>
      <c r="W1132" s="129"/>
      <c r="X1132" s="129"/>
      <c r="Y1132" s="129"/>
      <c r="Z1132" s="129"/>
      <c r="AA1132" s="129"/>
      <c r="AB1132" s="129"/>
      <c r="AC1132" s="129"/>
      <c r="AD1132" s="129"/>
      <c r="AE1132" s="129"/>
      <c r="AF1132" s="129"/>
      <c r="AG1132" s="129"/>
      <c r="AH1132" s="129"/>
      <c r="AI1132" s="129"/>
      <c r="AJ1132" s="129"/>
      <c r="AK1132" s="129"/>
      <c r="AL1132" s="129"/>
      <c r="AM1132" s="129"/>
    </row>
    <row r="1133" spans="1:39" ht="15.75" hidden="1" x14ac:dyDescent="0.25">
      <c r="A1133" s="127">
        <v>1132</v>
      </c>
      <c r="B1133" s="152" t="s">
        <v>4861</v>
      </c>
      <c r="C1133" s="160" t="s">
        <v>4862</v>
      </c>
      <c r="D1133" s="160" t="e">
        <v>#N/A</v>
      </c>
      <c r="E1133" s="153" t="s">
        <v>2086</v>
      </c>
      <c r="F1133" s="130"/>
      <c r="G1133" s="130"/>
      <c r="H1133" s="128">
        <f t="shared" si="21"/>
        <v>0</v>
      </c>
      <c r="I1133" s="129"/>
      <c r="J1133" s="129"/>
      <c r="K1133" s="129"/>
      <c r="L1133" s="129"/>
      <c r="M1133" s="129"/>
      <c r="N1133" s="129"/>
      <c r="O1133" s="129"/>
      <c r="P1133" s="129"/>
      <c r="Q1133" s="129"/>
      <c r="R1133" s="129"/>
      <c r="S1133" s="129"/>
      <c r="T1133" s="129"/>
      <c r="U1133" s="129"/>
      <c r="V1133" s="129"/>
      <c r="W1133" s="129"/>
      <c r="X1133" s="129"/>
      <c r="Y1133" s="129"/>
      <c r="Z1133" s="129"/>
      <c r="AA1133" s="129"/>
      <c r="AB1133" s="129"/>
      <c r="AC1133" s="129"/>
      <c r="AD1133" s="129"/>
      <c r="AE1133" s="129"/>
      <c r="AF1133" s="129"/>
      <c r="AG1133" s="129"/>
      <c r="AH1133" s="129"/>
      <c r="AI1133" s="129"/>
      <c r="AJ1133" s="129"/>
      <c r="AK1133" s="129"/>
      <c r="AL1133" s="129"/>
      <c r="AM1133" s="129"/>
    </row>
    <row r="1134" spans="1:39" ht="15.75" hidden="1" x14ac:dyDescent="0.25">
      <c r="A1134" s="127">
        <v>1133</v>
      </c>
      <c r="B1134" s="152" t="s">
        <v>4863</v>
      </c>
      <c r="C1134" s="153" t="s">
        <v>4864</v>
      </c>
      <c r="D1134" s="153" t="e">
        <v>#N/A</v>
      </c>
      <c r="E1134" s="153" t="s">
        <v>2086</v>
      </c>
      <c r="F1134" s="130"/>
      <c r="G1134" s="130"/>
      <c r="H1134" s="128">
        <f t="shared" si="21"/>
        <v>0</v>
      </c>
      <c r="I1134" s="129"/>
      <c r="J1134" s="129"/>
      <c r="K1134" s="129"/>
      <c r="L1134" s="129"/>
      <c r="M1134" s="129"/>
      <c r="N1134" s="129"/>
      <c r="O1134" s="129"/>
      <c r="P1134" s="129"/>
      <c r="Q1134" s="129"/>
      <c r="R1134" s="129"/>
      <c r="S1134" s="129"/>
      <c r="T1134" s="129"/>
      <c r="U1134" s="129"/>
      <c r="V1134" s="129"/>
      <c r="W1134" s="129"/>
      <c r="X1134" s="129"/>
      <c r="Y1134" s="129"/>
      <c r="Z1134" s="129"/>
      <c r="AA1134" s="129"/>
      <c r="AB1134" s="129"/>
      <c r="AC1134" s="129"/>
      <c r="AD1134" s="129"/>
      <c r="AE1134" s="129"/>
      <c r="AF1134" s="129"/>
      <c r="AG1134" s="129"/>
      <c r="AH1134" s="129"/>
      <c r="AI1134" s="129"/>
      <c r="AJ1134" s="129"/>
      <c r="AK1134" s="129"/>
      <c r="AL1134" s="129"/>
      <c r="AM1134" s="129"/>
    </row>
    <row r="1135" spans="1:39" ht="15.75" hidden="1" x14ac:dyDescent="0.25">
      <c r="A1135" s="127">
        <v>1134</v>
      </c>
      <c r="B1135" s="152" t="s">
        <v>4865</v>
      </c>
      <c r="C1135" s="153" t="s">
        <v>4866</v>
      </c>
      <c r="D1135" s="153" t="e">
        <v>#N/A</v>
      </c>
      <c r="E1135" s="153" t="s">
        <v>2086</v>
      </c>
      <c r="F1135" s="130"/>
      <c r="G1135" s="130"/>
      <c r="H1135" s="128">
        <f t="shared" si="21"/>
        <v>0</v>
      </c>
      <c r="I1135" s="129"/>
      <c r="J1135" s="129"/>
      <c r="K1135" s="129"/>
      <c r="L1135" s="129"/>
      <c r="M1135" s="129"/>
      <c r="N1135" s="129"/>
      <c r="O1135" s="129"/>
      <c r="P1135" s="129"/>
      <c r="Q1135" s="129"/>
      <c r="R1135" s="129"/>
      <c r="S1135" s="129"/>
      <c r="T1135" s="129"/>
      <c r="U1135" s="129"/>
      <c r="V1135" s="129"/>
      <c r="W1135" s="129"/>
      <c r="X1135" s="129"/>
      <c r="Y1135" s="129"/>
      <c r="Z1135" s="129"/>
      <c r="AA1135" s="129"/>
      <c r="AB1135" s="129"/>
      <c r="AC1135" s="129"/>
      <c r="AD1135" s="129"/>
      <c r="AE1135" s="129"/>
      <c r="AF1135" s="129"/>
      <c r="AG1135" s="129"/>
      <c r="AH1135" s="129"/>
      <c r="AI1135" s="129"/>
      <c r="AJ1135" s="129"/>
      <c r="AK1135" s="129"/>
      <c r="AL1135" s="129"/>
      <c r="AM1135" s="129"/>
    </row>
    <row r="1136" spans="1:39" ht="15.75" hidden="1" x14ac:dyDescent="0.25">
      <c r="A1136" s="127">
        <v>1135</v>
      </c>
      <c r="B1136" s="152" t="s">
        <v>4867</v>
      </c>
      <c r="C1136" s="153" t="s">
        <v>4868</v>
      </c>
      <c r="D1136" s="153" t="e">
        <v>#N/A</v>
      </c>
      <c r="E1136" s="153" t="s">
        <v>2086</v>
      </c>
      <c r="F1136" s="130"/>
      <c r="G1136" s="130"/>
      <c r="H1136" s="128">
        <f t="shared" si="21"/>
        <v>0</v>
      </c>
      <c r="I1136" s="129"/>
      <c r="J1136" s="129"/>
      <c r="K1136" s="129"/>
      <c r="L1136" s="129"/>
      <c r="M1136" s="129"/>
      <c r="N1136" s="129"/>
      <c r="O1136" s="129"/>
      <c r="P1136" s="129"/>
      <c r="Q1136" s="129"/>
      <c r="R1136" s="129"/>
      <c r="S1136" s="129"/>
      <c r="T1136" s="129"/>
      <c r="U1136" s="129"/>
      <c r="V1136" s="129"/>
      <c r="W1136" s="129"/>
      <c r="X1136" s="129"/>
      <c r="Y1136" s="129"/>
      <c r="Z1136" s="129"/>
      <c r="AA1136" s="129"/>
      <c r="AB1136" s="129"/>
      <c r="AC1136" s="129"/>
      <c r="AD1136" s="129"/>
      <c r="AE1136" s="129"/>
      <c r="AF1136" s="129"/>
      <c r="AG1136" s="129"/>
      <c r="AH1136" s="129"/>
      <c r="AI1136" s="129"/>
      <c r="AJ1136" s="129"/>
      <c r="AK1136" s="129"/>
      <c r="AL1136" s="129"/>
      <c r="AM1136" s="129"/>
    </row>
    <row r="1137" spans="1:39" ht="15.75" hidden="1" x14ac:dyDescent="0.25">
      <c r="A1137" s="127">
        <v>1136</v>
      </c>
      <c r="B1137" s="152" t="s">
        <v>4869</v>
      </c>
      <c r="C1137" s="153" t="s">
        <v>4870</v>
      </c>
      <c r="D1137" s="153" t="e">
        <v>#N/A</v>
      </c>
      <c r="E1137" s="153" t="s">
        <v>2086</v>
      </c>
      <c r="F1137" s="130"/>
      <c r="G1137" s="130"/>
      <c r="H1137" s="128">
        <f t="shared" si="21"/>
        <v>0</v>
      </c>
      <c r="I1137" s="129"/>
      <c r="J1137" s="129"/>
      <c r="K1137" s="129"/>
      <c r="L1137" s="129"/>
      <c r="M1137" s="129"/>
      <c r="N1137" s="129"/>
      <c r="O1137" s="129"/>
      <c r="P1137" s="129"/>
      <c r="Q1137" s="129"/>
      <c r="R1137" s="129"/>
      <c r="S1137" s="129"/>
      <c r="T1137" s="129"/>
      <c r="U1137" s="129"/>
      <c r="V1137" s="129"/>
      <c r="W1137" s="129"/>
      <c r="X1137" s="129"/>
      <c r="Y1137" s="129"/>
      <c r="Z1137" s="129"/>
      <c r="AA1137" s="129"/>
      <c r="AB1137" s="129"/>
      <c r="AC1137" s="129"/>
      <c r="AD1137" s="129"/>
      <c r="AE1137" s="129"/>
      <c r="AF1137" s="129"/>
      <c r="AG1137" s="129"/>
      <c r="AH1137" s="129"/>
      <c r="AI1137" s="129"/>
      <c r="AJ1137" s="129"/>
      <c r="AK1137" s="129"/>
      <c r="AL1137" s="129"/>
      <c r="AM1137" s="129"/>
    </row>
    <row r="1138" spans="1:39" ht="15.75" hidden="1" x14ac:dyDescent="0.25">
      <c r="A1138" s="127">
        <v>1137</v>
      </c>
      <c r="B1138" s="152" t="s">
        <v>4871</v>
      </c>
      <c r="C1138" s="153" t="s">
        <v>4872</v>
      </c>
      <c r="D1138" s="153" t="e">
        <v>#N/A</v>
      </c>
      <c r="E1138" s="153" t="s">
        <v>2086</v>
      </c>
      <c r="F1138" s="130"/>
      <c r="G1138" s="130"/>
      <c r="H1138" s="128">
        <f t="shared" si="21"/>
        <v>0</v>
      </c>
      <c r="I1138" s="129"/>
      <c r="J1138" s="129"/>
      <c r="K1138" s="129"/>
      <c r="L1138" s="129"/>
      <c r="M1138" s="129"/>
      <c r="N1138" s="129"/>
      <c r="O1138" s="129"/>
      <c r="P1138" s="129"/>
      <c r="Q1138" s="129"/>
      <c r="R1138" s="129"/>
      <c r="S1138" s="129"/>
      <c r="T1138" s="129"/>
      <c r="U1138" s="129"/>
      <c r="V1138" s="129"/>
      <c r="W1138" s="129"/>
      <c r="X1138" s="129"/>
      <c r="Y1138" s="129"/>
      <c r="Z1138" s="129"/>
      <c r="AA1138" s="129"/>
      <c r="AB1138" s="129"/>
      <c r="AC1138" s="129"/>
      <c r="AD1138" s="129"/>
      <c r="AE1138" s="129"/>
      <c r="AF1138" s="129"/>
      <c r="AG1138" s="129"/>
      <c r="AH1138" s="129"/>
      <c r="AI1138" s="129"/>
      <c r="AJ1138" s="129"/>
      <c r="AK1138" s="129"/>
      <c r="AL1138" s="129"/>
      <c r="AM1138" s="129"/>
    </row>
    <row r="1139" spans="1:39" ht="15.75" hidden="1" x14ac:dyDescent="0.25">
      <c r="A1139" s="127">
        <v>1138</v>
      </c>
      <c r="B1139" s="152" t="s">
        <v>4873</v>
      </c>
      <c r="C1139" s="153" t="s">
        <v>4874</v>
      </c>
      <c r="D1139" s="153" t="e">
        <v>#N/A</v>
      </c>
      <c r="E1139" s="153" t="s">
        <v>2086</v>
      </c>
      <c r="F1139" s="130"/>
      <c r="G1139" s="130"/>
      <c r="H1139" s="128">
        <f t="shared" si="21"/>
        <v>0</v>
      </c>
      <c r="I1139" s="129"/>
      <c r="J1139" s="129"/>
      <c r="K1139" s="129"/>
      <c r="L1139" s="129"/>
      <c r="M1139" s="129"/>
      <c r="N1139" s="129"/>
      <c r="O1139" s="129"/>
      <c r="P1139" s="129"/>
      <c r="Q1139" s="129"/>
      <c r="R1139" s="129"/>
      <c r="S1139" s="129"/>
      <c r="T1139" s="129"/>
      <c r="U1139" s="129"/>
      <c r="V1139" s="129"/>
      <c r="W1139" s="129"/>
      <c r="X1139" s="129"/>
      <c r="Y1139" s="129"/>
      <c r="Z1139" s="129"/>
      <c r="AA1139" s="129"/>
      <c r="AB1139" s="129"/>
      <c r="AC1139" s="129"/>
      <c r="AD1139" s="129"/>
      <c r="AE1139" s="129"/>
      <c r="AF1139" s="129"/>
      <c r="AG1139" s="129"/>
      <c r="AH1139" s="129"/>
      <c r="AI1139" s="129"/>
      <c r="AJ1139" s="129"/>
      <c r="AK1139" s="129"/>
      <c r="AL1139" s="129"/>
      <c r="AM1139" s="129"/>
    </row>
    <row r="1140" spans="1:39" ht="15.75" hidden="1" x14ac:dyDescent="0.25">
      <c r="A1140" s="127">
        <v>1139</v>
      </c>
      <c r="B1140" s="152" t="s">
        <v>4875</v>
      </c>
      <c r="C1140" s="153" t="s">
        <v>4876</v>
      </c>
      <c r="D1140" s="153" t="e">
        <v>#N/A</v>
      </c>
      <c r="E1140" s="153" t="s">
        <v>2086</v>
      </c>
      <c r="F1140" s="130"/>
      <c r="G1140" s="130"/>
      <c r="H1140" s="128">
        <f t="shared" si="21"/>
        <v>0</v>
      </c>
      <c r="I1140" s="129"/>
      <c r="J1140" s="129"/>
      <c r="K1140" s="129"/>
      <c r="L1140" s="129"/>
      <c r="M1140" s="129"/>
      <c r="N1140" s="129"/>
      <c r="O1140" s="129"/>
      <c r="P1140" s="129"/>
      <c r="Q1140" s="129"/>
      <c r="R1140" s="129"/>
      <c r="S1140" s="129"/>
      <c r="T1140" s="129"/>
      <c r="U1140" s="129"/>
      <c r="V1140" s="129"/>
      <c r="W1140" s="129"/>
      <c r="X1140" s="129"/>
      <c r="Y1140" s="129"/>
      <c r="Z1140" s="129"/>
      <c r="AA1140" s="129"/>
      <c r="AB1140" s="129"/>
      <c r="AC1140" s="129"/>
      <c r="AD1140" s="129"/>
      <c r="AE1140" s="129"/>
      <c r="AF1140" s="129"/>
      <c r="AG1140" s="129"/>
      <c r="AH1140" s="129"/>
      <c r="AI1140" s="129"/>
      <c r="AJ1140" s="129"/>
      <c r="AK1140" s="129"/>
      <c r="AL1140" s="129"/>
      <c r="AM1140" s="129"/>
    </row>
    <row r="1141" spans="1:39" ht="15.75" hidden="1" x14ac:dyDescent="0.25">
      <c r="A1141" s="127">
        <v>1140</v>
      </c>
      <c r="B1141" s="152" t="s">
        <v>4877</v>
      </c>
      <c r="C1141" s="153" t="s">
        <v>4878</v>
      </c>
      <c r="D1141" s="153" t="e">
        <v>#N/A</v>
      </c>
      <c r="E1141" s="153" t="s">
        <v>2086</v>
      </c>
      <c r="F1141" s="130"/>
      <c r="G1141" s="130"/>
      <c r="H1141" s="128">
        <f t="shared" si="21"/>
        <v>0</v>
      </c>
      <c r="I1141" s="129"/>
      <c r="J1141" s="129"/>
      <c r="K1141" s="129"/>
      <c r="L1141" s="129"/>
      <c r="M1141" s="129"/>
      <c r="N1141" s="129"/>
      <c r="O1141" s="129"/>
      <c r="P1141" s="129"/>
      <c r="Q1141" s="129"/>
      <c r="R1141" s="129"/>
      <c r="S1141" s="129"/>
      <c r="T1141" s="129"/>
      <c r="U1141" s="129"/>
      <c r="V1141" s="129"/>
      <c r="W1141" s="129"/>
      <c r="X1141" s="129"/>
      <c r="Y1141" s="129"/>
      <c r="Z1141" s="129"/>
      <c r="AA1141" s="129"/>
      <c r="AB1141" s="129"/>
      <c r="AC1141" s="129"/>
      <c r="AD1141" s="129"/>
      <c r="AE1141" s="129"/>
      <c r="AF1141" s="129"/>
      <c r="AG1141" s="129"/>
      <c r="AH1141" s="129"/>
      <c r="AI1141" s="129"/>
      <c r="AJ1141" s="129"/>
      <c r="AK1141" s="129"/>
      <c r="AL1141" s="129"/>
      <c r="AM1141" s="129"/>
    </row>
    <row r="1142" spans="1:39" ht="15.75" hidden="1" x14ac:dyDescent="0.25">
      <c r="A1142" s="127">
        <v>1141</v>
      </c>
      <c r="B1142" s="152" t="s">
        <v>4879</v>
      </c>
      <c r="C1142" s="153" t="s">
        <v>4880</v>
      </c>
      <c r="D1142" s="153" t="e">
        <v>#N/A</v>
      </c>
      <c r="E1142" s="153" t="s">
        <v>2086</v>
      </c>
      <c r="F1142" s="130"/>
      <c r="G1142" s="130"/>
      <c r="H1142" s="128">
        <f t="shared" si="21"/>
        <v>0</v>
      </c>
      <c r="I1142" s="129"/>
      <c r="J1142" s="129"/>
      <c r="K1142" s="129"/>
      <c r="L1142" s="129"/>
      <c r="M1142" s="129"/>
      <c r="N1142" s="129"/>
      <c r="O1142" s="129"/>
      <c r="P1142" s="129"/>
      <c r="Q1142" s="129"/>
      <c r="R1142" s="129"/>
      <c r="S1142" s="129"/>
      <c r="T1142" s="129"/>
      <c r="U1142" s="129"/>
      <c r="V1142" s="129"/>
      <c r="W1142" s="129"/>
      <c r="X1142" s="129"/>
      <c r="Y1142" s="129"/>
      <c r="Z1142" s="129"/>
      <c r="AA1142" s="129"/>
      <c r="AB1142" s="129"/>
      <c r="AC1142" s="129"/>
      <c r="AD1142" s="129"/>
      <c r="AE1142" s="129"/>
      <c r="AF1142" s="129"/>
      <c r="AG1142" s="129"/>
      <c r="AH1142" s="129"/>
      <c r="AI1142" s="129"/>
      <c r="AJ1142" s="129"/>
      <c r="AK1142" s="129"/>
      <c r="AL1142" s="129"/>
      <c r="AM1142" s="129"/>
    </row>
    <row r="1143" spans="1:39" ht="15.75" hidden="1" x14ac:dyDescent="0.25">
      <c r="A1143" s="127">
        <v>1142</v>
      </c>
      <c r="B1143" s="152" t="s">
        <v>4881</v>
      </c>
      <c r="C1143" s="153" t="s">
        <v>4882</v>
      </c>
      <c r="D1143" s="153" t="e">
        <v>#N/A</v>
      </c>
      <c r="E1143" s="153" t="s">
        <v>2086</v>
      </c>
      <c r="F1143" s="130"/>
      <c r="G1143" s="130"/>
      <c r="H1143" s="128">
        <f t="shared" si="21"/>
        <v>0</v>
      </c>
      <c r="I1143" s="129"/>
      <c r="J1143" s="129"/>
      <c r="K1143" s="129"/>
      <c r="L1143" s="129"/>
      <c r="M1143" s="129"/>
      <c r="N1143" s="129"/>
      <c r="O1143" s="129"/>
      <c r="P1143" s="129"/>
      <c r="Q1143" s="129"/>
      <c r="R1143" s="129"/>
      <c r="S1143" s="129"/>
      <c r="T1143" s="129"/>
      <c r="U1143" s="129"/>
      <c r="V1143" s="129"/>
      <c r="W1143" s="129"/>
      <c r="X1143" s="129"/>
      <c r="Y1143" s="129"/>
      <c r="Z1143" s="129"/>
      <c r="AA1143" s="129"/>
      <c r="AB1143" s="129"/>
      <c r="AC1143" s="129"/>
      <c r="AD1143" s="129"/>
      <c r="AE1143" s="129"/>
      <c r="AF1143" s="129"/>
      <c r="AG1143" s="129"/>
      <c r="AH1143" s="129"/>
      <c r="AI1143" s="129"/>
      <c r="AJ1143" s="129"/>
      <c r="AK1143" s="129"/>
      <c r="AL1143" s="129"/>
      <c r="AM1143" s="129"/>
    </row>
    <row r="1144" spans="1:39" ht="15.75" hidden="1" x14ac:dyDescent="0.25">
      <c r="A1144" s="127">
        <v>1143</v>
      </c>
      <c r="B1144" s="152" t="s">
        <v>4883</v>
      </c>
      <c r="C1144" s="153" t="s">
        <v>4884</v>
      </c>
      <c r="D1144" s="153" t="e">
        <v>#N/A</v>
      </c>
      <c r="E1144" s="153" t="s">
        <v>2086</v>
      </c>
      <c r="F1144" s="130"/>
      <c r="G1144" s="130"/>
      <c r="H1144" s="128">
        <f t="shared" si="21"/>
        <v>0</v>
      </c>
      <c r="I1144" s="129"/>
      <c r="J1144" s="129"/>
      <c r="K1144" s="129"/>
      <c r="L1144" s="129"/>
      <c r="M1144" s="129"/>
      <c r="N1144" s="129"/>
      <c r="O1144" s="129"/>
      <c r="P1144" s="129"/>
      <c r="Q1144" s="129"/>
      <c r="R1144" s="129"/>
      <c r="S1144" s="129"/>
      <c r="T1144" s="129"/>
      <c r="U1144" s="129"/>
      <c r="V1144" s="129"/>
      <c r="W1144" s="129"/>
      <c r="X1144" s="129"/>
      <c r="Y1144" s="129"/>
      <c r="Z1144" s="129"/>
      <c r="AA1144" s="129"/>
      <c r="AB1144" s="129"/>
      <c r="AC1144" s="129"/>
      <c r="AD1144" s="129"/>
      <c r="AE1144" s="129"/>
      <c r="AF1144" s="129"/>
      <c r="AG1144" s="129"/>
      <c r="AH1144" s="129"/>
      <c r="AI1144" s="129"/>
      <c r="AJ1144" s="129"/>
      <c r="AK1144" s="129"/>
      <c r="AL1144" s="129"/>
      <c r="AM1144" s="129"/>
    </row>
    <row r="1145" spans="1:39" ht="15.75" hidden="1" x14ac:dyDescent="0.25">
      <c r="A1145" s="127">
        <v>1144</v>
      </c>
      <c r="B1145" s="152" t="s">
        <v>562</v>
      </c>
      <c r="C1145" s="153" t="s">
        <v>563</v>
      </c>
      <c r="D1145" s="153" t="e">
        <v>#N/A</v>
      </c>
      <c r="E1145" s="153" t="s">
        <v>2086</v>
      </c>
      <c r="F1145" s="130"/>
      <c r="G1145" s="130"/>
      <c r="H1145" s="128">
        <f t="shared" si="21"/>
        <v>0</v>
      </c>
      <c r="I1145" s="129"/>
      <c r="J1145" s="129"/>
      <c r="K1145" s="129"/>
      <c r="L1145" s="129"/>
      <c r="M1145" s="129"/>
      <c r="N1145" s="129"/>
      <c r="O1145" s="129"/>
      <c r="P1145" s="129"/>
      <c r="Q1145" s="129"/>
      <c r="R1145" s="129"/>
      <c r="S1145" s="129"/>
      <c r="T1145" s="129"/>
      <c r="U1145" s="129"/>
      <c r="V1145" s="129"/>
      <c r="W1145" s="129"/>
      <c r="X1145" s="129"/>
      <c r="Y1145" s="129"/>
      <c r="Z1145" s="129"/>
      <c r="AA1145" s="129"/>
      <c r="AB1145" s="129"/>
      <c r="AC1145" s="129"/>
      <c r="AD1145" s="129"/>
      <c r="AE1145" s="129"/>
      <c r="AF1145" s="129"/>
      <c r="AG1145" s="129"/>
      <c r="AH1145" s="129"/>
      <c r="AI1145" s="129"/>
      <c r="AJ1145" s="129"/>
      <c r="AK1145" s="129"/>
      <c r="AL1145" s="129"/>
      <c r="AM1145" s="129"/>
    </row>
    <row r="1146" spans="1:39" ht="15.75" hidden="1" x14ac:dyDescent="0.25">
      <c r="A1146" s="127">
        <v>1145</v>
      </c>
      <c r="B1146" s="152" t="s">
        <v>4885</v>
      </c>
      <c r="C1146" s="153" t="s">
        <v>4886</v>
      </c>
      <c r="D1146" s="153" t="e">
        <v>#N/A</v>
      </c>
      <c r="E1146" s="153" t="s">
        <v>2086</v>
      </c>
      <c r="F1146" s="130"/>
      <c r="G1146" s="130"/>
      <c r="H1146" s="128">
        <f t="shared" si="21"/>
        <v>0</v>
      </c>
      <c r="I1146" s="129"/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</row>
    <row r="1147" spans="1:39" ht="15.75" hidden="1" x14ac:dyDescent="0.25">
      <c r="A1147" s="127">
        <v>1146</v>
      </c>
      <c r="B1147" s="152" t="s">
        <v>4887</v>
      </c>
      <c r="C1147" s="153" t="s">
        <v>4888</v>
      </c>
      <c r="D1147" s="153" t="e">
        <v>#N/A</v>
      </c>
      <c r="E1147" s="153" t="s">
        <v>2086</v>
      </c>
      <c r="F1147" s="130"/>
      <c r="G1147" s="130"/>
      <c r="H1147" s="128">
        <f t="shared" si="21"/>
        <v>0</v>
      </c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</row>
    <row r="1148" spans="1:39" ht="15.75" hidden="1" x14ac:dyDescent="0.25">
      <c r="A1148" s="127">
        <v>1147</v>
      </c>
      <c r="B1148" s="152" t="s">
        <v>4889</v>
      </c>
      <c r="C1148" s="153" t="s">
        <v>4890</v>
      </c>
      <c r="D1148" s="153" t="e">
        <v>#N/A</v>
      </c>
      <c r="E1148" s="153" t="s">
        <v>2086</v>
      </c>
      <c r="F1148" s="130"/>
      <c r="G1148" s="130"/>
      <c r="H1148" s="128">
        <f t="shared" si="21"/>
        <v>0</v>
      </c>
      <c r="I1148" s="129"/>
      <c r="J1148" s="129"/>
      <c r="K1148" s="129"/>
      <c r="L1148" s="129"/>
      <c r="M1148" s="129"/>
      <c r="N1148" s="129"/>
      <c r="O1148" s="129"/>
      <c r="P1148" s="129"/>
      <c r="Q1148" s="129"/>
      <c r="R1148" s="129"/>
      <c r="S1148" s="129"/>
      <c r="T1148" s="129"/>
      <c r="U1148" s="129"/>
      <c r="V1148" s="129"/>
      <c r="W1148" s="129"/>
      <c r="X1148" s="129"/>
      <c r="Y1148" s="129"/>
      <c r="Z1148" s="129"/>
      <c r="AA1148" s="129"/>
      <c r="AB1148" s="129"/>
      <c r="AC1148" s="129"/>
      <c r="AD1148" s="129"/>
      <c r="AE1148" s="129"/>
      <c r="AF1148" s="129"/>
      <c r="AG1148" s="129"/>
      <c r="AH1148" s="129"/>
      <c r="AI1148" s="129"/>
      <c r="AJ1148" s="129"/>
      <c r="AK1148" s="129"/>
      <c r="AL1148" s="129"/>
      <c r="AM1148" s="129"/>
    </row>
    <row r="1149" spans="1:39" ht="15.75" hidden="1" x14ac:dyDescent="0.25">
      <c r="A1149" s="127">
        <v>1148</v>
      </c>
      <c r="B1149" s="152" t="s">
        <v>4891</v>
      </c>
      <c r="C1149" s="153" t="s">
        <v>4892</v>
      </c>
      <c r="D1149" s="153" t="e">
        <v>#N/A</v>
      </c>
      <c r="E1149" s="153" t="s">
        <v>2086</v>
      </c>
      <c r="F1149" s="130"/>
      <c r="G1149" s="130"/>
      <c r="H1149" s="128">
        <f t="shared" si="21"/>
        <v>0</v>
      </c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29"/>
      <c r="AL1149" s="129"/>
      <c r="AM1149" s="129"/>
    </row>
    <row r="1150" spans="1:39" ht="15.75" hidden="1" x14ac:dyDescent="0.25">
      <c r="A1150" s="127">
        <v>1149</v>
      </c>
      <c r="B1150" s="152" t="s">
        <v>4893</v>
      </c>
      <c r="C1150" s="153" t="s">
        <v>4894</v>
      </c>
      <c r="D1150" s="153" t="e">
        <v>#N/A</v>
      </c>
      <c r="E1150" s="153" t="s">
        <v>2086</v>
      </c>
      <c r="F1150" s="130"/>
      <c r="G1150" s="130"/>
      <c r="H1150" s="128">
        <f t="shared" si="21"/>
        <v>0</v>
      </c>
      <c r="I1150" s="129"/>
      <c r="J1150" s="129"/>
      <c r="K1150" s="129"/>
      <c r="L1150" s="129"/>
      <c r="M1150" s="129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</row>
    <row r="1151" spans="1:39" ht="15.75" hidden="1" x14ac:dyDescent="0.25">
      <c r="A1151" s="127">
        <v>1150</v>
      </c>
      <c r="B1151" s="152" t="s">
        <v>4895</v>
      </c>
      <c r="C1151" s="153" t="s">
        <v>4896</v>
      </c>
      <c r="D1151" s="153" t="e">
        <v>#N/A</v>
      </c>
      <c r="E1151" s="153" t="s">
        <v>2086</v>
      </c>
      <c r="F1151" s="130"/>
      <c r="G1151" s="130"/>
      <c r="H1151" s="128">
        <f t="shared" si="21"/>
        <v>5</v>
      </c>
      <c r="I1151" s="129"/>
      <c r="J1151" s="129"/>
      <c r="K1151" s="129"/>
      <c r="L1151" s="129"/>
      <c r="M1151" s="129"/>
      <c r="N1151" s="129"/>
      <c r="O1151" s="129"/>
      <c r="P1151" s="129"/>
      <c r="Q1151" s="129"/>
      <c r="R1151" s="129"/>
      <c r="S1151" s="129"/>
      <c r="T1151" s="129"/>
      <c r="U1151" s="129"/>
      <c r="V1151" s="129">
        <v>5</v>
      </c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</row>
    <row r="1152" spans="1:39" ht="15.75" hidden="1" x14ac:dyDescent="0.25">
      <c r="A1152" s="127">
        <v>1151</v>
      </c>
      <c r="B1152" s="152" t="s">
        <v>4897</v>
      </c>
      <c r="C1152" s="160" t="s">
        <v>4898</v>
      </c>
      <c r="D1152" s="160" t="e">
        <v>#N/A</v>
      </c>
      <c r="E1152" s="153" t="s">
        <v>2086</v>
      </c>
      <c r="F1152" s="130"/>
      <c r="G1152" s="130"/>
      <c r="H1152" s="128">
        <f t="shared" si="21"/>
        <v>0</v>
      </c>
      <c r="I1152" s="129"/>
      <c r="J1152" s="129"/>
      <c r="K1152" s="129"/>
      <c r="L1152" s="129"/>
      <c r="M1152" s="129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</row>
    <row r="1153" spans="1:39" hidden="1" x14ac:dyDescent="0.25">
      <c r="A1153" s="127">
        <v>1152</v>
      </c>
      <c r="B1153" s="152" t="s">
        <v>4899</v>
      </c>
      <c r="C1153" s="153" t="s">
        <v>4900</v>
      </c>
      <c r="D1153" s="153" t="e">
        <v>#N/A</v>
      </c>
      <c r="E1153" s="153" t="s">
        <v>2086</v>
      </c>
      <c r="F1153" s="6"/>
      <c r="G1153" s="6"/>
      <c r="H1153" s="128">
        <f t="shared" si="21"/>
        <v>0</v>
      </c>
      <c r="I1153" s="129"/>
      <c r="J1153" s="129"/>
      <c r="K1153" s="129"/>
      <c r="L1153" s="129"/>
      <c r="M1153" s="129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</row>
    <row r="1154" spans="1:39" ht="15.75" hidden="1" x14ac:dyDescent="0.25">
      <c r="A1154" s="127">
        <v>1153</v>
      </c>
      <c r="B1154" s="152" t="s">
        <v>4901</v>
      </c>
      <c r="C1154" s="153" t="s">
        <v>4902</v>
      </c>
      <c r="D1154" s="153" t="e">
        <v>#N/A</v>
      </c>
      <c r="E1154" s="153" t="s">
        <v>2086</v>
      </c>
      <c r="F1154" s="130"/>
      <c r="G1154" s="130"/>
      <c r="H1154" s="128">
        <f t="shared" si="21"/>
        <v>0</v>
      </c>
      <c r="I1154" s="129"/>
      <c r="J1154" s="129"/>
      <c r="K1154" s="129"/>
      <c r="L1154" s="129"/>
      <c r="M1154" s="129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</row>
    <row r="1155" spans="1:39" ht="15.75" hidden="1" x14ac:dyDescent="0.25">
      <c r="A1155" s="127">
        <v>1154</v>
      </c>
      <c r="B1155" s="152" t="s">
        <v>4903</v>
      </c>
      <c r="C1155" s="153" t="s">
        <v>4904</v>
      </c>
      <c r="D1155" s="153" t="e">
        <v>#N/A</v>
      </c>
      <c r="E1155" s="153" t="s">
        <v>2086</v>
      </c>
      <c r="F1155" s="130"/>
      <c r="G1155" s="130"/>
      <c r="H1155" s="128">
        <f t="shared" ref="H1155:H1181" si="22">SUM(I1155:AM1155)</f>
        <v>0</v>
      </c>
      <c r="I1155" s="129"/>
      <c r="J1155" s="129"/>
      <c r="K1155" s="129"/>
      <c r="L1155" s="129"/>
      <c r="M1155" s="129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</row>
    <row r="1156" spans="1:39" ht="15.75" hidden="1" x14ac:dyDescent="0.25">
      <c r="A1156" s="127">
        <v>1155</v>
      </c>
      <c r="B1156" s="152" t="s">
        <v>4905</v>
      </c>
      <c r="C1156" s="153" t="s">
        <v>4906</v>
      </c>
      <c r="D1156" s="153" t="e">
        <v>#N/A</v>
      </c>
      <c r="E1156" s="153" t="s">
        <v>2086</v>
      </c>
      <c r="F1156" s="130"/>
      <c r="G1156" s="130"/>
      <c r="H1156" s="128">
        <f t="shared" si="22"/>
        <v>0</v>
      </c>
      <c r="I1156" s="129"/>
      <c r="J1156" s="129"/>
      <c r="K1156" s="129"/>
      <c r="L1156" s="129"/>
      <c r="M1156" s="129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</row>
    <row r="1157" spans="1:39" ht="15.75" hidden="1" x14ac:dyDescent="0.25">
      <c r="A1157" s="127">
        <v>1156</v>
      </c>
      <c r="B1157" s="152" t="s">
        <v>4907</v>
      </c>
      <c r="C1157" s="153" t="s">
        <v>4908</v>
      </c>
      <c r="D1157" s="153" t="e">
        <v>#N/A</v>
      </c>
      <c r="E1157" s="153" t="s">
        <v>2086</v>
      </c>
      <c r="F1157" s="130"/>
      <c r="G1157" s="130"/>
      <c r="H1157" s="128">
        <f t="shared" si="22"/>
        <v>174</v>
      </c>
      <c r="I1157" s="129"/>
      <c r="J1157" s="186">
        <v>174</v>
      </c>
      <c r="K1157" s="129"/>
      <c r="L1157" s="129"/>
      <c r="M1157" s="129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</row>
    <row r="1158" spans="1:39" ht="15.75" hidden="1" x14ac:dyDescent="0.25">
      <c r="A1158" s="127">
        <v>1157</v>
      </c>
      <c r="B1158" s="152" t="s">
        <v>4909</v>
      </c>
      <c r="C1158" s="153" t="s">
        <v>4910</v>
      </c>
      <c r="D1158" s="153" t="e">
        <v>#N/A</v>
      </c>
      <c r="E1158" s="153" t="s">
        <v>2086</v>
      </c>
      <c r="F1158" s="6"/>
      <c r="G1158" s="130"/>
      <c r="H1158" s="128">
        <f t="shared" si="22"/>
        <v>0</v>
      </c>
      <c r="I1158" s="129"/>
      <c r="J1158" s="129"/>
      <c r="K1158" s="129"/>
      <c r="L1158" s="129"/>
      <c r="M1158" s="129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</row>
    <row r="1159" spans="1:39" ht="15.75" hidden="1" x14ac:dyDescent="0.25">
      <c r="A1159" s="127">
        <v>1158</v>
      </c>
      <c r="B1159" s="152" t="s">
        <v>4911</v>
      </c>
      <c r="C1159" s="153" t="s">
        <v>4912</v>
      </c>
      <c r="D1159" s="153" t="e">
        <v>#N/A</v>
      </c>
      <c r="E1159" s="153" t="s">
        <v>2086</v>
      </c>
      <c r="F1159" s="130"/>
      <c r="G1159" s="130"/>
      <c r="H1159" s="128">
        <f t="shared" si="22"/>
        <v>0</v>
      </c>
      <c r="I1159" s="129"/>
      <c r="J1159" s="129"/>
      <c r="K1159" s="129"/>
      <c r="L1159" s="129"/>
      <c r="M1159" s="129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</row>
    <row r="1160" spans="1:39" ht="15.75" hidden="1" x14ac:dyDescent="0.25">
      <c r="A1160" s="127">
        <v>1159</v>
      </c>
      <c r="B1160" s="152" t="s">
        <v>4913</v>
      </c>
      <c r="C1160" s="153" t="s">
        <v>4914</v>
      </c>
      <c r="D1160" s="153" t="e">
        <v>#N/A</v>
      </c>
      <c r="E1160" s="153" t="s">
        <v>2086</v>
      </c>
      <c r="F1160" s="130"/>
      <c r="G1160" s="130"/>
      <c r="H1160" s="128">
        <f t="shared" si="22"/>
        <v>0</v>
      </c>
      <c r="I1160" s="129"/>
      <c r="J1160" s="129"/>
      <c r="K1160" s="129"/>
      <c r="L1160" s="129"/>
      <c r="M1160" s="129"/>
      <c r="N1160" s="129"/>
      <c r="O1160" s="129"/>
      <c r="P1160" s="129"/>
      <c r="Q1160" s="129"/>
      <c r="R1160" s="129"/>
      <c r="S1160" s="129"/>
      <c r="T1160" s="129"/>
      <c r="U1160" s="129"/>
      <c r="V1160" s="129"/>
      <c r="W1160" s="129"/>
      <c r="X1160" s="129"/>
      <c r="Y1160" s="129"/>
      <c r="Z1160" s="129"/>
      <c r="AA1160" s="129"/>
      <c r="AB1160" s="129"/>
      <c r="AC1160" s="129"/>
      <c r="AD1160" s="129"/>
      <c r="AE1160" s="129"/>
      <c r="AF1160" s="129"/>
      <c r="AG1160" s="129"/>
      <c r="AH1160" s="129"/>
      <c r="AI1160" s="129"/>
      <c r="AJ1160" s="129"/>
      <c r="AK1160" s="129"/>
      <c r="AL1160" s="129"/>
      <c r="AM1160" s="129"/>
    </row>
    <row r="1161" spans="1:39" ht="15.75" hidden="1" x14ac:dyDescent="0.25">
      <c r="A1161" s="127">
        <v>1160</v>
      </c>
      <c r="B1161" s="152" t="s">
        <v>4915</v>
      </c>
      <c r="C1161" s="153" t="s">
        <v>4916</v>
      </c>
      <c r="D1161" s="153" t="e">
        <v>#N/A</v>
      </c>
      <c r="E1161" s="153" t="s">
        <v>2086</v>
      </c>
      <c r="F1161" s="130"/>
      <c r="G1161" s="130"/>
      <c r="H1161" s="128">
        <f t="shared" si="22"/>
        <v>0</v>
      </c>
      <c r="I1161" s="129"/>
      <c r="J1161" s="129"/>
      <c r="K1161" s="129"/>
      <c r="L1161" s="129"/>
      <c r="M1161" s="129"/>
      <c r="N1161" s="129"/>
      <c r="O1161" s="129"/>
      <c r="P1161" s="129"/>
      <c r="Q1161" s="129"/>
      <c r="R1161" s="129"/>
      <c r="S1161" s="129"/>
      <c r="T1161" s="129"/>
      <c r="U1161" s="129"/>
      <c r="V1161" s="129"/>
      <c r="W1161" s="129"/>
      <c r="X1161" s="129"/>
      <c r="Y1161" s="129"/>
      <c r="Z1161" s="129"/>
      <c r="AA1161" s="129"/>
      <c r="AB1161" s="129"/>
      <c r="AC1161" s="129"/>
      <c r="AD1161" s="129"/>
      <c r="AE1161" s="129"/>
      <c r="AF1161" s="129"/>
      <c r="AG1161" s="129"/>
      <c r="AH1161" s="129"/>
      <c r="AI1161" s="129"/>
      <c r="AJ1161" s="129"/>
      <c r="AK1161" s="129"/>
      <c r="AL1161" s="129"/>
      <c r="AM1161" s="129"/>
    </row>
    <row r="1162" spans="1:39" ht="15.75" hidden="1" x14ac:dyDescent="0.25">
      <c r="A1162" s="127">
        <v>1161</v>
      </c>
      <c r="B1162" s="152" t="s">
        <v>4917</v>
      </c>
      <c r="C1162" s="153" t="s">
        <v>4918</v>
      </c>
      <c r="D1162" s="153" t="e">
        <v>#N/A</v>
      </c>
      <c r="E1162" s="153" t="s">
        <v>2086</v>
      </c>
      <c r="F1162" s="130"/>
      <c r="G1162" s="130"/>
      <c r="H1162" s="128">
        <f t="shared" si="22"/>
        <v>0</v>
      </c>
      <c r="I1162" s="129"/>
      <c r="J1162" s="129"/>
      <c r="K1162" s="129"/>
      <c r="L1162" s="129"/>
      <c r="M1162" s="129"/>
      <c r="N1162" s="129"/>
      <c r="O1162" s="129"/>
      <c r="P1162" s="129"/>
      <c r="Q1162" s="129"/>
      <c r="R1162" s="129"/>
      <c r="S1162" s="129"/>
      <c r="T1162" s="129"/>
      <c r="U1162" s="129"/>
      <c r="V1162" s="129"/>
      <c r="W1162" s="129"/>
      <c r="X1162" s="129"/>
      <c r="Y1162" s="129"/>
      <c r="Z1162" s="129"/>
      <c r="AA1162" s="129"/>
      <c r="AB1162" s="129"/>
      <c r="AC1162" s="129"/>
      <c r="AD1162" s="129"/>
      <c r="AE1162" s="129"/>
      <c r="AF1162" s="129"/>
      <c r="AG1162" s="129"/>
      <c r="AH1162" s="129"/>
      <c r="AI1162" s="129"/>
      <c r="AJ1162" s="129"/>
      <c r="AK1162" s="129"/>
      <c r="AL1162" s="129"/>
      <c r="AM1162" s="129"/>
    </row>
    <row r="1163" spans="1:39" ht="15.75" hidden="1" x14ac:dyDescent="0.25">
      <c r="A1163" s="127">
        <v>1162</v>
      </c>
      <c r="B1163" s="152" t="s">
        <v>4919</v>
      </c>
      <c r="C1163" s="153" t="s">
        <v>135</v>
      </c>
      <c r="D1163" s="153" t="e">
        <v>#N/A</v>
      </c>
      <c r="E1163" s="153" t="s">
        <v>2086</v>
      </c>
      <c r="F1163" s="130"/>
      <c r="G1163" s="130"/>
      <c r="H1163" s="128">
        <f t="shared" si="22"/>
        <v>0</v>
      </c>
      <c r="I1163" s="129"/>
      <c r="J1163" s="129"/>
      <c r="K1163" s="129"/>
      <c r="L1163" s="129"/>
      <c r="M1163" s="129"/>
      <c r="N1163" s="129"/>
      <c r="O1163" s="129"/>
      <c r="P1163" s="129"/>
      <c r="Q1163" s="129"/>
      <c r="R1163" s="129"/>
      <c r="S1163" s="129"/>
      <c r="T1163" s="129"/>
      <c r="U1163" s="129"/>
      <c r="V1163" s="129"/>
      <c r="W1163" s="129"/>
      <c r="X1163" s="129"/>
      <c r="Y1163" s="129"/>
      <c r="Z1163" s="129"/>
      <c r="AA1163" s="129"/>
      <c r="AB1163" s="129"/>
      <c r="AC1163" s="129"/>
      <c r="AD1163" s="129"/>
      <c r="AE1163" s="129"/>
      <c r="AF1163" s="129"/>
      <c r="AG1163" s="129"/>
      <c r="AH1163" s="129"/>
      <c r="AI1163" s="129"/>
      <c r="AJ1163" s="129"/>
      <c r="AK1163" s="129"/>
      <c r="AL1163" s="129"/>
      <c r="AM1163" s="129"/>
    </row>
    <row r="1164" spans="1:39" ht="15.75" hidden="1" x14ac:dyDescent="0.25">
      <c r="A1164" s="127">
        <v>1163</v>
      </c>
      <c r="B1164" s="152" t="s">
        <v>4920</v>
      </c>
      <c r="C1164" s="153" t="s">
        <v>4921</v>
      </c>
      <c r="D1164" s="153" t="e">
        <v>#N/A</v>
      </c>
      <c r="E1164" s="153" t="s">
        <v>2086</v>
      </c>
      <c r="F1164" s="130"/>
      <c r="G1164" s="130"/>
      <c r="H1164" s="128">
        <f t="shared" si="22"/>
        <v>0</v>
      </c>
      <c r="I1164" s="129"/>
      <c r="J1164" s="129"/>
      <c r="K1164" s="129"/>
      <c r="L1164" s="129"/>
      <c r="M1164" s="129"/>
      <c r="N1164" s="129"/>
      <c r="O1164" s="129"/>
      <c r="P1164" s="129"/>
      <c r="Q1164" s="129"/>
      <c r="R1164" s="129"/>
      <c r="S1164" s="129"/>
      <c r="T1164" s="129"/>
      <c r="U1164" s="129"/>
      <c r="V1164" s="129"/>
      <c r="W1164" s="129"/>
      <c r="X1164" s="129"/>
      <c r="Y1164" s="129"/>
      <c r="Z1164" s="129"/>
      <c r="AA1164" s="129"/>
      <c r="AB1164" s="129"/>
      <c r="AC1164" s="129"/>
      <c r="AD1164" s="129"/>
      <c r="AE1164" s="129"/>
      <c r="AF1164" s="129"/>
      <c r="AG1164" s="129"/>
      <c r="AH1164" s="129"/>
      <c r="AI1164" s="129"/>
      <c r="AJ1164" s="129"/>
      <c r="AK1164" s="129"/>
      <c r="AL1164" s="129"/>
      <c r="AM1164" s="129"/>
    </row>
    <row r="1165" spans="1:39" ht="15.75" hidden="1" x14ac:dyDescent="0.25">
      <c r="A1165" s="127">
        <v>1164</v>
      </c>
      <c r="B1165" s="152" t="s">
        <v>4922</v>
      </c>
      <c r="C1165" s="153" t="s">
        <v>2820</v>
      </c>
      <c r="D1165" s="153" t="e">
        <v>#N/A</v>
      </c>
      <c r="E1165" s="153" t="s">
        <v>2086</v>
      </c>
      <c r="F1165" s="130"/>
      <c r="G1165" s="130"/>
      <c r="H1165" s="128">
        <f t="shared" si="22"/>
        <v>0</v>
      </c>
      <c r="I1165" s="129"/>
      <c r="J1165" s="129"/>
      <c r="K1165" s="129"/>
      <c r="L1165" s="129"/>
      <c r="M1165" s="129"/>
      <c r="N1165" s="129"/>
      <c r="O1165" s="129"/>
      <c r="P1165" s="129"/>
      <c r="Q1165" s="129"/>
      <c r="R1165" s="129"/>
      <c r="S1165" s="129"/>
      <c r="T1165" s="129"/>
      <c r="U1165" s="129"/>
      <c r="V1165" s="129"/>
      <c r="W1165" s="129"/>
      <c r="X1165" s="129"/>
      <c r="Y1165" s="129"/>
      <c r="Z1165" s="129"/>
      <c r="AA1165" s="129"/>
      <c r="AB1165" s="129"/>
      <c r="AC1165" s="129"/>
      <c r="AD1165" s="129"/>
      <c r="AE1165" s="129"/>
      <c r="AF1165" s="129"/>
      <c r="AG1165" s="129"/>
      <c r="AH1165" s="129"/>
      <c r="AI1165" s="129"/>
      <c r="AJ1165" s="129"/>
      <c r="AK1165" s="129"/>
      <c r="AL1165" s="129"/>
      <c r="AM1165" s="129"/>
    </row>
    <row r="1166" spans="1:39" ht="15.75" hidden="1" x14ac:dyDescent="0.25">
      <c r="A1166" s="127">
        <v>1165</v>
      </c>
      <c r="B1166" s="152" t="s">
        <v>4923</v>
      </c>
      <c r="C1166" s="153" t="s">
        <v>4924</v>
      </c>
      <c r="D1166" s="153" t="e">
        <v>#N/A</v>
      </c>
      <c r="E1166" s="153" t="s">
        <v>2111</v>
      </c>
      <c r="F1166" s="130"/>
      <c r="G1166" s="130"/>
      <c r="H1166" s="128">
        <f t="shared" si="22"/>
        <v>0</v>
      </c>
      <c r="I1166" s="129"/>
      <c r="J1166" s="129"/>
      <c r="K1166" s="129"/>
      <c r="L1166" s="129"/>
      <c r="M1166" s="129"/>
      <c r="N1166" s="129"/>
      <c r="O1166" s="129"/>
      <c r="P1166" s="129"/>
      <c r="Q1166" s="129"/>
      <c r="R1166" s="129"/>
      <c r="S1166" s="129"/>
      <c r="T1166" s="129"/>
      <c r="U1166" s="129"/>
      <c r="V1166" s="129"/>
      <c r="W1166" s="129"/>
      <c r="X1166" s="129"/>
      <c r="Y1166" s="129"/>
      <c r="Z1166" s="129"/>
      <c r="AA1166" s="129"/>
      <c r="AB1166" s="129"/>
      <c r="AC1166" s="129"/>
      <c r="AD1166" s="129"/>
      <c r="AE1166" s="129"/>
      <c r="AF1166" s="129"/>
      <c r="AG1166" s="129"/>
      <c r="AH1166" s="129"/>
      <c r="AI1166" s="129"/>
      <c r="AJ1166" s="129"/>
      <c r="AK1166" s="129"/>
      <c r="AL1166" s="129"/>
      <c r="AM1166" s="129"/>
    </row>
    <row r="1167" spans="1:39" ht="15.75" hidden="1" x14ac:dyDescent="0.25">
      <c r="A1167" s="127">
        <v>1166</v>
      </c>
      <c r="B1167" s="6" t="s">
        <v>4925</v>
      </c>
      <c r="C1167" s="6" t="s">
        <v>4926</v>
      </c>
      <c r="D1167" s="6"/>
      <c r="E1167" s="153" t="s">
        <v>2086</v>
      </c>
      <c r="F1167" s="130"/>
      <c r="G1167" s="130"/>
      <c r="H1167" s="128">
        <f t="shared" si="22"/>
        <v>52820</v>
      </c>
      <c r="I1167" s="129">
        <v>52820</v>
      </c>
      <c r="J1167" s="129"/>
      <c r="K1167" s="129"/>
      <c r="L1167" s="129"/>
      <c r="M1167" s="129"/>
      <c r="N1167" s="129"/>
      <c r="O1167" s="129"/>
      <c r="P1167" s="129"/>
      <c r="Q1167" s="129"/>
      <c r="R1167" s="129"/>
      <c r="S1167" s="129"/>
      <c r="T1167" s="129"/>
      <c r="U1167" s="129"/>
      <c r="V1167" s="129"/>
      <c r="W1167" s="129"/>
      <c r="X1167" s="129"/>
      <c r="Y1167" s="129"/>
      <c r="Z1167" s="129"/>
      <c r="AA1167" s="129"/>
      <c r="AB1167" s="129"/>
      <c r="AC1167" s="129"/>
      <c r="AD1167" s="129"/>
      <c r="AE1167" s="129"/>
      <c r="AF1167" s="129"/>
      <c r="AG1167" s="129"/>
      <c r="AH1167" s="129"/>
      <c r="AI1167" s="129"/>
      <c r="AJ1167" s="129"/>
      <c r="AK1167" s="129"/>
      <c r="AL1167" s="129"/>
      <c r="AM1167" s="129"/>
    </row>
    <row r="1168" spans="1:39" ht="15.75" hidden="1" x14ac:dyDescent="0.25">
      <c r="A1168" s="127">
        <v>1167</v>
      </c>
      <c r="B1168" s="163" t="s">
        <v>4927</v>
      </c>
      <c r="C1168" s="163" t="s">
        <v>4928</v>
      </c>
      <c r="D1168" s="153"/>
      <c r="E1168" s="153" t="s">
        <v>2086</v>
      </c>
      <c r="F1168" s="130"/>
      <c r="G1168" s="130"/>
      <c r="H1168" s="128">
        <f t="shared" si="22"/>
        <v>60000</v>
      </c>
      <c r="I1168" s="129"/>
      <c r="J1168" s="129"/>
      <c r="K1168" s="129"/>
      <c r="L1168" s="129"/>
      <c r="M1168" s="129"/>
      <c r="N1168" s="129"/>
      <c r="O1168" s="129">
        <v>20000</v>
      </c>
      <c r="P1168" s="129"/>
      <c r="Q1168" s="129"/>
      <c r="R1168" s="129"/>
      <c r="S1168" s="129">
        <v>40000</v>
      </c>
      <c r="T1168" s="129"/>
      <c r="U1168" s="129"/>
      <c r="V1168" s="129"/>
      <c r="W1168" s="129"/>
      <c r="X1168" s="129"/>
      <c r="Y1168" s="129"/>
      <c r="Z1168" s="129"/>
      <c r="AA1168" s="129"/>
      <c r="AB1168" s="129"/>
      <c r="AC1168" s="129"/>
      <c r="AD1168" s="129"/>
      <c r="AE1168" s="129"/>
      <c r="AF1168" s="129"/>
      <c r="AG1168" s="129"/>
      <c r="AH1168" s="129"/>
      <c r="AI1168" s="129"/>
      <c r="AJ1168" s="129"/>
      <c r="AK1168" s="129"/>
      <c r="AL1168" s="129"/>
      <c r="AM1168" s="129"/>
    </row>
    <row r="1169" spans="1:39" ht="15.75" hidden="1" x14ac:dyDescent="0.25">
      <c r="A1169" s="127">
        <v>1168</v>
      </c>
      <c r="B1169" s="163" t="s">
        <v>4929</v>
      </c>
      <c r="C1169" s="163" t="s">
        <v>4930</v>
      </c>
      <c r="D1169" s="153"/>
      <c r="E1169" s="153" t="s">
        <v>2086</v>
      </c>
      <c r="F1169" s="130"/>
      <c r="G1169" s="130"/>
      <c r="H1169" s="128">
        <f t="shared" si="22"/>
        <v>10</v>
      </c>
      <c r="I1169" s="129"/>
      <c r="J1169" s="129"/>
      <c r="K1169" s="129"/>
      <c r="L1169" s="129"/>
      <c r="M1169" s="129"/>
      <c r="N1169" s="129"/>
      <c r="O1169" s="129"/>
      <c r="P1169" s="129">
        <v>10</v>
      </c>
      <c r="Q1169" s="129"/>
      <c r="R1169" s="129"/>
      <c r="S1169" s="129"/>
      <c r="T1169" s="129"/>
      <c r="U1169" s="129"/>
      <c r="V1169" s="129"/>
      <c r="W1169" s="129"/>
      <c r="X1169" s="129"/>
      <c r="Y1169" s="129"/>
      <c r="Z1169" s="129"/>
      <c r="AA1169" s="129"/>
      <c r="AB1169" s="129"/>
      <c r="AC1169" s="129"/>
      <c r="AD1169" s="129"/>
      <c r="AE1169" s="129"/>
      <c r="AF1169" s="129"/>
      <c r="AG1169" s="129"/>
      <c r="AH1169" s="129"/>
      <c r="AI1169" s="129"/>
      <c r="AJ1169" s="129"/>
      <c r="AK1169" s="129"/>
      <c r="AL1169" s="129"/>
      <c r="AM1169" s="129"/>
    </row>
    <row r="1170" spans="1:39" ht="15.75" hidden="1" x14ac:dyDescent="0.25">
      <c r="A1170" s="127">
        <v>1169</v>
      </c>
      <c r="B1170" s="59" t="s">
        <v>4931</v>
      </c>
      <c r="C1170" s="6" t="s">
        <v>4932</v>
      </c>
      <c r="D1170" s="6"/>
      <c r="E1170" s="153" t="s">
        <v>2086</v>
      </c>
      <c r="F1170" s="130"/>
      <c r="G1170" s="130"/>
      <c r="H1170" s="128">
        <f t="shared" si="22"/>
        <v>0</v>
      </c>
      <c r="I1170" s="129"/>
      <c r="J1170" s="129"/>
      <c r="K1170" s="129"/>
      <c r="L1170" s="129"/>
      <c r="M1170" s="129"/>
      <c r="N1170" s="129"/>
      <c r="O1170" s="129"/>
      <c r="P1170" s="129"/>
      <c r="Q1170" s="129"/>
      <c r="R1170" s="129"/>
      <c r="S1170" s="129"/>
      <c r="T1170" s="129"/>
      <c r="U1170" s="129"/>
      <c r="V1170" s="129"/>
      <c r="W1170" s="129"/>
      <c r="X1170" s="129"/>
      <c r="Y1170" s="129"/>
      <c r="Z1170" s="129"/>
      <c r="AA1170" s="129"/>
      <c r="AB1170" s="129"/>
      <c r="AC1170" s="129"/>
      <c r="AD1170" s="129"/>
      <c r="AE1170" s="129"/>
      <c r="AF1170" s="129"/>
      <c r="AG1170" s="129"/>
      <c r="AH1170" s="129"/>
      <c r="AI1170" s="129"/>
      <c r="AJ1170" s="129"/>
      <c r="AK1170" s="129"/>
      <c r="AL1170" s="129"/>
      <c r="AM1170" s="129"/>
    </row>
    <row r="1171" spans="1:39" ht="15.75" hidden="1" x14ac:dyDescent="0.25">
      <c r="A1171" s="127">
        <v>1170</v>
      </c>
      <c r="B1171" s="187" t="s">
        <v>4933</v>
      </c>
      <c r="C1171" s="188" t="s">
        <v>4934</v>
      </c>
      <c r="D1171" s="130"/>
      <c r="E1171" s="130"/>
      <c r="F1171" s="130"/>
      <c r="G1171" s="130"/>
      <c r="H1171" s="128">
        <f t="shared" si="22"/>
        <v>21000</v>
      </c>
      <c r="I1171" s="129"/>
      <c r="J1171" s="129"/>
      <c r="K1171" s="129"/>
      <c r="L1171" s="129"/>
      <c r="M1171" s="129"/>
      <c r="N1171" s="129"/>
      <c r="O1171" s="129"/>
      <c r="P1171" s="129"/>
      <c r="Q1171" s="129">
        <v>21000</v>
      </c>
      <c r="R1171" s="129"/>
      <c r="S1171" s="129"/>
      <c r="T1171" s="129"/>
      <c r="U1171" s="129"/>
      <c r="V1171" s="129"/>
      <c r="W1171" s="129"/>
      <c r="X1171" s="129"/>
      <c r="Y1171" s="129"/>
      <c r="Z1171" s="129"/>
      <c r="AA1171" s="129"/>
      <c r="AB1171" s="129"/>
      <c r="AC1171" s="129"/>
      <c r="AD1171" s="129"/>
      <c r="AE1171" s="129"/>
      <c r="AF1171" s="129"/>
      <c r="AG1171" s="129"/>
      <c r="AH1171" s="129"/>
      <c r="AI1171" s="129"/>
      <c r="AJ1171" s="129"/>
      <c r="AK1171" s="129"/>
      <c r="AL1171" s="129"/>
      <c r="AM1171" s="129"/>
    </row>
    <row r="1172" spans="1:39" ht="15.75" hidden="1" x14ac:dyDescent="0.25">
      <c r="A1172" s="127">
        <v>1171</v>
      </c>
      <c r="B1172" s="187" t="s">
        <v>4935</v>
      </c>
      <c r="C1172" s="188" t="s">
        <v>4936</v>
      </c>
      <c r="D1172" s="130"/>
      <c r="E1172" s="130"/>
      <c r="F1172" s="130"/>
      <c r="G1172" s="130"/>
      <c r="H1172" s="128">
        <f t="shared" si="22"/>
        <v>0</v>
      </c>
      <c r="I1172" s="129"/>
      <c r="J1172" s="129"/>
      <c r="K1172" s="129"/>
      <c r="L1172" s="129"/>
      <c r="M1172" s="129"/>
      <c r="N1172" s="129"/>
      <c r="O1172" s="129"/>
      <c r="P1172" s="129"/>
      <c r="Q1172" s="129"/>
      <c r="R1172" s="129"/>
      <c r="S1172" s="129"/>
      <c r="T1172" s="129"/>
      <c r="U1172" s="129"/>
      <c r="V1172" s="129"/>
      <c r="W1172" s="129"/>
      <c r="X1172" s="129"/>
      <c r="Y1172" s="129"/>
      <c r="Z1172" s="129"/>
      <c r="AA1172" s="129"/>
      <c r="AB1172" s="129"/>
      <c r="AC1172" s="129"/>
      <c r="AD1172" s="129"/>
      <c r="AE1172" s="129"/>
      <c r="AF1172" s="129"/>
      <c r="AG1172" s="129"/>
      <c r="AH1172" s="129"/>
      <c r="AI1172" s="129"/>
      <c r="AJ1172" s="129"/>
      <c r="AK1172" s="129"/>
      <c r="AL1172" s="129"/>
      <c r="AM1172" s="129"/>
    </row>
    <row r="1173" spans="1:39" ht="15.75" hidden="1" x14ac:dyDescent="0.25">
      <c r="A1173" s="127">
        <v>1172</v>
      </c>
      <c r="B1173" s="59" t="s">
        <v>4937</v>
      </c>
      <c r="C1173" s="130" t="s">
        <v>4938</v>
      </c>
      <c r="D1173" s="130"/>
      <c r="E1173" s="130"/>
      <c r="F1173" s="130"/>
      <c r="G1173" s="130"/>
      <c r="H1173" s="128">
        <f t="shared" si="22"/>
        <v>0</v>
      </c>
      <c r="I1173" s="129"/>
      <c r="J1173" s="129"/>
      <c r="K1173" s="129"/>
      <c r="L1173" s="129"/>
      <c r="M1173" s="129"/>
      <c r="N1173" s="129"/>
      <c r="O1173" s="129"/>
      <c r="P1173" s="129"/>
      <c r="Q1173" s="129"/>
      <c r="R1173" s="129"/>
      <c r="S1173" s="129"/>
      <c r="T1173" s="129"/>
      <c r="U1173" s="129"/>
      <c r="V1173" s="129"/>
      <c r="W1173" s="129"/>
      <c r="X1173" s="129"/>
      <c r="Y1173" s="129"/>
      <c r="Z1173" s="129"/>
      <c r="AA1173" s="129"/>
      <c r="AB1173" s="129"/>
      <c r="AC1173" s="129"/>
      <c r="AD1173" s="129"/>
      <c r="AE1173" s="129"/>
      <c r="AF1173" s="129"/>
      <c r="AG1173" s="129"/>
      <c r="AH1173" s="129"/>
      <c r="AI1173" s="129"/>
      <c r="AJ1173" s="129"/>
      <c r="AK1173" s="129"/>
      <c r="AL1173" s="129"/>
      <c r="AM1173" s="129"/>
    </row>
    <row r="1174" spans="1:39" ht="15.75" hidden="1" x14ac:dyDescent="0.25">
      <c r="A1174" s="127">
        <v>1173</v>
      </c>
      <c r="B1174" s="59" t="s">
        <v>4939</v>
      </c>
      <c r="C1174" s="130" t="s">
        <v>4940</v>
      </c>
      <c r="D1174" s="130"/>
      <c r="E1174" s="130"/>
      <c r="F1174" s="130"/>
      <c r="G1174" s="130"/>
      <c r="H1174" s="128">
        <f t="shared" si="22"/>
        <v>0</v>
      </c>
      <c r="I1174" s="129"/>
      <c r="J1174" s="129"/>
      <c r="K1174" s="129"/>
      <c r="L1174" s="129"/>
      <c r="M1174" s="129"/>
      <c r="N1174" s="129"/>
      <c r="O1174" s="129"/>
      <c r="P1174" s="129"/>
      <c r="Q1174" s="129"/>
      <c r="R1174" s="129"/>
      <c r="S1174" s="129"/>
      <c r="T1174" s="129"/>
      <c r="U1174" s="129"/>
      <c r="V1174" s="129"/>
      <c r="W1174" s="129"/>
      <c r="X1174" s="129"/>
      <c r="Y1174" s="129"/>
      <c r="Z1174" s="129"/>
      <c r="AA1174" s="129"/>
      <c r="AB1174" s="129"/>
      <c r="AC1174" s="129"/>
      <c r="AD1174" s="129"/>
      <c r="AE1174" s="129"/>
      <c r="AF1174" s="129"/>
      <c r="AG1174" s="129"/>
      <c r="AH1174" s="129"/>
      <c r="AI1174" s="129"/>
      <c r="AJ1174" s="129"/>
      <c r="AK1174" s="129"/>
      <c r="AL1174" s="129"/>
      <c r="AM1174" s="129"/>
    </row>
    <row r="1175" spans="1:39" ht="15.75" hidden="1" x14ac:dyDescent="0.25">
      <c r="A1175" s="127">
        <v>1174</v>
      </c>
      <c r="B1175" s="130" t="s">
        <v>4941</v>
      </c>
      <c r="C1175" s="130" t="s">
        <v>4942</v>
      </c>
      <c r="D1175" s="130"/>
      <c r="E1175" s="130"/>
      <c r="F1175" s="130"/>
      <c r="G1175" s="130"/>
      <c r="H1175" s="128">
        <f t="shared" si="22"/>
        <v>0</v>
      </c>
      <c r="I1175" s="129"/>
      <c r="J1175" s="129"/>
      <c r="K1175" s="129"/>
      <c r="L1175" s="129"/>
      <c r="M1175" s="129"/>
      <c r="N1175" s="129"/>
      <c r="O1175" s="129"/>
      <c r="P1175" s="129"/>
      <c r="Q1175" s="129"/>
      <c r="R1175" s="129"/>
      <c r="S1175" s="129"/>
      <c r="T1175" s="129"/>
      <c r="U1175" s="129"/>
      <c r="V1175" s="129"/>
      <c r="W1175" s="129"/>
      <c r="X1175" s="129"/>
      <c r="Y1175" s="129"/>
      <c r="Z1175" s="129"/>
      <c r="AA1175" s="129"/>
      <c r="AB1175" s="129"/>
      <c r="AC1175" s="129"/>
      <c r="AD1175" s="129"/>
      <c r="AE1175" s="129"/>
      <c r="AF1175" s="129"/>
      <c r="AG1175" s="129"/>
      <c r="AH1175" s="129"/>
      <c r="AI1175" s="129"/>
      <c r="AJ1175" s="129"/>
      <c r="AK1175" s="129"/>
      <c r="AL1175" s="129"/>
      <c r="AM1175" s="129"/>
    </row>
    <row r="1176" spans="1:39" ht="15.75" hidden="1" x14ac:dyDescent="0.25">
      <c r="A1176" s="127">
        <v>1175</v>
      </c>
      <c r="B1176" s="145" t="s">
        <v>4943</v>
      </c>
      <c r="C1176" s="145" t="s">
        <v>4944</v>
      </c>
      <c r="D1176" s="145"/>
      <c r="E1176" s="130"/>
      <c r="F1176" s="130"/>
      <c r="G1176" s="130"/>
      <c r="H1176" s="128">
        <f t="shared" si="22"/>
        <v>0</v>
      </c>
      <c r="I1176" s="129"/>
      <c r="J1176" s="129"/>
      <c r="K1176" s="129"/>
      <c r="L1176" s="129"/>
      <c r="M1176" s="129"/>
      <c r="N1176" s="129"/>
      <c r="O1176" s="129"/>
      <c r="P1176" s="129"/>
      <c r="Q1176" s="129"/>
      <c r="R1176" s="129"/>
      <c r="S1176" s="129"/>
      <c r="T1176" s="129"/>
      <c r="U1176" s="129"/>
      <c r="V1176" s="129"/>
      <c r="W1176" s="129"/>
      <c r="X1176" s="129"/>
      <c r="Y1176" s="129"/>
      <c r="Z1176" s="129"/>
      <c r="AA1176" s="129"/>
      <c r="AB1176" s="129"/>
      <c r="AC1176" s="129"/>
      <c r="AD1176" s="129"/>
      <c r="AE1176" s="129"/>
      <c r="AF1176" s="129"/>
      <c r="AG1176" s="129"/>
      <c r="AH1176" s="129"/>
      <c r="AI1176" s="129"/>
      <c r="AJ1176" s="129"/>
      <c r="AK1176" s="129"/>
      <c r="AL1176" s="129"/>
      <c r="AM1176" s="129"/>
    </row>
    <row r="1177" spans="1:39" ht="15.75" hidden="1" x14ac:dyDescent="0.25">
      <c r="A1177" s="127">
        <v>1176</v>
      </c>
      <c r="B1177" s="145" t="s">
        <v>4945</v>
      </c>
      <c r="C1177" s="130" t="s">
        <v>4946</v>
      </c>
      <c r="D1177" s="130"/>
      <c r="E1177" s="130"/>
      <c r="F1177" s="130"/>
      <c r="G1177" s="130"/>
      <c r="H1177" s="128">
        <f t="shared" si="22"/>
        <v>0</v>
      </c>
      <c r="I1177" s="129"/>
      <c r="J1177" s="129"/>
      <c r="K1177" s="129"/>
      <c r="L1177" s="129"/>
      <c r="M1177" s="129"/>
      <c r="N1177" s="129"/>
      <c r="O1177" s="129"/>
      <c r="P1177" s="129"/>
      <c r="Q1177" s="129"/>
      <c r="R1177" s="129"/>
      <c r="S1177" s="129"/>
      <c r="T1177" s="129"/>
      <c r="U1177" s="129"/>
      <c r="V1177" s="129"/>
      <c r="W1177" s="129"/>
      <c r="X1177" s="129"/>
      <c r="Y1177" s="129"/>
      <c r="Z1177" s="129"/>
      <c r="AA1177" s="129"/>
      <c r="AB1177" s="129"/>
      <c r="AC1177" s="129"/>
      <c r="AD1177" s="129"/>
      <c r="AE1177" s="129"/>
      <c r="AF1177" s="129"/>
      <c r="AG1177" s="129"/>
      <c r="AH1177" s="129"/>
      <c r="AI1177" s="129"/>
      <c r="AJ1177" s="129"/>
      <c r="AK1177" s="129"/>
      <c r="AL1177" s="129"/>
      <c r="AM1177" s="129"/>
    </row>
    <row r="1178" spans="1:39" ht="15.75" hidden="1" x14ac:dyDescent="0.25">
      <c r="A1178" s="127">
        <v>1177</v>
      </c>
      <c r="B1178" s="196" t="s">
        <v>5044</v>
      </c>
      <c r="C1178" s="196" t="s">
        <v>5045</v>
      </c>
      <c r="D1178" s="130"/>
      <c r="E1178" s="130"/>
      <c r="F1178" s="130"/>
      <c r="G1178" s="130"/>
      <c r="H1178" s="128">
        <f t="shared" si="22"/>
        <v>4</v>
      </c>
      <c r="I1178" s="129"/>
      <c r="J1178" s="129"/>
      <c r="K1178" s="129"/>
      <c r="L1178" s="129"/>
      <c r="M1178" s="129"/>
      <c r="N1178" s="129"/>
      <c r="O1178" s="129"/>
      <c r="P1178" s="129"/>
      <c r="Q1178" s="129"/>
      <c r="R1178" s="129"/>
      <c r="S1178" s="129"/>
      <c r="T1178" s="129">
        <f>600-600</f>
        <v>0</v>
      </c>
      <c r="U1178" s="129"/>
      <c r="V1178" s="129">
        <v>4</v>
      </c>
      <c r="W1178" s="129"/>
      <c r="X1178" s="129"/>
      <c r="Y1178" s="129"/>
      <c r="Z1178" s="129"/>
      <c r="AA1178" s="129"/>
      <c r="AB1178" s="129"/>
      <c r="AC1178" s="129"/>
      <c r="AD1178" s="129"/>
      <c r="AE1178" s="129"/>
      <c r="AF1178" s="129"/>
      <c r="AG1178" s="129"/>
      <c r="AH1178" s="129"/>
      <c r="AI1178" s="129"/>
      <c r="AJ1178" s="129"/>
      <c r="AK1178" s="129"/>
      <c r="AL1178" s="129"/>
      <c r="AM1178" s="129"/>
    </row>
    <row r="1179" spans="1:39" ht="15.75" hidden="1" x14ac:dyDescent="0.25">
      <c r="A1179" s="127">
        <v>1178</v>
      </c>
      <c r="B1179" s="196" t="s">
        <v>5046</v>
      </c>
      <c r="C1179" s="196" t="s">
        <v>5047</v>
      </c>
      <c r="D1179" s="130"/>
      <c r="E1179" s="130"/>
      <c r="F1179" s="130"/>
      <c r="G1179" s="130"/>
      <c r="H1179" s="128">
        <f t="shared" si="22"/>
        <v>16</v>
      </c>
      <c r="I1179" s="129"/>
      <c r="J1179" s="129"/>
      <c r="K1179" s="129"/>
      <c r="L1179" s="129"/>
      <c r="M1179" s="129"/>
      <c r="N1179" s="129"/>
      <c r="O1179" s="129"/>
      <c r="P1179" s="129"/>
      <c r="Q1179" s="129"/>
      <c r="R1179" s="129"/>
      <c r="S1179" s="129"/>
      <c r="T1179" s="129"/>
      <c r="U1179" s="129"/>
      <c r="V1179" s="129">
        <v>16</v>
      </c>
      <c r="W1179" s="129"/>
      <c r="X1179" s="129"/>
      <c r="Y1179" s="129"/>
      <c r="Z1179" s="129"/>
      <c r="AA1179" s="129"/>
      <c r="AB1179" s="129"/>
      <c r="AC1179" s="129"/>
      <c r="AD1179" s="129"/>
      <c r="AE1179" s="129"/>
      <c r="AF1179" s="129"/>
      <c r="AG1179" s="129"/>
      <c r="AH1179" s="129"/>
      <c r="AI1179" s="129"/>
      <c r="AJ1179" s="129"/>
      <c r="AK1179" s="129"/>
      <c r="AL1179" s="129"/>
      <c r="AM1179" s="129"/>
    </row>
    <row r="1180" spans="1:39" ht="15.75" hidden="1" x14ac:dyDescent="0.25">
      <c r="A1180" s="127">
        <v>1179</v>
      </c>
      <c r="B1180" s="196" t="s">
        <v>5048</v>
      </c>
      <c r="C1180" s="196" t="s">
        <v>5049</v>
      </c>
      <c r="D1180" s="130"/>
      <c r="E1180" s="130"/>
      <c r="F1180" s="130"/>
      <c r="G1180" s="130"/>
      <c r="H1180" s="128">
        <f t="shared" si="22"/>
        <v>15</v>
      </c>
      <c r="I1180" s="129"/>
      <c r="J1180" s="129"/>
      <c r="K1180" s="129"/>
      <c r="L1180" s="129"/>
      <c r="M1180" s="129"/>
      <c r="N1180" s="129"/>
      <c r="O1180" s="129"/>
      <c r="P1180" s="129"/>
      <c r="Q1180" s="129"/>
      <c r="R1180" s="129"/>
      <c r="S1180" s="129"/>
      <c r="T1180" s="129"/>
      <c r="U1180" s="129"/>
      <c r="V1180" s="129">
        <v>15</v>
      </c>
      <c r="W1180" s="129"/>
      <c r="X1180" s="129"/>
      <c r="Y1180" s="129"/>
      <c r="Z1180" s="129"/>
      <c r="AA1180" s="129"/>
      <c r="AB1180" s="129"/>
      <c r="AC1180" s="129"/>
      <c r="AD1180" s="129"/>
      <c r="AE1180" s="129"/>
      <c r="AF1180" s="129"/>
      <c r="AG1180" s="129"/>
      <c r="AH1180" s="129"/>
      <c r="AI1180" s="129"/>
      <c r="AJ1180" s="129"/>
      <c r="AK1180" s="129"/>
      <c r="AL1180" s="129"/>
      <c r="AM1180" s="129"/>
    </row>
    <row r="1181" spans="1:39" ht="15.75" hidden="1" x14ac:dyDescent="0.25">
      <c r="A1181" s="127">
        <v>1180</v>
      </c>
      <c r="B1181" s="196" t="s">
        <v>5050</v>
      </c>
      <c r="C1181" s="196" t="s">
        <v>5051</v>
      </c>
      <c r="D1181" s="130"/>
      <c r="E1181" s="130"/>
      <c r="F1181" s="130"/>
      <c r="G1181" s="130"/>
      <c r="H1181" s="128">
        <f t="shared" si="22"/>
        <v>10</v>
      </c>
      <c r="I1181" s="129"/>
      <c r="J1181" s="129"/>
      <c r="K1181" s="129"/>
      <c r="L1181" s="129"/>
      <c r="M1181" s="129"/>
      <c r="N1181" s="129"/>
      <c r="O1181" s="129"/>
      <c r="P1181" s="129"/>
      <c r="Q1181" s="129"/>
      <c r="R1181" s="129"/>
      <c r="S1181" s="129"/>
      <c r="T1181" s="129"/>
      <c r="U1181" s="129"/>
      <c r="V1181" s="129">
        <v>10</v>
      </c>
      <c r="W1181" s="129"/>
      <c r="X1181" s="129"/>
      <c r="Y1181" s="129"/>
      <c r="Z1181" s="129"/>
      <c r="AA1181" s="129"/>
      <c r="AB1181" s="129"/>
      <c r="AC1181" s="129"/>
      <c r="AD1181" s="129"/>
      <c r="AE1181" s="129"/>
      <c r="AF1181" s="129"/>
      <c r="AG1181" s="129"/>
      <c r="AH1181" s="129"/>
      <c r="AI1181" s="129"/>
      <c r="AJ1181" s="129"/>
      <c r="AK1181" s="129"/>
      <c r="AL1181" s="129"/>
      <c r="AM1181" s="129"/>
    </row>
    <row r="1182" spans="1:39" ht="15.75" hidden="1" x14ac:dyDescent="0.25">
      <c r="A1182" s="127">
        <v>1181</v>
      </c>
      <c r="B1182" s="196" t="s">
        <v>5052</v>
      </c>
      <c r="C1182" s="196" t="s">
        <v>5053</v>
      </c>
      <c r="D1182" s="130"/>
      <c r="E1182" s="130"/>
      <c r="F1182" s="130"/>
      <c r="G1182" s="130"/>
      <c r="H1182" s="128">
        <f t="shared" ref="H1182:H1245" si="23">SUM(I1182:AM1182)</f>
        <v>5</v>
      </c>
      <c r="I1182" s="129"/>
      <c r="J1182" s="129"/>
      <c r="K1182" s="129"/>
      <c r="L1182" s="129"/>
      <c r="M1182" s="129"/>
      <c r="N1182" s="129"/>
      <c r="O1182" s="129"/>
      <c r="P1182" s="129"/>
      <c r="Q1182" s="129"/>
      <c r="R1182" s="129"/>
      <c r="S1182" s="129"/>
      <c r="T1182" s="129"/>
      <c r="U1182" s="129"/>
      <c r="V1182" s="129">
        <v>5</v>
      </c>
      <c r="W1182" s="129"/>
      <c r="X1182" s="129"/>
      <c r="Y1182" s="129"/>
      <c r="Z1182" s="129"/>
      <c r="AA1182" s="129"/>
      <c r="AB1182" s="129"/>
      <c r="AC1182" s="129"/>
      <c r="AD1182" s="129"/>
      <c r="AE1182" s="129"/>
      <c r="AF1182" s="129"/>
      <c r="AG1182" s="129"/>
      <c r="AH1182" s="129"/>
      <c r="AI1182" s="129"/>
      <c r="AJ1182" s="129"/>
      <c r="AK1182" s="129"/>
      <c r="AL1182" s="129"/>
      <c r="AM1182" s="129"/>
    </row>
    <row r="1183" spans="1:39" ht="15.75" hidden="1" x14ac:dyDescent="0.25">
      <c r="A1183" s="127">
        <v>1182</v>
      </c>
      <c r="B1183" s="196" t="s">
        <v>5054</v>
      </c>
      <c r="C1183" s="196" t="s">
        <v>5055</v>
      </c>
      <c r="D1183" s="130"/>
      <c r="E1183" s="130"/>
      <c r="F1183" s="130"/>
      <c r="G1183" s="130"/>
      <c r="H1183" s="128">
        <f t="shared" si="23"/>
        <v>16</v>
      </c>
      <c r="I1183" s="129"/>
      <c r="J1183" s="129"/>
      <c r="K1183" s="129"/>
      <c r="L1183" s="129"/>
      <c r="M1183" s="129"/>
      <c r="N1183" s="129"/>
      <c r="O1183" s="129"/>
      <c r="P1183" s="129"/>
      <c r="Q1183" s="129"/>
      <c r="R1183" s="129"/>
      <c r="S1183" s="129"/>
      <c r="T1183" s="129"/>
      <c r="U1183" s="129"/>
      <c r="V1183" s="129">
        <v>16</v>
      </c>
      <c r="W1183" s="129"/>
      <c r="X1183" s="129"/>
      <c r="Y1183" s="129"/>
      <c r="Z1183" s="129"/>
      <c r="AA1183" s="129"/>
      <c r="AB1183" s="129"/>
      <c r="AC1183" s="129"/>
      <c r="AD1183" s="129"/>
      <c r="AE1183" s="129"/>
      <c r="AF1183" s="129"/>
      <c r="AG1183" s="129"/>
      <c r="AH1183" s="129"/>
      <c r="AI1183" s="129"/>
      <c r="AJ1183" s="129"/>
      <c r="AK1183" s="129"/>
      <c r="AL1183" s="129"/>
      <c r="AM1183" s="129"/>
    </row>
    <row r="1184" spans="1:39" ht="15.75" hidden="1" x14ac:dyDescent="0.25">
      <c r="A1184" s="127">
        <v>1183</v>
      </c>
      <c r="B1184" s="196" t="s">
        <v>5056</v>
      </c>
      <c r="C1184" s="196" t="s">
        <v>5057</v>
      </c>
      <c r="D1184" s="130"/>
      <c r="E1184" s="130"/>
      <c r="F1184" s="130"/>
      <c r="G1184" s="130"/>
      <c r="H1184" s="128">
        <f t="shared" si="23"/>
        <v>5</v>
      </c>
      <c r="I1184" s="129"/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>
        <v>5</v>
      </c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</row>
    <row r="1185" spans="1:39" ht="15.75" hidden="1" x14ac:dyDescent="0.25">
      <c r="A1185" s="127">
        <v>1184</v>
      </c>
      <c r="B1185" s="196" t="s">
        <v>5058</v>
      </c>
      <c r="C1185" s="196" t="s">
        <v>5059</v>
      </c>
      <c r="D1185" s="130"/>
      <c r="E1185" s="130"/>
      <c r="F1185" s="130"/>
      <c r="G1185" s="130"/>
      <c r="H1185" s="128">
        <f t="shared" si="23"/>
        <v>5</v>
      </c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>
        <v>5</v>
      </c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</row>
    <row r="1186" spans="1:39" ht="15.75" hidden="1" x14ac:dyDescent="0.25">
      <c r="A1186" s="127">
        <v>1185</v>
      </c>
      <c r="B1186" s="196" t="s">
        <v>5060</v>
      </c>
      <c r="C1186" s="196" t="s">
        <v>5061</v>
      </c>
      <c r="D1186" s="130"/>
      <c r="E1186" s="130"/>
      <c r="F1186" s="130"/>
      <c r="G1186" s="130"/>
      <c r="H1186" s="128">
        <f t="shared" si="23"/>
        <v>10</v>
      </c>
      <c r="I1186" s="129"/>
      <c r="J1186" s="129"/>
      <c r="K1186" s="129"/>
      <c r="L1186" s="129"/>
      <c r="M1186" s="129"/>
      <c r="N1186" s="129"/>
      <c r="O1186" s="129"/>
      <c r="P1186" s="129"/>
      <c r="Q1186" s="129"/>
      <c r="R1186" s="129"/>
      <c r="S1186" s="129"/>
      <c r="T1186" s="129"/>
      <c r="U1186" s="129"/>
      <c r="V1186" s="129">
        <v>10</v>
      </c>
      <c r="W1186" s="129"/>
      <c r="X1186" s="129"/>
      <c r="Y1186" s="129"/>
      <c r="Z1186" s="129"/>
      <c r="AA1186" s="129"/>
      <c r="AB1186" s="129"/>
      <c r="AC1186" s="129"/>
      <c r="AD1186" s="129"/>
      <c r="AE1186" s="129"/>
      <c r="AF1186" s="129"/>
      <c r="AG1186" s="129"/>
      <c r="AH1186" s="129"/>
      <c r="AI1186" s="129"/>
      <c r="AJ1186" s="129"/>
      <c r="AK1186" s="129"/>
      <c r="AL1186" s="129"/>
      <c r="AM1186" s="129"/>
    </row>
    <row r="1187" spans="1:39" ht="15.75" hidden="1" x14ac:dyDescent="0.25">
      <c r="A1187" s="127">
        <v>1186</v>
      </c>
      <c r="B1187" s="196"/>
      <c r="C1187" s="196"/>
      <c r="D1187" s="130"/>
      <c r="E1187" s="130"/>
      <c r="F1187" s="130"/>
      <c r="G1187" s="130"/>
      <c r="H1187" s="128">
        <f t="shared" si="23"/>
        <v>0</v>
      </c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29"/>
      <c r="AL1187" s="129"/>
      <c r="AM1187" s="129"/>
    </row>
    <row r="1188" spans="1:39" ht="15.75" hidden="1" x14ac:dyDescent="0.25">
      <c r="A1188" s="127">
        <v>1187</v>
      </c>
      <c r="B1188" s="196"/>
      <c r="C1188" s="196"/>
      <c r="D1188" s="130"/>
      <c r="E1188" s="130"/>
      <c r="F1188" s="130"/>
      <c r="G1188" s="130"/>
      <c r="H1188" s="128">
        <f t="shared" si="23"/>
        <v>0</v>
      </c>
      <c r="I1188" s="129"/>
      <c r="J1188" s="129"/>
      <c r="K1188" s="129"/>
      <c r="L1188" s="129"/>
      <c r="M1188" s="129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</row>
    <row r="1189" spans="1:39" ht="15.75" hidden="1" x14ac:dyDescent="0.25">
      <c r="A1189" s="127">
        <v>1188</v>
      </c>
      <c r="B1189" s="59"/>
      <c r="C1189" s="130"/>
      <c r="D1189" s="130"/>
      <c r="E1189" s="130"/>
      <c r="F1189" s="130"/>
      <c r="G1189" s="130"/>
      <c r="H1189" s="128">
        <f t="shared" si="23"/>
        <v>0</v>
      </c>
      <c r="I1189" s="129"/>
      <c r="J1189" s="129"/>
      <c r="K1189" s="129"/>
      <c r="L1189" s="129"/>
      <c r="M1189" s="129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</row>
    <row r="1190" spans="1:39" ht="15.75" hidden="1" x14ac:dyDescent="0.25">
      <c r="A1190" s="127">
        <v>1189</v>
      </c>
      <c r="B1190" s="59"/>
      <c r="C1190" s="130"/>
      <c r="D1190" s="130"/>
      <c r="E1190" s="130"/>
      <c r="F1190" s="130"/>
      <c r="G1190" s="130"/>
      <c r="H1190" s="128">
        <f t="shared" si="23"/>
        <v>0</v>
      </c>
      <c r="I1190" s="129"/>
      <c r="J1190" s="129"/>
      <c r="K1190" s="129"/>
      <c r="L1190" s="129"/>
      <c r="M1190" s="129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</row>
    <row r="1191" spans="1:39" ht="15.75" hidden="1" x14ac:dyDescent="0.25">
      <c r="A1191" s="127">
        <v>1190</v>
      </c>
      <c r="B1191" s="130"/>
      <c r="C1191" s="130"/>
      <c r="D1191" s="130"/>
      <c r="E1191" s="130"/>
      <c r="F1191" s="130"/>
      <c r="G1191" s="130"/>
      <c r="H1191" s="128">
        <f t="shared" si="23"/>
        <v>0</v>
      </c>
      <c r="I1191" s="129"/>
      <c r="J1191" s="129"/>
      <c r="K1191" s="129"/>
      <c r="L1191" s="129"/>
      <c r="M1191" s="129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</row>
    <row r="1192" spans="1:39" ht="15.75" hidden="1" x14ac:dyDescent="0.25">
      <c r="A1192" s="127">
        <v>1191</v>
      </c>
      <c r="B1192" s="130"/>
      <c r="C1192" s="130"/>
      <c r="D1192" s="130"/>
      <c r="E1192" s="130"/>
      <c r="F1192" s="130"/>
      <c r="G1192" s="130"/>
      <c r="H1192" s="128">
        <f t="shared" si="23"/>
        <v>0</v>
      </c>
      <c r="I1192" s="129"/>
      <c r="J1192" s="129"/>
      <c r="K1192" s="129"/>
      <c r="L1192" s="129"/>
      <c r="M1192" s="129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</row>
    <row r="1193" spans="1:39" ht="15.75" hidden="1" x14ac:dyDescent="0.25">
      <c r="A1193" s="127">
        <v>1192</v>
      </c>
      <c r="B1193" s="59"/>
      <c r="C1193" s="130"/>
      <c r="D1193" s="130"/>
      <c r="E1193" s="130"/>
      <c r="F1193" s="130"/>
      <c r="G1193" s="130"/>
      <c r="H1193" s="128">
        <f t="shared" si="23"/>
        <v>0</v>
      </c>
      <c r="I1193" s="129"/>
      <c r="J1193" s="129"/>
      <c r="K1193" s="129"/>
      <c r="L1193" s="129"/>
      <c r="M1193" s="129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</row>
    <row r="1194" spans="1:39" ht="15.75" hidden="1" x14ac:dyDescent="0.25">
      <c r="A1194" s="127">
        <v>1193</v>
      </c>
      <c r="B1194" s="59"/>
      <c r="C1194" s="130"/>
      <c r="D1194" s="130"/>
      <c r="E1194" s="130"/>
      <c r="F1194" s="130"/>
      <c r="G1194" s="130"/>
      <c r="H1194" s="128">
        <f t="shared" si="23"/>
        <v>0</v>
      </c>
      <c r="I1194" s="129"/>
      <c r="J1194" s="129"/>
      <c r="K1194" s="129"/>
      <c r="L1194" s="129"/>
      <c r="M1194" s="129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</row>
    <row r="1195" spans="1:39" ht="15.75" hidden="1" x14ac:dyDescent="0.25">
      <c r="A1195" s="127">
        <v>1194</v>
      </c>
      <c r="B1195" s="59"/>
      <c r="C1195" s="130"/>
      <c r="D1195" s="130"/>
      <c r="E1195" s="130"/>
      <c r="F1195" s="130"/>
      <c r="G1195" s="130"/>
      <c r="H1195" s="128">
        <f t="shared" si="23"/>
        <v>0</v>
      </c>
      <c r="I1195" s="129"/>
      <c r="J1195" s="129"/>
      <c r="K1195" s="129"/>
      <c r="L1195" s="129"/>
      <c r="M1195" s="129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</row>
    <row r="1196" spans="1:39" ht="15.75" hidden="1" x14ac:dyDescent="0.25">
      <c r="A1196" s="127">
        <v>1195</v>
      </c>
      <c r="B1196" s="59"/>
      <c r="C1196" s="130"/>
      <c r="D1196" s="130"/>
      <c r="E1196" s="130"/>
      <c r="F1196" s="130"/>
      <c r="G1196" s="130"/>
      <c r="H1196" s="128">
        <f t="shared" si="23"/>
        <v>0</v>
      </c>
      <c r="I1196" s="129"/>
      <c r="J1196" s="129"/>
      <c r="K1196" s="129"/>
      <c r="L1196" s="129"/>
      <c r="M1196" s="129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</row>
    <row r="1197" spans="1:39" ht="15.75" hidden="1" x14ac:dyDescent="0.25">
      <c r="A1197" s="127">
        <v>1196</v>
      </c>
      <c r="B1197" s="59"/>
      <c r="C1197" s="130"/>
      <c r="D1197" s="130"/>
      <c r="E1197" s="130"/>
      <c r="F1197" s="130"/>
      <c r="G1197" s="130"/>
      <c r="H1197" s="128">
        <f t="shared" si="23"/>
        <v>0</v>
      </c>
      <c r="I1197" s="129"/>
      <c r="J1197" s="129"/>
      <c r="K1197" s="129"/>
      <c r="L1197" s="129"/>
      <c r="M1197" s="129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</row>
    <row r="1198" spans="1:39" ht="15.75" hidden="1" x14ac:dyDescent="0.25">
      <c r="A1198" s="127">
        <v>1197</v>
      </c>
      <c r="B1198" s="59"/>
      <c r="C1198" s="130"/>
      <c r="D1198" s="130"/>
      <c r="E1198" s="130"/>
      <c r="F1198" s="130"/>
      <c r="G1198" s="130"/>
      <c r="H1198" s="128">
        <f t="shared" si="23"/>
        <v>0</v>
      </c>
      <c r="I1198" s="129"/>
      <c r="J1198" s="129"/>
      <c r="K1198" s="129"/>
      <c r="L1198" s="129"/>
      <c r="M1198" s="129"/>
      <c r="N1198" s="129"/>
      <c r="O1198" s="129"/>
      <c r="P1198" s="129"/>
      <c r="Q1198" s="129"/>
      <c r="R1198" s="129"/>
      <c r="S1198" s="129"/>
      <c r="T1198" s="129"/>
      <c r="U1198" s="129"/>
      <c r="V1198" s="129"/>
      <c r="W1198" s="129"/>
      <c r="X1198" s="129"/>
      <c r="Y1198" s="129"/>
      <c r="Z1198" s="129"/>
      <c r="AA1198" s="129"/>
      <c r="AB1198" s="129"/>
      <c r="AC1198" s="129"/>
      <c r="AD1198" s="129"/>
      <c r="AE1198" s="129"/>
      <c r="AF1198" s="129"/>
      <c r="AG1198" s="129"/>
      <c r="AH1198" s="129"/>
      <c r="AI1198" s="129"/>
      <c r="AJ1198" s="129"/>
      <c r="AK1198" s="129"/>
      <c r="AL1198" s="129"/>
      <c r="AM1198" s="129"/>
    </row>
    <row r="1199" spans="1:39" ht="15.75" hidden="1" x14ac:dyDescent="0.25">
      <c r="A1199" s="127">
        <v>1198</v>
      </c>
      <c r="B1199" s="59"/>
      <c r="C1199" s="130"/>
      <c r="D1199" s="130"/>
      <c r="E1199" s="130"/>
      <c r="F1199" s="130"/>
      <c r="G1199" s="130"/>
      <c r="H1199" s="128">
        <f t="shared" si="23"/>
        <v>0</v>
      </c>
      <c r="I1199" s="129"/>
      <c r="J1199" s="129"/>
      <c r="K1199" s="129"/>
      <c r="L1199" s="129"/>
      <c r="M1199" s="129"/>
      <c r="N1199" s="129"/>
      <c r="O1199" s="129"/>
      <c r="P1199" s="129"/>
      <c r="Q1199" s="129"/>
      <c r="R1199" s="129"/>
      <c r="S1199" s="129"/>
      <c r="T1199" s="129"/>
      <c r="U1199" s="129"/>
      <c r="V1199" s="129"/>
      <c r="W1199" s="129"/>
      <c r="X1199" s="129"/>
      <c r="Y1199" s="129"/>
      <c r="Z1199" s="129"/>
      <c r="AA1199" s="129"/>
      <c r="AB1199" s="129"/>
      <c r="AC1199" s="129"/>
      <c r="AD1199" s="129"/>
      <c r="AE1199" s="129"/>
      <c r="AF1199" s="129"/>
      <c r="AG1199" s="129"/>
      <c r="AH1199" s="129"/>
      <c r="AI1199" s="129"/>
      <c r="AJ1199" s="129"/>
      <c r="AK1199" s="129"/>
      <c r="AL1199" s="129"/>
      <c r="AM1199" s="129"/>
    </row>
    <row r="1200" spans="1:39" ht="15.75" hidden="1" x14ac:dyDescent="0.25">
      <c r="A1200" s="127">
        <v>1199</v>
      </c>
      <c r="B1200" s="59"/>
      <c r="C1200" s="130"/>
      <c r="D1200" s="130"/>
      <c r="E1200" s="130"/>
      <c r="F1200" s="130"/>
      <c r="G1200" s="130"/>
      <c r="H1200" s="128">
        <f t="shared" si="23"/>
        <v>0</v>
      </c>
      <c r="I1200" s="129"/>
      <c r="J1200" s="129"/>
      <c r="K1200" s="129"/>
      <c r="L1200" s="129"/>
      <c r="M1200" s="129"/>
      <c r="N1200" s="129"/>
      <c r="O1200" s="129"/>
      <c r="P1200" s="129"/>
      <c r="Q1200" s="129"/>
      <c r="R1200" s="129"/>
      <c r="S1200" s="129"/>
      <c r="T1200" s="129"/>
      <c r="U1200" s="129"/>
      <c r="V1200" s="129"/>
      <c r="W1200" s="129"/>
      <c r="X1200" s="129"/>
      <c r="Y1200" s="129"/>
      <c r="Z1200" s="129"/>
      <c r="AA1200" s="129"/>
      <c r="AB1200" s="129"/>
      <c r="AC1200" s="129"/>
      <c r="AD1200" s="129"/>
      <c r="AE1200" s="129"/>
      <c r="AF1200" s="129"/>
      <c r="AG1200" s="129"/>
      <c r="AH1200" s="129"/>
      <c r="AI1200" s="129"/>
      <c r="AJ1200" s="129"/>
      <c r="AK1200" s="129"/>
      <c r="AL1200" s="129"/>
      <c r="AM1200" s="129"/>
    </row>
    <row r="1201" spans="1:39" ht="15.75" hidden="1" x14ac:dyDescent="0.25">
      <c r="A1201" s="127">
        <v>1200</v>
      </c>
      <c r="B1201" s="59"/>
      <c r="C1201" s="130"/>
      <c r="D1201" s="130"/>
      <c r="E1201" s="130"/>
      <c r="F1201" s="130"/>
      <c r="G1201" s="130"/>
      <c r="H1201" s="128">
        <f t="shared" si="23"/>
        <v>0</v>
      </c>
      <c r="I1201" s="129"/>
      <c r="J1201" s="129"/>
      <c r="K1201" s="129"/>
      <c r="L1201" s="129"/>
      <c r="M1201" s="129"/>
      <c r="N1201" s="129"/>
      <c r="O1201" s="129"/>
      <c r="P1201" s="129"/>
      <c r="Q1201" s="129"/>
      <c r="R1201" s="129"/>
      <c r="S1201" s="129"/>
      <c r="T1201" s="129"/>
      <c r="U1201" s="129"/>
      <c r="V1201" s="129"/>
      <c r="W1201" s="129"/>
      <c r="X1201" s="129"/>
      <c r="Y1201" s="129"/>
      <c r="Z1201" s="129"/>
      <c r="AA1201" s="129"/>
      <c r="AB1201" s="129"/>
      <c r="AC1201" s="129"/>
      <c r="AD1201" s="129"/>
      <c r="AE1201" s="129"/>
      <c r="AF1201" s="129"/>
      <c r="AG1201" s="129"/>
      <c r="AH1201" s="129"/>
      <c r="AI1201" s="129"/>
      <c r="AJ1201" s="129"/>
      <c r="AK1201" s="129"/>
      <c r="AL1201" s="129"/>
      <c r="AM1201" s="129"/>
    </row>
    <row r="1202" spans="1:39" ht="15.75" hidden="1" x14ac:dyDescent="0.25">
      <c r="A1202" s="127">
        <v>1201</v>
      </c>
      <c r="B1202" s="59"/>
      <c r="C1202" s="130"/>
      <c r="D1202" s="130"/>
      <c r="E1202" s="130"/>
      <c r="F1202" s="130"/>
      <c r="G1202" s="130"/>
      <c r="H1202" s="128">
        <f t="shared" si="23"/>
        <v>0</v>
      </c>
      <c r="I1202" s="129"/>
      <c r="J1202" s="129"/>
      <c r="K1202" s="129"/>
      <c r="L1202" s="129"/>
      <c r="M1202" s="129"/>
      <c r="N1202" s="129"/>
      <c r="O1202" s="129"/>
      <c r="P1202" s="129"/>
      <c r="Q1202" s="129"/>
      <c r="R1202" s="129"/>
      <c r="S1202" s="129"/>
      <c r="T1202" s="129"/>
      <c r="U1202" s="129"/>
      <c r="V1202" s="129"/>
      <c r="W1202" s="129"/>
      <c r="X1202" s="129"/>
      <c r="Y1202" s="129"/>
      <c r="Z1202" s="129"/>
      <c r="AA1202" s="129"/>
      <c r="AB1202" s="129"/>
      <c r="AC1202" s="129"/>
      <c r="AD1202" s="129"/>
      <c r="AE1202" s="129"/>
      <c r="AF1202" s="129"/>
      <c r="AG1202" s="129"/>
      <c r="AH1202" s="129"/>
      <c r="AI1202" s="129"/>
      <c r="AJ1202" s="129"/>
      <c r="AK1202" s="129"/>
      <c r="AL1202" s="129"/>
      <c r="AM1202" s="129"/>
    </row>
    <row r="1203" spans="1:39" ht="15.75" hidden="1" x14ac:dyDescent="0.25">
      <c r="A1203" s="127">
        <v>1202</v>
      </c>
      <c r="B1203" s="59"/>
      <c r="C1203" s="130"/>
      <c r="D1203" s="130"/>
      <c r="E1203" s="130"/>
      <c r="F1203" s="130"/>
      <c r="G1203" s="130"/>
      <c r="H1203" s="128">
        <f t="shared" si="23"/>
        <v>0</v>
      </c>
      <c r="I1203" s="129"/>
      <c r="J1203" s="129"/>
      <c r="K1203" s="129"/>
      <c r="L1203" s="129"/>
      <c r="M1203" s="129"/>
      <c r="N1203" s="129"/>
      <c r="O1203" s="129"/>
      <c r="P1203" s="129"/>
      <c r="Q1203" s="129"/>
      <c r="R1203" s="129"/>
      <c r="S1203" s="129"/>
      <c r="T1203" s="129"/>
      <c r="U1203" s="129"/>
      <c r="V1203" s="129"/>
      <c r="W1203" s="129"/>
      <c r="X1203" s="129"/>
      <c r="Y1203" s="129"/>
      <c r="Z1203" s="129"/>
      <c r="AA1203" s="129"/>
      <c r="AB1203" s="129"/>
      <c r="AC1203" s="129"/>
      <c r="AD1203" s="129"/>
      <c r="AE1203" s="129"/>
      <c r="AF1203" s="129"/>
      <c r="AG1203" s="129"/>
      <c r="AH1203" s="129"/>
      <c r="AI1203" s="129"/>
      <c r="AJ1203" s="129"/>
      <c r="AK1203" s="129"/>
      <c r="AL1203" s="129"/>
      <c r="AM1203" s="129"/>
    </row>
    <row r="1204" spans="1:39" ht="15.75" hidden="1" x14ac:dyDescent="0.25">
      <c r="A1204" s="127">
        <v>1203</v>
      </c>
      <c r="B1204" s="59"/>
      <c r="C1204" s="130"/>
      <c r="D1204" s="130"/>
      <c r="E1204" s="130"/>
      <c r="F1204" s="130"/>
      <c r="G1204" s="130"/>
      <c r="H1204" s="128">
        <f t="shared" si="23"/>
        <v>0</v>
      </c>
      <c r="I1204" s="129"/>
      <c r="J1204" s="129"/>
      <c r="K1204" s="129"/>
      <c r="L1204" s="129"/>
      <c r="M1204" s="129"/>
      <c r="N1204" s="129"/>
      <c r="O1204" s="129"/>
      <c r="P1204" s="129"/>
      <c r="Q1204" s="129"/>
      <c r="R1204" s="129"/>
      <c r="S1204" s="129"/>
      <c r="T1204" s="129"/>
      <c r="U1204" s="129"/>
      <c r="V1204" s="129"/>
      <c r="W1204" s="129"/>
      <c r="X1204" s="129"/>
      <c r="Y1204" s="129"/>
      <c r="Z1204" s="129"/>
      <c r="AA1204" s="129"/>
      <c r="AB1204" s="129"/>
      <c r="AC1204" s="129"/>
      <c r="AD1204" s="129"/>
      <c r="AE1204" s="129"/>
      <c r="AF1204" s="129"/>
      <c r="AG1204" s="129"/>
      <c r="AH1204" s="129"/>
      <c r="AI1204" s="129"/>
      <c r="AJ1204" s="129"/>
      <c r="AK1204" s="129"/>
      <c r="AL1204" s="129"/>
      <c r="AM1204" s="129"/>
    </row>
    <row r="1205" spans="1:39" ht="15.75" hidden="1" x14ac:dyDescent="0.25">
      <c r="A1205" s="127">
        <v>1204</v>
      </c>
      <c r="B1205" s="59"/>
      <c r="C1205" s="130"/>
      <c r="D1205" s="130"/>
      <c r="E1205" s="130"/>
      <c r="F1205" s="130"/>
      <c r="G1205" s="130"/>
      <c r="H1205" s="128">
        <f t="shared" si="23"/>
        <v>0</v>
      </c>
      <c r="I1205" s="129"/>
      <c r="J1205" s="129"/>
      <c r="K1205" s="129"/>
      <c r="L1205" s="129"/>
      <c r="M1205" s="129"/>
      <c r="N1205" s="129"/>
      <c r="O1205" s="129"/>
      <c r="P1205" s="129"/>
      <c r="Q1205" s="129"/>
      <c r="R1205" s="129"/>
      <c r="S1205" s="129"/>
      <c r="T1205" s="129"/>
      <c r="U1205" s="129"/>
      <c r="V1205" s="129"/>
      <c r="W1205" s="129"/>
      <c r="X1205" s="129"/>
      <c r="Y1205" s="129"/>
      <c r="Z1205" s="129"/>
      <c r="AA1205" s="129"/>
      <c r="AB1205" s="129"/>
      <c r="AC1205" s="129"/>
      <c r="AD1205" s="129"/>
      <c r="AE1205" s="129"/>
      <c r="AF1205" s="129"/>
      <c r="AG1205" s="129"/>
      <c r="AH1205" s="129"/>
      <c r="AI1205" s="129"/>
      <c r="AJ1205" s="129"/>
      <c r="AK1205" s="129"/>
      <c r="AL1205" s="129"/>
      <c r="AM1205" s="129"/>
    </row>
    <row r="1206" spans="1:39" ht="15.75" hidden="1" x14ac:dyDescent="0.25">
      <c r="A1206" s="127">
        <v>1205</v>
      </c>
      <c r="B1206" s="59"/>
      <c r="C1206" s="130"/>
      <c r="D1206" s="130"/>
      <c r="E1206" s="130"/>
      <c r="F1206" s="130"/>
      <c r="G1206" s="130"/>
      <c r="H1206" s="128">
        <f t="shared" si="23"/>
        <v>0</v>
      </c>
      <c r="I1206" s="129"/>
      <c r="J1206" s="129"/>
      <c r="K1206" s="129"/>
      <c r="L1206" s="129"/>
      <c r="M1206" s="129"/>
      <c r="N1206" s="129"/>
      <c r="O1206" s="129"/>
      <c r="P1206" s="129"/>
      <c r="Q1206" s="129"/>
      <c r="R1206" s="129"/>
      <c r="S1206" s="129"/>
      <c r="T1206" s="129"/>
      <c r="U1206" s="129"/>
      <c r="V1206" s="129"/>
      <c r="W1206" s="129"/>
      <c r="X1206" s="129"/>
      <c r="Y1206" s="129"/>
      <c r="Z1206" s="129"/>
      <c r="AA1206" s="129"/>
      <c r="AB1206" s="129"/>
      <c r="AC1206" s="129"/>
      <c r="AD1206" s="129"/>
      <c r="AE1206" s="129"/>
      <c r="AF1206" s="129"/>
      <c r="AG1206" s="129"/>
      <c r="AH1206" s="129"/>
      <c r="AI1206" s="129"/>
      <c r="AJ1206" s="129"/>
      <c r="AK1206" s="129"/>
      <c r="AL1206" s="129"/>
      <c r="AM1206" s="129"/>
    </row>
    <row r="1207" spans="1:39" ht="15.75" hidden="1" x14ac:dyDescent="0.25">
      <c r="A1207" s="127">
        <v>1206</v>
      </c>
      <c r="B1207" s="59"/>
      <c r="C1207" s="130"/>
      <c r="D1207" s="130"/>
      <c r="E1207" s="130"/>
      <c r="F1207" s="130"/>
      <c r="G1207" s="130"/>
      <c r="H1207" s="128">
        <f t="shared" si="23"/>
        <v>0</v>
      </c>
      <c r="I1207" s="129"/>
      <c r="J1207" s="129"/>
      <c r="K1207" s="129"/>
      <c r="L1207" s="129"/>
      <c r="M1207" s="129"/>
      <c r="N1207" s="129"/>
      <c r="O1207" s="129"/>
      <c r="P1207" s="129"/>
      <c r="Q1207" s="129"/>
      <c r="R1207" s="129"/>
      <c r="S1207" s="129"/>
      <c r="T1207" s="129"/>
      <c r="U1207" s="129"/>
      <c r="V1207" s="129"/>
      <c r="W1207" s="129"/>
      <c r="X1207" s="129"/>
      <c r="Y1207" s="129"/>
      <c r="Z1207" s="129"/>
      <c r="AA1207" s="129"/>
      <c r="AB1207" s="129"/>
      <c r="AC1207" s="129"/>
      <c r="AD1207" s="129"/>
      <c r="AE1207" s="129"/>
      <c r="AF1207" s="129"/>
      <c r="AG1207" s="129"/>
      <c r="AH1207" s="129"/>
      <c r="AI1207" s="129"/>
      <c r="AJ1207" s="129"/>
      <c r="AK1207" s="129"/>
      <c r="AL1207" s="129"/>
      <c r="AM1207" s="129"/>
    </row>
    <row r="1208" spans="1:39" ht="15.75" hidden="1" x14ac:dyDescent="0.25">
      <c r="A1208" s="127">
        <v>1207</v>
      </c>
      <c r="B1208" s="59"/>
      <c r="C1208" s="130"/>
      <c r="D1208" s="130"/>
      <c r="E1208" s="130"/>
      <c r="F1208" s="130"/>
      <c r="G1208" s="130"/>
      <c r="H1208" s="128">
        <f t="shared" si="23"/>
        <v>0</v>
      </c>
      <c r="I1208" s="129"/>
      <c r="J1208" s="129"/>
      <c r="K1208" s="129"/>
      <c r="L1208" s="129"/>
      <c r="M1208" s="129"/>
      <c r="N1208" s="129"/>
      <c r="O1208" s="129"/>
      <c r="P1208" s="129"/>
      <c r="Q1208" s="129"/>
      <c r="R1208" s="129"/>
      <c r="S1208" s="129"/>
      <c r="T1208" s="129"/>
      <c r="U1208" s="129"/>
      <c r="V1208" s="129"/>
      <c r="W1208" s="129"/>
      <c r="X1208" s="129"/>
      <c r="Y1208" s="129"/>
      <c r="Z1208" s="129"/>
      <c r="AA1208" s="129"/>
      <c r="AB1208" s="129"/>
      <c r="AC1208" s="129"/>
      <c r="AD1208" s="129"/>
      <c r="AE1208" s="129"/>
      <c r="AF1208" s="129"/>
      <c r="AG1208" s="129"/>
      <c r="AH1208" s="129"/>
      <c r="AI1208" s="129"/>
      <c r="AJ1208" s="129"/>
      <c r="AK1208" s="129"/>
      <c r="AL1208" s="129"/>
      <c r="AM1208" s="129"/>
    </row>
    <row r="1209" spans="1:39" ht="15.75" hidden="1" x14ac:dyDescent="0.25">
      <c r="A1209" s="127">
        <v>1208</v>
      </c>
      <c r="B1209" s="59"/>
      <c r="C1209" s="130"/>
      <c r="D1209" s="130"/>
      <c r="E1209" s="130"/>
      <c r="F1209" s="130"/>
      <c r="G1209" s="130"/>
      <c r="H1209" s="128">
        <f t="shared" si="23"/>
        <v>0</v>
      </c>
      <c r="I1209" s="129"/>
      <c r="J1209" s="129"/>
      <c r="K1209" s="129"/>
      <c r="L1209" s="129"/>
      <c r="M1209" s="129"/>
      <c r="N1209" s="129"/>
      <c r="O1209" s="129"/>
      <c r="P1209" s="129"/>
      <c r="Q1209" s="129"/>
      <c r="R1209" s="129"/>
      <c r="S1209" s="129"/>
      <c r="T1209" s="129"/>
      <c r="U1209" s="129"/>
      <c r="V1209" s="129"/>
      <c r="W1209" s="129"/>
      <c r="X1209" s="129"/>
      <c r="Y1209" s="129"/>
      <c r="Z1209" s="129"/>
      <c r="AA1209" s="129"/>
      <c r="AB1209" s="129"/>
      <c r="AC1209" s="129"/>
      <c r="AD1209" s="129"/>
      <c r="AE1209" s="129"/>
      <c r="AF1209" s="129"/>
      <c r="AG1209" s="129"/>
      <c r="AH1209" s="129"/>
      <c r="AI1209" s="129"/>
      <c r="AJ1209" s="129"/>
      <c r="AK1209" s="129"/>
      <c r="AL1209" s="129"/>
      <c r="AM1209" s="129"/>
    </row>
    <row r="1210" spans="1:39" ht="15.75" hidden="1" x14ac:dyDescent="0.25">
      <c r="A1210" s="127">
        <v>1209</v>
      </c>
      <c r="B1210" s="59"/>
      <c r="C1210" s="130"/>
      <c r="D1210" s="130"/>
      <c r="E1210" s="130"/>
      <c r="F1210" s="130"/>
      <c r="G1210" s="130"/>
      <c r="H1210" s="128">
        <f t="shared" si="23"/>
        <v>0</v>
      </c>
      <c r="I1210" s="129"/>
      <c r="J1210" s="129"/>
      <c r="K1210" s="129"/>
      <c r="L1210" s="129"/>
      <c r="M1210" s="129"/>
      <c r="N1210" s="129"/>
      <c r="O1210" s="129"/>
      <c r="P1210" s="129"/>
      <c r="Q1210" s="129"/>
      <c r="R1210" s="129"/>
      <c r="S1210" s="129"/>
      <c r="T1210" s="129"/>
      <c r="U1210" s="129"/>
      <c r="V1210" s="129"/>
      <c r="W1210" s="129"/>
      <c r="X1210" s="129"/>
      <c r="Y1210" s="129"/>
      <c r="Z1210" s="129"/>
      <c r="AA1210" s="129"/>
      <c r="AB1210" s="129"/>
      <c r="AC1210" s="129"/>
      <c r="AD1210" s="129"/>
      <c r="AE1210" s="129"/>
      <c r="AF1210" s="129"/>
      <c r="AG1210" s="129"/>
      <c r="AH1210" s="129"/>
      <c r="AI1210" s="129"/>
      <c r="AJ1210" s="129"/>
      <c r="AK1210" s="129"/>
      <c r="AL1210" s="129"/>
      <c r="AM1210" s="129"/>
    </row>
    <row r="1211" spans="1:39" ht="15.75" hidden="1" x14ac:dyDescent="0.25">
      <c r="A1211" s="127">
        <v>1210</v>
      </c>
      <c r="B1211" s="59"/>
      <c r="C1211" s="130"/>
      <c r="D1211" s="130"/>
      <c r="E1211" s="130"/>
      <c r="F1211" s="130"/>
      <c r="G1211" s="130"/>
      <c r="H1211" s="128">
        <f t="shared" si="23"/>
        <v>0</v>
      </c>
      <c r="I1211" s="129"/>
      <c r="J1211" s="129"/>
      <c r="K1211" s="129"/>
      <c r="L1211" s="129"/>
      <c r="M1211" s="129"/>
      <c r="N1211" s="129"/>
      <c r="O1211" s="129"/>
      <c r="P1211" s="129"/>
      <c r="Q1211" s="129"/>
      <c r="R1211" s="129"/>
      <c r="S1211" s="129"/>
      <c r="T1211" s="129"/>
      <c r="U1211" s="129"/>
      <c r="V1211" s="129"/>
      <c r="W1211" s="129"/>
      <c r="X1211" s="129"/>
      <c r="Y1211" s="129"/>
      <c r="Z1211" s="129"/>
      <c r="AA1211" s="129"/>
      <c r="AB1211" s="129"/>
      <c r="AC1211" s="129"/>
      <c r="AD1211" s="129"/>
      <c r="AE1211" s="129"/>
      <c r="AF1211" s="129"/>
      <c r="AG1211" s="129"/>
      <c r="AH1211" s="129"/>
      <c r="AI1211" s="129"/>
      <c r="AJ1211" s="129"/>
      <c r="AK1211" s="129"/>
      <c r="AL1211" s="129"/>
      <c r="AM1211" s="129"/>
    </row>
    <row r="1212" spans="1:39" ht="15.75" hidden="1" x14ac:dyDescent="0.25">
      <c r="A1212" s="127">
        <v>1211</v>
      </c>
      <c r="B1212" s="59"/>
      <c r="C1212" s="130"/>
      <c r="D1212" s="130"/>
      <c r="E1212" s="130"/>
      <c r="F1212" s="130"/>
      <c r="G1212" s="130"/>
      <c r="H1212" s="128">
        <f t="shared" si="23"/>
        <v>0</v>
      </c>
      <c r="I1212" s="129"/>
      <c r="J1212" s="129"/>
      <c r="K1212" s="129"/>
      <c r="L1212" s="129"/>
      <c r="M1212" s="129"/>
      <c r="N1212" s="129"/>
      <c r="O1212" s="129"/>
      <c r="P1212" s="129"/>
      <c r="Q1212" s="129"/>
      <c r="R1212" s="129"/>
      <c r="S1212" s="129"/>
      <c r="T1212" s="129"/>
      <c r="U1212" s="129"/>
      <c r="V1212" s="129"/>
      <c r="W1212" s="129"/>
      <c r="X1212" s="129"/>
      <c r="Y1212" s="129"/>
      <c r="Z1212" s="129"/>
      <c r="AA1212" s="129"/>
      <c r="AB1212" s="129"/>
      <c r="AC1212" s="129"/>
      <c r="AD1212" s="129"/>
      <c r="AE1212" s="129"/>
      <c r="AF1212" s="129"/>
      <c r="AG1212" s="129"/>
      <c r="AH1212" s="129"/>
      <c r="AI1212" s="129"/>
      <c r="AJ1212" s="129"/>
      <c r="AK1212" s="129"/>
      <c r="AL1212" s="129"/>
      <c r="AM1212" s="129"/>
    </row>
    <row r="1213" spans="1:39" ht="15.75" hidden="1" x14ac:dyDescent="0.25">
      <c r="A1213" s="127">
        <v>1212</v>
      </c>
      <c r="B1213" s="59"/>
      <c r="C1213" s="130"/>
      <c r="D1213" s="130"/>
      <c r="E1213" s="130"/>
      <c r="F1213" s="130"/>
      <c r="G1213" s="130"/>
      <c r="H1213" s="128">
        <f t="shared" si="23"/>
        <v>0</v>
      </c>
      <c r="I1213" s="129"/>
      <c r="J1213" s="129"/>
      <c r="K1213" s="129"/>
      <c r="L1213" s="129"/>
      <c r="M1213" s="129"/>
      <c r="N1213" s="129"/>
      <c r="O1213" s="129"/>
      <c r="P1213" s="129"/>
      <c r="Q1213" s="129"/>
      <c r="R1213" s="129"/>
      <c r="S1213" s="129"/>
      <c r="T1213" s="129"/>
      <c r="U1213" s="129"/>
      <c r="V1213" s="129"/>
      <c r="W1213" s="129"/>
      <c r="X1213" s="129"/>
      <c r="Y1213" s="129"/>
      <c r="Z1213" s="129"/>
      <c r="AA1213" s="129"/>
      <c r="AB1213" s="129"/>
      <c r="AC1213" s="129"/>
      <c r="AD1213" s="129"/>
      <c r="AE1213" s="129"/>
      <c r="AF1213" s="129"/>
      <c r="AG1213" s="129"/>
      <c r="AH1213" s="129"/>
      <c r="AI1213" s="129"/>
      <c r="AJ1213" s="129"/>
      <c r="AK1213" s="129"/>
      <c r="AL1213" s="129"/>
      <c r="AM1213" s="129"/>
    </row>
    <row r="1214" spans="1:39" ht="15.75" hidden="1" x14ac:dyDescent="0.25">
      <c r="A1214" s="127">
        <v>1213</v>
      </c>
      <c r="B1214" s="59"/>
      <c r="C1214" s="130"/>
      <c r="D1214" s="130"/>
      <c r="E1214" s="130"/>
      <c r="F1214" s="130"/>
      <c r="G1214" s="130"/>
      <c r="H1214" s="128">
        <f t="shared" si="23"/>
        <v>0</v>
      </c>
      <c r="I1214" s="129"/>
      <c r="J1214" s="129"/>
      <c r="K1214" s="129"/>
      <c r="L1214" s="129"/>
      <c r="M1214" s="129"/>
      <c r="N1214" s="129"/>
      <c r="O1214" s="129"/>
      <c r="P1214" s="129"/>
      <c r="Q1214" s="129"/>
      <c r="R1214" s="129"/>
      <c r="S1214" s="129"/>
      <c r="T1214" s="129"/>
      <c r="U1214" s="129"/>
      <c r="V1214" s="129"/>
      <c r="W1214" s="129"/>
      <c r="X1214" s="129"/>
      <c r="Y1214" s="129"/>
      <c r="Z1214" s="129"/>
      <c r="AA1214" s="129"/>
      <c r="AB1214" s="129"/>
      <c r="AC1214" s="129"/>
      <c r="AD1214" s="129"/>
      <c r="AE1214" s="129"/>
      <c r="AF1214" s="129"/>
      <c r="AG1214" s="129"/>
      <c r="AH1214" s="129"/>
      <c r="AI1214" s="129"/>
      <c r="AJ1214" s="129"/>
      <c r="AK1214" s="129"/>
      <c r="AL1214" s="129"/>
      <c r="AM1214" s="129"/>
    </row>
    <row r="1215" spans="1:39" ht="15.75" hidden="1" x14ac:dyDescent="0.25">
      <c r="A1215" s="127">
        <v>1214</v>
      </c>
      <c r="B1215" s="59"/>
      <c r="C1215" s="130"/>
      <c r="D1215" s="130"/>
      <c r="E1215" s="130"/>
      <c r="F1215" s="130"/>
      <c r="G1215" s="130"/>
      <c r="H1215" s="128">
        <f t="shared" si="23"/>
        <v>0</v>
      </c>
      <c r="I1215" s="129"/>
      <c r="J1215" s="129"/>
      <c r="K1215" s="129"/>
      <c r="L1215" s="129"/>
      <c r="M1215" s="129"/>
      <c r="N1215" s="129"/>
      <c r="O1215" s="129"/>
      <c r="P1215" s="129"/>
      <c r="Q1215" s="129"/>
      <c r="R1215" s="129"/>
      <c r="S1215" s="129"/>
      <c r="T1215" s="129"/>
      <c r="U1215" s="129"/>
      <c r="V1215" s="129"/>
      <c r="W1215" s="129"/>
      <c r="X1215" s="129"/>
      <c r="Y1215" s="129"/>
      <c r="Z1215" s="129"/>
      <c r="AA1215" s="129"/>
      <c r="AB1215" s="129"/>
      <c r="AC1215" s="129"/>
      <c r="AD1215" s="129"/>
      <c r="AE1215" s="129"/>
      <c r="AF1215" s="129"/>
      <c r="AG1215" s="129"/>
      <c r="AH1215" s="129"/>
      <c r="AI1215" s="129"/>
      <c r="AJ1215" s="129"/>
      <c r="AK1215" s="129"/>
      <c r="AL1215" s="129"/>
      <c r="AM1215" s="129"/>
    </row>
    <row r="1216" spans="1:39" ht="15.75" hidden="1" x14ac:dyDescent="0.25">
      <c r="A1216" s="127">
        <v>1215</v>
      </c>
      <c r="B1216" s="59"/>
      <c r="C1216" s="130"/>
      <c r="D1216" s="130"/>
      <c r="E1216" s="130"/>
      <c r="F1216" s="130"/>
      <c r="G1216" s="130"/>
      <c r="H1216" s="128">
        <f t="shared" si="23"/>
        <v>0</v>
      </c>
      <c r="I1216" s="129"/>
      <c r="J1216" s="129"/>
      <c r="K1216" s="129"/>
      <c r="L1216" s="129"/>
      <c r="M1216" s="129"/>
      <c r="N1216" s="129"/>
      <c r="O1216" s="129"/>
      <c r="P1216" s="129"/>
      <c r="Q1216" s="129"/>
      <c r="R1216" s="129"/>
      <c r="S1216" s="129"/>
      <c r="T1216" s="129"/>
      <c r="U1216" s="129"/>
      <c r="V1216" s="129"/>
      <c r="W1216" s="129"/>
      <c r="X1216" s="129"/>
      <c r="Y1216" s="129"/>
      <c r="Z1216" s="129"/>
      <c r="AA1216" s="129"/>
      <c r="AB1216" s="129"/>
      <c r="AC1216" s="129"/>
      <c r="AD1216" s="129"/>
      <c r="AE1216" s="129"/>
      <c r="AF1216" s="129"/>
      <c r="AG1216" s="129"/>
      <c r="AH1216" s="129"/>
      <c r="AI1216" s="129"/>
      <c r="AJ1216" s="129"/>
      <c r="AK1216" s="129"/>
      <c r="AL1216" s="129"/>
      <c r="AM1216" s="129"/>
    </row>
    <row r="1217" spans="1:39" ht="15.75" hidden="1" x14ac:dyDescent="0.25">
      <c r="A1217" s="127">
        <v>1216</v>
      </c>
      <c r="B1217" s="59"/>
      <c r="C1217" s="130"/>
      <c r="D1217" s="130"/>
      <c r="E1217" s="130"/>
      <c r="F1217" s="130"/>
      <c r="G1217" s="130"/>
      <c r="H1217" s="128">
        <f t="shared" si="23"/>
        <v>0</v>
      </c>
      <c r="I1217" s="129"/>
      <c r="J1217" s="129"/>
      <c r="K1217" s="129"/>
      <c r="L1217" s="129"/>
      <c r="M1217" s="129"/>
      <c r="N1217" s="129"/>
      <c r="O1217" s="129"/>
      <c r="P1217" s="129"/>
      <c r="Q1217" s="129"/>
      <c r="R1217" s="129"/>
      <c r="S1217" s="129"/>
      <c r="T1217" s="129"/>
      <c r="U1217" s="129"/>
      <c r="V1217" s="129"/>
      <c r="W1217" s="129"/>
      <c r="X1217" s="129"/>
      <c r="Y1217" s="129"/>
      <c r="Z1217" s="129"/>
      <c r="AA1217" s="129"/>
      <c r="AB1217" s="129"/>
      <c r="AC1217" s="129"/>
      <c r="AD1217" s="129"/>
      <c r="AE1217" s="129"/>
      <c r="AF1217" s="129"/>
      <c r="AG1217" s="129"/>
      <c r="AH1217" s="129"/>
      <c r="AI1217" s="129"/>
      <c r="AJ1217" s="129"/>
      <c r="AK1217" s="129"/>
      <c r="AL1217" s="129"/>
      <c r="AM1217" s="129"/>
    </row>
    <row r="1218" spans="1:39" ht="15.75" hidden="1" x14ac:dyDescent="0.25">
      <c r="A1218" s="127">
        <v>1217</v>
      </c>
      <c r="B1218" s="59"/>
      <c r="C1218" s="130"/>
      <c r="D1218" s="130"/>
      <c r="E1218" s="130"/>
      <c r="F1218" s="130"/>
      <c r="G1218" s="130"/>
      <c r="H1218" s="128">
        <f t="shared" si="23"/>
        <v>0</v>
      </c>
      <c r="I1218" s="129"/>
      <c r="J1218" s="129"/>
      <c r="K1218" s="129"/>
      <c r="L1218" s="129"/>
      <c r="M1218" s="129"/>
      <c r="N1218" s="129"/>
      <c r="O1218" s="129"/>
      <c r="P1218" s="129"/>
      <c r="Q1218" s="129"/>
      <c r="R1218" s="129"/>
      <c r="S1218" s="129"/>
      <c r="T1218" s="129"/>
      <c r="U1218" s="129"/>
      <c r="V1218" s="129"/>
      <c r="W1218" s="129"/>
      <c r="X1218" s="129"/>
      <c r="Y1218" s="129"/>
      <c r="Z1218" s="129"/>
      <c r="AA1218" s="129"/>
      <c r="AB1218" s="129"/>
      <c r="AC1218" s="129"/>
      <c r="AD1218" s="129"/>
      <c r="AE1218" s="129"/>
      <c r="AF1218" s="129"/>
      <c r="AG1218" s="129"/>
      <c r="AH1218" s="129"/>
      <c r="AI1218" s="129"/>
      <c r="AJ1218" s="129"/>
      <c r="AK1218" s="129"/>
      <c r="AL1218" s="129"/>
      <c r="AM1218" s="129"/>
    </row>
    <row r="1219" spans="1:39" ht="15.75" hidden="1" x14ac:dyDescent="0.25">
      <c r="A1219" s="127">
        <v>1218</v>
      </c>
      <c r="B1219" s="59"/>
      <c r="C1219" s="130"/>
      <c r="D1219" s="130"/>
      <c r="E1219" s="130"/>
      <c r="F1219" s="130"/>
      <c r="G1219" s="130"/>
      <c r="H1219" s="128">
        <f t="shared" si="23"/>
        <v>0</v>
      </c>
      <c r="I1219" s="129"/>
      <c r="J1219" s="129"/>
      <c r="K1219" s="129"/>
      <c r="L1219" s="129"/>
      <c r="M1219" s="129"/>
      <c r="N1219" s="129"/>
      <c r="O1219" s="129"/>
      <c r="P1219" s="129"/>
      <c r="Q1219" s="129"/>
      <c r="R1219" s="129"/>
      <c r="S1219" s="129"/>
      <c r="T1219" s="129"/>
      <c r="U1219" s="129"/>
      <c r="V1219" s="129"/>
      <c r="W1219" s="129"/>
      <c r="X1219" s="129"/>
      <c r="Y1219" s="129"/>
      <c r="Z1219" s="129"/>
      <c r="AA1219" s="129"/>
      <c r="AB1219" s="129"/>
      <c r="AC1219" s="129"/>
      <c r="AD1219" s="129"/>
      <c r="AE1219" s="129"/>
      <c r="AF1219" s="129"/>
      <c r="AG1219" s="129"/>
      <c r="AH1219" s="129"/>
      <c r="AI1219" s="129"/>
      <c r="AJ1219" s="129"/>
      <c r="AK1219" s="129"/>
      <c r="AL1219" s="129"/>
      <c r="AM1219" s="129"/>
    </row>
    <row r="1220" spans="1:39" ht="15.75" hidden="1" x14ac:dyDescent="0.25">
      <c r="A1220" s="127">
        <v>1219</v>
      </c>
      <c r="B1220" s="59"/>
      <c r="C1220" s="130"/>
      <c r="D1220" s="130"/>
      <c r="E1220" s="130"/>
      <c r="F1220" s="130"/>
      <c r="G1220" s="130"/>
      <c r="H1220" s="128">
        <f t="shared" si="23"/>
        <v>0</v>
      </c>
      <c r="I1220" s="129"/>
      <c r="J1220" s="129"/>
      <c r="K1220" s="129"/>
      <c r="L1220" s="129"/>
      <c r="M1220" s="129"/>
      <c r="N1220" s="129"/>
      <c r="O1220" s="129"/>
      <c r="P1220" s="129"/>
      <c r="Q1220" s="129"/>
      <c r="R1220" s="129"/>
      <c r="S1220" s="129"/>
      <c r="T1220" s="129"/>
      <c r="U1220" s="129"/>
      <c r="V1220" s="129"/>
      <c r="W1220" s="129"/>
      <c r="X1220" s="129"/>
      <c r="Y1220" s="129"/>
      <c r="Z1220" s="129"/>
      <c r="AA1220" s="129"/>
      <c r="AB1220" s="129"/>
      <c r="AC1220" s="129"/>
      <c r="AD1220" s="129"/>
      <c r="AE1220" s="129"/>
      <c r="AF1220" s="129"/>
      <c r="AG1220" s="129"/>
      <c r="AH1220" s="129"/>
      <c r="AI1220" s="129"/>
      <c r="AJ1220" s="129"/>
      <c r="AK1220" s="129"/>
      <c r="AL1220" s="129"/>
      <c r="AM1220" s="129"/>
    </row>
    <row r="1221" spans="1:39" ht="15.75" hidden="1" x14ac:dyDescent="0.25">
      <c r="A1221" s="127">
        <v>1220</v>
      </c>
      <c r="B1221" s="59"/>
      <c r="C1221" s="130"/>
      <c r="D1221" s="130"/>
      <c r="E1221" s="130"/>
      <c r="F1221" s="130"/>
      <c r="G1221" s="130"/>
      <c r="H1221" s="128">
        <f t="shared" si="23"/>
        <v>0</v>
      </c>
      <c r="I1221" s="129"/>
      <c r="J1221" s="129"/>
      <c r="K1221" s="129"/>
      <c r="L1221" s="129"/>
      <c r="M1221" s="129"/>
      <c r="N1221" s="129"/>
      <c r="O1221" s="129"/>
      <c r="P1221" s="129"/>
      <c r="Q1221" s="129"/>
      <c r="R1221" s="129"/>
      <c r="S1221" s="129"/>
      <c r="T1221" s="129"/>
      <c r="U1221" s="129"/>
      <c r="V1221" s="129"/>
      <c r="W1221" s="129"/>
      <c r="X1221" s="129"/>
      <c r="Y1221" s="129"/>
      <c r="Z1221" s="129"/>
      <c r="AA1221" s="129"/>
      <c r="AB1221" s="129"/>
      <c r="AC1221" s="129"/>
      <c r="AD1221" s="129"/>
      <c r="AE1221" s="129"/>
      <c r="AF1221" s="129"/>
      <c r="AG1221" s="129"/>
      <c r="AH1221" s="129"/>
      <c r="AI1221" s="129"/>
      <c r="AJ1221" s="129"/>
      <c r="AK1221" s="129"/>
      <c r="AL1221" s="129"/>
      <c r="AM1221" s="129"/>
    </row>
    <row r="1222" spans="1:39" ht="15.75" hidden="1" x14ac:dyDescent="0.25">
      <c r="A1222" s="127">
        <v>1221</v>
      </c>
      <c r="B1222" s="59"/>
      <c r="C1222" s="130"/>
      <c r="D1222" s="130"/>
      <c r="E1222" s="130"/>
      <c r="F1222" s="130"/>
      <c r="G1222" s="130"/>
      <c r="H1222" s="128">
        <f t="shared" si="23"/>
        <v>0</v>
      </c>
      <c r="I1222" s="129"/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</row>
    <row r="1223" spans="1:39" ht="15.75" hidden="1" x14ac:dyDescent="0.25">
      <c r="A1223" s="127">
        <v>1222</v>
      </c>
      <c r="B1223" s="59"/>
      <c r="C1223" s="130"/>
      <c r="D1223" s="130"/>
      <c r="E1223" s="130"/>
      <c r="F1223" s="130"/>
      <c r="G1223" s="130"/>
      <c r="H1223" s="128">
        <f t="shared" si="23"/>
        <v>0</v>
      </c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</row>
    <row r="1224" spans="1:39" ht="15.75" hidden="1" x14ac:dyDescent="0.25">
      <c r="A1224" s="127">
        <v>1223</v>
      </c>
      <c r="B1224" s="59"/>
      <c r="C1224" s="130"/>
      <c r="D1224" s="130"/>
      <c r="E1224" s="130"/>
      <c r="F1224" s="130"/>
      <c r="G1224" s="130"/>
      <c r="H1224" s="128">
        <f t="shared" si="23"/>
        <v>0</v>
      </c>
      <c r="I1224" s="129"/>
      <c r="J1224" s="129"/>
      <c r="K1224" s="129"/>
      <c r="L1224" s="129"/>
      <c r="M1224" s="129"/>
      <c r="N1224" s="129"/>
      <c r="O1224" s="129"/>
      <c r="P1224" s="129"/>
      <c r="Q1224" s="129"/>
      <c r="R1224" s="129"/>
      <c r="S1224" s="129"/>
      <c r="T1224" s="129"/>
      <c r="U1224" s="129"/>
      <c r="V1224" s="129"/>
      <c r="W1224" s="129"/>
      <c r="X1224" s="129"/>
      <c r="Y1224" s="129"/>
      <c r="Z1224" s="129"/>
      <c r="AA1224" s="129"/>
      <c r="AB1224" s="129"/>
      <c r="AC1224" s="129"/>
      <c r="AD1224" s="129"/>
      <c r="AE1224" s="129"/>
      <c r="AF1224" s="129"/>
      <c r="AG1224" s="129"/>
      <c r="AH1224" s="129"/>
      <c r="AI1224" s="129"/>
      <c r="AJ1224" s="129"/>
      <c r="AK1224" s="129"/>
      <c r="AL1224" s="129"/>
      <c r="AM1224" s="129"/>
    </row>
    <row r="1225" spans="1:39" ht="15.75" hidden="1" x14ac:dyDescent="0.25">
      <c r="A1225" s="127">
        <v>1224</v>
      </c>
      <c r="B1225" s="59"/>
      <c r="C1225" s="130"/>
      <c r="D1225" s="130"/>
      <c r="E1225" s="130"/>
      <c r="F1225" s="130"/>
      <c r="G1225" s="130"/>
      <c r="H1225" s="128">
        <f t="shared" si="23"/>
        <v>0</v>
      </c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29"/>
      <c r="AL1225" s="129"/>
      <c r="AM1225" s="129"/>
    </row>
    <row r="1226" spans="1:39" ht="15.75" hidden="1" x14ac:dyDescent="0.25">
      <c r="A1226" s="127">
        <v>1225</v>
      </c>
      <c r="B1226" s="59"/>
      <c r="C1226" s="130"/>
      <c r="D1226" s="130"/>
      <c r="E1226" s="130"/>
      <c r="F1226" s="130"/>
      <c r="G1226" s="130"/>
      <c r="H1226" s="128">
        <f t="shared" si="23"/>
        <v>0</v>
      </c>
      <c r="I1226" s="129"/>
      <c r="J1226" s="129"/>
      <c r="K1226" s="129"/>
      <c r="L1226" s="129"/>
      <c r="M1226" s="129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</row>
    <row r="1227" spans="1:39" ht="15.75" hidden="1" x14ac:dyDescent="0.25">
      <c r="A1227" s="127">
        <v>1226</v>
      </c>
      <c r="B1227" s="59"/>
      <c r="C1227" s="130"/>
      <c r="D1227" s="130"/>
      <c r="E1227" s="130"/>
      <c r="F1227" s="130"/>
      <c r="G1227" s="130"/>
      <c r="H1227" s="128">
        <f t="shared" si="23"/>
        <v>0</v>
      </c>
      <c r="I1227" s="129"/>
      <c r="J1227" s="129"/>
      <c r="K1227" s="129"/>
      <c r="L1227" s="129"/>
      <c r="M1227" s="129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</row>
    <row r="1228" spans="1:39" ht="15.75" hidden="1" x14ac:dyDescent="0.25">
      <c r="A1228" s="127">
        <v>1227</v>
      </c>
      <c r="B1228" s="59"/>
      <c r="C1228" s="130"/>
      <c r="D1228" s="130"/>
      <c r="E1228" s="130"/>
      <c r="F1228" s="130"/>
      <c r="G1228" s="130"/>
      <c r="H1228" s="128">
        <f t="shared" si="23"/>
        <v>0</v>
      </c>
      <c r="I1228" s="129"/>
      <c r="J1228" s="129"/>
      <c r="K1228" s="129"/>
      <c r="L1228" s="129"/>
      <c r="M1228" s="129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</row>
    <row r="1229" spans="1:39" ht="15.75" hidden="1" x14ac:dyDescent="0.25">
      <c r="A1229" s="127">
        <v>1228</v>
      </c>
      <c r="B1229" s="59"/>
      <c r="C1229" s="130"/>
      <c r="D1229" s="130"/>
      <c r="E1229" s="130"/>
      <c r="F1229" s="130"/>
      <c r="G1229" s="130"/>
      <c r="H1229" s="128">
        <f t="shared" si="23"/>
        <v>0</v>
      </c>
      <c r="I1229" s="129"/>
      <c r="J1229" s="129"/>
      <c r="K1229" s="129"/>
      <c r="L1229" s="129"/>
      <c r="M1229" s="129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</row>
    <row r="1230" spans="1:39" ht="15.75" hidden="1" x14ac:dyDescent="0.25">
      <c r="A1230" s="127">
        <v>1229</v>
      </c>
      <c r="B1230" s="59"/>
      <c r="C1230" s="130"/>
      <c r="D1230" s="130"/>
      <c r="E1230" s="130"/>
      <c r="F1230" s="130"/>
      <c r="G1230" s="130"/>
      <c r="H1230" s="128">
        <f t="shared" si="23"/>
        <v>0</v>
      </c>
      <c r="I1230" s="129"/>
      <c r="J1230" s="129"/>
      <c r="K1230" s="129"/>
      <c r="L1230" s="129"/>
      <c r="M1230" s="129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</row>
    <row r="1231" spans="1:39" ht="15.75" hidden="1" x14ac:dyDescent="0.25">
      <c r="A1231" s="127">
        <v>1230</v>
      </c>
      <c r="B1231" s="59"/>
      <c r="C1231" s="130"/>
      <c r="D1231" s="130"/>
      <c r="E1231" s="130"/>
      <c r="F1231" s="130"/>
      <c r="G1231" s="130"/>
      <c r="H1231" s="128">
        <f t="shared" si="23"/>
        <v>0</v>
      </c>
      <c r="I1231" s="129"/>
      <c r="J1231" s="129"/>
      <c r="K1231" s="129"/>
      <c r="L1231" s="129"/>
      <c r="M1231" s="129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</row>
    <row r="1232" spans="1:39" ht="15.75" hidden="1" x14ac:dyDescent="0.25">
      <c r="A1232" s="127">
        <v>1231</v>
      </c>
      <c r="B1232" s="59"/>
      <c r="C1232" s="130"/>
      <c r="D1232" s="130"/>
      <c r="E1232" s="130"/>
      <c r="F1232" s="130"/>
      <c r="G1232" s="130"/>
      <c r="H1232" s="128">
        <f t="shared" si="23"/>
        <v>0</v>
      </c>
      <c r="I1232" s="129"/>
      <c r="J1232" s="129"/>
      <c r="K1232" s="129"/>
      <c r="L1232" s="129"/>
      <c r="M1232" s="129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</row>
    <row r="1233" spans="1:39" ht="15.75" hidden="1" x14ac:dyDescent="0.25">
      <c r="A1233" s="127">
        <v>1232</v>
      </c>
      <c r="B1233" s="59"/>
      <c r="C1233" s="130"/>
      <c r="D1233" s="130"/>
      <c r="E1233" s="130"/>
      <c r="F1233" s="130"/>
      <c r="G1233" s="130"/>
      <c r="H1233" s="128">
        <f t="shared" si="23"/>
        <v>0</v>
      </c>
      <c r="I1233" s="129"/>
      <c r="J1233" s="129"/>
      <c r="K1233" s="129"/>
      <c r="L1233" s="129"/>
      <c r="M1233" s="129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</row>
    <row r="1234" spans="1:39" ht="15.75" hidden="1" x14ac:dyDescent="0.25">
      <c r="A1234" s="127">
        <v>1233</v>
      </c>
      <c r="B1234" s="59"/>
      <c r="C1234" s="130"/>
      <c r="D1234" s="130"/>
      <c r="E1234" s="130"/>
      <c r="F1234" s="130"/>
      <c r="G1234" s="130"/>
      <c r="H1234" s="128">
        <f t="shared" si="23"/>
        <v>0</v>
      </c>
      <c r="I1234" s="129"/>
      <c r="J1234" s="129"/>
      <c r="K1234" s="129"/>
      <c r="L1234" s="129"/>
      <c r="M1234" s="129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</row>
    <row r="1235" spans="1:39" ht="15.75" hidden="1" x14ac:dyDescent="0.25">
      <c r="A1235" s="127">
        <v>1234</v>
      </c>
      <c r="B1235" s="59"/>
      <c r="C1235" s="130"/>
      <c r="D1235" s="130"/>
      <c r="E1235" s="130"/>
      <c r="F1235" s="130"/>
      <c r="G1235" s="130"/>
      <c r="H1235" s="128">
        <f t="shared" si="23"/>
        <v>0</v>
      </c>
      <c r="I1235" s="129"/>
      <c r="J1235" s="129"/>
      <c r="K1235" s="129"/>
      <c r="L1235" s="129"/>
      <c r="M1235" s="129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</row>
    <row r="1236" spans="1:39" ht="15.75" hidden="1" x14ac:dyDescent="0.25">
      <c r="A1236" s="127">
        <v>1235</v>
      </c>
      <c r="B1236" s="59"/>
      <c r="C1236" s="130"/>
      <c r="D1236" s="130"/>
      <c r="E1236" s="130"/>
      <c r="F1236" s="130"/>
      <c r="G1236" s="130"/>
      <c r="H1236" s="128">
        <f t="shared" si="23"/>
        <v>0</v>
      </c>
      <c r="I1236" s="129"/>
      <c r="J1236" s="129"/>
      <c r="K1236" s="129"/>
      <c r="L1236" s="129"/>
      <c r="M1236" s="129"/>
      <c r="N1236" s="129"/>
      <c r="O1236" s="129"/>
      <c r="P1236" s="129"/>
      <c r="Q1236" s="129"/>
      <c r="R1236" s="129"/>
      <c r="S1236" s="129"/>
      <c r="T1236" s="129"/>
      <c r="U1236" s="129"/>
      <c r="V1236" s="129"/>
      <c r="W1236" s="129"/>
      <c r="X1236" s="129"/>
      <c r="Y1236" s="129"/>
      <c r="Z1236" s="129"/>
      <c r="AA1236" s="129"/>
      <c r="AB1236" s="129"/>
      <c r="AC1236" s="129"/>
      <c r="AD1236" s="129"/>
      <c r="AE1236" s="129"/>
      <c r="AF1236" s="129"/>
      <c r="AG1236" s="129"/>
      <c r="AH1236" s="129"/>
      <c r="AI1236" s="129"/>
      <c r="AJ1236" s="129"/>
      <c r="AK1236" s="129"/>
      <c r="AL1236" s="129"/>
      <c r="AM1236" s="129"/>
    </row>
    <row r="1237" spans="1:39" ht="15.75" hidden="1" x14ac:dyDescent="0.25">
      <c r="A1237" s="127">
        <v>1236</v>
      </c>
      <c r="B1237" s="59"/>
      <c r="C1237" s="130"/>
      <c r="D1237" s="130"/>
      <c r="E1237" s="130"/>
      <c r="F1237" s="130"/>
      <c r="G1237" s="130"/>
      <c r="H1237" s="128">
        <f t="shared" si="23"/>
        <v>0</v>
      </c>
      <c r="I1237" s="129"/>
      <c r="J1237" s="129"/>
      <c r="K1237" s="129"/>
      <c r="L1237" s="129"/>
      <c r="M1237" s="129"/>
      <c r="N1237" s="129"/>
      <c r="O1237" s="129"/>
      <c r="P1237" s="129"/>
      <c r="Q1237" s="129"/>
      <c r="R1237" s="129"/>
      <c r="S1237" s="129"/>
      <c r="T1237" s="129"/>
      <c r="U1237" s="129"/>
      <c r="V1237" s="129"/>
      <c r="W1237" s="129"/>
      <c r="X1237" s="129"/>
      <c r="Y1237" s="129"/>
      <c r="Z1237" s="129"/>
      <c r="AA1237" s="129"/>
      <c r="AB1237" s="129"/>
      <c r="AC1237" s="129"/>
      <c r="AD1237" s="129"/>
      <c r="AE1237" s="129"/>
      <c r="AF1237" s="129"/>
      <c r="AG1237" s="129"/>
      <c r="AH1237" s="129"/>
      <c r="AI1237" s="129"/>
      <c r="AJ1237" s="129"/>
      <c r="AK1237" s="129"/>
      <c r="AL1237" s="129"/>
      <c r="AM1237" s="129"/>
    </row>
    <row r="1238" spans="1:39" ht="15.75" hidden="1" x14ac:dyDescent="0.25">
      <c r="A1238" s="127">
        <v>1237</v>
      </c>
      <c r="B1238" s="59"/>
      <c r="C1238" s="130"/>
      <c r="D1238" s="130"/>
      <c r="E1238" s="130"/>
      <c r="F1238" s="130"/>
      <c r="G1238" s="130"/>
      <c r="H1238" s="128">
        <f t="shared" si="23"/>
        <v>0</v>
      </c>
      <c r="I1238" s="129"/>
      <c r="J1238" s="129"/>
      <c r="K1238" s="129"/>
      <c r="L1238" s="129"/>
      <c r="M1238" s="129"/>
      <c r="N1238" s="129"/>
      <c r="O1238" s="129"/>
      <c r="P1238" s="129"/>
      <c r="Q1238" s="129"/>
      <c r="R1238" s="129"/>
      <c r="S1238" s="129"/>
      <c r="T1238" s="129"/>
      <c r="U1238" s="129"/>
      <c r="V1238" s="129"/>
      <c r="W1238" s="129"/>
      <c r="X1238" s="129"/>
      <c r="Y1238" s="129"/>
      <c r="Z1238" s="129"/>
      <c r="AA1238" s="129"/>
      <c r="AB1238" s="129"/>
      <c r="AC1238" s="129"/>
      <c r="AD1238" s="129"/>
      <c r="AE1238" s="129"/>
      <c r="AF1238" s="129"/>
      <c r="AG1238" s="129"/>
      <c r="AH1238" s="129"/>
      <c r="AI1238" s="129"/>
      <c r="AJ1238" s="129"/>
      <c r="AK1238" s="129"/>
      <c r="AL1238" s="129"/>
      <c r="AM1238" s="129"/>
    </row>
    <row r="1239" spans="1:39" ht="15.75" hidden="1" x14ac:dyDescent="0.25">
      <c r="A1239" s="127">
        <v>1238</v>
      </c>
      <c r="B1239" s="59"/>
      <c r="C1239" s="130"/>
      <c r="D1239" s="130"/>
      <c r="E1239" s="130"/>
      <c r="F1239" s="130"/>
      <c r="G1239" s="130"/>
      <c r="H1239" s="128">
        <f t="shared" si="23"/>
        <v>0</v>
      </c>
      <c r="I1239" s="129"/>
      <c r="J1239" s="129"/>
      <c r="K1239" s="129"/>
      <c r="L1239" s="129"/>
      <c r="M1239" s="129"/>
      <c r="N1239" s="129"/>
      <c r="O1239" s="129"/>
      <c r="P1239" s="129"/>
      <c r="Q1239" s="129"/>
      <c r="R1239" s="129"/>
      <c r="S1239" s="129"/>
      <c r="T1239" s="129"/>
      <c r="U1239" s="129"/>
      <c r="V1239" s="129"/>
      <c r="W1239" s="129"/>
      <c r="X1239" s="129"/>
      <c r="Y1239" s="129"/>
      <c r="Z1239" s="129"/>
      <c r="AA1239" s="129"/>
      <c r="AB1239" s="129"/>
      <c r="AC1239" s="129"/>
      <c r="AD1239" s="129"/>
      <c r="AE1239" s="129"/>
      <c r="AF1239" s="129"/>
      <c r="AG1239" s="129"/>
      <c r="AH1239" s="129"/>
      <c r="AI1239" s="129"/>
      <c r="AJ1239" s="129"/>
      <c r="AK1239" s="129"/>
      <c r="AL1239" s="129"/>
      <c r="AM1239" s="129"/>
    </row>
    <row r="1240" spans="1:39" ht="15.75" hidden="1" x14ac:dyDescent="0.25">
      <c r="A1240" s="127">
        <v>1239</v>
      </c>
      <c r="B1240" s="59"/>
      <c r="C1240" s="130"/>
      <c r="D1240" s="130"/>
      <c r="E1240" s="130"/>
      <c r="F1240" s="130"/>
      <c r="G1240" s="130"/>
      <c r="H1240" s="128">
        <f t="shared" si="23"/>
        <v>0</v>
      </c>
      <c r="I1240" s="129"/>
      <c r="J1240" s="129"/>
      <c r="K1240" s="129"/>
      <c r="L1240" s="129"/>
      <c r="M1240" s="129"/>
      <c r="N1240" s="129"/>
      <c r="O1240" s="129"/>
      <c r="P1240" s="129"/>
      <c r="Q1240" s="129"/>
      <c r="R1240" s="129"/>
      <c r="S1240" s="129"/>
      <c r="T1240" s="129"/>
      <c r="U1240" s="129"/>
      <c r="V1240" s="129"/>
      <c r="W1240" s="129"/>
      <c r="X1240" s="129"/>
      <c r="Y1240" s="129"/>
      <c r="Z1240" s="129"/>
      <c r="AA1240" s="129"/>
      <c r="AB1240" s="129"/>
      <c r="AC1240" s="129"/>
      <c r="AD1240" s="129"/>
      <c r="AE1240" s="129"/>
      <c r="AF1240" s="129"/>
      <c r="AG1240" s="129"/>
      <c r="AH1240" s="129"/>
      <c r="AI1240" s="129"/>
      <c r="AJ1240" s="129"/>
      <c r="AK1240" s="129"/>
      <c r="AL1240" s="129"/>
      <c r="AM1240" s="129"/>
    </row>
    <row r="1241" spans="1:39" ht="15.75" hidden="1" x14ac:dyDescent="0.25">
      <c r="A1241" s="127">
        <v>1240</v>
      </c>
      <c r="B1241" s="59"/>
      <c r="C1241" s="130"/>
      <c r="D1241" s="130"/>
      <c r="E1241" s="130"/>
      <c r="F1241" s="130"/>
      <c r="G1241" s="130"/>
      <c r="H1241" s="128">
        <f t="shared" si="23"/>
        <v>0</v>
      </c>
      <c r="I1241" s="129"/>
      <c r="J1241" s="129"/>
      <c r="K1241" s="129"/>
      <c r="L1241" s="129"/>
      <c r="M1241" s="129"/>
      <c r="N1241" s="129"/>
      <c r="O1241" s="129"/>
      <c r="P1241" s="129"/>
      <c r="Q1241" s="129"/>
      <c r="R1241" s="129"/>
      <c r="S1241" s="129"/>
      <c r="T1241" s="129"/>
      <c r="U1241" s="129"/>
      <c r="V1241" s="129"/>
      <c r="W1241" s="129"/>
      <c r="X1241" s="129"/>
      <c r="Y1241" s="129"/>
      <c r="Z1241" s="129"/>
      <c r="AA1241" s="129"/>
      <c r="AB1241" s="129"/>
      <c r="AC1241" s="129"/>
      <c r="AD1241" s="129"/>
      <c r="AE1241" s="129"/>
      <c r="AF1241" s="129"/>
      <c r="AG1241" s="129"/>
      <c r="AH1241" s="129"/>
      <c r="AI1241" s="129"/>
      <c r="AJ1241" s="129"/>
      <c r="AK1241" s="129"/>
      <c r="AL1241" s="129"/>
      <c r="AM1241" s="129"/>
    </row>
    <row r="1242" spans="1:39" ht="15.75" hidden="1" x14ac:dyDescent="0.25">
      <c r="A1242" s="127">
        <v>1241</v>
      </c>
      <c r="B1242" s="59"/>
      <c r="C1242" s="130"/>
      <c r="D1242" s="130"/>
      <c r="E1242" s="130"/>
      <c r="F1242" s="130"/>
      <c r="G1242" s="130"/>
      <c r="H1242" s="128">
        <f t="shared" si="23"/>
        <v>0</v>
      </c>
      <c r="I1242" s="129"/>
      <c r="J1242" s="129"/>
      <c r="K1242" s="129"/>
      <c r="L1242" s="129"/>
      <c r="M1242" s="129"/>
      <c r="N1242" s="129"/>
      <c r="O1242" s="129"/>
      <c r="P1242" s="129"/>
      <c r="Q1242" s="129"/>
      <c r="R1242" s="129"/>
      <c r="S1242" s="129"/>
      <c r="T1242" s="129"/>
      <c r="U1242" s="129"/>
      <c r="V1242" s="129"/>
      <c r="W1242" s="129"/>
      <c r="X1242" s="129"/>
      <c r="Y1242" s="129"/>
      <c r="Z1242" s="129"/>
      <c r="AA1242" s="129"/>
      <c r="AB1242" s="129"/>
      <c r="AC1242" s="129"/>
      <c r="AD1242" s="129"/>
      <c r="AE1242" s="129"/>
      <c r="AF1242" s="129"/>
      <c r="AG1242" s="129"/>
      <c r="AH1242" s="129"/>
      <c r="AI1242" s="129"/>
      <c r="AJ1242" s="129"/>
      <c r="AK1242" s="129"/>
      <c r="AL1242" s="129"/>
      <c r="AM1242" s="129"/>
    </row>
    <row r="1243" spans="1:39" ht="15.75" hidden="1" x14ac:dyDescent="0.25">
      <c r="A1243" s="127">
        <v>1242</v>
      </c>
      <c r="B1243" s="59"/>
      <c r="C1243" s="130"/>
      <c r="D1243" s="130"/>
      <c r="E1243" s="130"/>
      <c r="F1243" s="130"/>
      <c r="G1243" s="130"/>
      <c r="H1243" s="128">
        <f t="shared" si="23"/>
        <v>0</v>
      </c>
      <c r="I1243" s="129"/>
      <c r="J1243" s="129"/>
      <c r="K1243" s="129"/>
      <c r="L1243" s="129"/>
      <c r="M1243" s="129"/>
      <c r="N1243" s="129"/>
      <c r="O1243" s="129"/>
      <c r="P1243" s="129"/>
      <c r="Q1243" s="129"/>
      <c r="R1243" s="129"/>
      <c r="S1243" s="129"/>
      <c r="T1243" s="129"/>
      <c r="U1243" s="129"/>
      <c r="V1243" s="129"/>
      <c r="W1243" s="129"/>
      <c r="X1243" s="129"/>
      <c r="Y1243" s="129"/>
      <c r="Z1243" s="129"/>
      <c r="AA1243" s="129"/>
      <c r="AB1243" s="129"/>
      <c r="AC1243" s="129"/>
      <c r="AD1243" s="129"/>
      <c r="AE1243" s="129"/>
      <c r="AF1243" s="129"/>
      <c r="AG1243" s="129"/>
      <c r="AH1243" s="129"/>
      <c r="AI1243" s="129"/>
      <c r="AJ1243" s="129"/>
      <c r="AK1243" s="129"/>
      <c r="AL1243" s="129"/>
      <c r="AM1243" s="129"/>
    </row>
    <row r="1244" spans="1:39" ht="15.75" hidden="1" x14ac:dyDescent="0.25">
      <c r="A1244" s="127">
        <v>1243</v>
      </c>
      <c r="B1244" s="59"/>
      <c r="C1244" s="130"/>
      <c r="D1244" s="130"/>
      <c r="E1244" s="130"/>
      <c r="F1244" s="130"/>
      <c r="G1244" s="130"/>
      <c r="H1244" s="128">
        <f t="shared" si="23"/>
        <v>0</v>
      </c>
      <c r="I1244" s="129"/>
      <c r="J1244" s="129"/>
      <c r="K1244" s="129"/>
      <c r="L1244" s="129"/>
      <c r="M1244" s="129"/>
      <c r="N1244" s="129"/>
      <c r="O1244" s="129"/>
      <c r="P1244" s="129"/>
      <c r="Q1244" s="129"/>
      <c r="R1244" s="129"/>
      <c r="S1244" s="129"/>
      <c r="T1244" s="129"/>
      <c r="U1244" s="129"/>
      <c r="V1244" s="129"/>
      <c r="W1244" s="129"/>
      <c r="X1244" s="129"/>
      <c r="Y1244" s="129"/>
      <c r="Z1244" s="129"/>
      <c r="AA1244" s="129"/>
      <c r="AB1244" s="129"/>
      <c r="AC1244" s="129"/>
      <c r="AD1244" s="129"/>
      <c r="AE1244" s="129"/>
      <c r="AF1244" s="129"/>
      <c r="AG1244" s="129"/>
      <c r="AH1244" s="129"/>
      <c r="AI1244" s="129"/>
      <c r="AJ1244" s="129"/>
      <c r="AK1244" s="129"/>
      <c r="AL1244" s="129"/>
      <c r="AM1244" s="129"/>
    </row>
    <row r="1245" spans="1:39" ht="15.75" hidden="1" x14ac:dyDescent="0.25">
      <c r="A1245" s="127">
        <v>1244</v>
      </c>
      <c r="B1245" s="59"/>
      <c r="C1245" s="130"/>
      <c r="D1245" s="130"/>
      <c r="E1245" s="130"/>
      <c r="F1245" s="130"/>
      <c r="G1245" s="130"/>
      <c r="H1245" s="128">
        <f t="shared" si="23"/>
        <v>0</v>
      </c>
      <c r="I1245" s="129"/>
      <c r="J1245" s="129"/>
      <c r="K1245" s="129"/>
      <c r="L1245" s="129"/>
      <c r="M1245" s="129"/>
      <c r="N1245" s="129"/>
      <c r="O1245" s="129"/>
      <c r="P1245" s="129"/>
      <c r="Q1245" s="129"/>
      <c r="R1245" s="129"/>
      <c r="S1245" s="129"/>
      <c r="T1245" s="129"/>
      <c r="U1245" s="129"/>
      <c r="V1245" s="129"/>
      <c r="W1245" s="129"/>
      <c r="X1245" s="129"/>
      <c r="Y1245" s="129"/>
      <c r="Z1245" s="129"/>
      <c r="AA1245" s="129"/>
      <c r="AB1245" s="129"/>
      <c r="AC1245" s="129"/>
      <c r="AD1245" s="129"/>
      <c r="AE1245" s="129"/>
      <c r="AF1245" s="129"/>
      <c r="AG1245" s="129"/>
      <c r="AH1245" s="129"/>
      <c r="AI1245" s="129"/>
      <c r="AJ1245" s="129"/>
      <c r="AK1245" s="129"/>
      <c r="AL1245" s="129"/>
      <c r="AM1245" s="129"/>
    </row>
    <row r="1246" spans="1:39" ht="15.75" hidden="1" x14ac:dyDescent="0.25">
      <c r="A1246" s="127">
        <v>1245</v>
      </c>
      <c r="B1246" s="59"/>
      <c r="C1246" s="130"/>
      <c r="D1246" s="130"/>
      <c r="E1246" s="130"/>
      <c r="F1246" s="130"/>
      <c r="G1246" s="130"/>
      <c r="H1246" s="128">
        <f t="shared" ref="H1246:H1270" si="24">SUM(I1246:AM1246)</f>
        <v>0</v>
      </c>
      <c r="I1246" s="129"/>
      <c r="J1246" s="129"/>
      <c r="K1246" s="129"/>
      <c r="L1246" s="129"/>
      <c r="M1246" s="129"/>
      <c r="N1246" s="129"/>
      <c r="O1246" s="129"/>
      <c r="P1246" s="129"/>
      <c r="Q1246" s="129"/>
      <c r="R1246" s="129"/>
      <c r="S1246" s="129"/>
      <c r="T1246" s="129"/>
      <c r="U1246" s="129"/>
      <c r="V1246" s="129"/>
      <c r="W1246" s="129"/>
      <c r="X1246" s="129"/>
      <c r="Y1246" s="129"/>
      <c r="Z1246" s="129"/>
      <c r="AA1246" s="129"/>
      <c r="AB1246" s="129"/>
      <c r="AC1246" s="129"/>
      <c r="AD1246" s="129"/>
      <c r="AE1246" s="129"/>
      <c r="AF1246" s="129"/>
      <c r="AG1246" s="129"/>
      <c r="AH1246" s="129"/>
      <c r="AI1246" s="129"/>
      <c r="AJ1246" s="129"/>
      <c r="AK1246" s="129"/>
      <c r="AL1246" s="129"/>
      <c r="AM1246" s="129"/>
    </row>
    <row r="1247" spans="1:39" ht="15.75" hidden="1" x14ac:dyDescent="0.25">
      <c r="A1247" s="127">
        <v>1246</v>
      </c>
      <c r="B1247" s="59"/>
      <c r="C1247" s="130"/>
      <c r="D1247" s="130"/>
      <c r="E1247" s="130"/>
      <c r="F1247" s="130"/>
      <c r="G1247" s="130"/>
      <c r="H1247" s="128">
        <f t="shared" si="24"/>
        <v>0</v>
      </c>
      <c r="I1247" s="129"/>
      <c r="J1247" s="129"/>
      <c r="K1247" s="129"/>
      <c r="L1247" s="129"/>
      <c r="M1247" s="129"/>
      <c r="N1247" s="129"/>
      <c r="O1247" s="129"/>
      <c r="P1247" s="129"/>
      <c r="Q1247" s="129"/>
      <c r="R1247" s="129"/>
      <c r="S1247" s="129"/>
      <c r="T1247" s="129"/>
      <c r="U1247" s="129"/>
      <c r="V1247" s="129"/>
      <c r="W1247" s="129"/>
      <c r="X1247" s="129"/>
      <c r="Y1247" s="129"/>
      <c r="Z1247" s="129"/>
      <c r="AA1247" s="129"/>
      <c r="AB1247" s="129"/>
      <c r="AC1247" s="129"/>
      <c r="AD1247" s="129"/>
      <c r="AE1247" s="129"/>
      <c r="AF1247" s="129"/>
      <c r="AG1247" s="129"/>
      <c r="AH1247" s="129"/>
      <c r="AI1247" s="129"/>
      <c r="AJ1247" s="129"/>
      <c r="AK1247" s="129"/>
      <c r="AL1247" s="129"/>
      <c r="AM1247" s="129"/>
    </row>
    <row r="1248" spans="1:39" ht="15.75" hidden="1" x14ac:dyDescent="0.25">
      <c r="A1248" s="127">
        <v>1247</v>
      </c>
      <c r="B1248" s="59"/>
      <c r="C1248" s="130"/>
      <c r="D1248" s="130"/>
      <c r="E1248" s="130"/>
      <c r="F1248" s="130"/>
      <c r="G1248" s="130"/>
      <c r="H1248" s="128">
        <f t="shared" si="24"/>
        <v>0</v>
      </c>
      <c r="I1248" s="129"/>
      <c r="J1248" s="129"/>
      <c r="K1248" s="129"/>
      <c r="L1248" s="129"/>
      <c r="M1248" s="129"/>
      <c r="N1248" s="129"/>
      <c r="O1248" s="129"/>
      <c r="P1248" s="129"/>
      <c r="Q1248" s="129"/>
      <c r="R1248" s="129"/>
      <c r="S1248" s="129"/>
      <c r="T1248" s="129"/>
      <c r="U1248" s="129"/>
      <c r="V1248" s="129"/>
      <c r="W1248" s="129"/>
      <c r="X1248" s="129"/>
      <c r="Y1248" s="129"/>
      <c r="Z1248" s="129"/>
      <c r="AA1248" s="129"/>
      <c r="AB1248" s="129"/>
      <c r="AC1248" s="129"/>
      <c r="AD1248" s="129"/>
      <c r="AE1248" s="129"/>
      <c r="AF1248" s="129"/>
      <c r="AG1248" s="129"/>
      <c r="AH1248" s="129"/>
      <c r="AI1248" s="129"/>
      <c r="AJ1248" s="129"/>
      <c r="AK1248" s="129"/>
      <c r="AL1248" s="129"/>
      <c r="AM1248" s="129"/>
    </row>
    <row r="1249" spans="1:39" ht="15.75" hidden="1" x14ac:dyDescent="0.25">
      <c r="A1249" s="127">
        <v>1248</v>
      </c>
      <c r="B1249" s="59"/>
      <c r="C1249" s="130"/>
      <c r="D1249" s="130"/>
      <c r="E1249" s="130"/>
      <c r="F1249" s="130"/>
      <c r="G1249" s="130"/>
      <c r="H1249" s="128">
        <f t="shared" si="24"/>
        <v>0</v>
      </c>
      <c r="I1249" s="129"/>
      <c r="J1249" s="129"/>
      <c r="K1249" s="129"/>
      <c r="L1249" s="129"/>
      <c r="M1249" s="129"/>
      <c r="N1249" s="129"/>
      <c r="O1249" s="129"/>
      <c r="P1249" s="129"/>
      <c r="Q1249" s="129"/>
      <c r="R1249" s="129"/>
      <c r="S1249" s="129"/>
      <c r="T1249" s="129"/>
      <c r="U1249" s="129"/>
      <c r="V1249" s="129"/>
      <c r="W1249" s="129"/>
      <c r="X1249" s="129"/>
      <c r="Y1249" s="129"/>
      <c r="Z1249" s="129"/>
      <c r="AA1249" s="129"/>
      <c r="AB1249" s="129"/>
      <c r="AC1249" s="129"/>
      <c r="AD1249" s="129"/>
      <c r="AE1249" s="129"/>
      <c r="AF1249" s="129"/>
      <c r="AG1249" s="129"/>
      <c r="AH1249" s="129"/>
      <c r="AI1249" s="129"/>
      <c r="AJ1249" s="129"/>
      <c r="AK1249" s="129"/>
      <c r="AL1249" s="129"/>
      <c r="AM1249" s="129"/>
    </row>
    <row r="1250" spans="1:39" ht="15.75" hidden="1" x14ac:dyDescent="0.25">
      <c r="A1250" s="127">
        <v>1249</v>
      </c>
      <c r="B1250" s="59"/>
      <c r="C1250" s="130"/>
      <c r="D1250" s="130"/>
      <c r="E1250" s="130"/>
      <c r="F1250" s="130"/>
      <c r="G1250" s="130"/>
      <c r="H1250" s="128">
        <f t="shared" si="24"/>
        <v>0</v>
      </c>
      <c r="I1250" s="129"/>
      <c r="J1250" s="129"/>
      <c r="K1250" s="129"/>
      <c r="L1250" s="129"/>
      <c r="M1250" s="129"/>
      <c r="N1250" s="129"/>
      <c r="O1250" s="129"/>
      <c r="P1250" s="129"/>
      <c r="Q1250" s="129"/>
      <c r="R1250" s="129"/>
      <c r="S1250" s="129"/>
      <c r="T1250" s="129"/>
      <c r="U1250" s="129"/>
      <c r="V1250" s="129"/>
      <c r="W1250" s="129"/>
      <c r="X1250" s="129"/>
      <c r="Y1250" s="129"/>
      <c r="Z1250" s="129"/>
      <c r="AA1250" s="129"/>
      <c r="AB1250" s="129"/>
      <c r="AC1250" s="129"/>
      <c r="AD1250" s="129"/>
      <c r="AE1250" s="129"/>
      <c r="AF1250" s="129"/>
      <c r="AG1250" s="129"/>
      <c r="AH1250" s="129"/>
      <c r="AI1250" s="129"/>
      <c r="AJ1250" s="129"/>
      <c r="AK1250" s="129"/>
      <c r="AL1250" s="129"/>
      <c r="AM1250" s="129"/>
    </row>
    <row r="1251" spans="1:39" ht="15.75" hidden="1" x14ac:dyDescent="0.25">
      <c r="A1251" s="127">
        <v>1250</v>
      </c>
      <c r="B1251" s="59"/>
      <c r="C1251" s="130"/>
      <c r="D1251" s="130"/>
      <c r="E1251" s="130"/>
      <c r="F1251" s="130"/>
      <c r="G1251" s="130"/>
      <c r="H1251" s="128">
        <f t="shared" si="24"/>
        <v>0</v>
      </c>
      <c r="I1251" s="129"/>
      <c r="J1251" s="129"/>
      <c r="K1251" s="129"/>
      <c r="L1251" s="129"/>
      <c r="M1251" s="129"/>
      <c r="N1251" s="129"/>
      <c r="O1251" s="129"/>
      <c r="P1251" s="129"/>
      <c r="Q1251" s="129"/>
      <c r="R1251" s="129"/>
      <c r="S1251" s="129"/>
      <c r="T1251" s="129"/>
      <c r="U1251" s="129"/>
      <c r="V1251" s="129"/>
      <c r="W1251" s="129"/>
      <c r="X1251" s="129"/>
      <c r="Y1251" s="129"/>
      <c r="Z1251" s="129"/>
      <c r="AA1251" s="129"/>
      <c r="AB1251" s="129"/>
      <c r="AC1251" s="129"/>
      <c r="AD1251" s="129"/>
      <c r="AE1251" s="129"/>
      <c r="AF1251" s="129"/>
      <c r="AG1251" s="129"/>
      <c r="AH1251" s="129"/>
      <c r="AI1251" s="129"/>
      <c r="AJ1251" s="129"/>
      <c r="AK1251" s="129"/>
      <c r="AL1251" s="129"/>
      <c r="AM1251" s="129"/>
    </row>
    <row r="1252" spans="1:39" ht="15.75" hidden="1" x14ac:dyDescent="0.25">
      <c r="A1252" s="127">
        <v>1251</v>
      </c>
      <c r="B1252" s="59"/>
      <c r="C1252" s="130"/>
      <c r="D1252" s="130"/>
      <c r="E1252" s="130"/>
      <c r="F1252" s="130"/>
      <c r="G1252" s="130"/>
      <c r="H1252" s="128">
        <f t="shared" si="24"/>
        <v>0</v>
      </c>
      <c r="I1252" s="129"/>
      <c r="J1252" s="129"/>
      <c r="K1252" s="129"/>
      <c r="L1252" s="129"/>
      <c r="M1252" s="129"/>
      <c r="N1252" s="129"/>
      <c r="O1252" s="129"/>
      <c r="P1252" s="129"/>
      <c r="Q1252" s="129"/>
      <c r="R1252" s="129"/>
      <c r="S1252" s="129"/>
      <c r="T1252" s="129"/>
      <c r="U1252" s="129"/>
      <c r="V1252" s="129"/>
      <c r="W1252" s="129"/>
      <c r="X1252" s="129"/>
      <c r="Y1252" s="129"/>
      <c r="Z1252" s="129"/>
      <c r="AA1252" s="129"/>
      <c r="AB1252" s="129"/>
      <c r="AC1252" s="129"/>
      <c r="AD1252" s="129"/>
      <c r="AE1252" s="129"/>
      <c r="AF1252" s="129"/>
      <c r="AG1252" s="129"/>
      <c r="AH1252" s="129"/>
      <c r="AI1252" s="129"/>
      <c r="AJ1252" s="129"/>
      <c r="AK1252" s="129"/>
      <c r="AL1252" s="129"/>
      <c r="AM1252" s="129"/>
    </row>
    <row r="1253" spans="1:39" ht="15.75" hidden="1" x14ac:dyDescent="0.25">
      <c r="A1253" s="127">
        <v>1252</v>
      </c>
      <c r="B1253" s="59"/>
      <c r="C1253" s="130"/>
      <c r="D1253" s="130"/>
      <c r="E1253" s="130"/>
      <c r="F1253" s="130"/>
      <c r="G1253" s="130"/>
      <c r="H1253" s="128">
        <f t="shared" si="24"/>
        <v>0</v>
      </c>
      <c r="I1253" s="129"/>
      <c r="J1253" s="129"/>
      <c r="K1253" s="129"/>
      <c r="L1253" s="129"/>
      <c r="M1253" s="129"/>
      <c r="N1253" s="129"/>
      <c r="O1253" s="129"/>
      <c r="P1253" s="129"/>
      <c r="Q1253" s="129"/>
      <c r="R1253" s="129"/>
      <c r="S1253" s="129"/>
      <c r="T1253" s="129"/>
      <c r="U1253" s="129"/>
      <c r="V1253" s="129"/>
      <c r="W1253" s="129"/>
      <c r="X1253" s="129"/>
      <c r="Y1253" s="129"/>
      <c r="Z1253" s="129"/>
      <c r="AA1253" s="129"/>
      <c r="AB1253" s="129"/>
      <c r="AC1253" s="129"/>
      <c r="AD1253" s="129"/>
      <c r="AE1253" s="129"/>
      <c r="AF1253" s="129"/>
      <c r="AG1253" s="129"/>
      <c r="AH1253" s="129"/>
      <c r="AI1253" s="129"/>
      <c r="AJ1253" s="129"/>
      <c r="AK1253" s="129"/>
      <c r="AL1253" s="129"/>
      <c r="AM1253" s="129"/>
    </row>
    <row r="1254" spans="1:39" ht="15.75" hidden="1" x14ac:dyDescent="0.25">
      <c r="A1254" s="127">
        <v>1253</v>
      </c>
      <c r="B1254" s="59"/>
      <c r="C1254" s="130"/>
      <c r="D1254" s="130"/>
      <c r="E1254" s="130"/>
      <c r="F1254" s="130"/>
      <c r="G1254" s="130"/>
      <c r="H1254" s="128">
        <f t="shared" si="24"/>
        <v>0</v>
      </c>
      <c r="I1254" s="129"/>
      <c r="J1254" s="129"/>
      <c r="K1254" s="129"/>
      <c r="L1254" s="129"/>
      <c r="M1254" s="129"/>
      <c r="N1254" s="129"/>
      <c r="O1254" s="129"/>
      <c r="P1254" s="129"/>
      <c r="Q1254" s="129"/>
      <c r="R1254" s="129"/>
      <c r="S1254" s="129"/>
      <c r="T1254" s="129"/>
      <c r="U1254" s="129"/>
      <c r="V1254" s="129"/>
      <c r="W1254" s="129"/>
      <c r="X1254" s="129"/>
      <c r="Y1254" s="129"/>
      <c r="Z1254" s="129"/>
      <c r="AA1254" s="129"/>
      <c r="AB1254" s="129"/>
      <c r="AC1254" s="129"/>
      <c r="AD1254" s="129"/>
      <c r="AE1254" s="129"/>
      <c r="AF1254" s="129"/>
      <c r="AG1254" s="129"/>
      <c r="AH1254" s="129"/>
      <c r="AI1254" s="129"/>
      <c r="AJ1254" s="129"/>
      <c r="AK1254" s="129"/>
      <c r="AL1254" s="129"/>
      <c r="AM1254" s="129"/>
    </row>
    <row r="1255" spans="1:39" ht="15.75" hidden="1" x14ac:dyDescent="0.25">
      <c r="A1255" s="127">
        <v>1254</v>
      </c>
      <c r="B1255" s="59"/>
      <c r="C1255" s="130"/>
      <c r="D1255" s="130"/>
      <c r="E1255" s="130"/>
      <c r="F1255" s="130"/>
      <c r="G1255" s="130"/>
      <c r="H1255" s="128">
        <f t="shared" si="24"/>
        <v>0</v>
      </c>
      <c r="I1255" s="129"/>
      <c r="J1255" s="129"/>
      <c r="K1255" s="129"/>
      <c r="L1255" s="129"/>
      <c r="M1255" s="129"/>
      <c r="N1255" s="129"/>
      <c r="O1255" s="129"/>
      <c r="P1255" s="129"/>
      <c r="Q1255" s="129"/>
      <c r="R1255" s="129"/>
      <c r="S1255" s="129"/>
      <c r="T1255" s="129"/>
      <c r="U1255" s="129"/>
      <c r="V1255" s="129"/>
      <c r="W1255" s="129"/>
      <c r="X1255" s="129"/>
      <c r="Y1255" s="129"/>
      <c r="Z1255" s="129"/>
      <c r="AA1255" s="129"/>
      <c r="AB1255" s="129"/>
      <c r="AC1255" s="129"/>
      <c r="AD1255" s="129"/>
      <c r="AE1255" s="129"/>
      <c r="AF1255" s="129"/>
      <c r="AG1255" s="129"/>
      <c r="AH1255" s="129"/>
      <c r="AI1255" s="129"/>
      <c r="AJ1255" s="129"/>
      <c r="AK1255" s="129"/>
      <c r="AL1255" s="129"/>
      <c r="AM1255" s="129"/>
    </row>
    <row r="1256" spans="1:39" ht="15.75" hidden="1" x14ac:dyDescent="0.25">
      <c r="A1256" s="127">
        <v>1255</v>
      </c>
      <c r="B1256" s="59"/>
      <c r="C1256" s="130"/>
      <c r="D1256" s="130"/>
      <c r="E1256" s="130"/>
      <c r="F1256" s="130"/>
      <c r="G1256" s="130"/>
      <c r="H1256" s="128">
        <f t="shared" si="24"/>
        <v>0</v>
      </c>
      <c r="I1256" s="129"/>
      <c r="J1256" s="129"/>
      <c r="K1256" s="129"/>
      <c r="L1256" s="129"/>
      <c r="M1256" s="129"/>
      <c r="N1256" s="129"/>
      <c r="O1256" s="129"/>
      <c r="P1256" s="129"/>
      <c r="Q1256" s="129"/>
      <c r="R1256" s="129"/>
      <c r="S1256" s="129"/>
      <c r="T1256" s="129"/>
      <c r="U1256" s="129"/>
      <c r="V1256" s="129"/>
      <c r="W1256" s="129"/>
      <c r="X1256" s="129"/>
      <c r="Y1256" s="129"/>
      <c r="Z1256" s="129"/>
      <c r="AA1256" s="129"/>
      <c r="AB1256" s="129"/>
      <c r="AC1256" s="129"/>
      <c r="AD1256" s="129"/>
      <c r="AE1256" s="129"/>
      <c r="AF1256" s="129"/>
      <c r="AG1256" s="129"/>
      <c r="AH1256" s="129"/>
      <c r="AI1256" s="129"/>
      <c r="AJ1256" s="129"/>
      <c r="AK1256" s="129"/>
      <c r="AL1256" s="129"/>
      <c r="AM1256" s="129"/>
    </row>
    <row r="1257" spans="1:39" ht="15.75" hidden="1" x14ac:dyDescent="0.25">
      <c r="A1257" s="127">
        <v>1256</v>
      </c>
      <c r="B1257" s="59"/>
      <c r="C1257" s="130"/>
      <c r="D1257" s="130"/>
      <c r="E1257" s="130"/>
      <c r="F1257" s="130"/>
      <c r="G1257" s="130"/>
      <c r="H1257" s="128">
        <f t="shared" si="24"/>
        <v>0</v>
      </c>
      <c r="I1257" s="129"/>
      <c r="J1257" s="129"/>
      <c r="K1257" s="129"/>
      <c r="L1257" s="129"/>
      <c r="M1257" s="129"/>
      <c r="N1257" s="129"/>
      <c r="O1257" s="129"/>
      <c r="P1257" s="129"/>
      <c r="Q1257" s="129"/>
      <c r="R1257" s="129"/>
      <c r="S1257" s="129"/>
      <c r="T1257" s="129"/>
      <c r="U1257" s="129"/>
      <c r="V1257" s="129"/>
      <c r="W1257" s="129"/>
      <c r="X1257" s="129"/>
      <c r="Y1257" s="129"/>
      <c r="Z1257" s="129"/>
      <c r="AA1257" s="129"/>
      <c r="AB1257" s="129"/>
      <c r="AC1257" s="129"/>
      <c r="AD1257" s="129"/>
      <c r="AE1257" s="129"/>
      <c r="AF1257" s="129"/>
      <c r="AG1257" s="129"/>
      <c r="AH1257" s="129"/>
      <c r="AI1257" s="129"/>
      <c r="AJ1257" s="129"/>
      <c r="AK1257" s="129"/>
      <c r="AL1257" s="129"/>
      <c r="AM1257" s="129"/>
    </row>
    <row r="1258" spans="1:39" ht="15.75" hidden="1" x14ac:dyDescent="0.25">
      <c r="A1258" s="127">
        <v>1257</v>
      </c>
      <c r="B1258" s="59"/>
      <c r="C1258" s="130"/>
      <c r="D1258" s="130"/>
      <c r="E1258" s="130"/>
      <c r="F1258" s="130"/>
      <c r="G1258" s="130"/>
      <c r="H1258" s="128">
        <f t="shared" si="24"/>
        <v>0</v>
      </c>
      <c r="I1258" s="129"/>
      <c r="J1258" s="129"/>
      <c r="K1258" s="129"/>
      <c r="L1258" s="129"/>
      <c r="M1258" s="129"/>
      <c r="N1258" s="129"/>
      <c r="O1258" s="129"/>
      <c r="P1258" s="129"/>
      <c r="Q1258" s="129"/>
      <c r="R1258" s="129"/>
      <c r="S1258" s="129"/>
      <c r="T1258" s="129"/>
      <c r="U1258" s="129"/>
      <c r="V1258" s="129"/>
      <c r="W1258" s="129"/>
      <c r="X1258" s="129"/>
      <c r="Y1258" s="129"/>
      <c r="Z1258" s="129"/>
      <c r="AA1258" s="129"/>
      <c r="AB1258" s="129"/>
      <c r="AC1258" s="129"/>
      <c r="AD1258" s="129"/>
      <c r="AE1258" s="129"/>
      <c r="AF1258" s="129"/>
      <c r="AG1258" s="129"/>
      <c r="AH1258" s="129"/>
      <c r="AI1258" s="129"/>
      <c r="AJ1258" s="129"/>
      <c r="AK1258" s="129"/>
      <c r="AL1258" s="129"/>
      <c r="AM1258" s="129"/>
    </row>
    <row r="1259" spans="1:39" ht="15.75" hidden="1" x14ac:dyDescent="0.25">
      <c r="A1259" s="127">
        <v>1258</v>
      </c>
      <c r="B1259" s="59"/>
      <c r="C1259" s="130"/>
      <c r="D1259" s="130"/>
      <c r="E1259" s="130"/>
      <c r="F1259" s="130"/>
      <c r="G1259" s="130"/>
      <c r="H1259" s="128">
        <f t="shared" si="24"/>
        <v>0</v>
      </c>
      <c r="I1259" s="129"/>
      <c r="J1259" s="129"/>
      <c r="K1259" s="129"/>
      <c r="L1259" s="129"/>
      <c r="M1259" s="129"/>
      <c r="N1259" s="129"/>
      <c r="O1259" s="129"/>
      <c r="P1259" s="129"/>
      <c r="Q1259" s="129"/>
      <c r="R1259" s="129"/>
      <c r="S1259" s="129"/>
      <c r="T1259" s="129"/>
      <c r="U1259" s="129"/>
      <c r="V1259" s="129"/>
      <c r="W1259" s="129"/>
      <c r="X1259" s="129"/>
      <c r="Y1259" s="129"/>
      <c r="Z1259" s="129"/>
      <c r="AA1259" s="129"/>
      <c r="AB1259" s="129"/>
      <c r="AC1259" s="129"/>
      <c r="AD1259" s="129"/>
      <c r="AE1259" s="129"/>
      <c r="AF1259" s="129"/>
      <c r="AG1259" s="129"/>
      <c r="AH1259" s="129"/>
      <c r="AI1259" s="129"/>
      <c r="AJ1259" s="129"/>
      <c r="AK1259" s="129"/>
      <c r="AL1259" s="129"/>
      <c r="AM1259" s="129"/>
    </row>
    <row r="1260" spans="1:39" ht="15.75" hidden="1" x14ac:dyDescent="0.25">
      <c r="A1260" s="127">
        <v>1259</v>
      </c>
      <c r="B1260" s="59"/>
      <c r="C1260" s="130"/>
      <c r="D1260" s="130"/>
      <c r="E1260" s="130"/>
      <c r="F1260" s="130"/>
      <c r="G1260" s="130"/>
      <c r="H1260" s="128">
        <f t="shared" si="24"/>
        <v>0</v>
      </c>
      <c r="I1260" s="129"/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</row>
    <row r="1261" spans="1:39" ht="15.75" hidden="1" x14ac:dyDescent="0.25">
      <c r="A1261" s="127">
        <v>1260</v>
      </c>
      <c r="B1261" s="59"/>
      <c r="C1261" s="130"/>
      <c r="D1261" s="130"/>
      <c r="E1261" s="130"/>
      <c r="F1261" s="130"/>
      <c r="G1261" s="130"/>
      <c r="H1261" s="128">
        <f t="shared" si="24"/>
        <v>0</v>
      </c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</row>
    <row r="1262" spans="1:39" ht="15.75" hidden="1" x14ac:dyDescent="0.25">
      <c r="A1262" s="127">
        <v>1261</v>
      </c>
      <c r="B1262" s="59"/>
      <c r="C1262" s="130"/>
      <c r="D1262" s="130"/>
      <c r="E1262" s="130"/>
      <c r="F1262" s="130"/>
      <c r="G1262" s="130"/>
      <c r="H1262" s="128">
        <f t="shared" si="24"/>
        <v>0</v>
      </c>
      <c r="I1262" s="129"/>
      <c r="J1262" s="129"/>
      <c r="K1262" s="129"/>
      <c r="L1262" s="129"/>
      <c r="M1262" s="129"/>
      <c r="N1262" s="129"/>
      <c r="O1262" s="129"/>
      <c r="P1262" s="129"/>
      <c r="Q1262" s="129"/>
      <c r="R1262" s="129"/>
      <c r="S1262" s="129"/>
      <c r="T1262" s="129"/>
      <c r="U1262" s="129"/>
      <c r="V1262" s="129"/>
      <c r="W1262" s="129"/>
      <c r="X1262" s="129"/>
      <c r="Y1262" s="129"/>
      <c r="Z1262" s="129"/>
      <c r="AA1262" s="129"/>
      <c r="AB1262" s="129"/>
      <c r="AC1262" s="129"/>
      <c r="AD1262" s="129"/>
      <c r="AE1262" s="129"/>
      <c r="AF1262" s="129"/>
      <c r="AG1262" s="129"/>
      <c r="AH1262" s="129"/>
      <c r="AI1262" s="129"/>
      <c r="AJ1262" s="129"/>
      <c r="AK1262" s="129"/>
      <c r="AL1262" s="129"/>
      <c r="AM1262" s="129"/>
    </row>
    <row r="1263" spans="1:39" ht="15.75" hidden="1" x14ac:dyDescent="0.25">
      <c r="A1263" s="127">
        <v>1262</v>
      </c>
      <c r="B1263" s="59"/>
      <c r="C1263" s="130"/>
      <c r="D1263" s="130"/>
      <c r="E1263" s="130"/>
      <c r="F1263" s="130"/>
      <c r="G1263" s="130"/>
      <c r="H1263" s="128">
        <f t="shared" si="24"/>
        <v>0</v>
      </c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29"/>
      <c r="AL1263" s="129"/>
      <c r="AM1263" s="129"/>
    </row>
    <row r="1264" spans="1:39" ht="15.75" hidden="1" x14ac:dyDescent="0.25">
      <c r="A1264" s="127">
        <v>1263</v>
      </c>
      <c r="B1264" s="59"/>
      <c r="C1264" s="130"/>
      <c r="D1264" s="130"/>
      <c r="E1264" s="130"/>
      <c r="F1264" s="130"/>
      <c r="G1264" s="130"/>
      <c r="H1264" s="128">
        <f t="shared" si="24"/>
        <v>0</v>
      </c>
      <c r="I1264" s="129"/>
      <c r="J1264" s="129"/>
      <c r="K1264" s="129"/>
      <c r="L1264" s="129"/>
      <c r="M1264" s="129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</row>
    <row r="1265" spans="1:39" ht="15.75" hidden="1" x14ac:dyDescent="0.25">
      <c r="A1265" s="127">
        <v>1264</v>
      </c>
      <c r="B1265" s="59"/>
      <c r="C1265" s="130"/>
      <c r="D1265" s="130"/>
      <c r="E1265" s="130"/>
      <c r="F1265" s="130"/>
      <c r="G1265" s="130"/>
      <c r="H1265" s="128">
        <f t="shared" si="24"/>
        <v>0</v>
      </c>
      <c r="I1265" s="129"/>
      <c r="J1265" s="129"/>
      <c r="K1265" s="129"/>
      <c r="L1265" s="129"/>
      <c r="M1265" s="129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</row>
    <row r="1266" spans="1:39" ht="15.75" hidden="1" x14ac:dyDescent="0.25">
      <c r="A1266" s="127">
        <v>1265</v>
      </c>
      <c r="B1266" s="59"/>
      <c r="C1266" s="130"/>
      <c r="D1266" s="130"/>
      <c r="E1266" s="130"/>
      <c r="F1266" s="130"/>
      <c r="G1266" s="130"/>
      <c r="H1266" s="128">
        <f t="shared" si="24"/>
        <v>0</v>
      </c>
      <c r="I1266" s="129"/>
      <c r="J1266" s="129"/>
      <c r="K1266" s="129"/>
      <c r="L1266" s="129"/>
      <c r="M1266" s="129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</row>
    <row r="1267" spans="1:39" ht="15.75" hidden="1" x14ac:dyDescent="0.25">
      <c r="A1267" s="127">
        <v>1266</v>
      </c>
      <c r="B1267" s="59"/>
      <c r="C1267" s="130"/>
      <c r="D1267" s="130"/>
      <c r="E1267" s="130"/>
      <c r="F1267" s="130"/>
      <c r="G1267" s="130"/>
      <c r="H1267" s="128">
        <f t="shared" si="24"/>
        <v>0</v>
      </c>
      <c r="I1267" s="129"/>
      <c r="J1267" s="129"/>
      <c r="K1267" s="129"/>
      <c r="L1267" s="129"/>
      <c r="M1267" s="129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</row>
    <row r="1268" spans="1:39" ht="15.75" hidden="1" x14ac:dyDescent="0.25">
      <c r="A1268" s="127">
        <v>1267</v>
      </c>
      <c r="B1268" s="59"/>
      <c r="C1268" s="130"/>
      <c r="D1268" s="130"/>
      <c r="E1268" s="130"/>
      <c r="F1268" s="130"/>
      <c r="G1268" s="130"/>
      <c r="H1268" s="128">
        <f t="shared" si="24"/>
        <v>0</v>
      </c>
      <c r="I1268" s="129"/>
      <c r="J1268" s="129"/>
      <c r="K1268" s="129"/>
      <c r="L1268" s="129"/>
      <c r="M1268" s="129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</row>
    <row r="1269" spans="1:39" ht="15.75" hidden="1" x14ac:dyDescent="0.25">
      <c r="A1269" s="127">
        <v>1268</v>
      </c>
      <c r="B1269" s="59"/>
      <c r="C1269" s="130"/>
      <c r="D1269" s="130"/>
      <c r="E1269" s="130"/>
      <c r="F1269" s="130"/>
      <c r="G1269" s="130"/>
      <c r="H1269" s="128">
        <f t="shared" si="24"/>
        <v>0</v>
      </c>
      <c r="I1269" s="129"/>
      <c r="J1269" s="129"/>
      <c r="K1269" s="129"/>
      <c r="L1269" s="129"/>
      <c r="M1269" s="129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</row>
    <row r="1270" spans="1:39" ht="15.75" hidden="1" x14ac:dyDescent="0.25">
      <c r="A1270" s="127">
        <v>1269</v>
      </c>
      <c r="B1270" s="59"/>
      <c r="C1270" s="130"/>
      <c r="D1270" s="130"/>
      <c r="E1270" s="130"/>
      <c r="F1270" s="130"/>
      <c r="G1270" s="130"/>
      <c r="H1270" s="128">
        <f t="shared" si="24"/>
        <v>0</v>
      </c>
      <c r="I1270" s="129"/>
      <c r="J1270" s="129"/>
      <c r="K1270" s="129"/>
      <c r="L1270" s="129"/>
      <c r="M1270" s="129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</row>
    <row r="1271" spans="1:39" ht="15.75" hidden="1" x14ac:dyDescent="0.25">
      <c r="A1271" s="127">
        <v>1270</v>
      </c>
      <c r="B1271" s="148"/>
      <c r="C1271" s="145"/>
      <c r="D1271" s="145"/>
      <c r="E1271" s="145"/>
      <c r="F1271" s="145"/>
      <c r="G1271" s="145"/>
      <c r="H1271" s="128">
        <f t="shared" ref="H1271:H1301" si="25">SUM(I1271:AM1271)</f>
        <v>0</v>
      </c>
      <c r="I1271" s="129"/>
      <c r="J1271" s="129"/>
      <c r="K1271" s="129"/>
      <c r="L1271" s="129"/>
      <c r="M1271" s="129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</row>
    <row r="1272" spans="1:39" ht="15.75" hidden="1" x14ac:dyDescent="0.25">
      <c r="A1272" s="127">
        <v>1271</v>
      </c>
      <c r="B1272" s="148"/>
      <c r="C1272" s="145"/>
      <c r="D1272" s="145"/>
      <c r="E1272" s="145"/>
      <c r="F1272" s="145"/>
      <c r="G1272" s="145"/>
      <c r="H1272" s="128">
        <f t="shared" si="25"/>
        <v>0</v>
      </c>
      <c r="I1272" s="129"/>
      <c r="J1272" s="129"/>
      <c r="K1272" s="129"/>
      <c r="L1272" s="129"/>
      <c r="M1272" s="129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</row>
    <row r="1273" spans="1:39" ht="15.75" hidden="1" x14ac:dyDescent="0.25">
      <c r="A1273" s="127">
        <v>1272</v>
      </c>
      <c r="B1273" s="148"/>
      <c r="C1273" s="145"/>
      <c r="D1273" s="145"/>
      <c r="E1273" s="145"/>
      <c r="F1273" s="145"/>
      <c r="G1273" s="145"/>
      <c r="H1273" s="128">
        <f t="shared" si="25"/>
        <v>0</v>
      </c>
      <c r="I1273" s="129"/>
      <c r="J1273" s="129"/>
      <c r="K1273" s="129"/>
      <c r="L1273" s="129"/>
      <c r="M1273" s="129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</row>
    <row r="1274" spans="1:39" ht="15.75" hidden="1" x14ac:dyDescent="0.25">
      <c r="A1274" s="127">
        <v>1273</v>
      </c>
      <c r="B1274" s="148"/>
      <c r="C1274" s="145"/>
      <c r="D1274" s="145"/>
      <c r="E1274" s="145"/>
      <c r="F1274" s="145"/>
      <c r="G1274" s="145"/>
      <c r="H1274" s="128">
        <f t="shared" si="25"/>
        <v>0</v>
      </c>
      <c r="I1274" s="129"/>
      <c r="J1274" s="129"/>
      <c r="K1274" s="129"/>
      <c r="L1274" s="129"/>
      <c r="M1274" s="129"/>
      <c r="N1274" s="129"/>
      <c r="O1274" s="129"/>
      <c r="P1274" s="129"/>
      <c r="Q1274" s="129"/>
      <c r="R1274" s="129"/>
      <c r="S1274" s="129"/>
      <c r="T1274" s="129"/>
      <c r="U1274" s="129"/>
      <c r="V1274" s="129"/>
      <c r="W1274" s="129"/>
      <c r="X1274" s="129"/>
      <c r="Y1274" s="129"/>
      <c r="Z1274" s="129"/>
      <c r="AA1274" s="129"/>
      <c r="AB1274" s="129"/>
      <c r="AC1274" s="129"/>
      <c r="AD1274" s="129"/>
      <c r="AE1274" s="129"/>
      <c r="AF1274" s="129"/>
      <c r="AG1274" s="129"/>
      <c r="AH1274" s="129"/>
      <c r="AI1274" s="129"/>
      <c r="AJ1274" s="129"/>
      <c r="AK1274" s="129"/>
      <c r="AL1274" s="129"/>
      <c r="AM1274" s="129"/>
    </row>
    <row r="1275" spans="1:39" ht="15.75" hidden="1" x14ac:dyDescent="0.25">
      <c r="A1275" s="127">
        <v>1274</v>
      </c>
      <c r="B1275" s="148"/>
      <c r="C1275" s="145"/>
      <c r="D1275" s="145"/>
      <c r="E1275" s="145"/>
      <c r="F1275" s="145"/>
      <c r="G1275" s="145"/>
      <c r="H1275" s="128">
        <f t="shared" si="25"/>
        <v>0</v>
      </c>
      <c r="I1275" s="129"/>
      <c r="J1275" s="129"/>
      <c r="K1275" s="129"/>
      <c r="L1275" s="129"/>
      <c r="M1275" s="129"/>
      <c r="N1275" s="129"/>
      <c r="O1275" s="129"/>
      <c r="P1275" s="129"/>
      <c r="Q1275" s="129"/>
      <c r="R1275" s="129"/>
      <c r="S1275" s="129"/>
      <c r="T1275" s="129"/>
      <c r="U1275" s="129"/>
      <c r="V1275" s="129"/>
      <c r="W1275" s="129"/>
      <c r="X1275" s="129"/>
      <c r="Y1275" s="129"/>
      <c r="Z1275" s="129"/>
      <c r="AA1275" s="129"/>
      <c r="AB1275" s="129"/>
      <c r="AC1275" s="129"/>
      <c r="AD1275" s="129"/>
      <c r="AE1275" s="129"/>
      <c r="AF1275" s="129"/>
      <c r="AG1275" s="129"/>
      <c r="AH1275" s="129"/>
      <c r="AI1275" s="129"/>
      <c r="AJ1275" s="129"/>
      <c r="AK1275" s="129"/>
      <c r="AL1275" s="129"/>
      <c r="AM1275" s="129"/>
    </row>
    <row r="1276" spans="1:39" ht="15.75" hidden="1" x14ac:dyDescent="0.25">
      <c r="A1276" s="127">
        <v>1275</v>
      </c>
      <c r="B1276" s="148"/>
      <c r="C1276" s="145"/>
      <c r="D1276" s="145"/>
      <c r="E1276" s="145"/>
      <c r="F1276" s="145"/>
      <c r="G1276" s="145"/>
      <c r="H1276" s="128">
        <f t="shared" si="25"/>
        <v>0</v>
      </c>
      <c r="I1276" s="129"/>
      <c r="J1276" s="129"/>
      <c r="K1276" s="129"/>
      <c r="L1276" s="129"/>
      <c r="M1276" s="129"/>
      <c r="N1276" s="129"/>
      <c r="O1276" s="129"/>
      <c r="P1276" s="129"/>
      <c r="Q1276" s="129"/>
      <c r="R1276" s="129"/>
      <c r="S1276" s="129"/>
      <c r="T1276" s="129"/>
      <c r="U1276" s="129"/>
      <c r="V1276" s="129"/>
      <c r="W1276" s="129"/>
      <c r="X1276" s="129"/>
      <c r="Y1276" s="129"/>
      <c r="Z1276" s="129"/>
      <c r="AA1276" s="129"/>
      <c r="AB1276" s="129"/>
      <c r="AC1276" s="129"/>
      <c r="AD1276" s="129"/>
      <c r="AE1276" s="129"/>
      <c r="AF1276" s="129"/>
      <c r="AG1276" s="129"/>
      <c r="AH1276" s="129"/>
      <c r="AI1276" s="129"/>
      <c r="AJ1276" s="129"/>
      <c r="AK1276" s="129"/>
      <c r="AL1276" s="129"/>
      <c r="AM1276" s="129"/>
    </row>
    <row r="1277" spans="1:39" ht="15.75" hidden="1" x14ac:dyDescent="0.25">
      <c r="A1277" s="127">
        <v>1276</v>
      </c>
      <c r="B1277" s="148"/>
      <c r="C1277" s="145"/>
      <c r="D1277" s="145"/>
      <c r="E1277" s="145"/>
      <c r="F1277" s="145"/>
      <c r="G1277" s="145"/>
      <c r="H1277" s="128">
        <f t="shared" si="25"/>
        <v>0</v>
      </c>
      <c r="I1277" s="129"/>
      <c r="J1277" s="129"/>
      <c r="K1277" s="129"/>
      <c r="L1277" s="129"/>
      <c r="M1277" s="129"/>
      <c r="N1277" s="129"/>
      <c r="O1277" s="129"/>
      <c r="P1277" s="129"/>
      <c r="Q1277" s="129"/>
      <c r="R1277" s="129"/>
      <c r="S1277" s="129"/>
      <c r="T1277" s="129"/>
      <c r="U1277" s="129"/>
      <c r="V1277" s="129"/>
      <c r="W1277" s="129"/>
      <c r="X1277" s="129"/>
      <c r="Y1277" s="129"/>
      <c r="Z1277" s="129"/>
      <c r="AA1277" s="129"/>
      <c r="AB1277" s="129"/>
      <c r="AC1277" s="129"/>
      <c r="AD1277" s="129"/>
      <c r="AE1277" s="129"/>
      <c r="AF1277" s="129"/>
      <c r="AG1277" s="129"/>
      <c r="AH1277" s="129"/>
      <c r="AI1277" s="129"/>
      <c r="AJ1277" s="129"/>
      <c r="AK1277" s="129"/>
      <c r="AL1277" s="129"/>
      <c r="AM1277" s="129"/>
    </row>
    <row r="1278" spans="1:39" ht="15.75" hidden="1" x14ac:dyDescent="0.25">
      <c r="A1278" s="127">
        <v>1277</v>
      </c>
      <c r="B1278" s="148"/>
      <c r="C1278" s="145"/>
      <c r="D1278" s="145"/>
      <c r="E1278" s="145"/>
      <c r="F1278" s="145"/>
      <c r="G1278" s="145"/>
      <c r="H1278" s="128">
        <f t="shared" si="25"/>
        <v>0</v>
      </c>
      <c r="I1278" s="129"/>
      <c r="J1278" s="129"/>
      <c r="K1278" s="129"/>
      <c r="L1278" s="129"/>
      <c r="M1278" s="129"/>
      <c r="N1278" s="129"/>
      <c r="O1278" s="129"/>
      <c r="P1278" s="129"/>
      <c r="Q1278" s="129"/>
      <c r="R1278" s="129"/>
      <c r="S1278" s="129"/>
      <c r="T1278" s="129"/>
      <c r="U1278" s="129"/>
      <c r="V1278" s="129"/>
      <c r="W1278" s="129"/>
      <c r="X1278" s="129"/>
      <c r="Y1278" s="129"/>
      <c r="Z1278" s="129"/>
      <c r="AA1278" s="129"/>
      <c r="AB1278" s="129"/>
      <c r="AC1278" s="129"/>
      <c r="AD1278" s="129"/>
      <c r="AE1278" s="129"/>
      <c r="AF1278" s="129"/>
      <c r="AG1278" s="129"/>
      <c r="AH1278" s="129"/>
      <c r="AI1278" s="129"/>
      <c r="AJ1278" s="129"/>
      <c r="AK1278" s="129"/>
      <c r="AL1278" s="129"/>
      <c r="AM1278" s="129"/>
    </row>
    <row r="1279" spans="1:39" ht="15.75" hidden="1" x14ac:dyDescent="0.25">
      <c r="A1279" s="127">
        <v>1278</v>
      </c>
      <c r="B1279" s="148"/>
      <c r="C1279" s="145"/>
      <c r="D1279" s="145"/>
      <c r="E1279" s="145"/>
      <c r="F1279" s="145"/>
      <c r="G1279" s="145"/>
      <c r="H1279" s="128">
        <f t="shared" si="25"/>
        <v>0</v>
      </c>
      <c r="I1279" s="129"/>
      <c r="J1279" s="129"/>
      <c r="K1279" s="129"/>
      <c r="L1279" s="129"/>
      <c r="M1279" s="129"/>
      <c r="N1279" s="129"/>
      <c r="O1279" s="129"/>
      <c r="P1279" s="129"/>
      <c r="Q1279" s="129"/>
      <c r="R1279" s="129"/>
      <c r="S1279" s="129"/>
      <c r="T1279" s="129"/>
      <c r="U1279" s="129"/>
      <c r="V1279" s="129"/>
      <c r="W1279" s="129"/>
      <c r="X1279" s="129"/>
      <c r="Y1279" s="129"/>
      <c r="Z1279" s="129"/>
      <c r="AA1279" s="129"/>
      <c r="AB1279" s="129"/>
      <c r="AC1279" s="129"/>
      <c r="AD1279" s="129"/>
      <c r="AE1279" s="129"/>
      <c r="AF1279" s="129"/>
      <c r="AG1279" s="129"/>
      <c r="AH1279" s="129"/>
      <c r="AI1279" s="129"/>
      <c r="AJ1279" s="129"/>
      <c r="AK1279" s="129"/>
      <c r="AL1279" s="129"/>
      <c r="AM1279" s="129"/>
    </row>
    <row r="1280" spans="1:39" ht="15.75" hidden="1" x14ac:dyDescent="0.25">
      <c r="A1280" s="127">
        <v>1279</v>
      </c>
      <c r="B1280" s="148"/>
      <c r="C1280" s="145"/>
      <c r="D1280" s="145"/>
      <c r="E1280" s="145"/>
      <c r="F1280" s="145"/>
      <c r="G1280" s="145"/>
      <c r="H1280" s="128">
        <f t="shared" si="25"/>
        <v>0</v>
      </c>
      <c r="I1280" s="129"/>
      <c r="J1280" s="129"/>
      <c r="K1280" s="129"/>
      <c r="L1280" s="129"/>
      <c r="M1280" s="129"/>
      <c r="N1280" s="129"/>
      <c r="O1280" s="129"/>
      <c r="P1280" s="129"/>
      <c r="Q1280" s="129"/>
      <c r="R1280" s="129"/>
      <c r="S1280" s="129"/>
      <c r="T1280" s="129"/>
      <c r="U1280" s="129"/>
      <c r="V1280" s="129"/>
      <c r="W1280" s="129"/>
      <c r="X1280" s="129"/>
      <c r="Y1280" s="129"/>
      <c r="Z1280" s="129"/>
      <c r="AA1280" s="129"/>
      <c r="AB1280" s="129"/>
      <c r="AC1280" s="129"/>
      <c r="AD1280" s="129"/>
      <c r="AE1280" s="129"/>
      <c r="AF1280" s="129"/>
      <c r="AG1280" s="129"/>
      <c r="AH1280" s="129"/>
      <c r="AI1280" s="129"/>
      <c r="AJ1280" s="129"/>
      <c r="AK1280" s="129"/>
      <c r="AL1280" s="129"/>
      <c r="AM1280" s="129"/>
    </row>
    <row r="1281" spans="1:39" ht="15.75" hidden="1" x14ac:dyDescent="0.25">
      <c r="A1281" s="127">
        <v>1280</v>
      </c>
      <c r="B1281" s="148"/>
      <c r="C1281" s="145"/>
      <c r="D1281" s="145"/>
      <c r="E1281" s="145"/>
      <c r="F1281" s="145"/>
      <c r="G1281" s="145"/>
      <c r="H1281" s="128">
        <f t="shared" si="25"/>
        <v>0</v>
      </c>
      <c r="I1281" s="129"/>
      <c r="J1281" s="129"/>
      <c r="K1281" s="129"/>
      <c r="L1281" s="129"/>
      <c r="M1281" s="129"/>
      <c r="N1281" s="129"/>
      <c r="O1281" s="129"/>
      <c r="P1281" s="129"/>
      <c r="Q1281" s="129"/>
      <c r="R1281" s="129"/>
      <c r="S1281" s="129"/>
      <c r="T1281" s="129"/>
      <c r="U1281" s="129"/>
      <c r="V1281" s="129"/>
      <c r="W1281" s="129"/>
      <c r="X1281" s="129"/>
      <c r="Y1281" s="129"/>
      <c r="Z1281" s="129"/>
      <c r="AA1281" s="129"/>
      <c r="AB1281" s="129"/>
      <c r="AC1281" s="129"/>
      <c r="AD1281" s="129"/>
      <c r="AE1281" s="129"/>
      <c r="AF1281" s="129"/>
      <c r="AG1281" s="129"/>
      <c r="AH1281" s="129"/>
      <c r="AI1281" s="129"/>
      <c r="AJ1281" s="129"/>
      <c r="AK1281" s="129"/>
      <c r="AL1281" s="129"/>
      <c r="AM1281" s="129"/>
    </row>
    <row r="1282" spans="1:39" ht="15.75" hidden="1" x14ac:dyDescent="0.25">
      <c r="A1282" s="127">
        <v>1281</v>
      </c>
      <c r="B1282" s="148"/>
      <c r="C1282" s="145"/>
      <c r="D1282" s="145"/>
      <c r="E1282" s="145"/>
      <c r="F1282" s="145"/>
      <c r="G1282" s="145"/>
      <c r="H1282" s="128">
        <f t="shared" si="25"/>
        <v>0</v>
      </c>
      <c r="I1282" s="129"/>
      <c r="J1282" s="129"/>
      <c r="K1282" s="129"/>
      <c r="L1282" s="129"/>
      <c r="M1282" s="129"/>
      <c r="N1282" s="129"/>
      <c r="O1282" s="129"/>
      <c r="P1282" s="129"/>
      <c r="Q1282" s="129"/>
      <c r="R1282" s="129"/>
      <c r="S1282" s="129"/>
      <c r="T1282" s="129"/>
      <c r="U1282" s="129"/>
      <c r="V1282" s="129"/>
      <c r="W1282" s="129"/>
      <c r="X1282" s="129"/>
      <c r="Y1282" s="129"/>
      <c r="Z1282" s="129"/>
      <c r="AA1282" s="129"/>
      <c r="AB1282" s="129"/>
      <c r="AC1282" s="129"/>
      <c r="AD1282" s="129"/>
      <c r="AE1282" s="129"/>
      <c r="AF1282" s="129"/>
      <c r="AG1282" s="129"/>
      <c r="AH1282" s="129"/>
      <c r="AI1282" s="129"/>
      <c r="AJ1282" s="129"/>
      <c r="AK1282" s="129"/>
      <c r="AL1282" s="129"/>
      <c r="AM1282" s="129"/>
    </row>
    <row r="1283" spans="1:39" ht="15.75" hidden="1" x14ac:dyDescent="0.25">
      <c r="A1283" s="127">
        <v>1282</v>
      </c>
      <c r="B1283" s="148"/>
      <c r="C1283" s="145"/>
      <c r="D1283" s="145"/>
      <c r="E1283" s="145"/>
      <c r="F1283" s="145"/>
      <c r="G1283" s="145"/>
      <c r="H1283" s="128">
        <f t="shared" si="25"/>
        <v>0</v>
      </c>
      <c r="I1283" s="129"/>
      <c r="J1283" s="129"/>
      <c r="K1283" s="129"/>
      <c r="L1283" s="129"/>
      <c r="M1283" s="129"/>
      <c r="N1283" s="129"/>
      <c r="O1283" s="129"/>
      <c r="P1283" s="129"/>
      <c r="Q1283" s="129"/>
      <c r="R1283" s="129"/>
      <c r="S1283" s="129"/>
      <c r="T1283" s="129"/>
      <c r="U1283" s="129"/>
      <c r="V1283" s="129"/>
      <c r="W1283" s="129"/>
      <c r="X1283" s="129"/>
      <c r="Y1283" s="129"/>
      <c r="Z1283" s="129"/>
      <c r="AA1283" s="129"/>
      <c r="AB1283" s="129"/>
      <c r="AC1283" s="129"/>
      <c r="AD1283" s="129"/>
      <c r="AE1283" s="129"/>
      <c r="AF1283" s="129"/>
      <c r="AG1283" s="129"/>
      <c r="AH1283" s="129"/>
      <c r="AI1283" s="129"/>
      <c r="AJ1283" s="129"/>
      <c r="AK1283" s="129"/>
      <c r="AL1283" s="129"/>
      <c r="AM1283" s="129"/>
    </row>
    <row r="1284" spans="1:39" ht="15.75" hidden="1" x14ac:dyDescent="0.25">
      <c r="A1284" s="127">
        <v>1283</v>
      </c>
      <c r="B1284" s="148"/>
      <c r="C1284" s="145"/>
      <c r="D1284" s="145"/>
      <c r="E1284" s="145"/>
      <c r="F1284" s="145"/>
      <c r="G1284" s="145"/>
      <c r="H1284" s="128">
        <f t="shared" si="25"/>
        <v>0</v>
      </c>
      <c r="I1284" s="129"/>
      <c r="J1284" s="129"/>
      <c r="K1284" s="129"/>
      <c r="L1284" s="129"/>
      <c r="M1284" s="129"/>
      <c r="N1284" s="129"/>
      <c r="O1284" s="129"/>
      <c r="P1284" s="129"/>
      <c r="Q1284" s="129"/>
      <c r="R1284" s="129"/>
      <c r="S1284" s="129"/>
      <c r="T1284" s="129"/>
      <c r="U1284" s="129"/>
      <c r="V1284" s="129"/>
      <c r="W1284" s="129"/>
      <c r="X1284" s="129"/>
      <c r="Y1284" s="129"/>
      <c r="Z1284" s="129"/>
      <c r="AA1284" s="129"/>
      <c r="AB1284" s="129"/>
      <c r="AC1284" s="129"/>
      <c r="AD1284" s="129"/>
      <c r="AE1284" s="129"/>
      <c r="AF1284" s="129"/>
      <c r="AG1284" s="129"/>
      <c r="AH1284" s="129"/>
      <c r="AI1284" s="129"/>
      <c r="AJ1284" s="129"/>
      <c r="AK1284" s="129"/>
      <c r="AL1284" s="129"/>
      <c r="AM1284" s="129"/>
    </row>
    <row r="1285" spans="1:39" ht="15.75" hidden="1" x14ac:dyDescent="0.25">
      <c r="A1285" s="127">
        <v>1284</v>
      </c>
      <c r="B1285" s="148"/>
      <c r="C1285" s="145"/>
      <c r="D1285" s="145"/>
      <c r="E1285" s="145"/>
      <c r="F1285" s="145"/>
      <c r="G1285" s="145"/>
      <c r="H1285" s="128">
        <f t="shared" si="25"/>
        <v>0</v>
      </c>
      <c r="I1285" s="129"/>
      <c r="J1285" s="129"/>
      <c r="K1285" s="129"/>
      <c r="L1285" s="129"/>
      <c r="M1285" s="129"/>
      <c r="N1285" s="129"/>
      <c r="O1285" s="129"/>
      <c r="P1285" s="129"/>
      <c r="Q1285" s="129"/>
      <c r="R1285" s="129"/>
      <c r="S1285" s="129"/>
      <c r="T1285" s="129"/>
      <c r="U1285" s="129"/>
      <c r="V1285" s="129"/>
      <c r="W1285" s="129"/>
      <c r="X1285" s="129"/>
      <c r="Y1285" s="129"/>
      <c r="Z1285" s="129"/>
      <c r="AA1285" s="129"/>
      <c r="AB1285" s="129"/>
      <c r="AC1285" s="129"/>
      <c r="AD1285" s="129"/>
      <c r="AE1285" s="129"/>
      <c r="AF1285" s="129"/>
      <c r="AG1285" s="129"/>
      <c r="AH1285" s="129"/>
      <c r="AI1285" s="129"/>
      <c r="AJ1285" s="129"/>
      <c r="AK1285" s="129"/>
      <c r="AL1285" s="129"/>
      <c r="AM1285" s="129"/>
    </row>
    <row r="1286" spans="1:39" ht="15.75" hidden="1" x14ac:dyDescent="0.25">
      <c r="A1286" s="127">
        <v>1285</v>
      </c>
      <c r="B1286" s="148"/>
      <c r="C1286" s="145"/>
      <c r="D1286" s="145"/>
      <c r="E1286" s="145"/>
      <c r="F1286" s="145"/>
      <c r="G1286" s="145"/>
      <c r="H1286" s="128">
        <f t="shared" si="25"/>
        <v>0</v>
      </c>
      <c r="I1286" s="129"/>
      <c r="J1286" s="129"/>
      <c r="K1286" s="129"/>
      <c r="L1286" s="129"/>
      <c r="M1286" s="129"/>
      <c r="N1286" s="129"/>
      <c r="O1286" s="129"/>
      <c r="P1286" s="129"/>
      <c r="Q1286" s="129"/>
      <c r="R1286" s="129"/>
      <c r="S1286" s="129"/>
      <c r="T1286" s="129"/>
      <c r="U1286" s="129"/>
      <c r="V1286" s="129"/>
      <c r="W1286" s="129"/>
      <c r="X1286" s="129"/>
      <c r="Y1286" s="129"/>
      <c r="Z1286" s="129"/>
      <c r="AA1286" s="129"/>
      <c r="AB1286" s="129"/>
      <c r="AC1286" s="129"/>
      <c r="AD1286" s="129"/>
      <c r="AE1286" s="129"/>
      <c r="AF1286" s="129"/>
      <c r="AG1286" s="129"/>
      <c r="AH1286" s="129"/>
      <c r="AI1286" s="129"/>
      <c r="AJ1286" s="129"/>
      <c r="AK1286" s="129"/>
      <c r="AL1286" s="129"/>
      <c r="AM1286" s="129"/>
    </row>
    <row r="1287" spans="1:39" ht="15.75" hidden="1" x14ac:dyDescent="0.25">
      <c r="A1287" s="127">
        <v>1286</v>
      </c>
      <c r="B1287" s="148"/>
      <c r="C1287" s="145"/>
      <c r="D1287" s="145"/>
      <c r="E1287" s="145"/>
      <c r="F1287" s="145"/>
      <c r="G1287" s="145"/>
      <c r="H1287" s="128">
        <f t="shared" si="25"/>
        <v>0</v>
      </c>
      <c r="I1287" s="129"/>
      <c r="J1287" s="129"/>
      <c r="K1287" s="129"/>
      <c r="L1287" s="129"/>
      <c r="M1287" s="129"/>
      <c r="N1287" s="129"/>
      <c r="O1287" s="129"/>
      <c r="P1287" s="129"/>
      <c r="Q1287" s="129"/>
      <c r="R1287" s="129"/>
      <c r="S1287" s="129"/>
      <c r="T1287" s="129"/>
      <c r="U1287" s="129"/>
      <c r="V1287" s="129"/>
      <c r="W1287" s="129"/>
      <c r="X1287" s="129"/>
      <c r="Y1287" s="129"/>
      <c r="Z1287" s="129"/>
      <c r="AA1287" s="129"/>
      <c r="AB1287" s="129"/>
      <c r="AC1287" s="129"/>
      <c r="AD1287" s="129"/>
      <c r="AE1287" s="129"/>
      <c r="AF1287" s="129"/>
      <c r="AG1287" s="129"/>
      <c r="AH1287" s="129"/>
      <c r="AI1287" s="129"/>
      <c r="AJ1287" s="129"/>
      <c r="AK1287" s="129"/>
      <c r="AL1287" s="129"/>
      <c r="AM1287" s="129"/>
    </row>
    <row r="1288" spans="1:39" ht="15.75" hidden="1" x14ac:dyDescent="0.25">
      <c r="A1288" s="127">
        <v>1287</v>
      </c>
      <c r="B1288" s="148"/>
      <c r="C1288" s="145"/>
      <c r="D1288" s="145"/>
      <c r="E1288" s="145"/>
      <c r="F1288" s="145"/>
      <c r="G1288" s="145"/>
      <c r="H1288" s="128">
        <f t="shared" si="25"/>
        <v>0</v>
      </c>
      <c r="I1288" s="129"/>
      <c r="J1288" s="129"/>
      <c r="K1288" s="129"/>
      <c r="L1288" s="129"/>
      <c r="M1288" s="129"/>
      <c r="N1288" s="129"/>
      <c r="O1288" s="129"/>
      <c r="P1288" s="129"/>
      <c r="Q1288" s="129"/>
      <c r="R1288" s="129"/>
      <c r="S1288" s="129"/>
      <c r="T1288" s="129"/>
      <c r="U1288" s="129"/>
      <c r="V1288" s="129"/>
      <c r="W1288" s="129"/>
      <c r="X1288" s="129"/>
      <c r="Y1288" s="129"/>
      <c r="Z1288" s="129"/>
      <c r="AA1288" s="129"/>
      <c r="AB1288" s="129"/>
      <c r="AC1288" s="129"/>
      <c r="AD1288" s="129"/>
      <c r="AE1288" s="129"/>
      <c r="AF1288" s="129"/>
      <c r="AG1288" s="129"/>
      <c r="AH1288" s="129"/>
      <c r="AI1288" s="129"/>
      <c r="AJ1288" s="129"/>
      <c r="AK1288" s="129"/>
      <c r="AL1288" s="129"/>
      <c r="AM1288" s="129"/>
    </row>
    <row r="1289" spans="1:39" ht="15.75" hidden="1" x14ac:dyDescent="0.25">
      <c r="A1289" s="127">
        <v>1288</v>
      </c>
      <c r="B1289" s="148"/>
      <c r="C1289" s="145"/>
      <c r="D1289" s="145"/>
      <c r="E1289" s="145"/>
      <c r="F1289" s="145"/>
      <c r="G1289" s="145"/>
      <c r="H1289" s="128">
        <f t="shared" si="25"/>
        <v>0</v>
      </c>
      <c r="I1289" s="129"/>
      <c r="J1289" s="129"/>
      <c r="K1289" s="129"/>
      <c r="L1289" s="129"/>
      <c r="M1289" s="129"/>
      <c r="N1289" s="129"/>
      <c r="O1289" s="129"/>
      <c r="P1289" s="129"/>
      <c r="Q1289" s="129"/>
      <c r="R1289" s="129"/>
      <c r="S1289" s="129"/>
      <c r="T1289" s="129"/>
      <c r="U1289" s="129"/>
      <c r="V1289" s="129"/>
      <c r="W1289" s="129"/>
      <c r="X1289" s="129"/>
      <c r="Y1289" s="129"/>
      <c r="Z1289" s="129"/>
      <c r="AA1289" s="129"/>
      <c r="AB1289" s="129"/>
      <c r="AC1289" s="129"/>
      <c r="AD1289" s="129"/>
      <c r="AE1289" s="129"/>
      <c r="AF1289" s="129"/>
      <c r="AG1289" s="129"/>
      <c r="AH1289" s="129"/>
      <c r="AI1289" s="129"/>
      <c r="AJ1289" s="129"/>
      <c r="AK1289" s="129"/>
      <c r="AL1289" s="129"/>
      <c r="AM1289" s="129"/>
    </row>
    <row r="1290" spans="1:39" ht="15.75" hidden="1" x14ac:dyDescent="0.25">
      <c r="A1290" s="127">
        <v>1289</v>
      </c>
      <c r="B1290" s="148"/>
      <c r="C1290" s="145"/>
      <c r="D1290" s="145"/>
      <c r="E1290" s="145"/>
      <c r="F1290" s="145"/>
      <c r="G1290" s="145"/>
      <c r="H1290" s="128">
        <f t="shared" si="25"/>
        <v>0</v>
      </c>
      <c r="I1290" s="129"/>
      <c r="J1290" s="129"/>
      <c r="K1290" s="129"/>
      <c r="L1290" s="129"/>
      <c r="M1290" s="129"/>
      <c r="N1290" s="129"/>
      <c r="O1290" s="129"/>
      <c r="P1290" s="129"/>
      <c r="Q1290" s="129"/>
      <c r="R1290" s="129"/>
      <c r="S1290" s="129"/>
      <c r="T1290" s="129"/>
      <c r="U1290" s="129"/>
      <c r="V1290" s="129"/>
      <c r="W1290" s="129"/>
      <c r="X1290" s="129"/>
      <c r="Y1290" s="129"/>
      <c r="Z1290" s="129"/>
      <c r="AA1290" s="129"/>
      <c r="AB1290" s="129"/>
      <c r="AC1290" s="129"/>
      <c r="AD1290" s="129"/>
      <c r="AE1290" s="129"/>
      <c r="AF1290" s="129"/>
      <c r="AG1290" s="129"/>
      <c r="AH1290" s="129"/>
      <c r="AI1290" s="129"/>
      <c r="AJ1290" s="129"/>
      <c r="AK1290" s="129"/>
      <c r="AL1290" s="129"/>
      <c r="AM1290" s="129"/>
    </row>
    <row r="1291" spans="1:39" ht="15.75" hidden="1" x14ac:dyDescent="0.25">
      <c r="A1291" s="127">
        <v>1290</v>
      </c>
      <c r="B1291" s="148"/>
      <c r="C1291" s="145"/>
      <c r="D1291" s="145"/>
      <c r="E1291" s="145"/>
      <c r="F1291" s="145"/>
      <c r="G1291" s="145"/>
      <c r="H1291" s="128">
        <f t="shared" si="25"/>
        <v>0</v>
      </c>
      <c r="I1291" s="129"/>
      <c r="J1291" s="129"/>
      <c r="K1291" s="129"/>
      <c r="L1291" s="129"/>
      <c r="M1291" s="129"/>
      <c r="N1291" s="129"/>
      <c r="O1291" s="129"/>
      <c r="P1291" s="129"/>
      <c r="Q1291" s="129"/>
      <c r="R1291" s="129"/>
      <c r="S1291" s="129"/>
      <c r="T1291" s="129"/>
      <c r="U1291" s="129"/>
      <c r="V1291" s="129"/>
      <c r="W1291" s="129"/>
      <c r="X1291" s="129"/>
      <c r="Y1291" s="129"/>
      <c r="Z1291" s="129"/>
      <c r="AA1291" s="129"/>
      <c r="AB1291" s="129"/>
      <c r="AC1291" s="129"/>
      <c r="AD1291" s="129"/>
      <c r="AE1291" s="129"/>
      <c r="AF1291" s="129"/>
      <c r="AG1291" s="129"/>
      <c r="AH1291" s="129"/>
      <c r="AI1291" s="129"/>
      <c r="AJ1291" s="129"/>
      <c r="AK1291" s="129"/>
      <c r="AL1291" s="129"/>
      <c r="AM1291" s="129"/>
    </row>
    <row r="1292" spans="1:39" ht="15.75" hidden="1" x14ac:dyDescent="0.25">
      <c r="A1292" s="127">
        <v>1291</v>
      </c>
      <c r="B1292" s="148"/>
      <c r="C1292" s="145"/>
      <c r="D1292" s="145"/>
      <c r="E1292" s="145"/>
      <c r="F1292" s="145"/>
      <c r="G1292" s="145"/>
      <c r="H1292" s="128">
        <f t="shared" si="25"/>
        <v>0</v>
      </c>
      <c r="I1292" s="129"/>
      <c r="J1292" s="129"/>
      <c r="K1292" s="129"/>
      <c r="L1292" s="129"/>
      <c r="M1292" s="129"/>
      <c r="N1292" s="129"/>
      <c r="O1292" s="129"/>
      <c r="P1292" s="129"/>
      <c r="Q1292" s="129"/>
      <c r="R1292" s="129"/>
      <c r="S1292" s="129"/>
      <c r="T1292" s="129"/>
      <c r="U1292" s="129"/>
      <c r="V1292" s="129"/>
      <c r="W1292" s="129"/>
      <c r="X1292" s="129"/>
      <c r="Y1292" s="129"/>
      <c r="Z1292" s="129"/>
      <c r="AA1292" s="129"/>
      <c r="AB1292" s="129"/>
      <c r="AC1292" s="129"/>
      <c r="AD1292" s="129"/>
      <c r="AE1292" s="129"/>
      <c r="AF1292" s="129"/>
      <c r="AG1292" s="129"/>
      <c r="AH1292" s="129"/>
      <c r="AI1292" s="129"/>
      <c r="AJ1292" s="129"/>
      <c r="AK1292" s="129"/>
      <c r="AL1292" s="129"/>
      <c r="AM1292" s="129"/>
    </row>
    <row r="1293" spans="1:39" ht="15.75" hidden="1" x14ac:dyDescent="0.25">
      <c r="A1293" s="127">
        <v>1292</v>
      </c>
      <c r="B1293" s="148"/>
      <c r="C1293" s="145"/>
      <c r="D1293" s="145"/>
      <c r="E1293" s="145"/>
      <c r="F1293" s="145"/>
      <c r="G1293" s="145"/>
      <c r="H1293" s="128">
        <f t="shared" si="25"/>
        <v>0</v>
      </c>
      <c r="I1293" s="129"/>
      <c r="J1293" s="129"/>
      <c r="K1293" s="129"/>
      <c r="L1293" s="129"/>
      <c r="M1293" s="129"/>
      <c r="N1293" s="129"/>
      <c r="O1293" s="129"/>
      <c r="P1293" s="129"/>
      <c r="Q1293" s="129"/>
      <c r="R1293" s="129"/>
      <c r="S1293" s="129"/>
      <c r="T1293" s="129"/>
      <c r="U1293" s="129"/>
      <c r="V1293" s="129"/>
      <c r="W1293" s="129"/>
      <c r="X1293" s="129"/>
      <c r="Y1293" s="129"/>
      <c r="Z1293" s="129"/>
      <c r="AA1293" s="129"/>
      <c r="AB1293" s="129"/>
      <c r="AC1293" s="129"/>
      <c r="AD1293" s="129"/>
      <c r="AE1293" s="129"/>
      <c r="AF1293" s="129"/>
      <c r="AG1293" s="129"/>
      <c r="AH1293" s="129"/>
      <c r="AI1293" s="129"/>
      <c r="AJ1293" s="129"/>
      <c r="AK1293" s="129"/>
      <c r="AL1293" s="129"/>
      <c r="AM1293" s="129"/>
    </row>
    <row r="1294" spans="1:39" ht="15.75" hidden="1" x14ac:dyDescent="0.25">
      <c r="A1294" s="127">
        <v>1293</v>
      </c>
      <c r="B1294" s="148"/>
      <c r="C1294" s="145"/>
      <c r="D1294" s="145"/>
      <c r="E1294" s="145"/>
      <c r="F1294" s="145"/>
      <c r="G1294" s="145"/>
      <c r="H1294" s="128">
        <f t="shared" si="25"/>
        <v>0</v>
      </c>
      <c r="I1294" s="129"/>
      <c r="J1294" s="129"/>
      <c r="K1294" s="129"/>
      <c r="L1294" s="129"/>
      <c r="M1294" s="129"/>
      <c r="N1294" s="129"/>
      <c r="O1294" s="129"/>
      <c r="P1294" s="129"/>
      <c r="Q1294" s="129"/>
      <c r="R1294" s="129"/>
      <c r="S1294" s="129"/>
      <c r="T1294" s="129"/>
      <c r="U1294" s="129"/>
      <c r="V1294" s="129"/>
      <c r="W1294" s="129"/>
      <c r="X1294" s="129"/>
      <c r="Y1294" s="129"/>
      <c r="Z1294" s="129"/>
      <c r="AA1294" s="129"/>
      <c r="AB1294" s="129"/>
      <c r="AC1294" s="129"/>
      <c r="AD1294" s="129"/>
      <c r="AE1294" s="129"/>
      <c r="AF1294" s="129"/>
      <c r="AG1294" s="129"/>
      <c r="AH1294" s="129"/>
      <c r="AI1294" s="129"/>
      <c r="AJ1294" s="129"/>
      <c r="AK1294" s="129"/>
      <c r="AL1294" s="129"/>
      <c r="AM1294" s="129"/>
    </row>
    <row r="1295" spans="1:39" ht="15.75" hidden="1" x14ac:dyDescent="0.25">
      <c r="A1295" s="127">
        <v>1294</v>
      </c>
      <c r="B1295" s="148"/>
      <c r="C1295" s="145"/>
      <c r="D1295" s="145"/>
      <c r="E1295" s="145"/>
      <c r="F1295" s="145"/>
      <c r="G1295" s="145"/>
      <c r="H1295" s="128">
        <f t="shared" si="25"/>
        <v>0</v>
      </c>
      <c r="I1295" s="129"/>
      <c r="J1295" s="129"/>
      <c r="K1295" s="129"/>
      <c r="L1295" s="129"/>
      <c r="M1295" s="129"/>
      <c r="N1295" s="129"/>
      <c r="O1295" s="129"/>
      <c r="P1295" s="129"/>
      <c r="Q1295" s="129"/>
      <c r="R1295" s="129"/>
      <c r="S1295" s="129"/>
      <c r="T1295" s="129"/>
      <c r="U1295" s="129"/>
      <c r="V1295" s="129"/>
      <c r="W1295" s="129"/>
      <c r="X1295" s="129"/>
      <c r="Y1295" s="129"/>
      <c r="Z1295" s="129"/>
      <c r="AA1295" s="129"/>
      <c r="AB1295" s="129"/>
      <c r="AC1295" s="129"/>
      <c r="AD1295" s="129"/>
      <c r="AE1295" s="129"/>
      <c r="AF1295" s="129"/>
      <c r="AG1295" s="129"/>
      <c r="AH1295" s="129"/>
      <c r="AI1295" s="129"/>
      <c r="AJ1295" s="129"/>
      <c r="AK1295" s="129"/>
      <c r="AL1295" s="129"/>
      <c r="AM1295" s="129"/>
    </row>
    <row r="1296" spans="1:39" ht="15.75" hidden="1" x14ac:dyDescent="0.25">
      <c r="A1296" s="127">
        <v>1295</v>
      </c>
      <c r="B1296" s="148"/>
      <c r="C1296" s="145"/>
      <c r="D1296" s="145"/>
      <c r="E1296" s="145"/>
      <c r="F1296" s="145"/>
      <c r="G1296" s="145"/>
      <c r="H1296" s="128">
        <f t="shared" si="25"/>
        <v>0</v>
      </c>
      <c r="I1296" s="129"/>
      <c r="J1296" s="129"/>
      <c r="K1296" s="129"/>
      <c r="L1296" s="129"/>
      <c r="M1296" s="129"/>
      <c r="N1296" s="129"/>
      <c r="O1296" s="129"/>
      <c r="P1296" s="129"/>
      <c r="Q1296" s="129"/>
      <c r="R1296" s="129"/>
      <c r="S1296" s="129"/>
      <c r="T1296" s="129"/>
      <c r="U1296" s="129"/>
      <c r="V1296" s="129"/>
      <c r="W1296" s="129"/>
      <c r="X1296" s="129"/>
      <c r="Y1296" s="129"/>
      <c r="Z1296" s="129"/>
      <c r="AA1296" s="129"/>
      <c r="AB1296" s="129"/>
      <c r="AC1296" s="129"/>
      <c r="AD1296" s="129"/>
      <c r="AE1296" s="129"/>
      <c r="AF1296" s="129"/>
      <c r="AG1296" s="129"/>
      <c r="AH1296" s="129"/>
      <c r="AI1296" s="129"/>
      <c r="AJ1296" s="129"/>
      <c r="AK1296" s="129"/>
      <c r="AL1296" s="129"/>
      <c r="AM1296" s="129"/>
    </row>
    <row r="1297" spans="1:39" ht="15.75" hidden="1" x14ac:dyDescent="0.25">
      <c r="A1297" s="127">
        <v>1296</v>
      </c>
      <c r="B1297" s="148"/>
      <c r="C1297" s="145"/>
      <c r="D1297" s="145"/>
      <c r="E1297" s="145"/>
      <c r="F1297" s="145"/>
      <c r="G1297" s="145"/>
      <c r="H1297" s="128">
        <f t="shared" si="25"/>
        <v>0</v>
      </c>
      <c r="I1297" s="129"/>
      <c r="J1297" s="129"/>
      <c r="K1297" s="129"/>
      <c r="L1297" s="129"/>
      <c r="M1297" s="129"/>
      <c r="N1297" s="129"/>
      <c r="O1297" s="129"/>
      <c r="P1297" s="129"/>
      <c r="Q1297" s="129"/>
      <c r="R1297" s="129"/>
      <c r="S1297" s="129"/>
      <c r="T1297" s="129"/>
      <c r="U1297" s="129"/>
      <c r="V1297" s="129"/>
      <c r="W1297" s="129"/>
      <c r="X1297" s="129"/>
      <c r="Y1297" s="129"/>
      <c r="Z1297" s="129"/>
      <c r="AA1297" s="129"/>
      <c r="AB1297" s="129"/>
      <c r="AC1297" s="129"/>
      <c r="AD1297" s="129"/>
      <c r="AE1297" s="129"/>
      <c r="AF1297" s="129"/>
      <c r="AG1297" s="129"/>
      <c r="AH1297" s="129"/>
      <c r="AI1297" s="129"/>
      <c r="AJ1297" s="129"/>
      <c r="AK1297" s="129"/>
      <c r="AL1297" s="129"/>
      <c r="AM1297" s="129"/>
    </row>
    <row r="1298" spans="1:39" ht="15.75" hidden="1" x14ac:dyDescent="0.25">
      <c r="A1298" s="127">
        <v>1297</v>
      </c>
      <c r="B1298" s="148"/>
      <c r="C1298" s="145"/>
      <c r="D1298" s="145"/>
      <c r="E1298" s="145"/>
      <c r="F1298" s="145"/>
      <c r="G1298" s="145"/>
      <c r="H1298" s="128">
        <f t="shared" si="25"/>
        <v>0</v>
      </c>
      <c r="I1298" s="129"/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</row>
    <row r="1299" spans="1:39" ht="15.75" hidden="1" x14ac:dyDescent="0.25">
      <c r="A1299" s="127">
        <v>1298</v>
      </c>
      <c r="B1299" s="148"/>
      <c r="C1299" s="145"/>
      <c r="D1299" s="145"/>
      <c r="E1299" s="145"/>
      <c r="F1299" s="145"/>
      <c r="G1299" s="145"/>
      <c r="H1299" s="128">
        <f t="shared" si="25"/>
        <v>0</v>
      </c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</row>
    <row r="1300" spans="1:39" ht="15.75" hidden="1" x14ac:dyDescent="0.25">
      <c r="A1300" s="127">
        <v>1299</v>
      </c>
      <c r="B1300" s="148"/>
      <c r="C1300" s="145"/>
      <c r="D1300" s="145"/>
      <c r="E1300" s="145"/>
      <c r="F1300" s="145"/>
      <c r="G1300" s="145"/>
      <c r="H1300" s="128">
        <f t="shared" si="25"/>
        <v>0</v>
      </c>
      <c r="I1300" s="129"/>
      <c r="J1300" s="129"/>
      <c r="K1300" s="129"/>
      <c r="L1300" s="129"/>
      <c r="M1300" s="129"/>
      <c r="N1300" s="129"/>
      <c r="O1300" s="129"/>
      <c r="P1300" s="129"/>
      <c r="Q1300" s="129"/>
      <c r="R1300" s="129"/>
      <c r="S1300" s="129"/>
      <c r="T1300" s="129"/>
      <c r="U1300" s="129"/>
      <c r="V1300" s="129"/>
      <c r="W1300" s="129"/>
      <c r="X1300" s="129"/>
      <c r="Y1300" s="129"/>
      <c r="Z1300" s="129"/>
      <c r="AA1300" s="129"/>
      <c r="AB1300" s="129"/>
      <c r="AC1300" s="129"/>
      <c r="AD1300" s="129"/>
      <c r="AE1300" s="129"/>
      <c r="AF1300" s="129"/>
      <c r="AG1300" s="129"/>
      <c r="AH1300" s="129"/>
      <c r="AI1300" s="129"/>
      <c r="AJ1300" s="129"/>
      <c r="AK1300" s="129"/>
      <c r="AL1300" s="129"/>
      <c r="AM1300" s="129"/>
    </row>
    <row r="1301" spans="1:39" ht="15.75" hidden="1" x14ac:dyDescent="0.25">
      <c r="A1301" s="127">
        <v>1300</v>
      </c>
      <c r="B1301" s="148"/>
      <c r="C1301" s="145"/>
      <c r="D1301" s="145"/>
      <c r="E1301" s="145"/>
      <c r="F1301" s="145"/>
      <c r="G1301" s="145"/>
      <c r="H1301" s="128">
        <f t="shared" si="25"/>
        <v>0</v>
      </c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29"/>
      <c r="AL1301" s="129"/>
      <c r="AM1301" s="129"/>
    </row>
  </sheetData>
  <sheetProtection algorithmName="SHA-512" hashValue="TdAF4damXutAxPcbzDLyWT3Yf7hZ0QmukOGsTpzD58LJFqO2SVwbZqb/+jyCwpNrzKikQBb62JKFXk2YzhWBJA==" saltValue="/yKZiwngb3UrI4s+hDHr5g==" spinCount="100000" sheet="1" objects="1" scenarios="1" autoFilter="0" pivotTables="0"/>
  <autoFilter ref="A1:AM1301" xr:uid="{C4E88381-09AF-4DB5-BD62-BBB61FC0942E}">
    <filterColumn colId="3">
      <filters>
        <filter val="بوكس فلين مطبوع 1 كيلو ( بريهانت )"/>
        <filter val="شوكولاتة فليك"/>
        <filter val="فليفلة حمراء مطحونة"/>
      </filters>
    </filterColumn>
  </autoFilter>
  <phoneticPr fontId="24" type="noConversion"/>
  <conditionalFormatting sqref="B481:B1152 B1:B479 B1154:B1157 B1159:B1166 B1177 B1193:B1048576 B1170:B1174 B1189:B1190">
    <cfRule type="duplicateValues" dxfId="210" priority="82"/>
  </conditionalFormatting>
  <conditionalFormatting sqref="B480:C480">
    <cfRule type="duplicateValues" dxfId="209" priority="76"/>
  </conditionalFormatting>
  <conditionalFormatting sqref="B1153:C1153">
    <cfRule type="duplicateValues" dxfId="208" priority="73"/>
  </conditionalFormatting>
  <conditionalFormatting sqref="B1158:C1158">
    <cfRule type="duplicateValues" dxfId="207" priority="70"/>
  </conditionalFormatting>
  <conditionalFormatting sqref="B1167:C1167">
    <cfRule type="duplicateValues" dxfId="206" priority="66"/>
  </conditionalFormatting>
  <conditionalFormatting sqref="B1168:C1168">
    <cfRule type="duplicateValues" dxfId="205" priority="56"/>
  </conditionalFormatting>
  <conditionalFormatting sqref="B1169:C1169">
    <cfRule type="duplicateValues" dxfId="204" priority="55"/>
  </conditionalFormatting>
  <conditionalFormatting sqref="B1178:C1188">
    <cfRule type="duplicateValues" dxfId="203" priority="1"/>
  </conditionalFormatting>
  <conditionalFormatting sqref="B1175:E1177 D1178:E1180">
    <cfRule type="duplicateValues" dxfId="202" priority="69"/>
  </conditionalFormatting>
  <conditionalFormatting sqref="B1191:E1192">
    <cfRule type="duplicateValues" dxfId="201" priority="67"/>
  </conditionalFormatting>
  <conditionalFormatting sqref="C481:C1152 C1:C479 C1154:C1157 C1159:C1166 C1177:D1177 C1193:D1048576 B1191:E1192 C1171:D1174 C1189:D1190 B1178:D1188">
    <cfRule type="duplicateValues" dxfId="200" priority="79"/>
  </conditionalFormatting>
  <conditionalFormatting sqref="C1170">
    <cfRule type="duplicateValues" dxfId="199" priority="3"/>
  </conditionalFormatting>
  <conditionalFormatting sqref="D1:D1065 D1067:D1096 D1115 D1119:D1128 D1133:D1143 D1145:D1149 D1162:D1167 D1170">
    <cfRule type="duplicateValues" dxfId="198" priority="54"/>
  </conditionalFormatting>
  <conditionalFormatting sqref="D1066">
    <cfRule type="duplicateValues" dxfId="197" priority="45"/>
    <cfRule type="duplicateValues" dxfId="196" priority="46"/>
    <cfRule type="duplicateValues" dxfId="195" priority="47"/>
    <cfRule type="duplicateValues" dxfId="194" priority="48"/>
    <cfRule type="duplicateValues" dxfId="193" priority="49"/>
    <cfRule type="duplicateValues" dxfId="192" priority="50"/>
    <cfRule type="duplicateValues" dxfId="191" priority="51"/>
    <cfRule type="duplicateValues" dxfId="190" priority="52"/>
    <cfRule type="duplicateValues" dxfId="189" priority="53"/>
  </conditionalFormatting>
  <conditionalFormatting sqref="D1097:D1099">
    <cfRule type="duplicateValues" dxfId="188" priority="36"/>
    <cfRule type="duplicateValues" dxfId="187" priority="37"/>
    <cfRule type="duplicateValues" dxfId="186" priority="38"/>
    <cfRule type="duplicateValues" dxfId="185" priority="39"/>
    <cfRule type="duplicateValues" dxfId="184" priority="40"/>
    <cfRule type="duplicateValues" dxfId="183" priority="41"/>
    <cfRule type="duplicateValues" dxfId="182" priority="42"/>
    <cfRule type="duplicateValues" dxfId="181" priority="43"/>
    <cfRule type="duplicateValues" dxfId="180" priority="44"/>
  </conditionalFormatting>
  <conditionalFormatting sqref="D1100:D1114">
    <cfRule type="duplicateValues" dxfId="179" priority="27"/>
    <cfRule type="duplicateValues" dxfId="178" priority="28"/>
    <cfRule type="duplicateValues" dxfId="177" priority="29"/>
    <cfRule type="duplicateValues" dxfId="176" priority="30"/>
    <cfRule type="duplicateValues" dxfId="175" priority="31"/>
    <cfRule type="duplicateValues" dxfId="174" priority="32"/>
    <cfRule type="duplicateValues" dxfId="173" priority="33"/>
    <cfRule type="duplicateValues" dxfId="172" priority="34"/>
    <cfRule type="duplicateValues" dxfId="171" priority="35"/>
  </conditionalFormatting>
  <conditionalFormatting sqref="D1116:D1118">
    <cfRule type="duplicateValues" dxfId="170" priority="18"/>
    <cfRule type="duplicateValues" dxfId="169" priority="19"/>
    <cfRule type="duplicateValues" dxfId="168" priority="20"/>
    <cfRule type="duplicateValues" dxfId="167" priority="21"/>
    <cfRule type="duplicateValues" dxfId="166" priority="22"/>
    <cfRule type="duplicateValues" dxfId="165" priority="23"/>
    <cfRule type="duplicateValues" dxfId="164" priority="24"/>
    <cfRule type="duplicateValues" dxfId="163" priority="25"/>
    <cfRule type="duplicateValues" dxfId="162" priority="26"/>
  </conditionalFormatting>
  <conditionalFormatting sqref="D1129:D1132">
    <cfRule type="duplicateValues" dxfId="161" priority="17"/>
  </conditionalFormatting>
  <conditionalFormatting sqref="D1144">
    <cfRule type="duplicateValues" dxfId="160" priority="16"/>
  </conditionalFormatting>
  <conditionalFormatting sqref="D1150:D1152 D1154:D1157 D1159:D1161">
    <cfRule type="duplicateValues" dxfId="159" priority="15"/>
  </conditionalFormatting>
  <conditionalFormatting sqref="D1153">
    <cfRule type="duplicateValues" dxfId="158" priority="14"/>
  </conditionalFormatting>
  <conditionalFormatting sqref="D1158">
    <cfRule type="duplicateValues" dxfId="157" priority="13"/>
  </conditionalFormatting>
  <conditionalFormatting sqref="D1168">
    <cfRule type="duplicateValues" dxfId="156" priority="4"/>
    <cfRule type="duplicateValues" dxfId="155" priority="5"/>
    <cfRule type="duplicateValues" dxfId="154" priority="6"/>
    <cfRule type="duplicateValues" dxfId="153" priority="7"/>
    <cfRule type="duplicateValues" dxfId="152" priority="8"/>
    <cfRule type="duplicateValues" dxfId="151" priority="9"/>
    <cfRule type="duplicateValues" dxfId="150" priority="10"/>
    <cfRule type="duplicateValues" dxfId="149" priority="11"/>
    <cfRule type="duplicateValues" dxfId="148" priority="12"/>
  </conditionalFormatting>
  <conditionalFormatting sqref="E1167:E1168">
    <cfRule type="duplicateValues" dxfId="147" priority="57"/>
    <cfRule type="duplicateValues" dxfId="146" priority="58"/>
    <cfRule type="duplicateValues" dxfId="145" priority="59"/>
    <cfRule type="duplicateValues" dxfId="144" priority="60"/>
    <cfRule type="duplicateValues" dxfId="143" priority="61"/>
    <cfRule type="duplicateValues" dxfId="142" priority="62"/>
    <cfRule type="duplicateValues" dxfId="141" priority="63"/>
    <cfRule type="duplicateValues" dxfId="140" priority="64"/>
    <cfRule type="duplicateValues" dxfId="139" priority="65"/>
  </conditionalFormatting>
  <conditionalFormatting sqref="E1176:E1178">
    <cfRule type="duplicateValues" dxfId="138" priority="68"/>
  </conditionalFormatting>
  <conditionalFormatting sqref="E480:F480">
    <cfRule type="duplicateValues" dxfId="137" priority="77"/>
    <cfRule type="duplicateValues" dxfId="136" priority="78"/>
  </conditionalFormatting>
  <conditionalFormatting sqref="E589:F589 E590:G1096 G480 E481:G588 E2:G479">
    <cfRule type="duplicateValues" dxfId="135" priority="104"/>
    <cfRule type="duplicateValues" dxfId="134" priority="105"/>
  </conditionalFormatting>
  <conditionalFormatting sqref="E1153:G1153 E1154:E1158">
    <cfRule type="duplicateValues" dxfId="133" priority="74"/>
    <cfRule type="duplicateValues" dxfId="132" priority="75"/>
  </conditionalFormatting>
  <conditionalFormatting sqref="F1158">
    <cfRule type="duplicateValues" dxfId="131" priority="71"/>
    <cfRule type="duplicateValues" dxfId="130" priority="72"/>
  </conditionalFormatting>
  <conditionalFormatting sqref="G589">
    <cfRule type="duplicateValues" dxfId="129" priority="83"/>
    <cfRule type="duplicateValues" dxfId="128" priority="84"/>
  </conditionalFormatting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C7CF5-77F8-47E7-8180-EA0D02BD3019}">
  <sheetPr codeName="Sheet10"/>
  <dimension ref="A1:AM1301"/>
  <sheetViews>
    <sheetView zoomScaleNormal="100" workbookViewId="0">
      <pane xSplit="3" ySplit="1" topLeftCell="D59" activePane="bottomRight" state="frozen"/>
      <selection pane="topRight" activeCell="D1" sqref="D1"/>
      <selection pane="bottomLeft" activeCell="A2" sqref="A2"/>
      <selection pane="bottomRight" activeCell="A87" sqref="A87"/>
    </sheetView>
  </sheetViews>
  <sheetFormatPr defaultRowHeight="15" customHeight="1" x14ac:dyDescent="0.25"/>
  <cols>
    <col min="1" max="1" width="6.42578125" bestFit="1" customWidth="1"/>
    <col min="2" max="2" width="13.85546875" bestFit="1" customWidth="1"/>
    <col min="3" max="4" width="83.85546875" customWidth="1"/>
    <col min="5" max="5" width="14.7109375" customWidth="1"/>
    <col min="6" max="6" width="23.7109375" customWidth="1"/>
    <col min="7" max="7" width="20.42578125" customWidth="1"/>
    <col min="8" max="8" width="16.42578125" bestFit="1" customWidth="1"/>
    <col min="9" max="9" width="12.28515625" bestFit="1" customWidth="1"/>
    <col min="10" max="10" width="10.42578125" bestFit="1" customWidth="1"/>
    <col min="20" max="20" width="9.42578125" bestFit="1" customWidth="1"/>
    <col min="24" max="24" width="9.42578125" bestFit="1" customWidth="1"/>
    <col min="26" max="27" width="9.42578125" bestFit="1" customWidth="1"/>
  </cols>
  <sheetData>
    <row r="1" spans="1:39" x14ac:dyDescent="0.25">
      <c r="A1" s="1" t="s">
        <v>1651</v>
      </c>
      <c r="B1" s="1" t="s">
        <v>3</v>
      </c>
      <c r="C1" s="1" t="s">
        <v>4</v>
      </c>
      <c r="D1" s="1" t="s">
        <v>2072</v>
      </c>
      <c r="E1" s="1" t="s">
        <v>2073</v>
      </c>
      <c r="F1" s="1" t="s">
        <v>2074</v>
      </c>
      <c r="G1" s="1" t="s">
        <v>2075</v>
      </c>
      <c r="H1" s="2" t="s">
        <v>4949</v>
      </c>
      <c r="I1" s="84">
        <v>46204</v>
      </c>
      <c r="J1" s="84">
        <f>I1+1</f>
        <v>46205</v>
      </c>
      <c r="K1" s="84">
        <f>J1+1</f>
        <v>46206</v>
      </c>
      <c r="L1" s="84">
        <f>K1+1</f>
        <v>46207</v>
      </c>
      <c r="M1" s="84">
        <f>L1+1</f>
        <v>46208</v>
      </c>
      <c r="N1" s="84">
        <f t="shared" ref="N1:AM1" si="0">M1+1</f>
        <v>46209</v>
      </c>
      <c r="O1" s="84">
        <f t="shared" si="0"/>
        <v>46210</v>
      </c>
      <c r="P1" s="84">
        <f t="shared" si="0"/>
        <v>46211</v>
      </c>
      <c r="Q1" s="84">
        <f t="shared" si="0"/>
        <v>46212</v>
      </c>
      <c r="R1" s="84">
        <f t="shared" si="0"/>
        <v>46213</v>
      </c>
      <c r="S1" s="84">
        <f t="shared" si="0"/>
        <v>46214</v>
      </c>
      <c r="T1" s="84">
        <f t="shared" si="0"/>
        <v>46215</v>
      </c>
      <c r="U1" s="84">
        <f t="shared" si="0"/>
        <v>46216</v>
      </c>
      <c r="V1" s="84">
        <f t="shared" si="0"/>
        <v>46217</v>
      </c>
      <c r="W1" s="84">
        <v>46188</v>
      </c>
      <c r="X1" s="84">
        <f t="shared" si="0"/>
        <v>46189</v>
      </c>
      <c r="Y1" s="84">
        <f t="shared" si="0"/>
        <v>46190</v>
      </c>
      <c r="Z1" s="84">
        <f t="shared" si="0"/>
        <v>46191</v>
      </c>
      <c r="AA1" s="84">
        <f t="shared" si="0"/>
        <v>46192</v>
      </c>
      <c r="AB1" s="84">
        <f t="shared" si="0"/>
        <v>46193</v>
      </c>
      <c r="AC1" s="84">
        <f t="shared" si="0"/>
        <v>46194</v>
      </c>
      <c r="AD1" s="84">
        <f t="shared" si="0"/>
        <v>46195</v>
      </c>
      <c r="AE1" s="84">
        <f t="shared" si="0"/>
        <v>46196</v>
      </c>
      <c r="AF1" s="84">
        <f t="shared" si="0"/>
        <v>46197</v>
      </c>
      <c r="AG1" s="84">
        <f t="shared" si="0"/>
        <v>46198</v>
      </c>
      <c r="AH1" s="84">
        <f t="shared" si="0"/>
        <v>46199</v>
      </c>
      <c r="AI1" s="84">
        <f t="shared" si="0"/>
        <v>46200</v>
      </c>
      <c r="AJ1" s="84">
        <f t="shared" si="0"/>
        <v>46201</v>
      </c>
      <c r="AK1" s="84">
        <f t="shared" si="0"/>
        <v>46202</v>
      </c>
      <c r="AL1" s="84">
        <f t="shared" si="0"/>
        <v>46203</v>
      </c>
      <c r="AM1" s="84">
        <f t="shared" si="0"/>
        <v>46204</v>
      </c>
    </row>
    <row r="2" spans="1:39" x14ac:dyDescent="0.25">
      <c r="A2" s="10">
        <v>1</v>
      </c>
      <c r="B2" s="152" t="s">
        <v>323</v>
      </c>
      <c r="C2" s="153" t="s">
        <v>2081</v>
      </c>
      <c r="D2" s="153" t="s">
        <v>2082</v>
      </c>
      <c r="E2" s="153" t="s">
        <v>4948</v>
      </c>
      <c r="F2" s="6"/>
      <c r="G2" s="6"/>
      <c r="H2" s="83">
        <f t="shared" ref="H2:H65" si="1">SUM(I2:AM2)</f>
        <v>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39" x14ac:dyDescent="0.25">
      <c r="A3" s="10">
        <v>2</v>
      </c>
      <c r="B3" s="152" t="s">
        <v>822</v>
      </c>
      <c r="C3" s="153" t="s">
        <v>2084</v>
      </c>
      <c r="D3" s="153" t="s">
        <v>2085</v>
      </c>
      <c r="E3" s="153" t="s">
        <v>2086</v>
      </c>
      <c r="F3" s="6"/>
      <c r="G3" s="6"/>
      <c r="H3" s="83">
        <f t="shared" si="1"/>
        <v>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1:39" x14ac:dyDescent="0.25">
      <c r="A4" s="10">
        <v>3</v>
      </c>
      <c r="B4" s="152" t="s">
        <v>317</v>
      </c>
      <c r="C4" s="153" t="s">
        <v>2087</v>
      </c>
      <c r="D4" s="153" t="s">
        <v>2088</v>
      </c>
      <c r="E4" s="153" t="s">
        <v>4948</v>
      </c>
      <c r="F4" s="6"/>
      <c r="G4" s="6"/>
      <c r="H4" s="83">
        <f t="shared" si="1"/>
        <v>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x14ac:dyDescent="0.25">
      <c r="A5" s="10">
        <v>4</v>
      </c>
      <c r="B5" s="152" t="s">
        <v>311</v>
      </c>
      <c r="C5" s="153" t="s">
        <v>2089</v>
      </c>
      <c r="D5" s="153" t="s">
        <v>2090</v>
      </c>
      <c r="E5" s="153" t="s">
        <v>4948</v>
      </c>
      <c r="F5" s="6"/>
      <c r="G5" s="6"/>
      <c r="H5" s="83">
        <f t="shared" si="1"/>
        <v>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x14ac:dyDescent="0.25">
      <c r="A6" s="10">
        <v>5</v>
      </c>
      <c r="B6" s="152" t="s">
        <v>325</v>
      </c>
      <c r="C6" s="153" t="s">
        <v>2091</v>
      </c>
      <c r="D6" s="153" t="s">
        <v>2092</v>
      </c>
      <c r="E6" s="153" t="s">
        <v>4948</v>
      </c>
      <c r="F6" s="6"/>
      <c r="G6" s="6"/>
      <c r="H6" s="83">
        <f t="shared" si="1"/>
        <v>0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x14ac:dyDescent="0.25">
      <c r="A7" s="10">
        <v>6</v>
      </c>
      <c r="B7" s="152" t="s">
        <v>309</v>
      </c>
      <c r="C7" s="153" t="s">
        <v>2093</v>
      </c>
      <c r="D7" s="153" t="s">
        <v>2094</v>
      </c>
      <c r="E7" s="153" t="s">
        <v>4948</v>
      </c>
      <c r="F7" s="6"/>
      <c r="G7" s="6"/>
      <c r="H7" s="83">
        <f t="shared" si="1"/>
        <v>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x14ac:dyDescent="0.25">
      <c r="A8" s="10">
        <v>7</v>
      </c>
      <c r="B8" s="152" t="s">
        <v>315</v>
      </c>
      <c r="C8" s="153" t="s">
        <v>2095</v>
      </c>
      <c r="D8" s="153" t="s">
        <v>2096</v>
      </c>
      <c r="E8" s="153" t="s">
        <v>2086</v>
      </c>
      <c r="F8" s="6"/>
      <c r="G8" s="6"/>
      <c r="H8" s="83">
        <f t="shared" si="1"/>
        <v>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</row>
    <row r="9" spans="1:39" x14ac:dyDescent="0.25">
      <c r="A9" s="10">
        <v>8</v>
      </c>
      <c r="B9" s="152" t="s">
        <v>327</v>
      </c>
      <c r="C9" s="153" t="s">
        <v>2097</v>
      </c>
      <c r="D9" s="153" t="s">
        <v>2098</v>
      </c>
      <c r="E9" s="153" t="s">
        <v>4948</v>
      </c>
      <c r="F9" s="6"/>
      <c r="G9" s="6"/>
      <c r="H9" s="83">
        <f t="shared" si="1"/>
        <v>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</row>
    <row r="10" spans="1:39" x14ac:dyDescent="0.25">
      <c r="A10" s="10">
        <v>9</v>
      </c>
      <c r="B10" s="152" t="s">
        <v>2099</v>
      </c>
      <c r="C10" s="153" t="s">
        <v>2100</v>
      </c>
      <c r="D10" s="153" t="s">
        <v>2101</v>
      </c>
      <c r="E10" s="153" t="s">
        <v>4948</v>
      </c>
      <c r="F10" s="6"/>
      <c r="G10" s="6"/>
      <c r="H10" s="83">
        <f t="shared" si="1"/>
        <v>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</row>
    <row r="11" spans="1:39" x14ac:dyDescent="0.25">
      <c r="A11" s="10">
        <v>10</v>
      </c>
      <c r="B11" s="152" t="s">
        <v>337</v>
      </c>
      <c r="C11" s="153" t="s">
        <v>2102</v>
      </c>
      <c r="D11" s="153" t="s">
        <v>2103</v>
      </c>
      <c r="E11" s="153" t="s">
        <v>4948</v>
      </c>
      <c r="F11" s="6"/>
      <c r="G11" s="6"/>
      <c r="H11" s="83">
        <f t="shared" si="1"/>
        <v>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</row>
    <row r="12" spans="1:39" x14ac:dyDescent="0.25">
      <c r="A12" s="10">
        <v>11</v>
      </c>
      <c r="B12" s="152" t="s">
        <v>2104</v>
      </c>
      <c r="C12" s="153" t="s">
        <v>2105</v>
      </c>
      <c r="D12" s="153" t="s">
        <v>2106</v>
      </c>
      <c r="E12" s="153" t="s">
        <v>4948</v>
      </c>
      <c r="F12" s="6"/>
      <c r="G12" s="6"/>
      <c r="H12" s="83">
        <f t="shared" si="1"/>
        <v>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</row>
    <row r="13" spans="1:39" x14ac:dyDescent="0.25">
      <c r="A13" s="10">
        <v>12</v>
      </c>
      <c r="B13" s="152" t="s">
        <v>857</v>
      </c>
      <c r="C13" s="153" t="s">
        <v>2107</v>
      </c>
      <c r="D13" s="153" t="s">
        <v>2108</v>
      </c>
      <c r="E13" s="153" t="s">
        <v>2086</v>
      </c>
      <c r="F13" s="6"/>
      <c r="G13" s="6"/>
      <c r="H13" s="83">
        <f t="shared" si="1"/>
        <v>3618</v>
      </c>
      <c r="I13" s="5">
        <v>2274</v>
      </c>
      <c r="J13" s="5"/>
      <c r="K13" s="5"/>
      <c r="L13" s="5"/>
      <c r="M13" s="5"/>
      <c r="N13" s="5"/>
      <c r="O13" s="5"/>
      <c r="P13" s="5">
        <v>510</v>
      </c>
      <c r="Q13" s="5">
        <v>288</v>
      </c>
      <c r="R13" s="5"/>
      <c r="S13" s="5">
        <v>252</v>
      </c>
      <c r="T13" s="5">
        <v>294</v>
      </c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1:39" x14ac:dyDescent="0.25">
      <c r="A14" s="10">
        <v>13</v>
      </c>
      <c r="B14" s="152" t="s">
        <v>1070</v>
      </c>
      <c r="C14" s="153" t="s">
        <v>2109</v>
      </c>
      <c r="D14" s="153" t="s">
        <v>2110</v>
      </c>
      <c r="E14" s="153" t="s">
        <v>2111</v>
      </c>
      <c r="F14" s="6"/>
      <c r="G14" s="6"/>
      <c r="H14" s="83">
        <f t="shared" si="1"/>
        <v>15</v>
      </c>
      <c r="I14" s="5">
        <v>11</v>
      </c>
      <c r="J14" s="5"/>
      <c r="K14" s="5"/>
      <c r="L14" s="5"/>
      <c r="M14" s="5"/>
      <c r="N14" s="5"/>
      <c r="O14" s="5"/>
      <c r="P14" s="5">
        <v>1</v>
      </c>
      <c r="Q14" s="5"/>
      <c r="R14" s="5"/>
      <c r="S14" s="5"/>
      <c r="T14" s="5">
        <v>3</v>
      </c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 spans="1:39" x14ac:dyDescent="0.25">
      <c r="A15" s="10">
        <v>14</v>
      </c>
      <c r="B15" s="152" t="s">
        <v>752</v>
      </c>
      <c r="C15" s="153" t="s">
        <v>2112</v>
      </c>
      <c r="D15" s="153" t="s">
        <v>2113</v>
      </c>
      <c r="E15" s="153" t="s">
        <v>2111</v>
      </c>
      <c r="F15" s="6"/>
      <c r="G15" s="6"/>
      <c r="H15" s="83">
        <f t="shared" si="1"/>
        <v>207</v>
      </c>
      <c r="I15" s="5">
        <v>203</v>
      </c>
      <c r="J15" s="5"/>
      <c r="K15" s="5"/>
      <c r="L15" s="5"/>
      <c r="M15" s="5"/>
      <c r="N15" s="5"/>
      <c r="O15" s="5"/>
      <c r="P15" s="5">
        <f>6-2</f>
        <v>4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x14ac:dyDescent="0.25">
      <c r="A16" s="10">
        <v>15</v>
      </c>
      <c r="B16" s="152" t="s">
        <v>1089</v>
      </c>
      <c r="C16" s="153" t="s">
        <v>2114</v>
      </c>
      <c r="D16" s="153" t="s">
        <v>2115</v>
      </c>
      <c r="E16" s="153" t="s">
        <v>2111</v>
      </c>
      <c r="F16" s="6"/>
      <c r="G16" s="6"/>
      <c r="H16" s="83">
        <f t="shared" si="1"/>
        <v>64</v>
      </c>
      <c r="I16" s="5">
        <f>65-1</f>
        <v>64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39" x14ac:dyDescent="0.25">
      <c r="A17" s="10">
        <v>16</v>
      </c>
      <c r="B17" s="152" t="s">
        <v>757</v>
      </c>
      <c r="C17" s="153" t="s">
        <v>2116</v>
      </c>
      <c r="D17" s="153" t="s">
        <v>2117</v>
      </c>
      <c r="E17" s="153" t="s">
        <v>2111</v>
      </c>
      <c r="F17" s="6"/>
      <c r="G17" s="6"/>
      <c r="H17" s="83">
        <f t="shared" si="1"/>
        <v>48</v>
      </c>
      <c r="I17" s="5">
        <v>26</v>
      </c>
      <c r="J17" s="5"/>
      <c r="K17" s="5"/>
      <c r="L17" s="5"/>
      <c r="M17" s="5"/>
      <c r="N17" s="5"/>
      <c r="O17" s="5"/>
      <c r="P17" s="5">
        <v>10</v>
      </c>
      <c r="Q17" s="5">
        <v>5</v>
      </c>
      <c r="R17" s="5"/>
      <c r="S17" s="5">
        <v>2</v>
      </c>
      <c r="T17" s="5">
        <v>5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spans="1:39" x14ac:dyDescent="0.25">
      <c r="A18" s="10">
        <v>17</v>
      </c>
      <c r="B18" s="152" t="s">
        <v>765</v>
      </c>
      <c r="C18" s="153" t="s">
        <v>2118</v>
      </c>
      <c r="D18" s="153" t="s">
        <v>2119</v>
      </c>
      <c r="E18" s="153" t="s">
        <v>2111</v>
      </c>
      <c r="F18" s="6"/>
      <c r="G18" s="6"/>
      <c r="H18" s="83">
        <f t="shared" si="1"/>
        <v>122</v>
      </c>
      <c r="I18" s="5">
        <v>60</v>
      </c>
      <c r="J18" s="5"/>
      <c r="K18" s="5"/>
      <c r="L18" s="5"/>
      <c r="M18" s="5"/>
      <c r="N18" s="5"/>
      <c r="O18" s="5"/>
      <c r="P18" s="5">
        <v>20</v>
      </c>
      <c r="Q18" s="5">
        <v>8</v>
      </c>
      <c r="R18" s="5"/>
      <c r="S18" s="5">
        <v>23</v>
      </c>
      <c r="T18" s="5">
        <v>11</v>
      </c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39" x14ac:dyDescent="0.25">
      <c r="A19" s="10">
        <v>18</v>
      </c>
      <c r="B19" s="152" t="s">
        <v>711</v>
      </c>
      <c r="C19" s="153" t="s">
        <v>2120</v>
      </c>
      <c r="D19" s="153" t="s">
        <v>2121</v>
      </c>
      <c r="E19" s="153" t="s">
        <v>2111</v>
      </c>
      <c r="F19" s="6"/>
      <c r="G19" s="6"/>
      <c r="H19" s="83">
        <f t="shared" si="1"/>
        <v>12</v>
      </c>
      <c r="I19" s="5">
        <v>1</v>
      </c>
      <c r="J19" s="5"/>
      <c r="K19" s="5"/>
      <c r="L19" s="5"/>
      <c r="M19" s="5"/>
      <c r="N19" s="5"/>
      <c r="O19" s="5"/>
      <c r="P19" s="5">
        <v>1</v>
      </c>
      <c r="Q19" s="5"/>
      <c r="R19" s="5"/>
      <c r="S19" s="5">
        <f>2+6</f>
        <v>8</v>
      </c>
      <c r="T19" s="5">
        <v>2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39" x14ac:dyDescent="0.25">
      <c r="A20" s="10">
        <v>19</v>
      </c>
      <c r="B20" s="152" t="s">
        <v>1509</v>
      </c>
      <c r="C20" s="153" t="s">
        <v>2122</v>
      </c>
      <c r="D20" s="153" t="s">
        <v>2123</v>
      </c>
      <c r="E20" s="153" t="s">
        <v>2111</v>
      </c>
      <c r="F20" s="6"/>
      <c r="G20" s="6"/>
      <c r="H20" s="83">
        <f t="shared" si="1"/>
        <v>10</v>
      </c>
      <c r="I20" s="5">
        <v>6</v>
      </c>
      <c r="J20" s="5"/>
      <c r="K20" s="5"/>
      <c r="L20" s="5"/>
      <c r="M20" s="5"/>
      <c r="N20" s="5"/>
      <c r="O20" s="5"/>
      <c r="P20" s="5">
        <v>1</v>
      </c>
      <c r="Q20" s="5">
        <v>2</v>
      </c>
      <c r="R20" s="5"/>
      <c r="S20" s="5"/>
      <c r="T20" s="5">
        <v>1</v>
      </c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39" x14ac:dyDescent="0.25">
      <c r="A21" s="10">
        <v>20</v>
      </c>
      <c r="B21" s="152" t="s">
        <v>733</v>
      </c>
      <c r="C21" s="153" t="s">
        <v>2124</v>
      </c>
      <c r="D21" s="153" t="s">
        <v>2125</v>
      </c>
      <c r="E21" s="153" t="s">
        <v>4948</v>
      </c>
      <c r="F21" s="6"/>
      <c r="G21" s="6"/>
      <c r="H21" s="83">
        <f t="shared" si="1"/>
        <v>0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spans="1:39" x14ac:dyDescent="0.25">
      <c r="A22" s="10">
        <v>21</v>
      </c>
      <c r="B22" s="152" t="s">
        <v>969</v>
      </c>
      <c r="C22" s="153" t="s">
        <v>2127</v>
      </c>
      <c r="D22" s="153" t="s">
        <v>2128</v>
      </c>
      <c r="E22" s="153" t="s">
        <v>2086</v>
      </c>
      <c r="F22" s="6"/>
      <c r="G22" s="6"/>
      <c r="H22" s="83">
        <f t="shared" si="1"/>
        <v>1120</v>
      </c>
      <c r="I22" s="5">
        <v>1120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</row>
    <row r="23" spans="1:39" x14ac:dyDescent="0.25">
      <c r="A23" s="10">
        <v>22</v>
      </c>
      <c r="B23" s="152" t="s">
        <v>124</v>
      </c>
      <c r="C23" s="153" t="s">
        <v>2129</v>
      </c>
      <c r="D23" s="153" t="s">
        <v>2130</v>
      </c>
      <c r="E23" s="153" t="s">
        <v>2111</v>
      </c>
      <c r="F23" s="6"/>
      <c r="G23" s="6"/>
      <c r="H23" s="83">
        <f t="shared" si="1"/>
        <v>38</v>
      </c>
      <c r="I23" s="5">
        <v>16</v>
      </c>
      <c r="J23" s="5"/>
      <c r="K23" s="5"/>
      <c r="L23" s="5"/>
      <c r="M23" s="5"/>
      <c r="N23" s="5"/>
      <c r="O23" s="5"/>
      <c r="P23" s="5">
        <v>20</v>
      </c>
      <c r="Q23" s="5"/>
      <c r="R23" s="5"/>
      <c r="S23" s="5"/>
      <c r="T23" s="5">
        <v>2</v>
      </c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</row>
    <row r="24" spans="1:39" x14ac:dyDescent="0.25">
      <c r="A24" s="10">
        <v>23</v>
      </c>
      <c r="B24" s="152" t="s">
        <v>1030</v>
      </c>
      <c r="C24" s="153" t="s">
        <v>2131</v>
      </c>
      <c r="D24" s="153" t="s">
        <v>2132</v>
      </c>
      <c r="E24" s="153" t="s">
        <v>2111</v>
      </c>
      <c r="F24" s="6"/>
      <c r="G24" s="6"/>
      <c r="H24" s="83">
        <f t="shared" si="1"/>
        <v>45</v>
      </c>
      <c r="I24" s="5">
        <v>13</v>
      </c>
      <c r="J24" s="5">
        <v>20</v>
      </c>
      <c r="K24" s="5"/>
      <c r="L24" s="5"/>
      <c r="M24" s="5"/>
      <c r="N24" s="5"/>
      <c r="O24" s="5"/>
      <c r="P24" s="5">
        <v>12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</row>
    <row r="25" spans="1:39" x14ac:dyDescent="0.25">
      <c r="A25" s="10">
        <v>24</v>
      </c>
      <c r="B25" s="152" t="s">
        <v>709</v>
      </c>
      <c r="C25" s="153" t="s">
        <v>2133</v>
      </c>
      <c r="D25" s="153" t="s">
        <v>2134</v>
      </c>
      <c r="E25" s="153" t="s">
        <v>2135</v>
      </c>
      <c r="F25" s="6"/>
      <c r="G25" s="6"/>
      <c r="H25" s="83">
        <f t="shared" si="1"/>
        <v>1050</v>
      </c>
      <c r="I25" s="5">
        <f>5000/100</f>
        <v>50</v>
      </c>
      <c r="J25" s="5"/>
      <c r="K25" s="5"/>
      <c r="L25" s="5"/>
      <c r="M25" s="5"/>
      <c r="N25" s="5"/>
      <c r="O25" s="5"/>
      <c r="P25" s="5">
        <v>1000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x14ac:dyDescent="0.25">
      <c r="A26" s="10">
        <v>25</v>
      </c>
      <c r="B26" s="152" t="s">
        <v>1318</v>
      </c>
      <c r="C26" s="153" t="s">
        <v>2136</v>
      </c>
      <c r="D26" s="153" t="s">
        <v>2137</v>
      </c>
      <c r="E26" s="153" t="s">
        <v>2086</v>
      </c>
      <c r="F26" s="6"/>
      <c r="G26" s="6"/>
      <c r="H26" s="83">
        <f t="shared" si="1"/>
        <v>0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</row>
    <row r="27" spans="1:39" x14ac:dyDescent="0.25">
      <c r="A27" s="10">
        <v>26</v>
      </c>
      <c r="B27" s="152" t="s">
        <v>1193</v>
      </c>
      <c r="C27" s="153" t="s">
        <v>2138</v>
      </c>
      <c r="D27" s="153" t="s">
        <v>2139</v>
      </c>
      <c r="E27" s="153" t="s">
        <v>22</v>
      </c>
      <c r="F27" s="6"/>
      <c r="G27" s="6"/>
      <c r="H27" s="83">
        <f t="shared" si="1"/>
        <v>590</v>
      </c>
      <c r="I27" s="5">
        <f>15000/50</f>
        <v>300</v>
      </c>
      <c r="J27" s="5">
        <v>150</v>
      </c>
      <c r="K27" s="5"/>
      <c r="L27" s="5"/>
      <c r="M27" s="5"/>
      <c r="N27" s="5"/>
      <c r="O27" s="5"/>
      <c r="P27" s="5">
        <v>80</v>
      </c>
      <c r="Q27" s="5"/>
      <c r="R27" s="5"/>
      <c r="S27" s="5"/>
      <c r="T27" s="5">
        <v>60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</row>
    <row r="28" spans="1:39" x14ac:dyDescent="0.25">
      <c r="A28" s="10">
        <v>27</v>
      </c>
      <c r="B28" s="152" t="s">
        <v>782</v>
      </c>
      <c r="C28" s="153" t="s">
        <v>2140</v>
      </c>
      <c r="D28" s="153" t="s">
        <v>2141</v>
      </c>
      <c r="E28" s="153" t="s">
        <v>2111</v>
      </c>
      <c r="F28" s="6"/>
      <c r="G28" s="6"/>
      <c r="H28" s="83">
        <f t="shared" si="1"/>
        <v>20</v>
      </c>
      <c r="I28" s="5">
        <v>11</v>
      </c>
      <c r="J28" s="5"/>
      <c r="K28" s="5"/>
      <c r="L28" s="5"/>
      <c r="M28" s="5"/>
      <c r="N28" s="5"/>
      <c r="O28" s="5"/>
      <c r="P28" s="5"/>
      <c r="Q28" s="5"/>
      <c r="R28" s="5"/>
      <c r="S28" s="5">
        <v>4</v>
      </c>
      <c r="T28" s="5">
        <v>5</v>
      </c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</row>
    <row r="29" spans="1:39" x14ac:dyDescent="0.25">
      <c r="A29" s="10">
        <v>28</v>
      </c>
      <c r="B29" s="152" t="s">
        <v>860</v>
      </c>
      <c r="C29" s="153" t="s">
        <v>2142</v>
      </c>
      <c r="D29" s="153" t="s">
        <v>2143</v>
      </c>
      <c r="E29" s="153" t="s">
        <v>4948</v>
      </c>
      <c r="F29" s="6"/>
      <c r="G29" s="6"/>
      <c r="H29" s="83">
        <f t="shared" si="1"/>
        <v>0</v>
      </c>
      <c r="I29" s="5"/>
      <c r="J29" s="5">
        <f>4-4</f>
        <v>0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spans="1:39" x14ac:dyDescent="0.25">
      <c r="A30" s="10">
        <v>29</v>
      </c>
      <c r="B30" s="152" t="s">
        <v>1301</v>
      </c>
      <c r="C30" s="153" t="s">
        <v>2144</v>
      </c>
      <c r="D30" s="153" t="s">
        <v>2145</v>
      </c>
      <c r="E30" s="153" t="s">
        <v>4948</v>
      </c>
      <c r="F30" s="6"/>
      <c r="G30" s="6"/>
      <c r="H30" s="83">
        <f t="shared" si="1"/>
        <v>0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spans="1:39" x14ac:dyDescent="0.25">
      <c r="A31" s="10">
        <v>30</v>
      </c>
      <c r="B31" s="152" t="s">
        <v>261</v>
      </c>
      <c r="C31" s="153" t="s">
        <v>2146</v>
      </c>
      <c r="D31" s="153" t="s">
        <v>2147</v>
      </c>
      <c r="E31" s="153" t="s">
        <v>4948</v>
      </c>
      <c r="F31" s="6"/>
      <c r="G31" s="6"/>
      <c r="H31" s="83">
        <f t="shared" si="1"/>
        <v>0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2" spans="1:39" x14ac:dyDescent="0.25">
      <c r="A32" s="10">
        <v>31</v>
      </c>
      <c r="B32" s="152" t="s">
        <v>2148</v>
      </c>
      <c r="C32" s="153" t="s">
        <v>2149</v>
      </c>
      <c r="D32" s="153" t="s">
        <v>2150</v>
      </c>
      <c r="E32" s="153" t="s">
        <v>2086</v>
      </c>
      <c r="F32" s="6"/>
      <c r="G32" s="6"/>
      <c r="H32" s="83">
        <f t="shared" si="1"/>
        <v>0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</row>
    <row r="33" spans="1:39" x14ac:dyDescent="0.25">
      <c r="A33" s="10">
        <v>32</v>
      </c>
      <c r="B33" s="152" t="s">
        <v>932</v>
      </c>
      <c r="C33" s="153" t="s">
        <v>2151</v>
      </c>
      <c r="D33" s="153" t="s">
        <v>2152</v>
      </c>
      <c r="E33" s="153" t="s">
        <v>2086</v>
      </c>
      <c r="F33" s="6"/>
      <c r="G33" s="6"/>
      <c r="H33" s="83">
        <f t="shared" si="1"/>
        <v>0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r="34" spans="1:39" x14ac:dyDescent="0.25">
      <c r="A34" s="10">
        <v>33</v>
      </c>
      <c r="B34" s="152" t="s">
        <v>879</v>
      </c>
      <c r="C34" s="153" t="s">
        <v>2153</v>
      </c>
      <c r="D34" s="153" t="s">
        <v>2154</v>
      </c>
      <c r="E34" s="153" t="s">
        <v>2111</v>
      </c>
      <c r="F34" s="6"/>
      <c r="G34" s="6"/>
      <c r="H34" s="83">
        <f t="shared" si="1"/>
        <v>18</v>
      </c>
      <c r="I34" s="5">
        <v>10</v>
      </c>
      <c r="J34" s="5"/>
      <c r="K34" s="5"/>
      <c r="L34" s="5"/>
      <c r="M34" s="5"/>
      <c r="N34" s="5"/>
      <c r="O34" s="5"/>
      <c r="P34" s="5">
        <v>4</v>
      </c>
      <c r="Q34" s="5"/>
      <c r="R34" s="5"/>
      <c r="S34" s="5">
        <v>2</v>
      </c>
      <c r="T34" s="5">
        <v>2</v>
      </c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39" x14ac:dyDescent="0.25">
      <c r="A35" s="10">
        <v>34</v>
      </c>
      <c r="B35" s="152" t="s">
        <v>791</v>
      </c>
      <c r="C35" s="153" t="s">
        <v>2155</v>
      </c>
      <c r="D35" s="153" t="s">
        <v>2156</v>
      </c>
      <c r="E35" s="153" t="s">
        <v>2111</v>
      </c>
      <c r="F35" s="6"/>
      <c r="G35" s="6"/>
      <c r="H35" s="83">
        <f t="shared" si="1"/>
        <v>386</v>
      </c>
      <c r="I35" s="5">
        <v>3</v>
      </c>
      <c r="J35" s="5">
        <v>375</v>
      </c>
      <c r="K35" s="5"/>
      <c r="L35" s="5"/>
      <c r="M35" s="5"/>
      <c r="N35" s="5"/>
      <c r="O35" s="5"/>
      <c r="P35" s="5"/>
      <c r="Q35" s="5">
        <v>1</v>
      </c>
      <c r="R35" s="5"/>
      <c r="S35" s="5">
        <v>6</v>
      </c>
      <c r="T35" s="5">
        <v>1</v>
      </c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39" x14ac:dyDescent="0.25">
      <c r="A36" s="10">
        <v>35</v>
      </c>
      <c r="B36" s="152" t="s">
        <v>2157</v>
      </c>
      <c r="C36" s="153" t="s">
        <v>2158</v>
      </c>
      <c r="D36" s="153" t="s">
        <v>2159</v>
      </c>
      <c r="E36" s="153" t="s">
        <v>4948</v>
      </c>
      <c r="F36" s="6"/>
      <c r="G36" s="6"/>
      <c r="H36" s="83">
        <f t="shared" si="1"/>
        <v>0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39" x14ac:dyDescent="0.25">
      <c r="A37" s="10">
        <v>36</v>
      </c>
      <c r="B37" s="152" t="s">
        <v>1055</v>
      </c>
      <c r="C37" s="153" t="s">
        <v>2161</v>
      </c>
      <c r="D37" s="153" t="s">
        <v>2162</v>
      </c>
      <c r="E37" s="153" t="s">
        <v>2111</v>
      </c>
      <c r="F37" s="6"/>
      <c r="G37" s="6"/>
      <c r="H37" s="83">
        <f t="shared" si="1"/>
        <v>19</v>
      </c>
      <c r="I37" s="5">
        <v>11</v>
      </c>
      <c r="J37" s="5"/>
      <c r="K37" s="5"/>
      <c r="L37" s="5"/>
      <c r="M37" s="5"/>
      <c r="N37" s="5"/>
      <c r="O37" s="5"/>
      <c r="P37" s="5"/>
      <c r="Q37" s="5">
        <v>4</v>
      </c>
      <c r="R37" s="5"/>
      <c r="S37" s="5">
        <v>2</v>
      </c>
      <c r="T37" s="5">
        <v>2</v>
      </c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39" x14ac:dyDescent="0.25">
      <c r="A38" s="10">
        <v>37</v>
      </c>
      <c r="B38" s="152" t="s">
        <v>780</v>
      </c>
      <c r="C38" s="153" t="s">
        <v>2163</v>
      </c>
      <c r="D38" s="153" t="s">
        <v>2164</v>
      </c>
      <c r="E38" s="153" t="s">
        <v>2111</v>
      </c>
      <c r="F38" s="6"/>
      <c r="G38" s="6"/>
      <c r="H38" s="83">
        <f t="shared" si="1"/>
        <v>45</v>
      </c>
      <c r="I38" s="5">
        <v>30</v>
      </c>
      <c r="J38" s="5"/>
      <c r="K38" s="5"/>
      <c r="L38" s="5"/>
      <c r="M38" s="5"/>
      <c r="N38" s="5"/>
      <c r="O38" s="5"/>
      <c r="P38" s="5"/>
      <c r="Q38" s="5">
        <v>4</v>
      </c>
      <c r="R38" s="5"/>
      <c r="S38" s="5">
        <v>6</v>
      </c>
      <c r="T38" s="5">
        <v>5</v>
      </c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39" x14ac:dyDescent="0.25">
      <c r="A39" s="10">
        <v>38</v>
      </c>
      <c r="B39" s="152" t="s">
        <v>357</v>
      </c>
      <c r="C39" s="153" t="s">
        <v>2165</v>
      </c>
      <c r="D39" s="153" t="s">
        <v>2166</v>
      </c>
      <c r="E39" s="153" t="s">
        <v>4948</v>
      </c>
      <c r="F39" s="6"/>
      <c r="G39" s="6"/>
      <c r="H39" s="83">
        <f t="shared" si="1"/>
        <v>0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39" x14ac:dyDescent="0.25">
      <c r="A40" s="10">
        <v>39</v>
      </c>
      <c r="B40" s="152" t="s">
        <v>247</v>
      </c>
      <c r="C40" s="153" t="s">
        <v>2167</v>
      </c>
      <c r="D40" s="153" t="s">
        <v>2168</v>
      </c>
      <c r="E40" s="153" t="s">
        <v>4948</v>
      </c>
      <c r="F40" s="6"/>
      <c r="G40" s="6"/>
      <c r="H40" s="83">
        <f t="shared" si="1"/>
        <v>0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39" x14ac:dyDescent="0.25">
      <c r="A41" s="10">
        <v>40</v>
      </c>
      <c r="B41" s="152" t="s">
        <v>2058</v>
      </c>
      <c r="C41" s="153" t="s">
        <v>2169</v>
      </c>
      <c r="D41" s="153" t="s">
        <v>2170</v>
      </c>
      <c r="E41" s="153" t="s">
        <v>2135</v>
      </c>
      <c r="F41" s="6"/>
      <c r="G41" s="6"/>
      <c r="H41" s="83">
        <f t="shared" si="1"/>
        <v>0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39" x14ac:dyDescent="0.25">
      <c r="A42" s="10">
        <v>41</v>
      </c>
      <c r="B42" s="152" t="s">
        <v>929</v>
      </c>
      <c r="C42" s="153" t="s">
        <v>2171</v>
      </c>
      <c r="D42" s="153" t="s">
        <v>2172</v>
      </c>
      <c r="E42" s="153" t="s">
        <v>4948</v>
      </c>
      <c r="F42" s="6"/>
      <c r="G42" s="6"/>
      <c r="H42" s="83">
        <f t="shared" si="1"/>
        <v>0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39" x14ac:dyDescent="0.25">
      <c r="A43" s="10">
        <v>42</v>
      </c>
      <c r="B43" s="152" t="s">
        <v>1044</v>
      </c>
      <c r="C43" s="153" t="s">
        <v>2173</v>
      </c>
      <c r="D43" s="153" t="s">
        <v>2174</v>
      </c>
      <c r="E43" s="153" t="s">
        <v>2135</v>
      </c>
      <c r="F43" s="6"/>
      <c r="G43" s="6"/>
      <c r="H43" s="83">
        <f t="shared" si="1"/>
        <v>100</v>
      </c>
      <c r="I43" s="5">
        <f>7000/100</f>
        <v>70</v>
      </c>
      <c r="J43" s="5"/>
      <c r="K43" s="5"/>
      <c r="L43" s="5"/>
      <c r="M43" s="5"/>
      <c r="N43" s="5"/>
      <c r="O43" s="5"/>
      <c r="P43" s="5">
        <f>1000/100</f>
        <v>10</v>
      </c>
      <c r="Q43" s="5"/>
      <c r="R43" s="5"/>
      <c r="S43" s="5">
        <f>1000/100</f>
        <v>10</v>
      </c>
      <c r="T43" s="5">
        <f>1000/100</f>
        <v>10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39" x14ac:dyDescent="0.25">
      <c r="A44" s="10">
        <v>43</v>
      </c>
      <c r="B44" s="152" t="s">
        <v>1039</v>
      </c>
      <c r="C44" s="153" t="s">
        <v>2175</v>
      </c>
      <c r="D44" s="153" t="s">
        <v>2176</v>
      </c>
      <c r="E44" s="153" t="s">
        <v>2135</v>
      </c>
      <c r="F44" s="6"/>
      <c r="G44" s="6"/>
      <c r="H44" s="83">
        <f t="shared" si="1"/>
        <v>180</v>
      </c>
      <c r="I44" s="5">
        <f>11000/100</f>
        <v>110</v>
      </c>
      <c r="J44" s="5">
        <f>500-450</f>
        <v>50</v>
      </c>
      <c r="K44" s="5"/>
      <c r="L44" s="5"/>
      <c r="M44" s="5"/>
      <c r="N44" s="5"/>
      <c r="O44" s="5"/>
      <c r="P44" s="5">
        <f>2000/100</f>
        <v>20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39" x14ac:dyDescent="0.25">
      <c r="A45" s="10">
        <v>44</v>
      </c>
      <c r="B45" s="152" t="s">
        <v>846</v>
      </c>
      <c r="C45" s="153" t="s">
        <v>2177</v>
      </c>
      <c r="D45" s="153" t="s">
        <v>2178</v>
      </c>
      <c r="E45" s="153" t="s">
        <v>2086</v>
      </c>
      <c r="F45" s="6"/>
      <c r="G45" s="6"/>
      <c r="H45" s="83">
        <f t="shared" si="1"/>
        <v>42</v>
      </c>
      <c r="I45" s="5">
        <v>27</v>
      </c>
      <c r="J45" s="5"/>
      <c r="K45" s="5"/>
      <c r="L45" s="5"/>
      <c r="M45" s="5"/>
      <c r="N45" s="5"/>
      <c r="O45" s="5"/>
      <c r="P45" s="5">
        <v>2</v>
      </c>
      <c r="Q45" s="5">
        <v>3</v>
      </c>
      <c r="R45" s="5"/>
      <c r="S45" s="5">
        <v>8</v>
      </c>
      <c r="T45" s="5">
        <v>2</v>
      </c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39" x14ac:dyDescent="0.25">
      <c r="A46" s="10">
        <v>45</v>
      </c>
      <c r="B46" s="152" t="s">
        <v>669</v>
      </c>
      <c r="C46" s="153" t="s">
        <v>2179</v>
      </c>
      <c r="D46" s="153" t="s">
        <v>2180</v>
      </c>
      <c r="E46" s="153" t="s">
        <v>4948</v>
      </c>
      <c r="F46" s="6"/>
      <c r="G46" s="6"/>
      <c r="H46" s="83">
        <f t="shared" si="1"/>
        <v>0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39" x14ac:dyDescent="0.25">
      <c r="A47" s="10">
        <v>46</v>
      </c>
      <c r="B47" s="152" t="s">
        <v>1574</v>
      </c>
      <c r="C47" s="153" t="s">
        <v>2181</v>
      </c>
      <c r="D47" s="153" t="s">
        <v>2182</v>
      </c>
      <c r="E47" s="153" t="s">
        <v>2086</v>
      </c>
      <c r="F47" s="6"/>
      <c r="G47" s="6"/>
      <c r="H47" s="83">
        <f t="shared" si="1"/>
        <v>0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39" x14ac:dyDescent="0.25">
      <c r="A48" s="10">
        <v>47</v>
      </c>
      <c r="B48" s="152" t="s">
        <v>1578</v>
      </c>
      <c r="C48" s="153" t="s">
        <v>2183</v>
      </c>
      <c r="D48" s="153" t="s">
        <v>2184</v>
      </c>
      <c r="E48" s="153" t="s">
        <v>2086</v>
      </c>
      <c r="F48" s="6"/>
      <c r="G48" s="6"/>
      <c r="H48" s="83">
        <f t="shared" si="1"/>
        <v>0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x14ac:dyDescent="0.25">
      <c r="A49" s="10">
        <v>48</v>
      </c>
      <c r="B49" s="152" t="s">
        <v>767</v>
      </c>
      <c r="C49" s="153" t="s">
        <v>2185</v>
      </c>
      <c r="D49" s="153" t="s">
        <v>2186</v>
      </c>
      <c r="E49" s="153" t="s">
        <v>2135</v>
      </c>
      <c r="F49" s="6"/>
      <c r="G49" s="6"/>
      <c r="H49" s="83">
        <f t="shared" si="1"/>
        <v>2931</v>
      </c>
      <c r="I49" s="5">
        <v>1251</v>
      </c>
      <c r="J49" s="5">
        <v>1000</v>
      </c>
      <c r="K49" s="5"/>
      <c r="L49" s="5"/>
      <c r="M49" s="5"/>
      <c r="N49" s="5"/>
      <c r="O49" s="5"/>
      <c r="P49" s="5">
        <v>250</v>
      </c>
      <c r="Q49" s="5">
        <v>120</v>
      </c>
      <c r="R49" s="5"/>
      <c r="S49" s="5">
        <v>140</v>
      </c>
      <c r="T49" s="5">
        <v>170</v>
      </c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x14ac:dyDescent="0.25">
      <c r="A50" s="10">
        <v>49</v>
      </c>
      <c r="B50" s="152" t="s">
        <v>1280</v>
      </c>
      <c r="C50" s="153" t="s">
        <v>2187</v>
      </c>
      <c r="D50" s="153" t="s">
        <v>2188</v>
      </c>
      <c r="E50" s="153" t="s">
        <v>2111</v>
      </c>
      <c r="F50" s="6"/>
      <c r="G50" s="6"/>
      <c r="H50" s="83">
        <f t="shared" si="1"/>
        <v>73</v>
      </c>
      <c r="I50" s="5">
        <f>10+9</f>
        <v>19</v>
      </c>
      <c r="J50" s="5">
        <v>50</v>
      </c>
      <c r="K50" s="5"/>
      <c r="L50" s="5"/>
      <c r="M50" s="5"/>
      <c r="N50" s="5"/>
      <c r="O50" s="5"/>
      <c r="P50" s="5"/>
      <c r="Q50" s="5">
        <v>2</v>
      </c>
      <c r="R50" s="5"/>
      <c r="S50" s="5">
        <v>1</v>
      </c>
      <c r="T50" s="5">
        <f>1</f>
        <v>1</v>
      </c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x14ac:dyDescent="0.25">
      <c r="A51" s="10">
        <v>50</v>
      </c>
      <c r="B51" s="152" t="s">
        <v>347</v>
      </c>
      <c r="C51" s="153" t="s">
        <v>2189</v>
      </c>
      <c r="D51" s="153" t="s">
        <v>2190</v>
      </c>
      <c r="E51" s="153" t="s">
        <v>2086</v>
      </c>
      <c r="F51" s="6"/>
      <c r="G51" s="6"/>
      <c r="H51" s="83">
        <f t="shared" si="1"/>
        <v>0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x14ac:dyDescent="0.25">
      <c r="A52" s="10">
        <v>51</v>
      </c>
      <c r="B52" s="152" t="s">
        <v>1065</v>
      </c>
      <c r="C52" s="153" t="s">
        <v>2191</v>
      </c>
      <c r="D52" s="153" t="s">
        <v>2192</v>
      </c>
      <c r="E52" s="153" t="s">
        <v>2086</v>
      </c>
      <c r="F52" s="6"/>
      <c r="G52" s="6"/>
      <c r="H52" s="83">
        <f t="shared" si="1"/>
        <v>24</v>
      </c>
      <c r="I52" s="5">
        <v>24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x14ac:dyDescent="0.25">
      <c r="A53" s="10">
        <v>52</v>
      </c>
      <c r="B53" s="152" t="s">
        <v>250</v>
      </c>
      <c r="C53" s="153" t="s">
        <v>2193</v>
      </c>
      <c r="D53" s="153" t="s">
        <v>2194</v>
      </c>
      <c r="E53" s="153" t="s">
        <v>4948</v>
      </c>
      <c r="F53" s="6"/>
      <c r="G53" s="6"/>
      <c r="H53" s="83">
        <f t="shared" si="1"/>
        <v>0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x14ac:dyDescent="0.25">
      <c r="A54" s="10">
        <v>53</v>
      </c>
      <c r="B54" s="152" t="s">
        <v>2195</v>
      </c>
      <c r="C54" s="153" t="s">
        <v>2196</v>
      </c>
      <c r="D54" s="153" t="s">
        <v>2197</v>
      </c>
      <c r="E54" s="153" t="s">
        <v>4948</v>
      </c>
      <c r="F54" s="6"/>
      <c r="G54" s="6"/>
      <c r="H54" s="83">
        <f t="shared" si="1"/>
        <v>0</v>
      </c>
      <c r="I54" s="5"/>
      <c r="J54" s="5">
        <f>5-5</f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x14ac:dyDescent="0.25">
      <c r="A55" s="10">
        <v>54</v>
      </c>
      <c r="B55" s="152" t="s">
        <v>1746</v>
      </c>
      <c r="C55" s="153" t="s">
        <v>2198</v>
      </c>
      <c r="D55" s="153" t="s">
        <v>2199</v>
      </c>
      <c r="E55" s="153" t="s">
        <v>4948</v>
      </c>
      <c r="F55" s="6"/>
      <c r="G55" s="6"/>
      <c r="H55" s="83">
        <f t="shared" si="1"/>
        <v>0</v>
      </c>
      <c r="I55" s="5">
        <f>1-1</f>
        <v>0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x14ac:dyDescent="0.25">
      <c r="A56" s="10">
        <v>55</v>
      </c>
      <c r="B56" s="152" t="s">
        <v>721</v>
      </c>
      <c r="C56" s="153" t="s">
        <v>2200</v>
      </c>
      <c r="D56" s="153" t="s">
        <v>2201</v>
      </c>
      <c r="E56" s="153" t="s">
        <v>64</v>
      </c>
      <c r="F56" s="6"/>
      <c r="G56" s="6"/>
      <c r="H56" s="83">
        <f t="shared" si="1"/>
        <v>104</v>
      </c>
      <c r="I56" s="5">
        <v>74</v>
      </c>
      <c r="J56" s="5"/>
      <c r="K56" s="5"/>
      <c r="L56" s="5"/>
      <c r="M56" s="5"/>
      <c r="N56" s="5"/>
      <c r="O56" s="5"/>
      <c r="P56" s="5">
        <v>12</v>
      </c>
      <c r="Q56" s="5">
        <v>3</v>
      </c>
      <c r="R56" s="5"/>
      <c r="S56" s="5">
        <v>7</v>
      </c>
      <c r="T56" s="5">
        <v>8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x14ac:dyDescent="0.25">
      <c r="A57" s="10">
        <v>56</v>
      </c>
      <c r="B57" s="152" t="s">
        <v>704</v>
      </c>
      <c r="C57" s="153" t="s">
        <v>2202</v>
      </c>
      <c r="D57" s="153" t="s">
        <v>2203</v>
      </c>
      <c r="E57" s="153" t="s">
        <v>2111</v>
      </c>
      <c r="F57" s="6"/>
      <c r="G57" s="6"/>
      <c r="H57" s="83">
        <f t="shared" si="1"/>
        <v>24.96</v>
      </c>
      <c r="I57" s="5">
        <v>8</v>
      </c>
      <c r="J57" s="5"/>
      <c r="K57" s="5"/>
      <c r="L57" s="5"/>
      <c r="M57" s="5"/>
      <c r="N57" s="5"/>
      <c r="O57" s="5"/>
      <c r="P57" s="5">
        <v>3.96</v>
      </c>
      <c r="Q57" s="5">
        <v>4</v>
      </c>
      <c r="R57" s="5"/>
      <c r="S57" s="5">
        <v>3</v>
      </c>
      <c r="T57" s="5">
        <v>6</v>
      </c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x14ac:dyDescent="0.25">
      <c r="A58" s="10">
        <v>57</v>
      </c>
      <c r="B58" s="152" t="s">
        <v>841</v>
      </c>
      <c r="C58" s="153" t="s">
        <v>2204</v>
      </c>
      <c r="D58" s="153" t="s">
        <v>2205</v>
      </c>
      <c r="E58" s="153" t="s">
        <v>4948</v>
      </c>
      <c r="F58" s="6"/>
      <c r="G58" s="6"/>
      <c r="H58" s="83">
        <f t="shared" si="1"/>
        <v>0</v>
      </c>
      <c r="I58" s="5">
        <f>9-9</f>
        <v>0</v>
      </c>
      <c r="J58" s="5"/>
      <c r="K58" s="5"/>
      <c r="L58" s="5"/>
      <c r="M58" s="5"/>
      <c r="N58" s="5"/>
      <c r="O58" s="5"/>
      <c r="P58" s="5"/>
      <c r="Q58" s="5">
        <f>2-2</f>
        <v>0</v>
      </c>
      <c r="R58" s="5"/>
      <c r="S58" s="5">
        <f>1-1</f>
        <v>0</v>
      </c>
      <c r="T58" s="5">
        <f>1-1</f>
        <v>0</v>
      </c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x14ac:dyDescent="0.25">
      <c r="A59" s="10">
        <v>58</v>
      </c>
      <c r="B59" s="152" t="s">
        <v>2206</v>
      </c>
      <c r="C59" s="153" t="s">
        <v>2207</v>
      </c>
      <c r="D59" s="153" t="s">
        <v>2208</v>
      </c>
      <c r="E59" s="153" t="s">
        <v>2086</v>
      </c>
      <c r="F59" s="6"/>
      <c r="G59" s="6"/>
      <c r="H59" s="83">
        <f t="shared" si="1"/>
        <v>0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x14ac:dyDescent="0.25">
      <c r="A60" s="10">
        <v>59</v>
      </c>
      <c r="B60" s="152" t="s">
        <v>1900</v>
      </c>
      <c r="C60" s="153" t="s">
        <v>2209</v>
      </c>
      <c r="D60" s="153" t="s">
        <v>2210</v>
      </c>
      <c r="E60" s="153" t="s">
        <v>4948</v>
      </c>
      <c r="F60" s="6"/>
      <c r="G60" s="6"/>
      <c r="H60" s="83">
        <f t="shared" si="1"/>
        <v>0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x14ac:dyDescent="0.25">
      <c r="A61" s="10">
        <v>60</v>
      </c>
      <c r="B61" s="152" t="s">
        <v>307</v>
      </c>
      <c r="C61" s="153" t="s">
        <v>2211</v>
      </c>
      <c r="D61" s="153" t="s">
        <v>2212</v>
      </c>
      <c r="E61" s="153" t="s">
        <v>4948</v>
      </c>
      <c r="F61" s="6"/>
      <c r="G61" s="6"/>
      <c r="H61" s="83">
        <f t="shared" si="1"/>
        <v>0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x14ac:dyDescent="0.25">
      <c r="A62" s="10">
        <v>61</v>
      </c>
      <c r="B62" s="152" t="s">
        <v>881</v>
      </c>
      <c r="C62" s="153" t="s">
        <v>2213</v>
      </c>
      <c r="D62" s="153" t="s">
        <v>2214</v>
      </c>
      <c r="E62" s="153" t="s">
        <v>2086</v>
      </c>
      <c r="F62" s="6"/>
      <c r="G62" s="6"/>
      <c r="H62" s="83">
        <f t="shared" si="1"/>
        <v>900</v>
      </c>
      <c r="I62" s="5">
        <v>675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225</v>
      </c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x14ac:dyDescent="0.25">
      <c r="A63" s="10">
        <v>62</v>
      </c>
      <c r="B63" s="152" t="s">
        <v>2215</v>
      </c>
      <c r="C63" s="153" t="s">
        <v>2216</v>
      </c>
      <c r="D63" s="153" t="s">
        <v>2217</v>
      </c>
      <c r="E63" s="153" t="s">
        <v>4948</v>
      </c>
      <c r="F63" s="6"/>
      <c r="G63" s="6"/>
      <c r="H63" s="83">
        <f t="shared" si="1"/>
        <v>0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x14ac:dyDescent="0.25">
      <c r="A64" s="10">
        <v>63</v>
      </c>
      <c r="B64" s="152" t="s">
        <v>2218</v>
      </c>
      <c r="C64" s="153" t="s">
        <v>2219</v>
      </c>
      <c r="D64" s="153" t="s">
        <v>2220</v>
      </c>
      <c r="E64" s="153" t="s">
        <v>4948</v>
      </c>
      <c r="F64" s="6"/>
      <c r="G64" s="6"/>
      <c r="H64" s="83">
        <f t="shared" si="1"/>
        <v>0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x14ac:dyDescent="0.25">
      <c r="A65" s="10">
        <v>64</v>
      </c>
      <c r="B65" s="152" t="s">
        <v>1073</v>
      </c>
      <c r="C65" s="153" t="s">
        <v>2221</v>
      </c>
      <c r="D65" s="153" t="s">
        <v>2222</v>
      </c>
      <c r="E65" s="153" t="s">
        <v>4948</v>
      </c>
      <c r="F65" s="6"/>
      <c r="G65" s="6"/>
      <c r="H65" s="83">
        <f t="shared" si="1"/>
        <v>0</v>
      </c>
      <c r="I65" s="5">
        <f>1-1</f>
        <v>0</v>
      </c>
      <c r="J65" s="5"/>
      <c r="K65" s="5"/>
      <c r="L65" s="5"/>
      <c r="M65" s="5"/>
      <c r="N65" s="5"/>
      <c r="O65" s="5"/>
      <c r="P65" s="5"/>
      <c r="Q65" s="5">
        <f>4-4</f>
        <v>0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x14ac:dyDescent="0.25">
      <c r="A66" s="10">
        <v>65</v>
      </c>
      <c r="B66" s="152" t="s">
        <v>950</v>
      </c>
      <c r="C66" s="153" t="s">
        <v>2223</v>
      </c>
      <c r="D66" s="153" t="s">
        <v>2224</v>
      </c>
      <c r="E66" s="153" t="s">
        <v>2086</v>
      </c>
      <c r="F66" s="6"/>
      <c r="G66" s="6"/>
      <c r="H66" s="83">
        <f t="shared" ref="H66:H129" si="2">SUM(I66:AM66)</f>
        <v>12</v>
      </c>
      <c r="I66" s="5">
        <v>12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x14ac:dyDescent="0.25">
      <c r="A67" s="10">
        <v>66</v>
      </c>
      <c r="B67" s="152" t="s">
        <v>2225</v>
      </c>
      <c r="C67" s="153" t="s">
        <v>2226</v>
      </c>
      <c r="D67" s="153" t="s">
        <v>2227</v>
      </c>
      <c r="E67" s="153" t="s">
        <v>4948</v>
      </c>
      <c r="F67" s="6"/>
      <c r="G67" s="6"/>
      <c r="H67" s="83">
        <f t="shared" si="2"/>
        <v>0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x14ac:dyDescent="0.25">
      <c r="A68" s="10">
        <v>67</v>
      </c>
      <c r="B68" s="152" t="s">
        <v>667</v>
      </c>
      <c r="C68" s="153" t="s">
        <v>2228</v>
      </c>
      <c r="D68" s="153" t="s">
        <v>2229</v>
      </c>
      <c r="E68" s="153" t="s">
        <v>4948</v>
      </c>
      <c r="F68" s="6"/>
      <c r="G68" s="6"/>
      <c r="H68" s="83">
        <f t="shared" si="2"/>
        <v>0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x14ac:dyDescent="0.25">
      <c r="A69" s="10">
        <v>68</v>
      </c>
      <c r="B69" s="152" t="s">
        <v>680</v>
      </c>
      <c r="C69" s="153" t="s">
        <v>2230</v>
      </c>
      <c r="D69" s="153" t="s">
        <v>2231</v>
      </c>
      <c r="E69" s="153" t="s">
        <v>4948</v>
      </c>
      <c r="F69" s="6"/>
      <c r="G69" s="6"/>
      <c r="H69" s="83">
        <f t="shared" si="2"/>
        <v>0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x14ac:dyDescent="0.25">
      <c r="A70" s="10">
        <v>69</v>
      </c>
      <c r="B70" s="152" t="s">
        <v>2232</v>
      </c>
      <c r="C70" s="153" t="s">
        <v>2233</v>
      </c>
      <c r="D70" s="153" t="s">
        <v>2234</v>
      </c>
      <c r="E70" s="153" t="s">
        <v>4948</v>
      </c>
      <c r="F70" s="6"/>
      <c r="G70" s="6"/>
      <c r="H70" s="83">
        <f t="shared" si="2"/>
        <v>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x14ac:dyDescent="0.25">
      <c r="A71" s="10">
        <v>70</v>
      </c>
      <c r="B71" s="152" t="s">
        <v>2235</v>
      </c>
      <c r="C71" s="153" t="s">
        <v>2236</v>
      </c>
      <c r="D71" s="153" t="s">
        <v>2237</v>
      </c>
      <c r="E71" s="153" t="s">
        <v>4948</v>
      </c>
      <c r="F71" s="6"/>
      <c r="G71" s="6"/>
      <c r="H71" s="83">
        <f t="shared" si="2"/>
        <v>0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x14ac:dyDescent="0.25">
      <c r="A72" s="10">
        <v>71</v>
      </c>
      <c r="B72" s="152" t="s">
        <v>2238</v>
      </c>
      <c r="C72" s="153" t="s">
        <v>2239</v>
      </c>
      <c r="D72" s="153" t="s">
        <v>2240</v>
      </c>
      <c r="E72" s="153" t="s">
        <v>2086</v>
      </c>
      <c r="F72" s="6"/>
      <c r="G72" s="6"/>
      <c r="H72" s="83">
        <f t="shared" si="2"/>
        <v>0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x14ac:dyDescent="0.25">
      <c r="A73" s="10">
        <v>72</v>
      </c>
      <c r="B73" s="152" t="s">
        <v>2241</v>
      </c>
      <c r="C73" s="153" t="s">
        <v>2242</v>
      </c>
      <c r="D73" s="153" t="s">
        <v>2243</v>
      </c>
      <c r="E73" s="153" t="s">
        <v>4948</v>
      </c>
      <c r="F73" s="6"/>
      <c r="G73" s="6"/>
      <c r="H73" s="83">
        <f t="shared" si="2"/>
        <v>0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x14ac:dyDescent="0.25">
      <c r="A74" s="10">
        <v>73</v>
      </c>
      <c r="B74" s="152" t="s">
        <v>290</v>
      </c>
      <c r="C74" s="153" t="s">
        <v>2244</v>
      </c>
      <c r="D74" s="153" t="s">
        <v>2245</v>
      </c>
      <c r="E74" s="153" t="s">
        <v>4948</v>
      </c>
      <c r="F74" s="6"/>
      <c r="G74" s="6"/>
      <c r="H74" s="83">
        <f t="shared" si="2"/>
        <v>0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x14ac:dyDescent="0.25">
      <c r="A75" s="10">
        <v>74</v>
      </c>
      <c r="B75" s="152" t="s">
        <v>2246</v>
      </c>
      <c r="C75" s="153" t="s">
        <v>2247</v>
      </c>
      <c r="D75" s="153" t="s">
        <v>2248</v>
      </c>
      <c r="E75" s="153" t="s">
        <v>4948</v>
      </c>
      <c r="F75" s="6"/>
      <c r="G75" s="6"/>
      <c r="H75" s="83">
        <f t="shared" si="2"/>
        <v>0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x14ac:dyDescent="0.25">
      <c r="A76" s="10">
        <v>75</v>
      </c>
      <c r="B76" s="152" t="s">
        <v>1011</v>
      </c>
      <c r="C76" s="153" t="s">
        <v>2249</v>
      </c>
      <c r="D76" s="153" t="s">
        <v>2250</v>
      </c>
      <c r="E76" s="153" t="s">
        <v>2086</v>
      </c>
      <c r="F76" s="6"/>
      <c r="G76" s="6"/>
      <c r="H76" s="83">
        <f t="shared" si="2"/>
        <v>6</v>
      </c>
      <c r="I76" s="5">
        <v>3</v>
      </c>
      <c r="J76" s="5"/>
      <c r="K76" s="5"/>
      <c r="L76" s="5"/>
      <c r="M76" s="5"/>
      <c r="N76" s="5"/>
      <c r="O76" s="5"/>
      <c r="P76" s="5">
        <v>1</v>
      </c>
      <c r="Q76" s="5">
        <v>1</v>
      </c>
      <c r="R76" s="5"/>
      <c r="S76" s="5"/>
      <c r="T76" s="5">
        <v>1</v>
      </c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x14ac:dyDescent="0.25">
      <c r="A77" s="10">
        <v>76</v>
      </c>
      <c r="B77" s="152" t="s">
        <v>285</v>
      </c>
      <c r="C77" s="153" t="s">
        <v>2251</v>
      </c>
      <c r="D77" s="153" t="s">
        <v>2252</v>
      </c>
      <c r="E77" s="153" t="s">
        <v>4948</v>
      </c>
      <c r="F77" s="6"/>
      <c r="G77" s="6"/>
      <c r="H77" s="83">
        <f t="shared" si="2"/>
        <v>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x14ac:dyDescent="0.25">
      <c r="A78" s="10">
        <v>77</v>
      </c>
      <c r="B78" s="152" t="s">
        <v>2253</v>
      </c>
      <c r="C78" s="153" t="s">
        <v>2254</v>
      </c>
      <c r="D78" s="153" t="s">
        <v>2255</v>
      </c>
      <c r="E78" s="153" t="s">
        <v>4948</v>
      </c>
      <c r="F78" s="6"/>
      <c r="G78" s="6"/>
      <c r="H78" s="83">
        <f t="shared" si="2"/>
        <v>0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x14ac:dyDescent="0.25">
      <c r="A79" s="10">
        <v>78</v>
      </c>
      <c r="B79" s="152" t="s">
        <v>2256</v>
      </c>
      <c r="C79" s="153" t="s">
        <v>2257</v>
      </c>
      <c r="D79" s="153" t="s">
        <v>2258</v>
      </c>
      <c r="E79" s="153" t="s">
        <v>4948</v>
      </c>
      <c r="F79" s="6"/>
      <c r="G79" s="6"/>
      <c r="H79" s="83">
        <f t="shared" si="2"/>
        <v>0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x14ac:dyDescent="0.25">
      <c r="A80" s="10">
        <v>79</v>
      </c>
      <c r="B80" s="152" t="s">
        <v>2259</v>
      </c>
      <c r="C80" s="153" t="s">
        <v>2260</v>
      </c>
      <c r="D80" s="153" t="s">
        <v>2261</v>
      </c>
      <c r="E80" s="153" t="s">
        <v>4948</v>
      </c>
      <c r="F80" s="6"/>
      <c r="G80" s="6"/>
      <c r="H80" s="83">
        <f t="shared" si="2"/>
        <v>0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x14ac:dyDescent="0.25">
      <c r="A81" s="10">
        <v>80</v>
      </c>
      <c r="B81" s="152" t="s">
        <v>2262</v>
      </c>
      <c r="C81" s="153" t="s">
        <v>2263</v>
      </c>
      <c r="D81" s="153" t="s">
        <v>2264</v>
      </c>
      <c r="E81" s="153" t="s">
        <v>2086</v>
      </c>
      <c r="F81" s="6"/>
      <c r="G81" s="6"/>
      <c r="H81" s="83">
        <f t="shared" si="2"/>
        <v>0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x14ac:dyDescent="0.25">
      <c r="A82" s="10">
        <v>81</v>
      </c>
      <c r="B82" s="152" t="s">
        <v>2265</v>
      </c>
      <c r="C82" s="153" t="s">
        <v>2266</v>
      </c>
      <c r="D82" s="153" t="s">
        <v>2267</v>
      </c>
      <c r="E82" s="153" t="s">
        <v>4948</v>
      </c>
      <c r="F82" s="6"/>
      <c r="G82" s="6"/>
      <c r="H82" s="83">
        <f t="shared" si="2"/>
        <v>0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x14ac:dyDescent="0.25">
      <c r="A83" s="10">
        <v>82</v>
      </c>
      <c r="B83" s="152" t="s">
        <v>2268</v>
      </c>
      <c r="C83" s="153" t="s">
        <v>2269</v>
      </c>
      <c r="D83" s="153" t="s">
        <v>2270</v>
      </c>
      <c r="E83" s="153" t="s">
        <v>4948</v>
      </c>
      <c r="F83" s="6"/>
      <c r="G83" s="6"/>
      <c r="H83" s="83">
        <f t="shared" si="2"/>
        <v>0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x14ac:dyDescent="0.25">
      <c r="A84" s="10">
        <v>83</v>
      </c>
      <c r="B84" s="152" t="s">
        <v>2271</v>
      </c>
      <c r="C84" s="153" t="s">
        <v>2272</v>
      </c>
      <c r="D84" s="153" t="s">
        <v>2273</v>
      </c>
      <c r="E84" s="153" t="s">
        <v>4948</v>
      </c>
      <c r="F84" s="6"/>
      <c r="G84" s="6"/>
      <c r="H84" s="83">
        <f t="shared" si="2"/>
        <v>0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x14ac:dyDescent="0.25">
      <c r="A85" s="10">
        <v>84</v>
      </c>
      <c r="B85" s="152" t="s">
        <v>2274</v>
      </c>
      <c r="C85" s="153" t="s">
        <v>2275</v>
      </c>
      <c r="D85" s="153" t="s">
        <v>2276</v>
      </c>
      <c r="E85" s="153" t="s">
        <v>4948</v>
      </c>
      <c r="F85" s="6"/>
      <c r="G85" s="6"/>
      <c r="H85" s="83">
        <f t="shared" si="2"/>
        <v>0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x14ac:dyDescent="0.25">
      <c r="A86" s="10">
        <v>85</v>
      </c>
      <c r="B86" s="152" t="s">
        <v>2277</v>
      </c>
      <c r="C86" s="153" t="s">
        <v>2278</v>
      </c>
      <c r="D86" s="153" t="s">
        <v>2279</v>
      </c>
      <c r="E86" s="153" t="s">
        <v>4948</v>
      </c>
      <c r="F86" s="6"/>
      <c r="G86" s="6"/>
      <c r="H86" s="83">
        <f t="shared" si="2"/>
        <v>0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x14ac:dyDescent="0.25">
      <c r="A87" s="10">
        <v>86</v>
      </c>
      <c r="B87" s="152" t="s">
        <v>831</v>
      </c>
      <c r="C87" s="153" t="s">
        <v>2280</v>
      </c>
      <c r="D87" s="153" t="s">
        <v>2281</v>
      </c>
      <c r="E87" s="153" t="s">
        <v>2086</v>
      </c>
      <c r="F87" s="6"/>
      <c r="G87" s="6"/>
      <c r="H87" s="83">
        <f t="shared" si="2"/>
        <v>6</v>
      </c>
      <c r="I87" s="5">
        <v>5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>
        <v>1</v>
      </c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x14ac:dyDescent="0.25">
      <c r="A88" s="10">
        <v>87</v>
      </c>
      <c r="B88" s="152" t="s">
        <v>2282</v>
      </c>
      <c r="C88" s="153" t="s">
        <v>2283</v>
      </c>
      <c r="D88" s="153" t="s">
        <v>2284</v>
      </c>
      <c r="E88" s="153" t="s">
        <v>2086</v>
      </c>
      <c r="F88" s="6"/>
      <c r="G88" s="6"/>
      <c r="H88" s="83">
        <f t="shared" si="2"/>
        <v>0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x14ac:dyDescent="0.25">
      <c r="A89" s="10">
        <v>88</v>
      </c>
      <c r="B89" s="152" t="s">
        <v>1154</v>
      </c>
      <c r="C89" s="153" t="s">
        <v>2285</v>
      </c>
      <c r="D89" s="153" t="s">
        <v>2286</v>
      </c>
      <c r="E89" s="153" t="s">
        <v>2086</v>
      </c>
      <c r="F89" s="6"/>
      <c r="G89" s="6"/>
      <c r="H89" s="122">
        <f t="shared" si="2"/>
        <v>23</v>
      </c>
      <c r="I89" s="5">
        <v>9</v>
      </c>
      <c r="J89" s="5"/>
      <c r="K89" s="5"/>
      <c r="L89" s="5"/>
      <c r="M89" s="5"/>
      <c r="N89" s="5"/>
      <c r="O89" s="5"/>
      <c r="P89" s="5">
        <v>9</v>
      </c>
      <c r="Q89" s="5"/>
      <c r="R89" s="5"/>
      <c r="S89" s="5">
        <v>3</v>
      </c>
      <c r="T89" s="5">
        <v>2</v>
      </c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x14ac:dyDescent="0.25">
      <c r="A90" s="10">
        <v>89</v>
      </c>
      <c r="B90" s="152" t="s">
        <v>1434</v>
      </c>
      <c r="C90" s="153" t="s">
        <v>2287</v>
      </c>
      <c r="D90" s="153" t="s">
        <v>2288</v>
      </c>
      <c r="E90" s="153" t="s">
        <v>2086</v>
      </c>
      <c r="F90" s="6"/>
      <c r="G90" s="6"/>
      <c r="H90" s="83">
        <f t="shared" si="2"/>
        <v>0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x14ac:dyDescent="0.25">
      <c r="A91" s="10">
        <v>90</v>
      </c>
      <c r="B91" s="152" t="s">
        <v>2289</v>
      </c>
      <c r="C91" s="153" t="s">
        <v>2290</v>
      </c>
      <c r="D91" s="153" t="s">
        <v>2291</v>
      </c>
      <c r="E91" s="153" t="s">
        <v>4948</v>
      </c>
      <c r="F91" s="6"/>
      <c r="G91" s="6"/>
      <c r="H91" s="83">
        <f t="shared" si="2"/>
        <v>9000</v>
      </c>
      <c r="I91" s="5">
        <v>9000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x14ac:dyDescent="0.25">
      <c r="A92" s="10">
        <v>91</v>
      </c>
      <c r="B92" s="152" t="s">
        <v>676</v>
      </c>
      <c r="C92" s="153" t="s">
        <v>2292</v>
      </c>
      <c r="D92" s="153" t="s">
        <v>2293</v>
      </c>
      <c r="E92" s="153" t="s">
        <v>4948</v>
      </c>
      <c r="F92" s="6"/>
      <c r="G92" s="6"/>
      <c r="H92" s="83">
        <f t="shared" si="2"/>
        <v>0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x14ac:dyDescent="0.25">
      <c r="A93" s="10">
        <v>92</v>
      </c>
      <c r="B93" s="152" t="s">
        <v>1163</v>
      </c>
      <c r="C93" s="153" t="s">
        <v>2294</v>
      </c>
      <c r="D93" s="153" t="s">
        <v>2295</v>
      </c>
      <c r="E93" s="153" t="s">
        <v>2086</v>
      </c>
      <c r="F93" s="6"/>
      <c r="G93" s="6"/>
      <c r="H93" s="83">
        <f t="shared" si="2"/>
        <v>14</v>
      </c>
      <c r="I93" s="5">
        <v>12</v>
      </c>
      <c r="J93" s="5"/>
      <c r="K93" s="5"/>
      <c r="L93" s="5"/>
      <c r="M93" s="5"/>
      <c r="N93" s="5"/>
      <c r="O93" s="5"/>
      <c r="P93" s="5">
        <v>2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x14ac:dyDescent="0.25">
      <c r="A94" s="10">
        <v>93</v>
      </c>
      <c r="B94" s="152" t="s">
        <v>886</v>
      </c>
      <c r="C94" s="153" t="s">
        <v>2296</v>
      </c>
      <c r="D94" s="153" t="s">
        <v>2297</v>
      </c>
      <c r="E94" s="153" t="s">
        <v>4948</v>
      </c>
      <c r="F94" s="6"/>
      <c r="G94" s="6"/>
      <c r="H94" s="83">
        <f t="shared" si="2"/>
        <v>0</v>
      </c>
      <c r="I94" s="5"/>
      <c r="J94" s="5"/>
      <c r="K94" s="5"/>
      <c r="L94" s="5"/>
      <c r="M94" s="5"/>
      <c r="N94" s="5"/>
      <c r="O94" s="5"/>
      <c r="P94" s="5"/>
      <c r="Q94" s="5">
        <f>2-2</f>
        <v>0</v>
      </c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x14ac:dyDescent="0.25">
      <c r="A95" s="10">
        <v>94</v>
      </c>
      <c r="B95" s="152" t="s">
        <v>333</v>
      </c>
      <c r="C95" s="153" t="s">
        <v>2298</v>
      </c>
      <c r="D95" s="153" t="s">
        <v>2299</v>
      </c>
      <c r="E95" s="153" t="s">
        <v>2086</v>
      </c>
      <c r="F95" s="6"/>
      <c r="G95" s="6"/>
      <c r="H95" s="83">
        <f t="shared" si="2"/>
        <v>1</v>
      </c>
      <c r="I95" s="5"/>
      <c r="J95" s="5"/>
      <c r="K95" s="5"/>
      <c r="L95" s="5"/>
      <c r="M95" s="5"/>
      <c r="N95" s="5"/>
      <c r="O95" s="5"/>
      <c r="P95" s="5">
        <v>1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x14ac:dyDescent="0.25">
      <c r="A96" s="10">
        <v>95</v>
      </c>
      <c r="B96" s="152" t="s">
        <v>2300</v>
      </c>
      <c r="C96" s="153" t="s">
        <v>2301</v>
      </c>
      <c r="D96" s="153" t="s">
        <v>2302</v>
      </c>
      <c r="E96" s="153" t="s">
        <v>2086</v>
      </c>
      <c r="F96" s="6"/>
      <c r="G96" s="6"/>
      <c r="H96" s="83">
        <f t="shared" si="2"/>
        <v>0</v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x14ac:dyDescent="0.25">
      <c r="A97" s="10">
        <v>96</v>
      </c>
      <c r="B97" s="152" t="s">
        <v>1572</v>
      </c>
      <c r="C97" s="153" t="s">
        <v>2303</v>
      </c>
      <c r="D97" s="153" t="s">
        <v>2304</v>
      </c>
      <c r="E97" s="153" t="s">
        <v>2086</v>
      </c>
      <c r="F97" s="6"/>
      <c r="G97" s="6"/>
      <c r="H97" s="83">
        <f t="shared" si="2"/>
        <v>0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x14ac:dyDescent="0.25">
      <c r="A98" s="10">
        <v>97</v>
      </c>
      <c r="B98" s="152" t="s">
        <v>707</v>
      </c>
      <c r="C98" s="153" t="s">
        <v>2305</v>
      </c>
      <c r="D98" s="153" t="s">
        <v>2306</v>
      </c>
      <c r="E98" s="153" t="s">
        <v>4948</v>
      </c>
      <c r="F98" s="6"/>
      <c r="G98" s="6"/>
      <c r="H98" s="83">
        <f t="shared" si="2"/>
        <v>0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x14ac:dyDescent="0.25">
      <c r="A99" s="10">
        <v>98</v>
      </c>
      <c r="B99" s="152" t="s">
        <v>279</v>
      </c>
      <c r="C99" s="153" t="s">
        <v>2307</v>
      </c>
      <c r="D99" s="153" t="s">
        <v>2308</v>
      </c>
      <c r="E99" s="153" t="s">
        <v>4948</v>
      </c>
      <c r="F99" s="6"/>
      <c r="G99" s="6"/>
      <c r="H99" s="83">
        <f t="shared" si="2"/>
        <v>0</v>
      </c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x14ac:dyDescent="0.25">
      <c r="A100" s="10">
        <v>99</v>
      </c>
      <c r="B100" s="152" t="s">
        <v>1418</v>
      </c>
      <c r="C100" s="153" t="s">
        <v>2309</v>
      </c>
      <c r="D100" s="153" t="s">
        <v>2310</v>
      </c>
      <c r="E100" s="153" t="s">
        <v>64</v>
      </c>
      <c r="F100" s="6"/>
      <c r="G100" s="6"/>
      <c r="H100" s="83">
        <f t="shared" si="2"/>
        <v>8</v>
      </c>
      <c r="I100" s="5">
        <v>5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>
        <v>3</v>
      </c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x14ac:dyDescent="0.25">
      <c r="A101" s="10">
        <v>100</v>
      </c>
      <c r="B101" s="152" t="s">
        <v>2311</v>
      </c>
      <c r="C101" s="153" t="s">
        <v>2312</v>
      </c>
      <c r="D101" s="153" t="s">
        <v>2313</v>
      </c>
      <c r="E101" s="153" t="s">
        <v>4948</v>
      </c>
      <c r="F101" s="6"/>
      <c r="G101" s="6"/>
      <c r="H101" s="83">
        <f t="shared" si="2"/>
        <v>0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x14ac:dyDescent="0.25">
      <c r="A102" s="10">
        <v>101</v>
      </c>
      <c r="B102" s="152" t="s">
        <v>1376</v>
      </c>
      <c r="C102" s="153" t="s">
        <v>2314</v>
      </c>
      <c r="D102" s="153" t="s">
        <v>2315</v>
      </c>
      <c r="E102" s="153" t="s">
        <v>2086</v>
      </c>
      <c r="F102" s="6"/>
      <c r="G102" s="6"/>
      <c r="H102" s="83">
        <f t="shared" si="2"/>
        <v>0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x14ac:dyDescent="0.25">
      <c r="A103" s="10">
        <v>102</v>
      </c>
      <c r="B103" s="152" t="s">
        <v>269</v>
      </c>
      <c r="C103" s="153" t="s">
        <v>2316</v>
      </c>
      <c r="D103" s="153" t="s">
        <v>2317</v>
      </c>
      <c r="E103" s="153" t="s">
        <v>4948</v>
      </c>
      <c r="F103" s="6"/>
      <c r="G103" s="6"/>
      <c r="H103" s="83">
        <f t="shared" si="2"/>
        <v>0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x14ac:dyDescent="0.25">
      <c r="A104" s="10">
        <v>103</v>
      </c>
      <c r="B104" s="152" t="s">
        <v>275</v>
      </c>
      <c r="C104" s="153" t="s">
        <v>2318</v>
      </c>
      <c r="D104" s="153" t="s">
        <v>2319</v>
      </c>
      <c r="E104" s="153" t="s">
        <v>2086</v>
      </c>
      <c r="F104" s="6"/>
      <c r="G104" s="6"/>
      <c r="H104" s="83">
        <f t="shared" si="2"/>
        <v>1</v>
      </c>
      <c r="I104" s="5">
        <v>1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x14ac:dyDescent="0.25">
      <c r="A105" s="10">
        <v>104</v>
      </c>
      <c r="B105" s="152" t="s">
        <v>946</v>
      </c>
      <c r="C105" s="153" t="s">
        <v>2320</v>
      </c>
      <c r="D105" s="153" t="s">
        <v>2321</v>
      </c>
      <c r="E105" s="153" t="s">
        <v>4948</v>
      </c>
      <c r="F105" s="6"/>
      <c r="G105" s="6"/>
      <c r="H105" s="83">
        <f t="shared" si="2"/>
        <v>0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x14ac:dyDescent="0.25">
      <c r="A106" s="10">
        <v>105</v>
      </c>
      <c r="B106" s="152" t="s">
        <v>1476</v>
      </c>
      <c r="C106" s="153" t="s">
        <v>2322</v>
      </c>
      <c r="D106" s="153" t="s">
        <v>2323</v>
      </c>
      <c r="E106" s="153" t="s">
        <v>2086</v>
      </c>
      <c r="F106" s="6"/>
      <c r="G106" s="6"/>
      <c r="H106" s="83">
        <f t="shared" si="2"/>
        <v>6</v>
      </c>
      <c r="I106" s="5">
        <v>4</v>
      </c>
      <c r="J106" s="5"/>
      <c r="K106" s="5"/>
      <c r="L106" s="5"/>
      <c r="M106" s="5"/>
      <c r="N106" s="5"/>
      <c r="O106" s="5"/>
      <c r="P106" s="5"/>
      <c r="Q106" s="5">
        <v>2</v>
      </c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x14ac:dyDescent="0.25">
      <c r="A107" s="10">
        <v>106</v>
      </c>
      <c r="B107" s="152" t="s">
        <v>1983</v>
      </c>
      <c r="C107" s="153" t="s">
        <v>2324</v>
      </c>
      <c r="D107" s="153" t="s">
        <v>2325</v>
      </c>
      <c r="E107" s="153" t="s">
        <v>2086</v>
      </c>
      <c r="F107" s="6"/>
      <c r="G107" s="6"/>
      <c r="H107" s="83">
        <f t="shared" si="2"/>
        <v>0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x14ac:dyDescent="0.25">
      <c r="A108" s="10">
        <v>107</v>
      </c>
      <c r="B108" s="152" t="s">
        <v>2326</v>
      </c>
      <c r="C108" s="153" t="s">
        <v>2327</v>
      </c>
      <c r="D108" s="153" t="s">
        <v>2328</v>
      </c>
      <c r="E108" s="153" t="s">
        <v>4948</v>
      </c>
      <c r="F108" s="6"/>
      <c r="G108" s="6"/>
      <c r="H108" s="83">
        <f t="shared" si="2"/>
        <v>0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x14ac:dyDescent="0.25">
      <c r="A109" s="10">
        <v>108</v>
      </c>
      <c r="B109" s="152" t="s">
        <v>281</v>
      </c>
      <c r="C109" s="153" t="s">
        <v>2329</v>
      </c>
      <c r="D109" s="153" t="s">
        <v>2330</v>
      </c>
      <c r="E109" s="153" t="s">
        <v>4948</v>
      </c>
      <c r="F109" s="6"/>
      <c r="G109" s="6"/>
      <c r="H109" s="83">
        <f t="shared" si="2"/>
        <v>0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x14ac:dyDescent="0.25">
      <c r="A110" s="10">
        <v>109</v>
      </c>
      <c r="B110" s="152" t="s">
        <v>2331</v>
      </c>
      <c r="C110" s="153" t="s">
        <v>2332</v>
      </c>
      <c r="D110" s="153" t="s">
        <v>2333</v>
      </c>
      <c r="E110" s="153" t="s">
        <v>2086</v>
      </c>
      <c r="F110" s="6"/>
      <c r="G110" s="6"/>
      <c r="H110" s="83">
        <f t="shared" si="2"/>
        <v>0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x14ac:dyDescent="0.25">
      <c r="A111" s="10">
        <v>110</v>
      </c>
      <c r="B111" s="152" t="s">
        <v>266</v>
      </c>
      <c r="C111" s="153" t="s">
        <v>2334</v>
      </c>
      <c r="D111" s="153" t="s">
        <v>2335</v>
      </c>
      <c r="E111" s="153" t="s">
        <v>4948</v>
      </c>
      <c r="F111" s="6"/>
      <c r="G111" s="6"/>
      <c r="H111" s="83">
        <f t="shared" si="2"/>
        <v>0</v>
      </c>
      <c r="I111" s="5">
        <f>10-10</f>
        <v>0</v>
      </c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x14ac:dyDescent="0.25">
      <c r="A112" s="10">
        <v>111</v>
      </c>
      <c r="B112" s="152" t="s">
        <v>1922</v>
      </c>
      <c r="C112" s="153" t="s">
        <v>2336</v>
      </c>
      <c r="D112" s="153" t="s">
        <v>2337</v>
      </c>
      <c r="E112" s="153" t="s">
        <v>4948</v>
      </c>
      <c r="F112" s="6"/>
      <c r="G112" s="6"/>
      <c r="H112" s="83">
        <f t="shared" si="2"/>
        <v>0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x14ac:dyDescent="0.25">
      <c r="A113" s="10">
        <v>112</v>
      </c>
      <c r="B113" s="152" t="s">
        <v>2338</v>
      </c>
      <c r="C113" s="153" t="s">
        <v>2339</v>
      </c>
      <c r="D113" s="153" t="s">
        <v>2340</v>
      </c>
      <c r="E113" s="153" t="s">
        <v>2086</v>
      </c>
      <c r="F113" s="6"/>
      <c r="G113" s="6"/>
      <c r="H113" s="83">
        <f t="shared" si="2"/>
        <v>0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x14ac:dyDescent="0.25">
      <c r="A114" s="10">
        <v>113</v>
      </c>
      <c r="B114" s="152" t="s">
        <v>2341</v>
      </c>
      <c r="C114" s="153" t="s">
        <v>2342</v>
      </c>
      <c r="D114" s="153" t="s">
        <v>2343</v>
      </c>
      <c r="E114" s="153" t="s">
        <v>4948</v>
      </c>
      <c r="F114" s="6"/>
      <c r="G114" s="6"/>
      <c r="H114" s="83">
        <f t="shared" si="2"/>
        <v>0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x14ac:dyDescent="0.25">
      <c r="A115" s="10">
        <v>114</v>
      </c>
      <c r="B115" s="152" t="s">
        <v>2344</v>
      </c>
      <c r="C115" s="153" t="s">
        <v>2345</v>
      </c>
      <c r="D115" s="153" t="s">
        <v>2346</v>
      </c>
      <c r="E115" s="153" t="s">
        <v>4948</v>
      </c>
      <c r="F115" s="6"/>
      <c r="G115" s="6"/>
      <c r="H115" s="83">
        <f t="shared" si="2"/>
        <v>0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x14ac:dyDescent="0.25">
      <c r="A116" s="10">
        <v>115</v>
      </c>
      <c r="B116" s="152" t="s">
        <v>1124</v>
      </c>
      <c r="C116" s="153" t="s">
        <v>2347</v>
      </c>
      <c r="D116" s="153" t="s">
        <v>2348</v>
      </c>
      <c r="E116" s="153" t="s">
        <v>2086</v>
      </c>
      <c r="F116" s="6"/>
      <c r="G116" s="6"/>
      <c r="H116" s="83">
        <f t="shared" si="2"/>
        <v>4</v>
      </c>
      <c r="I116" s="5">
        <f>1+2</f>
        <v>3</v>
      </c>
      <c r="J116" s="5"/>
      <c r="K116" s="5"/>
      <c r="L116" s="5"/>
      <c r="M116" s="5"/>
      <c r="N116" s="5"/>
      <c r="O116" s="5"/>
      <c r="P116" s="5"/>
      <c r="Q116" s="5"/>
      <c r="R116" s="5"/>
      <c r="S116" s="5">
        <v>1</v>
      </c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x14ac:dyDescent="0.25">
      <c r="A117" s="10">
        <v>116</v>
      </c>
      <c r="B117" s="152" t="s">
        <v>362</v>
      </c>
      <c r="C117" s="153" t="s">
        <v>2349</v>
      </c>
      <c r="D117" s="153" t="s">
        <v>2350</v>
      </c>
      <c r="E117" s="153" t="s">
        <v>4948</v>
      </c>
      <c r="F117" s="6"/>
      <c r="G117" s="6"/>
      <c r="H117" s="83">
        <f t="shared" si="2"/>
        <v>0</v>
      </c>
      <c r="I117" s="5">
        <f>5-5</f>
        <v>0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x14ac:dyDescent="0.25">
      <c r="A118" s="10">
        <v>117</v>
      </c>
      <c r="B118" s="152" t="s">
        <v>1928</v>
      </c>
      <c r="C118" s="153" t="s">
        <v>2351</v>
      </c>
      <c r="D118" s="153" t="s">
        <v>2352</v>
      </c>
      <c r="E118" s="153" t="s">
        <v>4948</v>
      </c>
      <c r="F118" s="6"/>
      <c r="G118" s="6"/>
      <c r="H118" s="83">
        <f t="shared" si="2"/>
        <v>0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x14ac:dyDescent="0.25">
      <c r="A119" s="10">
        <v>118</v>
      </c>
      <c r="B119" s="152" t="s">
        <v>2353</v>
      </c>
      <c r="C119" s="153" t="s">
        <v>2354</v>
      </c>
      <c r="D119" s="153" t="s">
        <v>2355</v>
      </c>
      <c r="E119" s="153" t="s">
        <v>2086</v>
      </c>
      <c r="F119" s="6"/>
      <c r="G119" s="6"/>
      <c r="H119" s="83">
        <f t="shared" si="2"/>
        <v>0</v>
      </c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x14ac:dyDescent="0.25">
      <c r="A120" s="10">
        <v>119</v>
      </c>
      <c r="B120" s="152" t="s">
        <v>2356</v>
      </c>
      <c r="C120" s="153" t="s">
        <v>2357</v>
      </c>
      <c r="D120" s="153" t="s">
        <v>2358</v>
      </c>
      <c r="E120" s="153" t="s">
        <v>2086</v>
      </c>
      <c r="F120" s="6"/>
      <c r="G120" s="6"/>
      <c r="H120" s="83">
        <f t="shared" si="2"/>
        <v>0</v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x14ac:dyDescent="0.25">
      <c r="A121" s="10">
        <v>120</v>
      </c>
      <c r="B121" s="152" t="s">
        <v>995</v>
      </c>
      <c r="C121" s="153" t="s">
        <v>2359</v>
      </c>
      <c r="D121" s="153" t="s">
        <v>996</v>
      </c>
      <c r="E121" s="153" t="s">
        <v>2086</v>
      </c>
      <c r="F121" s="6"/>
      <c r="G121" s="6"/>
      <c r="H121" s="83">
        <f t="shared" si="2"/>
        <v>3</v>
      </c>
      <c r="I121" s="5"/>
      <c r="J121" s="5"/>
      <c r="K121" s="5"/>
      <c r="L121" s="5"/>
      <c r="M121" s="5"/>
      <c r="N121" s="5"/>
      <c r="O121" s="5"/>
      <c r="P121" s="5">
        <v>1</v>
      </c>
      <c r="Q121" s="5">
        <v>1</v>
      </c>
      <c r="R121" s="5"/>
      <c r="S121" s="5">
        <v>1</v>
      </c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x14ac:dyDescent="0.25">
      <c r="A122" s="10">
        <v>121</v>
      </c>
      <c r="B122" s="152" t="s">
        <v>2360</v>
      </c>
      <c r="C122" s="153" t="s">
        <v>2361</v>
      </c>
      <c r="D122" s="153" t="s">
        <v>2362</v>
      </c>
      <c r="E122" s="153" t="s">
        <v>4948</v>
      </c>
      <c r="F122" s="6"/>
      <c r="G122" s="6"/>
      <c r="H122" s="83">
        <f t="shared" si="2"/>
        <v>0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x14ac:dyDescent="0.25">
      <c r="A123" s="10">
        <v>122</v>
      </c>
      <c r="B123" s="152" t="s">
        <v>335</v>
      </c>
      <c r="C123" s="153" t="s">
        <v>2363</v>
      </c>
      <c r="D123" s="153" t="s">
        <v>2364</v>
      </c>
      <c r="E123" s="153" t="s">
        <v>4948</v>
      </c>
      <c r="F123" s="6"/>
      <c r="G123" s="6"/>
      <c r="H123" s="83">
        <f t="shared" si="2"/>
        <v>0</v>
      </c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x14ac:dyDescent="0.25">
      <c r="A124" s="10">
        <v>123</v>
      </c>
      <c r="B124" s="152" t="s">
        <v>2365</v>
      </c>
      <c r="C124" s="153" t="s">
        <v>2366</v>
      </c>
      <c r="D124" s="153" t="s">
        <v>2367</v>
      </c>
      <c r="E124" s="153" t="s">
        <v>4948</v>
      </c>
      <c r="F124" s="6"/>
      <c r="G124" s="6"/>
      <c r="H124" s="83">
        <f t="shared" si="2"/>
        <v>0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x14ac:dyDescent="0.25">
      <c r="A125" s="10">
        <v>124</v>
      </c>
      <c r="B125" s="152" t="s">
        <v>2368</v>
      </c>
      <c r="C125" s="153" t="s">
        <v>2369</v>
      </c>
      <c r="D125" s="153" t="s">
        <v>2370</v>
      </c>
      <c r="E125" s="153" t="s">
        <v>2111</v>
      </c>
      <c r="F125" s="6"/>
      <c r="G125" s="6"/>
      <c r="H125" s="83">
        <f t="shared" si="2"/>
        <v>0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x14ac:dyDescent="0.25">
      <c r="A126" s="10">
        <v>125</v>
      </c>
      <c r="B126" s="152" t="s">
        <v>2371</v>
      </c>
      <c r="C126" s="153" t="s">
        <v>2372</v>
      </c>
      <c r="D126" s="153" t="s">
        <v>2373</v>
      </c>
      <c r="E126" s="153" t="s">
        <v>2111</v>
      </c>
      <c r="F126" s="6"/>
      <c r="G126" s="6"/>
      <c r="H126" s="83">
        <f t="shared" si="2"/>
        <v>0</v>
      </c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x14ac:dyDescent="0.25">
      <c r="A127" s="10">
        <v>126</v>
      </c>
      <c r="B127" s="152" t="s">
        <v>2374</v>
      </c>
      <c r="C127" s="153" t="s">
        <v>2375</v>
      </c>
      <c r="D127" s="153" t="s">
        <v>2376</v>
      </c>
      <c r="E127" s="153" t="s">
        <v>2086</v>
      </c>
      <c r="F127" s="6"/>
      <c r="G127" s="6"/>
      <c r="H127" s="83">
        <f t="shared" si="2"/>
        <v>0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x14ac:dyDescent="0.25">
      <c r="A128" s="10">
        <v>127</v>
      </c>
      <c r="B128" s="152" t="s">
        <v>1199</v>
      </c>
      <c r="C128" s="153" t="s">
        <v>2377</v>
      </c>
      <c r="D128" s="153" t="s">
        <v>2378</v>
      </c>
      <c r="E128" s="153" t="s">
        <v>64</v>
      </c>
      <c r="F128" s="6"/>
      <c r="G128" s="6"/>
      <c r="H128" s="83">
        <f t="shared" si="2"/>
        <v>128</v>
      </c>
      <c r="I128" s="5">
        <v>110</v>
      </c>
      <c r="J128" s="5"/>
      <c r="K128" s="5"/>
      <c r="L128" s="5"/>
      <c r="M128" s="5"/>
      <c r="N128" s="5"/>
      <c r="O128" s="5"/>
      <c r="P128" s="5">
        <v>8</v>
      </c>
      <c r="Q128" s="5">
        <v>4</v>
      </c>
      <c r="R128" s="5"/>
      <c r="S128" s="5">
        <v>2</v>
      </c>
      <c r="T128" s="5">
        <v>4</v>
      </c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x14ac:dyDescent="0.25">
      <c r="A129" s="10">
        <v>128</v>
      </c>
      <c r="B129" s="152" t="s">
        <v>964</v>
      </c>
      <c r="C129" s="153" t="s">
        <v>2379</v>
      </c>
      <c r="D129" s="153" t="s">
        <v>2380</v>
      </c>
      <c r="E129" s="153" t="s">
        <v>64</v>
      </c>
      <c r="F129" s="6"/>
      <c r="G129" s="6"/>
      <c r="H129" s="83">
        <f t="shared" si="2"/>
        <v>1428</v>
      </c>
      <c r="I129" s="5">
        <v>984</v>
      </c>
      <c r="J129" s="5"/>
      <c r="K129" s="5"/>
      <c r="L129" s="5"/>
      <c r="M129" s="5"/>
      <c r="N129" s="5"/>
      <c r="O129" s="5"/>
      <c r="P129" s="5">
        <v>170</v>
      </c>
      <c r="Q129" s="5">
        <v>54</v>
      </c>
      <c r="R129" s="5"/>
      <c r="S129" s="5">
        <v>50</v>
      </c>
      <c r="T129" s="5">
        <v>170</v>
      </c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x14ac:dyDescent="0.25">
      <c r="A130" s="10">
        <v>129</v>
      </c>
      <c r="B130" s="152" t="s">
        <v>2381</v>
      </c>
      <c r="C130" s="153" t="s">
        <v>2382</v>
      </c>
      <c r="D130" s="153" t="s">
        <v>2383</v>
      </c>
      <c r="E130" s="153" t="s">
        <v>2086</v>
      </c>
      <c r="F130" s="6"/>
      <c r="G130" s="6"/>
      <c r="H130" s="83">
        <f t="shared" ref="H130:H193" si="3">SUM(I130:AM130)</f>
        <v>0</v>
      </c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x14ac:dyDescent="0.25">
      <c r="A131" s="10">
        <v>130</v>
      </c>
      <c r="B131" s="152" t="s">
        <v>2384</v>
      </c>
      <c r="C131" s="153" t="s">
        <v>2385</v>
      </c>
      <c r="D131" s="153" t="s">
        <v>2386</v>
      </c>
      <c r="E131" s="153" t="s">
        <v>2086</v>
      </c>
      <c r="F131" s="6"/>
      <c r="G131" s="6"/>
      <c r="H131" s="83">
        <f t="shared" si="3"/>
        <v>0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x14ac:dyDescent="0.25">
      <c r="A132" s="10">
        <v>131</v>
      </c>
      <c r="B132" s="152" t="s">
        <v>2387</v>
      </c>
      <c r="C132" s="153" t="s">
        <v>2388</v>
      </c>
      <c r="D132" s="153" t="s">
        <v>2389</v>
      </c>
      <c r="E132" s="153" t="s">
        <v>4948</v>
      </c>
      <c r="F132" s="6"/>
      <c r="G132" s="6"/>
      <c r="H132" s="83">
        <f t="shared" si="3"/>
        <v>0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x14ac:dyDescent="0.25">
      <c r="A133" s="10">
        <v>132</v>
      </c>
      <c r="B133" s="152" t="s">
        <v>365</v>
      </c>
      <c r="C133" s="153" t="s">
        <v>2390</v>
      </c>
      <c r="D133" s="153" t="s">
        <v>2391</v>
      </c>
      <c r="E133" s="153" t="s">
        <v>2086</v>
      </c>
      <c r="F133" s="6"/>
      <c r="G133" s="6"/>
      <c r="H133" s="83">
        <f t="shared" si="3"/>
        <v>0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x14ac:dyDescent="0.25">
      <c r="A134" s="10">
        <v>133</v>
      </c>
      <c r="B134" s="152" t="s">
        <v>2392</v>
      </c>
      <c r="C134" s="153" t="s">
        <v>2393</v>
      </c>
      <c r="D134" s="153" t="s">
        <v>2394</v>
      </c>
      <c r="E134" s="153" t="s">
        <v>4948</v>
      </c>
      <c r="F134" s="6"/>
      <c r="G134" s="6"/>
      <c r="H134" s="83">
        <f t="shared" si="3"/>
        <v>0</v>
      </c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x14ac:dyDescent="0.25">
      <c r="A135" s="10">
        <v>134</v>
      </c>
      <c r="B135" s="152" t="s">
        <v>925</v>
      </c>
      <c r="C135" s="153" t="s">
        <v>2395</v>
      </c>
      <c r="D135" s="153" t="s">
        <v>2396</v>
      </c>
      <c r="E135" s="153" t="s">
        <v>4948</v>
      </c>
      <c r="F135" s="6"/>
      <c r="G135" s="6"/>
      <c r="H135" s="83">
        <f t="shared" si="3"/>
        <v>0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x14ac:dyDescent="0.25">
      <c r="A136" s="10">
        <v>135</v>
      </c>
      <c r="B136" s="152" t="s">
        <v>71</v>
      </c>
      <c r="C136" s="153" t="s">
        <v>2397</v>
      </c>
      <c r="D136" s="153" t="s">
        <v>2398</v>
      </c>
      <c r="E136" s="153" t="s">
        <v>2086</v>
      </c>
      <c r="F136" s="6"/>
      <c r="G136" s="6"/>
      <c r="H136" s="83">
        <f t="shared" si="3"/>
        <v>36</v>
      </c>
      <c r="I136" s="5">
        <v>36</v>
      </c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x14ac:dyDescent="0.25">
      <c r="A137" s="10">
        <v>136</v>
      </c>
      <c r="B137" s="152" t="s">
        <v>292</v>
      </c>
      <c r="C137" s="153" t="s">
        <v>2399</v>
      </c>
      <c r="D137" s="153" t="s">
        <v>2400</v>
      </c>
      <c r="E137" s="153" t="s">
        <v>4948</v>
      </c>
      <c r="F137" s="6"/>
      <c r="G137" s="6"/>
      <c r="H137" s="83">
        <f t="shared" si="3"/>
        <v>0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x14ac:dyDescent="0.25">
      <c r="A138" s="10">
        <v>137</v>
      </c>
      <c r="B138" s="152" t="s">
        <v>2401</v>
      </c>
      <c r="C138" s="153" t="s">
        <v>2402</v>
      </c>
      <c r="D138" s="153" t="s">
        <v>2403</v>
      </c>
      <c r="E138" s="153" t="s">
        <v>4948</v>
      </c>
      <c r="F138" s="6"/>
      <c r="G138" s="6"/>
      <c r="H138" s="83">
        <f t="shared" si="3"/>
        <v>0</v>
      </c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x14ac:dyDescent="0.25">
      <c r="A139" s="10">
        <v>138</v>
      </c>
      <c r="B139" s="152" t="s">
        <v>1238</v>
      </c>
      <c r="C139" s="153" t="s">
        <v>2404</v>
      </c>
      <c r="D139" s="153" t="s">
        <v>2405</v>
      </c>
      <c r="E139" s="153" t="s">
        <v>4948</v>
      </c>
      <c r="F139" s="6"/>
      <c r="G139" s="6"/>
      <c r="H139" s="83">
        <f t="shared" si="3"/>
        <v>0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x14ac:dyDescent="0.25">
      <c r="A140" s="10">
        <v>139</v>
      </c>
      <c r="B140" s="152" t="s">
        <v>877</v>
      </c>
      <c r="C140" s="153" t="s">
        <v>2406</v>
      </c>
      <c r="D140" s="153" t="s">
        <v>2407</v>
      </c>
      <c r="E140" s="153" t="s">
        <v>2086</v>
      </c>
      <c r="F140" s="6"/>
      <c r="G140" s="6"/>
      <c r="H140" s="83">
        <f t="shared" si="3"/>
        <v>12</v>
      </c>
      <c r="I140" s="5"/>
      <c r="J140" s="5">
        <v>10</v>
      </c>
      <c r="K140" s="5"/>
      <c r="L140" s="5"/>
      <c r="M140" s="5"/>
      <c r="N140" s="5"/>
      <c r="O140" s="5"/>
      <c r="P140" s="5"/>
      <c r="Q140" s="5">
        <v>2</v>
      </c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x14ac:dyDescent="0.25">
      <c r="A141" s="10">
        <v>140</v>
      </c>
      <c r="B141" s="152" t="s">
        <v>2408</v>
      </c>
      <c r="C141" s="153" t="s">
        <v>2409</v>
      </c>
      <c r="D141" s="153" t="s">
        <v>2410</v>
      </c>
      <c r="E141" s="153" t="s">
        <v>4948</v>
      </c>
      <c r="F141" s="6"/>
      <c r="G141" s="6"/>
      <c r="H141" s="83">
        <f t="shared" si="3"/>
        <v>0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x14ac:dyDescent="0.25">
      <c r="A142" s="10">
        <v>141</v>
      </c>
      <c r="B142" s="152" t="s">
        <v>344</v>
      </c>
      <c r="C142" s="153" t="s">
        <v>2411</v>
      </c>
      <c r="D142" s="153" t="s">
        <v>2412</v>
      </c>
      <c r="E142" s="153" t="s">
        <v>2086</v>
      </c>
      <c r="F142" s="6"/>
      <c r="G142" s="6"/>
      <c r="H142" s="83">
        <f t="shared" si="3"/>
        <v>0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x14ac:dyDescent="0.25">
      <c r="A143" s="10">
        <v>142</v>
      </c>
      <c r="B143" s="152" t="s">
        <v>2413</v>
      </c>
      <c r="C143" s="153" t="s">
        <v>2414</v>
      </c>
      <c r="D143" s="153" t="s">
        <v>2415</v>
      </c>
      <c r="E143" s="153" t="s">
        <v>4948</v>
      </c>
      <c r="F143" s="6"/>
      <c r="G143" s="6"/>
      <c r="H143" s="83">
        <f t="shared" si="3"/>
        <v>0</v>
      </c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x14ac:dyDescent="0.25">
      <c r="A144" s="10">
        <v>143</v>
      </c>
      <c r="B144" s="152" t="s">
        <v>255</v>
      </c>
      <c r="C144" s="153" t="s">
        <v>2416</v>
      </c>
      <c r="D144" s="153" t="s">
        <v>2417</v>
      </c>
      <c r="E144" s="153" t="s">
        <v>4948</v>
      </c>
      <c r="F144" s="6"/>
      <c r="G144" s="6"/>
      <c r="H144" s="83">
        <f t="shared" si="3"/>
        <v>0</v>
      </c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x14ac:dyDescent="0.25">
      <c r="A145" s="10">
        <v>144</v>
      </c>
      <c r="B145" s="152" t="s">
        <v>739</v>
      </c>
      <c r="C145" s="153" t="s">
        <v>2418</v>
      </c>
      <c r="D145" s="153" t="s">
        <v>2419</v>
      </c>
      <c r="E145" s="153" t="s">
        <v>2086</v>
      </c>
      <c r="F145" s="6"/>
      <c r="G145" s="6"/>
      <c r="H145" s="83">
        <f t="shared" si="3"/>
        <v>18</v>
      </c>
      <c r="I145" s="5">
        <v>4</v>
      </c>
      <c r="J145" s="5"/>
      <c r="K145" s="5"/>
      <c r="L145" s="5"/>
      <c r="M145" s="5"/>
      <c r="N145" s="5"/>
      <c r="O145" s="5"/>
      <c r="P145" s="5">
        <v>9</v>
      </c>
      <c r="Q145" s="5">
        <v>5</v>
      </c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x14ac:dyDescent="0.25">
      <c r="A146" s="10">
        <v>145</v>
      </c>
      <c r="B146" s="152" t="s">
        <v>784</v>
      </c>
      <c r="C146" s="153" t="s">
        <v>2420</v>
      </c>
      <c r="D146" s="153" t="s">
        <v>2421</v>
      </c>
      <c r="E146" s="153" t="s">
        <v>4948</v>
      </c>
      <c r="F146" s="6"/>
      <c r="G146" s="6"/>
      <c r="H146" s="83">
        <f t="shared" si="3"/>
        <v>0</v>
      </c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x14ac:dyDescent="0.25">
      <c r="A147" s="10">
        <v>146</v>
      </c>
      <c r="B147" s="152" t="s">
        <v>678</v>
      </c>
      <c r="C147" s="153" t="s">
        <v>2422</v>
      </c>
      <c r="D147" s="153" t="s">
        <v>2423</v>
      </c>
      <c r="E147" s="153" t="s">
        <v>2086</v>
      </c>
      <c r="F147" s="6"/>
      <c r="G147" s="6"/>
      <c r="H147" s="83">
        <f t="shared" si="3"/>
        <v>4</v>
      </c>
      <c r="I147" s="5">
        <v>2</v>
      </c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>
        <v>2</v>
      </c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x14ac:dyDescent="0.25">
      <c r="A148" s="10">
        <v>147</v>
      </c>
      <c r="B148" s="152" t="s">
        <v>2424</v>
      </c>
      <c r="C148" s="153" t="s">
        <v>2425</v>
      </c>
      <c r="D148" s="153" t="s">
        <v>2426</v>
      </c>
      <c r="E148" s="153" t="s">
        <v>2086</v>
      </c>
      <c r="F148" s="6"/>
      <c r="G148" s="6"/>
      <c r="H148" s="83">
        <f t="shared" si="3"/>
        <v>0</v>
      </c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x14ac:dyDescent="0.25">
      <c r="A149" s="10">
        <v>148</v>
      </c>
      <c r="B149" s="152" t="s">
        <v>760</v>
      </c>
      <c r="C149" s="153" t="s">
        <v>2427</v>
      </c>
      <c r="D149" s="153" t="s">
        <v>2428</v>
      </c>
      <c r="E149" s="153" t="s">
        <v>4948</v>
      </c>
      <c r="F149" s="6"/>
      <c r="G149" s="6"/>
      <c r="H149" s="83">
        <f t="shared" si="3"/>
        <v>0</v>
      </c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x14ac:dyDescent="0.25">
      <c r="A150" s="10">
        <v>149</v>
      </c>
      <c r="B150" s="152" t="s">
        <v>1337</v>
      </c>
      <c r="C150" s="153" t="s">
        <v>2429</v>
      </c>
      <c r="D150" s="153" t="s">
        <v>2430</v>
      </c>
      <c r="E150" s="153" t="s">
        <v>2086</v>
      </c>
      <c r="F150" s="6"/>
      <c r="G150" s="6"/>
      <c r="H150" s="83">
        <f t="shared" si="3"/>
        <v>0</v>
      </c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x14ac:dyDescent="0.25">
      <c r="A151" s="10">
        <v>150</v>
      </c>
      <c r="B151" s="152" t="s">
        <v>2431</v>
      </c>
      <c r="C151" s="153" t="s">
        <v>2432</v>
      </c>
      <c r="D151" s="153" t="s">
        <v>2433</v>
      </c>
      <c r="E151" s="153" t="s">
        <v>2086</v>
      </c>
      <c r="F151" s="6"/>
      <c r="G151" s="6"/>
      <c r="H151" s="83">
        <f t="shared" si="3"/>
        <v>0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x14ac:dyDescent="0.25">
      <c r="A152" s="10">
        <v>151</v>
      </c>
      <c r="B152" s="152" t="s">
        <v>671</v>
      </c>
      <c r="C152" s="153" t="s">
        <v>2434</v>
      </c>
      <c r="D152" s="153" t="s">
        <v>672</v>
      </c>
      <c r="E152" s="153" t="s">
        <v>4948</v>
      </c>
      <c r="F152" s="6"/>
      <c r="G152" s="6"/>
      <c r="H152" s="83">
        <f t="shared" si="3"/>
        <v>0</v>
      </c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x14ac:dyDescent="0.25">
      <c r="A153" s="10">
        <v>152</v>
      </c>
      <c r="B153" s="152" t="s">
        <v>755</v>
      </c>
      <c r="C153" s="153" t="s">
        <v>2435</v>
      </c>
      <c r="D153" s="153" t="s">
        <v>2436</v>
      </c>
      <c r="E153" s="153" t="s">
        <v>4948</v>
      </c>
      <c r="F153" s="6"/>
      <c r="G153" s="6"/>
      <c r="H153" s="83">
        <f t="shared" si="3"/>
        <v>0</v>
      </c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x14ac:dyDescent="0.25">
      <c r="A154" s="10">
        <v>153</v>
      </c>
      <c r="B154" s="152" t="s">
        <v>1230</v>
      </c>
      <c r="C154" s="153" t="s">
        <v>2437</v>
      </c>
      <c r="D154" s="153" t="s">
        <v>2438</v>
      </c>
      <c r="E154" s="153" t="s">
        <v>2086</v>
      </c>
      <c r="F154" s="6"/>
      <c r="G154" s="6"/>
      <c r="H154" s="83">
        <f t="shared" si="3"/>
        <v>0</v>
      </c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x14ac:dyDescent="0.25">
      <c r="A155" s="10">
        <v>154</v>
      </c>
      <c r="B155" s="152" t="s">
        <v>1384</v>
      </c>
      <c r="C155" s="153" t="s">
        <v>2439</v>
      </c>
      <c r="D155" s="153" t="s">
        <v>2440</v>
      </c>
      <c r="E155" s="153" t="s">
        <v>2086</v>
      </c>
      <c r="F155" s="6"/>
      <c r="G155" s="6"/>
      <c r="H155" s="83">
        <f t="shared" si="3"/>
        <v>23</v>
      </c>
      <c r="I155" s="5">
        <v>2</v>
      </c>
      <c r="J155" s="5"/>
      <c r="K155" s="5"/>
      <c r="L155" s="5"/>
      <c r="M155" s="5"/>
      <c r="N155" s="5"/>
      <c r="O155" s="5"/>
      <c r="P155" s="5">
        <v>3</v>
      </c>
      <c r="Q155" s="5">
        <v>11</v>
      </c>
      <c r="R155" s="5"/>
      <c r="S155" s="5">
        <v>2</v>
      </c>
      <c r="T155" s="5">
        <v>5</v>
      </c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x14ac:dyDescent="0.25">
      <c r="A156" s="10">
        <v>155</v>
      </c>
      <c r="B156" s="152" t="s">
        <v>2441</v>
      </c>
      <c r="C156" s="153" t="s">
        <v>2442</v>
      </c>
      <c r="D156" s="153" t="s">
        <v>2443</v>
      </c>
      <c r="E156" s="153" t="s">
        <v>4948</v>
      </c>
      <c r="F156" s="6"/>
      <c r="G156" s="6"/>
      <c r="H156" s="83">
        <f t="shared" si="3"/>
        <v>0</v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x14ac:dyDescent="0.25">
      <c r="A157" s="10">
        <v>156</v>
      </c>
      <c r="B157" s="152" t="s">
        <v>1426</v>
      </c>
      <c r="C157" s="153" t="s">
        <v>2444</v>
      </c>
      <c r="D157" s="153" t="s">
        <v>2445</v>
      </c>
      <c r="E157" s="153" t="s">
        <v>2086</v>
      </c>
      <c r="F157" s="6"/>
      <c r="G157" s="6"/>
      <c r="H157" s="83">
        <f t="shared" si="3"/>
        <v>0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x14ac:dyDescent="0.25">
      <c r="A158" s="10">
        <v>157</v>
      </c>
      <c r="B158" s="152" t="s">
        <v>2446</v>
      </c>
      <c r="C158" s="153" t="s">
        <v>2447</v>
      </c>
      <c r="D158" s="153" t="s">
        <v>2448</v>
      </c>
      <c r="E158" s="153" t="s">
        <v>2086</v>
      </c>
      <c r="F158" s="6"/>
      <c r="G158" s="6"/>
      <c r="H158" s="83">
        <f t="shared" si="3"/>
        <v>0</v>
      </c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x14ac:dyDescent="0.25">
      <c r="A159" s="10">
        <v>158</v>
      </c>
      <c r="B159" s="152" t="s">
        <v>283</v>
      </c>
      <c r="C159" s="153" t="s">
        <v>2449</v>
      </c>
      <c r="D159" s="153" t="s">
        <v>2450</v>
      </c>
      <c r="E159" s="153" t="s">
        <v>4948</v>
      </c>
      <c r="F159" s="6"/>
      <c r="G159" s="6"/>
      <c r="H159" s="83">
        <f t="shared" si="3"/>
        <v>0</v>
      </c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x14ac:dyDescent="0.25">
      <c r="A160" s="10">
        <v>159</v>
      </c>
      <c r="B160" s="152" t="s">
        <v>2451</v>
      </c>
      <c r="C160" s="153" t="s">
        <v>2452</v>
      </c>
      <c r="D160" s="153" t="s">
        <v>2453</v>
      </c>
      <c r="E160" s="153" t="s">
        <v>4948</v>
      </c>
      <c r="F160" s="6"/>
      <c r="G160" s="6"/>
      <c r="H160" s="83">
        <f t="shared" si="3"/>
        <v>0</v>
      </c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x14ac:dyDescent="0.25">
      <c r="A161" s="10">
        <v>160</v>
      </c>
      <c r="B161" s="152" t="s">
        <v>2454</v>
      </c>
      <c r="C161" s="153" t="s">
        <v>2455</v>
      </c>
      <c r="D161" s="153" t="s">
        <v>2456</v>
      </c>
      <c r="E161" s="153" t="s">
        <v>4948</v>
      </c>
      <c r="F161" s="6"/>
      <c r="G161" s="6"/>
      <c r="H161" s="83">
        <f t="shared" si="3"/>
        <v>0</v>
      </c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x14ac:dyDescent="0.25">
      <c r="A162" s="10">
        <v>161</v>
      </c>
      <c r="B162" s="152" t="s">
        <v>1000</v>
      </c>
      <c r="C162" s="153" t="s">
        <v>2457</v>
      </c>
      <c r="D162" s="153" t="s">
        <v>2458</v>
      </c>
      <c r="E162" s="153" t="s">
        <v>2086</v>
      </c>
      <c r="F162" s="6"/>
      <c r="G162" s="6"/>
      <c r="H162" s="83">
        <f t="shared" si="3"/>
        <v>5</v>
      </c>
      <c r="I162" s="5">
        <v>3</v>
      </c>
      <c r="J162" s="5"/>
      <c r="K162" s="5"/>
      <c r="L162" s="5"/>
      <c r="M162" s="5"/>
      <c r="N162" s="5"/>
      <c r="O162" s="5"/>
      <c r="P162" s="5"/>
      <c r="Q162" s="5">
        <v>2</v>
      </c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x14ac:dyDescent="0.25">
      <c r="A163" s="10">
        <v>162</v>
      </c>
      <c r="B163" s="152" t="s">
        <v>303</v>
      </c>
      <c r="C163" s="153" t="s">
        <v>2459</v>
      </c>
      <c r="D163" s="153" t="s">
        <v>2460</v>
      </c>
      <c r="E163" s="153" t="s">
        <v>4948</v>
      </c>
      <c r="F163" s="6"/>
      <c r="G163" s="6"/>
      <c r="H163" s="83">
        <f t="shared" si="3"/>
        <v>0</v>
      </c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x14ac:dyDescent="0.25">
      <c r="A164" s="10">
        <v>163</v>
      </c>
      <c r="B164" s="152" t="s">
        <v>2461</v>
      </c>
      <c r="C164" s="153" t="s">
        <v>2462</v>
      </c>
      <c r="D164" s="153" t="s">
        <v>2463</v>
      </c>
      <c r="E164" s="153" t="s">
        <v>2086</v>
      </c>
      <c r="F164" s="6"/>
      <c r="G164" s="6"/>
      <c r="H164" s="83">
        <f t="shared" si="3"/>
        <v>0</v>
      </c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x14ac:dyDescent="0.25">
      <c r="A165" s="10">
        <v>164</v>
      </c>
      <c r="B165" s="152" t="s">
        <v>271</v>
      </c>
      <c r="C165" s="153" t="s">
        <v>2464</v>
      </c>
      <c r="D165" s="153" t="s">
        <v>2465</v>
      </c>
      <c r="E165" s="153" t="s">
        <v>2086</v>
      </c>
      <c r="F165" s="6"/>
      <c r="G165" s="6"/>
      <c r="H165" s="83">
        <f t="shared" si="3"/>
        <v>0</v>
      </c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x14ac:dyDescent="0.25">
      <c r="A166" s="10">
        <v>165</v>
      </c>
      <c r="B166" s="152" t="s">
        <v>1171</v>
      </c>
      <c r="C166" s="153" t="s">
        <v>2466</v>
      </c>
      <c r="D166" s="153" t="s">
        <v>2467</v>
      </c>
      <c r="E166" s="153" t="s">
        <v>2086</v>
      </c>
      <c r="F166" s="6"/>
      <c r="G166" s="6"/>
      <c r="H166" s="83">
        <f t="shared" si="3"/>
        <v>0</v>
      </c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x14ac:dyDescent="0.25">
      <c r="A167" s="10">
        <v>166</v>
      </c>
      <c r="B167" s="152" t="s">
        <v>273</v>
      </c>
      <c r="C167" s="153" t="s">
        <v>2468</v>
      </c>
      <c r="D167" s="153" t="s">
        <v>2469</v>
      </c>
      <c r="E167" s="153" t="s">
        <v>2086</v>
      </c>
      <c r="F167" s="6"/>
      <c r="G167" s="6"/>
      <c r="H167" s="83">
        <f t="shared" si="3"/>
        <v>1</v>
      </c>
      <c r="I167" s="5">
        <v>1</v>
      </c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x14ac:dyDescent="0.25">
      <c r="A168" s="10">
        <v>167</v>
      </c>
      <c r="B168" s="152" t="s">
        <v>1333</v>
      </c>
      <c r="C168" s="153" t="s">
        <v>2470</v>
      </c>
      <c r="D168" s="153" t="s">
        <v>2471</v>
      </c>
      <c r="E168" s="153" t="s">
        <v>2086</v>
      </c>
      <c r="F168" s="6"/>
      <c r="G168" s="6"/>
      <c r="H168" s="83">
        <f t="shared" si="3"/>
        <v>0</v>
      </c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x14ac:dyDescent="0.25">
      <c r="A169" s="10">
        <v>168</v>
      </c>
      <c r="B169" s="152" t="s">
        <v>277</v>
      </c>
      <c r="C169" s="153" t="s">
        <v>2472</v>
      </c>
      <c r="D169" s="153" t="s">
        <v>2473</v>
      </c>
      <c r="E169" s="153" t="s">
        <v>4948</v>
      </c>
      <c r="F169" s="6"/>
      <c r="G169" s="6"/>
      <c r="H169" s="83">
        <f t="shared" si="3"/>
        <v>0</v>
      </c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x14ac:dyDescent="0.25">
      <c r="A170" s="10">
        <v>169</v>
      </c>
      <c r="B170" s="152" t="s">
        <v>1108</v>
      </c>
      <c r="C170" s="153" t="s">
        <v>2474</v>
      </c>
      <c r="D170" s="153" t="s">
        <v>2475</v>
      </c>
      <c r="E170" s="153" t="s">
        <v>4948</v>
      </c>
      <c r="F170" s="6"/>
      <c r="G170" s="6"/>
      <c r="H170" s="83">
        <f t="shared" si="3"/>
        <v>0</v>
      </c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x14ac:dyDescent="0.25">
      <c r="A171" s="10">
        <v>170</v>
      </c>
      <c r="B171" s="152" t="s">
        <v>2476</v>
      </c>
      <c r="C171" s="153" t="s">
        <v>2477</v>
      </c>
      <c r="D171" s="153" t="s">
        <v>2478</v>
      </c>
      <c r="E171" s="153" t="s">
        <v>4948</v>
      </c>
      <c r="F171" s="6"/>
      <c r="G171" s="6"/>
      <c r="H171" s="83">
        <f t="shared" si="3"/>
        <v>0</v>
      </c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x14ac:dyDescent="0.25">
      <c r="A172" s="10">
        <v>171</v>
      </c>
      <c r="B172" s="152" t="s">
        <v>2479</v>
      </c>
      <c r="C172" s="153" t="s">
        <v>2480</v>
      </c>
      <c r="D172" s="153" t="s">
        <v>2481</v>
      </c>
      <c r="E172" s="153" t="s">
        <v>4948</v>
      </c>
      <c r="F172" s="6"/>
      <c r="G172" s="6"/>
      <c r="H172" s="83">
        <f t="shared" si="3"/>
        <v>0</v>
      </c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x14ac:dyDescent="0.25">
      <c r="A173" s="10">
        <v>172</v>
      </c>
      <c r="B173" s="152" t="s">
        <v>2482</v>
      </c>
      <c r="C173" s="153" t="s">
        <v>2483</v>
      </c>
      <c r="D173" s="153" t="s">
        <v>2484</v>
      </c>
      <c r="E173" s="153" t="s">
        <v>2086</v>
      </c>
      <c r="F173" s="6"/>
      <c r="G173" s="6"/>
      <c r="H173" s="83">
        <f t="shared" si="3"/>
        <v>0</v>
      </c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x14ac:dyDescent="0.25">
      <c r="A174" s="10">
        <v>173</v>
      </c>
      <c r="B174" s="152" t="s">
        <v>2485</v>
      </c>
      <c r="C174" s="153" t="s">
        <v>2486</v>
      </c>
      <c r="D174" s="153" t="s">
        <v>2487</v>
      </c>
      <c r="E174" s="153" t="s">
        <v>4948</v>
      </c>
      <c r="F174" s="6"/>
      <c r="G174" s="6"/>
      <c r="H174" s="83">
        <f t="shared" si="3"/>
        <v>0</v>
      </c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x14ac:dyDescent="0.25">
      <c r="A175" s="10">
        <v>174</v>
      </c>
      <c r="B175" s="152" t="s">
        <v>2488</v>
      </c>
      <c r="C175" s="153" t="s">
        <v>2489</v>
      </c>
      <c r="D175" s="153" t="s">
        <v>2490</v>
      </c>
      <c r="E175" s="153" t="s">
        <v>2086</v>
      </c>
      <c r="F175" s="6"/>
      <c r="G175" s="6"/>
      <c r="H175" s="83">
        <f t="shared" si="3"/>
        <v>0</v>
      </c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x14ac:dyDescent="0.25">
      <c r="A176" s="10">
        <v>175</v>
      </c>
      <c r="B176" s="152" t="s">
        <v>237</v>
      </c>
      <c r="C176" s="153" t="s">
        <v>2491</v>
      </c>
      <c r="D176" s="153" t="s">
        <v>2492</v>
      </c>
      <c r="E176" s="153" t="s">
        <v>4948</v>
      </c>
      <c r="F176" s="6"/>
      <c r="G176" s="6"/>
      <c r="H176" s="83">
        <f t="shared" si="3"/>
        <v>0</v>
      </c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x14ac:dyDescent="0.25">
      <c r="A177" s="10">
        <v>176</v>
      </c>
      <c r="B177" s="152" t="s">
        <v>2493</v>
      </c>
      <c r="C177" s="153" t="s">
        <v>2494</v>
      </c>
      <c r="D177" s="153" t="s">
        <v>2495</v>
      </c>
      <c r="E177" s="153" t="s">
        <v>4948</v>
      </c>
      <c r="F177" s="6"/>
      <c r="G177" s="6"/>
      <c r="H177" s="83">
        <f t="shared" si="3"/>
        <v>0</v>
      </c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x14ac:dyDescent="0.25">
      <c r="A178" s="10">
        <v>177</v>
      </c>
      <c r="B178" s="152" t="s">
        <v>1741</v>
      </c>
      <c r="C178" s="153" t="s">
        <v>2496</v>
      </c>
      <c r="D178" s="153" t="s">
        <v>2497</v>
      </c>
      <c r="E178" s="153" t="s">
        <v>2086</v>
      </c>
      <c r="F178" s="6"/>
      <c r="G178" s="6"/>
      <c r="H178" s="83">
        <f t="shared" si="3"/>
        <v>0</v>
      </c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x14ac:dyDescent="0.25">
      <c r="A179" s="10">
        <v>178</v>
      </c>
      <c r="B179" s="152" t="s">
        <v>2498</v>
      </c>
      <c r="C179" s="153" t="s">
        <v>2499</v>
      </c>
      <c r="D179" s="153" t="s">
        <v>2500</v>
      </c>
      <c r="E179" s="153" t="s">
        <v>4948</v>
      </c>
      <c r="F179" s="6"/>
      <c r="G179" s="6"/>
      <c r="H179" s="83">
        <f t="shared" si="3"/>
        <v>0</v>
      </c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x14ac:dyDescent="0.25">
      <c r="A180" s="10">
        <v>179</v>
      </c>
      <c r="B180" s="152" t="s">
        <v>2501</v>
      </c>
      <c r="C180" s="153" t="s">
        <v>2502</v>
      </c>
      <c r="D180" s="153" t="s">
        <v>2503</v>
      </c>
      <c r="E180" s="153" t="s">
        <v>4948</v>
      </c>
      <c r="F180" s="6"/>
      <c r="G180" s="6"/>
      <c r="H180" s="83">
        <f t="shared" si="3"/>
        <v>0</v>
      </c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x14ac:dyDescent="0.25">
      <c r="A181" s="10">
        <v>180</v>
      </c>
      <c r="B181" s="152" t="s">
        <v>2504</v>
      </c>
      <c r="C181" s="153" t="s">
        <v>2505</v>
      </c>
      <c r="D181" s="153" t="s">
        <v>2506</v>
      </c>
      <c r="E181" s="153" t="s">
        <v>4948</v>
      </c>
      <c r="F181" s="6"/>
      <c r="G181" s="6"/>
      <c r="H181" s="83">
        <f t="shared" si="3"/>
        <v>0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x14ac:dyDescent="0.25">
      <c r="A182" s="10">
        <v>181</v>
      </c>
      <c r="B182" s="152" t="s">
        <v>2507</v>
      </c>
      <c r="C182" s="153" t="s">
        <v>2508</v>
      </c>
      <c r="D182" s="153" t="s">
        <v>2509</v>
      </c>
      <c r="E182" s="153" t="s">
        <v>4948</v>
      </c>
      <c r="F182" s="6"/>
      <c r="G182" s="6"/>
      <c r="H182" s="83">
        <f t="shared" si="3"/>
        <v>0</v>
      </c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x14ac:dyDescent="0.25">
      <c r="A183" s="10">
        <v>182</v>
      </c>
      <c r="B183" s="152" t="s">
        <v>342</v>
      </c>
      <c r="C183" s="153" t="s">
        <v>2510</v>
      </c>
      <c r="D183" s="153" t="s">
        <v>2511</v>
      </c>
      <c r="E183" s="153" t="s">
        <v>4948</v>
      </c>
      <c r="F183" s="6"/>
      <c r="G183" s="6"/>
      <c r="H183" s="83">
        <f t="shared" si="3"/>
        <v>0</v>
      </c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x14ac:dyDescent="0.25">
      <c r="A184" s="10">
        <v>183</v>
      </c>
      <c r="B184" s="152" t="s">
        <v>2512</v>
      </c>
      <c r="C184" s="153" t="s">
        <v>2513</v>
      </c>
      <c r="D184" s="153" t="s">
        <v>2514</v>
      </c>
      <c r="E184" s="153" t="s">
        <v>4948</v>
      </c>
      <c r="F184" s="6"/>
      <c r="G184" s="6"/>
      <c r="H184" s="83">
        <f t="shared" si="3"/>
        <v>0</v>
      </c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x14ac:dyDescent="0.25">
      <c r="A185" s="10">
        <v>184</v>
      </c>
      <c r="B185" s="152" t="s">
        <v>2515</v>
      </c>
      <c r="C185" s="153" t="s">
        <v>2516</v>
      </c>
      <c r="D185" s="153" t="s">
        <v>2517</v>
      </c>
      <c r="E185" s="153" t="s">
        <v>4948</v>
      </c>
      <c r="F185" s="6"/>
      <c r="G185" s="6"/>
      <c r="H185" s="83">
        <f t="shared" si="3"/>
        <v>0</v>
      </c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x14ac:dyDescent="0.25">
      <c r="A186" s="10">
        <v>185</v>
      </c>
      <c r="B186" s="152" t="s">
        <v>2518</v>
      </c>
      <c r="C186" s="153" t="s">
        <v>2519</v>
      </c>
      <c r="D186" s="153" t="s">
        <v>2520</v>
      </c>
      <c r="E186" s="153" t="s">
        <v>2086</v>
      </c>
      <c r="F186" s="6"/>
      <c r="G186" s="6"/>
      <c r="H186" s="83">
        <f t="shared" si="3"/>
        <v>0</v>
      </c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x14ac:dyDescent="0.25">
      <c r="A187" s="10">
        <v>186</v>
      </c>
      <c r="B187" s="152" t="s">
        <v>2521</v>
      </c>
      <c r="C187" s="153" t="s">
        <v>2522</v>
      </c>
      <c r="D187" s="153" t="s">
        <v>2523</v>
      </c>
      <c r="E187" s="153" t="s">
        <v>2086</v>
      </c>
      <c r="F187" s="6"/>
      <c r="G187" s="6"/>
      <c r="H187" s="83">
        <f t="shared" si="3"/>
        <v>0</v>
      </c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x14ac:dyDescent="0.25">
      <c r="A188" s="10">
        <v>187</v>
      </c>
      <c r="B188" s="152" t="s">
        <v>329</v>
      </c>
      <c r="C188" s="153" t="s">
        <v>2524</v>
      </c>
      <c r="D188" s="153" t="s">
        <v>2525</v>
      </c>
      <c r="E188" s="153" t="s">
        <v>4948</v>
      </c>
      <c r="F188" s="6"/>
      <c r="G188" s="6"/>
      <c r="H188" s="83">
        <f t="shared" si="3"/>
        <v>0</v>
      </c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x14ac:dyDescent="0.25">
      <c r="A189" s="10">
        <v>188</v>
      </c>
      <c r="B189" s="152" t="s">
        <v>2526</v>
      </c>
      <c r="C189" s="153" t="s">
        <v>2527</v>
      </c>
      <c r="D189" s="153" t="s">
        <v>2528</v>
      </c>
      <c r="E189" s="153" t="s">
        <v>2086</v>
      </c>
      <c r="F189" s="6"/>
      <c r="G189" s="6"/>
      <c r="H189" s="83">
        <f t="shared" si="3"/>
        <v>0</v>
      </c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x14ac:dyDescent="0.25">
      <c r="A190" s="10">
        <v>189</v>
      </c>
      <c r="B190" s="152" t="s">
        <v>331</v>
      </c>
      <c r="C190" s="153" t="s">
        <v>2529</v>
      </c>
      <c r="D190" s="153" t="s">
        <v>2530</v>
      </c>
      <c r="E190" s="153" t="s">
        <v>4948</v>
      </c>
      <c r="F190" s="6"/>
      <c r="G190" s="6"/>
      <c r="H190" s="83">
        <f t="shared" si="3"/>
        <v>0</v>
      </c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x14ac:dyDescent="0.25">
      <c r="A191" s="10">
        <v>190</v>
      </c>
      <c r="B191" s="152" t="s">
        <v>2531</v>
      </c>
      <c r="C191" s="153" t="s">
        <v>2532</v>
      </c>
      <c r="D191" s="153" t="s">
        <v>2533</v>
      </c>
      <c r="E191" s="153" t="s">
        <v>4948</v>
      </c>
      <c r="F191" s="6"/>
      <c r="G191" s="6"/>
      <c r="H191" s="83">
        <f t="shared" si="3"/>
        <v>0</v>
      </c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x14ac:dyDescent="0.25">
      <c r="A192" s="10">
        <v>191</v>
      </c>
      <c r="B192" s="152" t="s">
        <v>2534</v>
      </c>
      <c r="C192" s="153" t="s">
        <v>2535</v>
      </c>
      <c r="D192" s="153" t="s">
        <v>2536</v>
      </c>
      <c r="E192" s="153" t="s">
        <v>4948</v>
      </c>
      <c r="F192" s="6"/>
      <c r="G192" s="6"/>
      <c r="H192" s="83">
        <f t="shared" si="3"/>
        <v>0</v>
      </c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x14ac:dyDescent="0.25">
      <c r="A193" s="10">
        <v>192</v>
      </c>
      <c r="B193" s="152" t="s">
        <v>245</v>
      </c>
      <c r="C193" s="153" t="s">
        <v>2537</v>
      </c>
      <c r="D193" s="153" t="s">
        <v>2538</v>
      </c>
      <c r="E193" s="153" t="s">
        <v>4948</v>
      </c>
      <c r="F193" s="6"/>
      <c r="G193" s="6"/>
      <c r="H193" s="83">
        <f t="shared" si="3"/>
        <v>0</v>
      </c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x14ac:dyDescent="0.25">
      <c r="A194" s="10">
        <v>193</v>
      </c>
      <c r="B194" s="152" t="s">
        <v>2539</v>
      </c>
      <c r="C194" s="153" t="s">
        <v>2540</v>
      </c>
      <c r="D194" s="153" t="s">
        <v>2541</v>
      </c>
      <c r="E194" s="153" t="s">
        <v>4948</v>
      </c>
      <c r="F194" s="6"/>
      <c r="G194" s="6"/>
      <c r="H194" s="83">
        <f t="shared" ref="H194:H257" si="4">SUM(I194:AM194)</f>
        <v>0</v>
      </c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x14ac:dyDescent="0.25">
      <c r="A195" s="10">
        <v>194</v>
      </c>
      <c r="B195" s="152" t="s">
        <v>2542</v>
      </c>
      <c r="C195" s="153" t="s">
        <v>2543</v>
      </c>
      <c r="D195" s="153" t="s">
        <v>2544</v>
      </c>
      <c r="E195" s="153" t="s">
        <v>4948</v>
      </c>
      <c r="F195" s="6"/>
      <c r="G195" s="6"/>
      <c r="H195" s="83">
        <f t="shared" si="4"/>
        <v>0</v>
      </c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x14ac:dyDescent="0.25">
      <c r="A196" s="10">
        <v>195</v>
      </c>
      <c r="B196" s="152" t="s">
        <v>2545</v>
      </c>
      <c r="C196" s="153" t="s">
        <v>2546</v>
      </c>
      <c r="D196" s="153" t="s">
        <v>2547</v>
      </c>
      <c r="E196" s="153" t="s">
        <v>4948</v>
      </c>
      <c r="F196" s="6"/>
      <c r="G196" s="6"/>
      <c r="H196" s="83">
        <f t="shared" si="4"/>
        <v>0</v>
      </c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x14ac:dyDescent="0.25">
      <c r="A197" s="10">
        <v>196</v>
      </c>
      <c r="B197" s="152" t="s">
        <v>2548</v>
      </c>
      <c r="C197" s="153" t="s">
        <v>2549</v>
      </c>
      <c r="D197" s="153" t="s">
        <v>2550</v>
      </c>
      <c r="E197" s="153" t="s">
        <v>4948</v>
      </c>
      <c r="F197" s="6"/>
      <c r="G197" s="6"/>
      <c r="H197" s="83">
        <f t="shared" si="4"/>
        <v>0</v>
      </c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x14ac:dyDescent="0.25">
      <c r="A198" s="10">
        <v>197</v>
      </c>
      <c r="B198" s="152" t="s">
        <v>2551</v>
      </c>
      <c r="C198" s="153" t="s">
        <v>2552</v>
      </c>
      <c r="D198" s="153" t="s">
        <v>2553</v>
      </c>
      <c r="E198" s="153" t="s">
        <v>2086</v>
      </c>
      <c r="F198" s="6"/>
      <c r="G198" s="6"/>
      <c r="H198" s="83">
        <f t="shared" si="4"/>
        <v>0</v>
      </c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x14ac:dyDescent="0.25">
      <c r="A199" s="10">
        <v>198</v>
      </c>
      <c r="B199" s="152" t="s">
        <v>2554</v>
      </c>
      <c r="C199" s="153" t="s">
        <v>2555</v>
      </c>
      <c r="D199" s="153" t="s">
        <v>2556</v>
      </c>
      <c r="E199" s="153" t="s">
        <v>2086</v>
      </c>
      <c r="F199" s="6"/>
      <c r="G199" s="6"/>
      <c r="H199" s="83">
        <f t="shared" si="4"/>
        <v>0</v>
      </c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x14ac:dyDescent="0.25">
      <c r="A200" s="10">
        <v>199</v>
      </c>
      <c r="B200" s="152" t="s">
        <v>2557</v>
      </c>
      <c r="C200" s="153" t="s">
        <v>2558</v>
      </c>
      <c r="D200" s="153" t="s">
        <v>2559</v>
      </c>
      <c r="E200" s="153" t="s">
        <v>4948</v>
      </c>
      <c r="F200" s="6"/>
      <c r="G200" s="6"/>
      <c r="H200" s="83">
        <f t="shared" si="4"/>
        <v>0</v>
      </c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x14ac:dyDescent="0.25">
      <c r="A201" s="10">
        <v>200</v>
      </c>
      <c r="B201" s="152" t="s">
        <v>2560</v>
      </c>
      <c r="C201" s="153" t="s">
        <v>2561</v>
      </c>
      <c r="D201" s="153" t="s">
        <v>2562</v>
      </c>
      <c r="E201" s="153" t="s">
        <v>4948</v>
      </c>
      <c r="F201" s="6"/>
      <c r="G201" s="6"/>
      <c r="H201" s="83">
        <f t="shared" si="4"/>
        <v>0</v>
      </c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x14ac:dyDescent="0.25">
      <c r="A202" s="10">
        <v>201</v>
      </c>
      <c r="B202" s="152" t="s">
        <v>1771</v>
      </c>
      <c r="C202" s="153" t="s">
        <v>2563</v>
      </c>
      <c r="D202" s="153" t="s">
        <v>2564</v>
      </c>
      <c r="E202" s="153" t="s">
        <v>64</v>
      </c>
      <c r="F202" s="6"/>
      <c r="G202" s="6"/>
      <c r="H202" s="83">
        <f t="shared" si="4"/>
        <v>7</v>
      </c>
      <c r="I202" s="5">
        <v>4</v>
      </c>
      <c r="J202" s="5"/>
      <c r="K202" s="5"/>
      <c r="L202" s="5"/>
      <c r="M202" s="5"/>
      <c r="N202" s="5"/>
      <c r="O202" s="5"/>
      <c r="P202" s="5"/>
      <c r="Q202" s="5"/>
      <c r="R202" s="5"/>
      <c r="S202" s="5">
        <v>3</v>
      </c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x14ac:dyDescent="0.25">
      <c r="A203" s="10">
        <v>202</v>
      </c>
      <c r="B203" s="152" t="s">
        <v>2565</v>
      </c>
      <c r="C203" s="153" t="s">
        <v>2566</v>
      </c>
      <c r="D203" s="153" t="s">
        <v>2567</v>
      </c>
      <c r="E203" s="153" t="s">
        <v>4948</v>
      </c>
      <c r="F203" s="6"/>
      <c r="G203" s="6"/>
      <c r="H203" s="83">
        <f t="shared" si="4"/>
        <v>0</v>
      </c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x14ac:dyDescent="0.25">
      <c r="A204" s="10">
        <v>203</v>
      </c>
      <c r="B204" s="152" t="s">
        <v>2568</v>
      </c>
      <c r="C204" s="153" t="s">
        <v>2569</v>
      </c>
      <c r="D204" s="153" t="s">
        <v>2570</v>
      </c>
      <c r="E204" s="153" t="s">
        <v>4948</v>
      </c>
      <c r="F204" s="6"/>
      <c r="G204" s="6"/>
      <c r="H204" s="83">
        <f t="shared" si="4"/>
        <v>0</v>
      </c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x14ac:dyDescent="0.25">
      <c r="A205" s="10">
        <v>204</v>
      </c>
      <c r="B205" s="152" t="s">
        <v>2571</v>
      </c>
      <c r="C205" s="153" t="s">
        <v>2572</v>
      </c>
      <c r="D205" s="153" t="s">
        <v>2573</v>
      </c>
      <c r="E205" s="153" t="s">
        <v>2086</v>
      </c>
      <c r="F205" s="6"/>
      <c r="G205" s="6"/>
      <c r="H205" s="83">
        <f t="shared" si="4"/>
        <v>4</v>
      </c>
      <c r="I205" s="5"/>
      <c r="J205" s="5">
        <f>4</f>
        <v>4</v>
      </c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x14ac:dyDescent="0.25">
      <c r="A206" s="10">
        <v>205</v>
      </c>
      <c r="B206" s="152" t="s">
        <v>2574</v>
      </c>
      <c r="C206" s="153" t="s">
        <v>2575</v>
      </c>
      <c r="D206" s="153" t="s">
        <v>2576</v>
      </c>
      <c r="E206" s="153" t="s">
        <v>2086</v>
      </c>
      <c r="F206" s="6"/>
      <c r="G206" s="6"/>
      <c r="H206" s="83">
        <f t="shared" si="4"/>
        <v>0</v>
      </c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x14ac:dyDescent="0.25">
      <c r="A207" s="10">
        <v>206</v>
      </c>
      <c r="B207" s="152" t="s">
        <v>2577</v>
      </c>
      <c r="C207" s="153" t="s">
        <v>2578</v>
      </c>
      <c r="D207" s="153" t="s">
        <v>2579</v>
      </c>
      <c r="E207" s="153" t="s">
        <v>2086</v>
      </c>
      <c r="F207" s="6"/>
      <c r="G207" s="6"/>
      <c r="H207" s="83">
        <f t="shared" si="4"/>
        <v>0</v>
      </c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x14ac:dyDescent="0.25">
      <c r="A208" s="10">
        <v>207</v>
      </c>
      <c r="B208" s="152" t="s">
        <v>2580</v>
      </c>
      <c r="C208" s="153" t="s">
        <v>2581</v>
      </c>
      <c r="D208" s="153" t="s">
        <v>2582</v>
      </c>
      <c r="E208" s="153" t="s">
        <v>2086</v>
      </c>
      <c r="F208" s="6"/>
      <c r="G208" s="6"/>
      <c r="H208" s="83">
        <f t="shared" si="4"/>
        <v>0</v>
      </c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x14ac:dyDescent="0.25">
      <c r="A209" s="10">
        <v>208</v>
      </c>
      <c r="B209" s="152" t="s">
        <v>2583</v>
      </c>
      <c r="C209" s="153" t="s">
        <v>2584</v>
      </c>
      <c r="D209" s="153" t="s">
        <v>2585</v>
      </c>
      <c r="E209" s="153" t="s">
        <v>4948</v>
      </c>
      <c r="F209" s="6"/>
      <c r="G209" s="6"/>
      <c r="H209" s="83">
        <f t="shared" si="4"/>
        <v>0</v>
      </c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x14ac:dyDescent="0.25">
      <c r="A210" s="10">
        <v>209</v>
      </c>
      <c r="B210" s="152" t="s">
        <v>2586</v>
      </c>
      <c r="C210" s="153" t="s">
        <v>2587</v>
      </c>
      <c r="D210" s="153" t="s">
        <v>2588</v>
      </c>
      <c r="E210" s="153" t="s">
        <v>4948</v>
      </c>
      <c r="F210" s="6"/>
      <c r="G210" s="6"/>
      <c r="H210" s="83">
        <f t="shared" si="4"/>
        <v>0</v>
      </c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x14ac:dyDescent="0.25">
      <c r="A211" s="10">
        <v>210</v>
      </c>
      <c r="B211" s="152" t="s">
        <v>2589</v>
      </c>
      <c r="C211" s="153" t="s">
        <v>2590</v>
      </c>
      <c r="D211" s="153" t="s">
        <v>2591</v>
      </c>
      <c r="E211" s="153" t="s">
        <v>2086</v>
      </c>
      <c r="F211" s="6"/>
      <c r="G211" s="6"/>
      <c r="H211" s="83">
        <f t="shared" si="4"/>
        <v>15</v>
      </c>
      <c r="I211" s="5"/>
      <c r="J211" s="5">
        <v>15</v>
      </c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x14ac:dyDescent="0.25">
      <c r="A212" s="10">
        <v>211</v>
      </c>
      <c r="B212" s="152" t="s">
        <v>2592</v>
      </c>
      <c r="C212" s="153" t="s">
        <v>2593</v>
      </c>
      <c r="D212" s="153" t="s">
        <v>2594</v>
      </c>
      <c r="E212" s="153" t="s">
        <v>2086</v>
      </c>
      <c r="F212" s="6"/>
      <c r="G212" s="6"/>
      <c r="H212" s="83">
        <f t="shared" si="4"/>
        <v>0</v>
      </c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x14ac:dyDescent="0.25">
      <c r="A213" s="10">
        <v>212</v>
      </c>
      <c r="B213" s="152" t="s">
        <v>2595</v>
      </c>
      <c r="C213" s="153" t="s">
        <v>2596</v>
      </c>
      <c r="D213" s="153" t="s">
        <v>2597</v>
      </c>
      <c r="E213" s="153" t="s">
        <v>2086</v>
      </c>
      <c r="F213" s="6"/>
      <c r="G213" s="6"/>
      <c r="H213" s="83">
        <f t="shared" si="4"/>
        <v>0</v>
      </c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x14ac:dyDescent="0.25">
      <c r="A214" s="10">
        <v>213</v>
      </c>
      <c r="B214" s="152" t="s">
        <v>2598</v>
      </c>
      <c r="C214" s="153" t="s">
        <v>2599</v>
      </c>
      <c r="D214" s="153" t="s">
        <v>2600</v>
      </c>
      <c r="E214" s="153" t="s">
        <v>2086</v>
      </c>
      <c r="F214" s="6"/>
      <c r="G214" s="6"/>
      <c r="H214" s="83">
        <f t="shared" si="4"/>
        <v>0</v>
      </c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x14ac:dyDescent="0.25">
      <c r="A215" s="10">
        <v>214</v>
      </c>
      <c r="B215" s="152" t="s">
        <v>2601</v>
      </c>
      <c r="C215" s="153" t="s">
        <v>2602</v>
      </c>
      <c r="D215" s="153" t="s">
        <v>2603</v>
      </c>
      <c r="E215" s="153" t="s">
        <v>2086</v>
      </c>
      <c r="F215" s="6"/>
      <c r="G215" s="6"/>
      <c r="H215" s="83">
        <f t="shared" si="4"/>
        <v>0</v>
      </c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x14ac:dyDescent="0.25">
      <c r="A216" s="10">
        <v>215</v>
      </c>
      <c r="B216" s="152" t="s">
        <v>2604</v>
      </c>
      <c r="C216" s="153" t="s">
        <v>2605</v>
      </c>
      <c r="D216" s="153" t="s">
        <v>2606</v>
      </c>
      <c r="E216" s="153" t="s">
        <v>4948</v>
      </c>
      <c r="F216" s="6"/>
      <c r="G216" s="6"/>
      <c r="H216" s="83">
        <f t="shared" si="4"/>
        <v>0</v>
      </c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x14ac:dyDescent="0.25">
      <c r="A217" s="10">
        <v>216</v>
      </c>
      <c r="B217" s="152" t="s">
        <v>2607</v>
      </c>
      <c r="C217" s="153" t="s">
        <v>2608</v>
      </c>
      <c r="D217" s="153" t="s">
        <v>2609</v>
      </c>
      <c r="E217" s="153" t="s">
        <v>4948</v>
      </c>
      <c r="F217" s="6"/>
      <c r="G217" s="6"/>
      <c r="H217" s="83">
        <f t="shared" si="4"/>
        <v>0</v>
      </c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x14ac:dyDescent="0.25">
      <c r="A218" s="10">
        <v>217</v>
      </c>
      <c r="B218" s="152" t="s">
        <v>2610</v>
      </c>
      <c r="C218" s="153" t="s">
        <v>2611</v>
      </c>
      <c r="D218" s="153" t="s">
        <v>2612</v>
      </c>
      <c r="E218" s="153" t="s">
        <v>4948</v>
      </c>
      <c r="F218" s="6"/>
      <c r="G218" s="6"/>
      <c r="H218" s="83">
        <f t="shared" si="4"/>
        <v>0</v>
      </c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x14ac:dyDescent="0.25">
      <c r="A219" s="10">
        <v>218</v>
      </c>
      <c r="B219" s="152" t="s">
        <v>2613</v>
      </c>
      <c r="C219" s="153" t="s">
        <v>2614</v>
      </c>
      <c r="D219" s="153" t="s">
        <v>2615</v>
      </c>
      <c r="E219" s="153" t="s">
        <v>2086</v>
      </c>
      <c r="F219" s="6"/>
      <c r="G219" s="6"/>
      <c r="H219" s="83">
        <f t="shared" si="4"/>
        <v>0</v>
      </c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x14ac:dyDescent="0.25">
      <c r="A220" s="10">
        <v>219</v>
      </c>
      <c r="B220" s="152" t="s">
        <v>2616</v>
      </c>
      <c r="C220" s="153" t="s">
        <v>2617</v>
      </c>
      <c r="D220" s="153" t="s">
        <v>2618</v>
      </c>
      <c r="E220" s="153" t="s">
        <v>2086</v>
      </c>
      <c r="F220" s="6"/>
      <c r="G220" s="6"/>
      <c r="H220" s="83">
        <f t="shared" si="4"/>
        <v>0</v>
      </c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x14ac:dyDescent="0.25">
      <c r="A221" s="10">
        <v>220</v>
      </c>
      <c r="B221" s="152" t="s">
        <v>2619</v>
      </c>
      <c r="C221" s="153" t="s">
        <v>2620</v>
      </c>
      <c r="D221" s="153" t="s">
        <v>2621</v>
      </c>
      <c r="E221" s="153" t="s">
        <v>2086</v>
      </c>
      <c r="F221" s="6"/>
      <c r="G221" s="6"/>
      <c r="H221" s="83">
        <f t="shared" si="4"/>
        <v>34</v>
      </c>
      <c r="I221" s="5"/>
      <c r="J221" s="5">
        <v>34</v>
      </c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x14ac:dyDescent="0.25">
      <c r="A222" s="10">
        <v>221</v>
      </c>
      <c r="B222" s="152" t="s">
        <v>2622</v>
      </c>
      <c r="C222" s="153" t="s">
        <v>2623</v>
      </c>
      <c r="D222" s="153" t="s">
        <v>2624</v>
      </c>
      <c r="E222" s="153" t="s">
        <v>2086</v>
      </c>
      <c r="F222" s="6"/>
      <c r="G222" s="6"/>
      <c r="H222" s="122">
        <f t="shared" si="4"/>
        <v>0</v>
      </c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x14ac:dyDescent="0.25">
      <c r="A223" s="10">
        <v>222</v>
      </c>
      <c r="B223" s="152" t="s">
        <v>2625</v>
      </c>
      <c r="C223" s="153" t="s">
        <v>2626</v>
      </c>
      <c r="D223" s="153" t="s">
        <v>2627</v>
      </c>
      <c r="E223" s="153" t="s">
        <v>4948</v>
      </c>
      <c r="F223" s="6"/>
      <c r="G223" s="6"/>
      <c r="H223" s="83">
        <f t="shared" si="4"/>
        <v>0</v>
      </c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x14ac:dyDescent="0.25">
      <c r="A224" s="10">
        <v>223</v>
      </c>
      <c r="B224" s="152" t="s">
        <v>2628</v>
      </c>
      <c r="C224" s="153" t="s">
        <v>2629</v>
      </c>
      <c r="D224" s="153" t="s">
        <v>2630</v>
      </c>
      <c r="E224" s="153" t="s">
        <v>4948</v>
      </c>
      <c r="F224" s="6"/>
      <c r="G224" s="6"/>
      <c r="H224" s="83">
        <f t="shared" si="4"/>
        <v>0</v>
      </c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x14ac:dyDescent="0.25">
      <c r="A225" s="10">
        <v>224</v>
      </c>
      <c r="B225" s="152" t="s">
        <v>1734</v>
      </c>
      <c r="C225" s="153" t="s">
        <v>2631</v>
      </c>
      <c r="D225" s="153" t="s">
        <v>2632</v>
      </c>
      <c r="E225" s="153" t="s">
        <v>2086</v>
      </c>
      <c r="F225" s="6"/>
      <c r="G225" s="6"/>
      <c r="H225" s="83">
        <f t="shared" si="4"/>
        <v>6</v>
      </c>
      <c r="I225" s="5"/>
      <c r="J225" s="5"/>
      <c r="K225" s="5"/>
      <c r="L225" s="5"/>
      <c r="M225" s="5"/>
      <c r="N225" s="5"/>
      <c r="O225" s="5"/>
      <c r="P225" s="5">
        <v>1</v>
      </c>
      <c r="Q225" s="5"/>
      <c r="R225" s="5"/>
      <c r="S225" s="5"/>
      <c r="T225" s="5">
        <v>5</v>
      </c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x14ac:dyDescent="0.25">
      <c r="A226" s="10">
        <v>225</v>
      </c>
      <c r="B226" s="152" t="s">
        <v>2633</v>
      </c>
      <c r="C226" s="153" t="s">
        <v>2634</v>
      </c>
      <c r="D226" s="153" t="s">
        <v>2635</v>
      </c>
      <c r="E226" s="153" t="s">
        <v>4948</v>
      </c>
      <c r="F226" s="6"/>
      <c r="G226" s="6"/>
      <c r="H226" s="83">
        <f t="shared" si="4"/>
        <v>0</v>
      </c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x14ac:dyDescent="0.25">
      <c r="A227" s="10">
        <v>226</v>
      </c>
      <c r="B227" s="152" t="s">
        <v>2636</v>
      </c>
      <c r="C227" s="153" t="s">
        <v>2637</v>
      </c>
      <c r="D227" s="153" t="s">
        <v>2638</v>
      </c>
      <c r="E227" s="153" t="s">
        <v>4948</v>
      </c>
      <c r="F227" s="6"/>
      <c r="G227" s="6"/>
      <c r="H227" s="83">
        <f t="shared" si="4"/>
        <v>26</v>
      </c>
      <c r="I227" s="5">
        <f>25</f>
        <v>25</v>
      </c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>
        <v>1</v>
      </c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x14ac:dyDescent="0.25">
      <c r="A228" s="10">
        <v>227</v>
      </c>
      <c r="B228" s="152" t="s">
        <v>2639</v>
      </c>
      <c r="C228" s="153" t="s">
        <v>2640</v>
      </c>
      <c r="D228" s="153" t="s">
        <v>2641</v>
      </c>
      <c r="E228" s="153" t="s">
        <v>4948</v>
      </c>
      <c r="F228" s="6"/>
      <c r="G228" s="6"/>
      <c r="H228" s="83">
        <f t="shared" si="4"/>
        <v>12</v>
      </c>
      <c r="I228" s="5">
        <f>11</f>
        <v>11</v>
      </c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>
        <v>1</v>
      </c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x14ac:dyDescent="0.25">
      <c r="A229" s="10">
        <v>228</v>
      </c>
      <c r="B229" s="152" t="s">
        <v>2642</v>
      </c>
      <c r="C229" s="153" t="s">
        <v>2643</v>
      </c>
      <c r="D229" s="153" t="s">
        <v>2644</v>
      </c>
      <c r="E229" s="153" t="s">
        <v>2086</v>
      </c>
      <c r="F229" s="6"/>
      <c r="G229" s="6"/>
      <c r="H229" s="83">
        <f t="shared" si="4"/>
        <v>7</v>
      </c>
      <c r="I229" s="5">
        <v>6</v>
      </c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>
        <v>1</v>
      </c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x14ac:dyDescent="0.25">
      <c r="A230" s="10">
        <v>229</v>
      </c>
      <c r="B230" s="152" t="s">
        <v>2645</v>
      </c>
      <c r="C230" s="153" t="s">
        <v>2646</v>
      </c>
      <c r="D230" s="153" t="s">
        <v>2647</v>
      </c>
      <c r="E230" s="153" t="s">
        <v>2086</v>
      </c>
      <c r="F230" s="6"/>
      <c r="G230" s="6"/>
      <c r="H230" s="83">
        <f t="shared" si="4"/>
        <v>0</v>
      </c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x14ac:dyDescent="0.25">
      <c r="A231" s="10">
        <v>230</v>
      </c>
      <c r="B231" s="152" t="s">
        <v>2648</v>
      </c>
      <c r="C231" s="153" t="s">
        <v>2649</v>
      </c>
      <c r="D231" s="153" t="s">
        <v>2650</v>
      </c>
      <c r="E231" s="153" t="s">
        <v>4948</v>
      </c>
      <c r="F231" s="6"/>
      <c r="G231" s="6"/>
      <c r="H231" s="83">
        <f t="shared" si="4"/>
        <v>0</v>
      </c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x14ac:dyDescent="0.25">
      <c r="A232" s="10">
        <v>231</v>
      </c>
      <c r="B232" s="152" t="s">
        <v>2652</v>
      </c>
      <c r="C232" s="153" t="s">
        <v>2653</v>
      </c>
      <c r="D232" s="153" t="s">
        <v>2654</v>
      </c>
      <c r="E232" s="153" t="s">
        <v>4948</v>
      </c>
      <c r="F232" s="6"/>
      <c r="G232" s="6"/>
      <c r="H232" s="83">
        <f t="shared" si="4"/>
        <v>0</v>
      </c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x14ac:dyDescent="0.25">
      <c r="A233" s="10">
        <v>232</v>
      </c>
      <c r="B233" s="152" t="s">
        <v>2655</v>
      </c>
      <c r="C233" s="153" t="s">
        <v>2656</v>
      </c>
      <c r="D233" s="153" t="s">
        <v>2657</v>
      </c>
      <c r="E233" s="153" t="s">
        <v>4948</v>
      </c>
      <c r="F233" s="6"/>
      <c r="G233" s="6"/>
      <c r="H233" s="83">
        <f t="shared" si="4"/>
        <v>0</v>
      </c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x14ac:dyDescent="0.25">
      <c r="A234" s="10">
        <v>233</v>
      </c>
      <c r="B234" s="152" t="s">
        <v>2658</v>
      </c>
      <c r="C234" s="153" t="s">
        <v>2659</v>
      </c>
      <c r="D234" s="153" t="s">
        <v>2660</v>
      </c>
      <c r="E234" s="153" t="s">
        <v>4948</v>
      </c>
      <c r="F234" s="6"/>
      <c r="G234" s="6"/>
      <c r="H234" s="83">
        <f t="shared" si="4"/>
        <v>0</v>
      </c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x14ac:dyDescent="0.25">
      <c r="A235" s="10">
        <v>234</v>
      </c>
      <c r="B235" s="152" t="s">
        <v>2661</v>
      </c>
      <c r="C235" s="153" t="s">
        <v>2662</v>
      </c>
      <c r="D235" s="153" t="s">
        <v>2663</v>
      </c>
      <c r="E235" s="153" t="s">
        <v>4948</v>
      </c>
      <c r="F235" s="6"/>
      <c r="G235" s="6"/>
      <c r="H235" s="83">
        <f t="shared" si="4"/>
        <v>0</v>
      </c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x14ac:dyDescent="0.25">
      <c r="A236" s="10">
        <v>235</v>
      </c>
      <c r="B236" s="152" t="s">
        <v>2664</v>
      </c>
      <c r="C236" s="153" t="s">
        <v>2665</v>
      </c>
      <c r="D236" s="153" t="s">
        <v>2666</v>
      </c>
      <c r="E236" s="153" t="s">
        <v>4948</v>
      </c>
      <c r="F236" s="6"/>
      <c r="G236" s="6"/>
      <c r="H236" s="83">
        <f t="shared" si="4"/>
        <v>0</v>
      </c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x14ac:dyDescent="0.25">
      <c r="A237" s="10">
        <v>236</v>
      </c>
      <c r="B237" s="152" t="s">
        <v>2667</v>
      </c>
      <c r="C237" s="153" t="s">
        <v>2668</v>
      </c>
      <c r="D237" s="153" t="s">
        <v>2669</v>
      </c>
      <c r="E237" s="153" t="s">
        <v>2086</v>
      </c>
      <c r="F237" s="6"/>
      <c r="G237" s="6"/>
      <c r="H237" s="83">
        <f t="shared" si="4"/>
        <v>0</v>
      </c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x14ac:dyDescent="0.25">
      <c r="A238" s="10">
        <v>237</v>
      </c>
      <c r="B238" s="152" t="s">
        <v>2670</v>
      </c>
      <c r="C238" s="153" t="s">
        <v>2671</v>
      </c>
      <c r="D238" s="153" t="s">
        <v>2672</v>
      </c>
      <c r="E238" s="153" t="s">
        <v>4948</v>
      </c>
      <c r="F238" s="6"/>
      <c r="G238" s="6"/>
      <c r="H238" s="83">
        <f t="shared" si="4"/>
        <v>0</v>
      </c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x14ac:dyDescent="0.25">
      <c r="A239" s="10">
        <v>238</v>
      </c>
      <c r="B239" s="152" t="s">
        <v>2673</v>
      </c>
      <c r="C239" s="153" t="s">
        <v>2674</v>
      </c>
      <c r="D239" s="153" t="s">
        <v>2675</v>
      </c>
      <c r="E239" s="153" t="s">
        <v>4948</v>
      </c>
      <c r="F239" s="6"/>
      <c r="G239" s="6"/>
      <c r="H239" s="83">
        <f t="shared" si="4"/>
        <v>0</v>
      </c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x14ac:dyDescent="0.25">
      <c r="A240" s="10">
        <v>239</v>
      </c>
      <c r="B240" s="152" t="s">
        <v>2676</v>
      </c>
      <c r="C240" s="153" t="s">
        <v>2677</v>
      </c>
      <c r="D240" s="153" t="s">
        <v>2678</v>
      </c>
      <c r="E240" s="153" t="s">
        <v>4948</v>
      </c>
      <c r="F240" s="6"/>
      <c r="G240" s="6"/>
      <c r="H240" s="83">
        <f t="shared" si="4"/>
        <v>0</v>
      </c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x14ac:dyDescent="0.25">
      <c r="A241" s="10">
        <v>240</v>
      </c>
      <c r="B241" s="152" t="s">
        <v>2679</v>
      </c>
      <c r="C241" s="153" t="s">
        <v>2680</v>
      </c>
      <c r="D241" s="153" t="s">
        <v>2681</v>
      </c>
      <c r="E241" s="153" t="s">
        <v>4948</v>
      </c>
      <c r="F241" s="6"/>
      <c r="G241" s="6"/>
      <c r="H241" s="83">
        <f t="shared" si="4"/>
        <v>0</v>
      </c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x14ac:dyDescent="0.25">
      <c r="A242" s="10">
        <v>241</v>
      </c>
      <c r="B242" s="152" t="s">
        <v>2682</v>
      </c>
      <c r="C242" s="153" t="s">
        <v>2683</v>
      </c>
      <c r="D242" s="153" t="s">
        <v>2684</v>
      </c>
      <c r="E242" s="153" t="s">
        <v>4948</v>
      </c>
      <c r="F242" s="6"/>
      <c r="G242" s="6"/>
      <c r="H242" s="83">
        <f t="shared" si="4"/>
        <v>0</v>
      </c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x14ac:dyDescent="0.25">
      <c r="A243" s="10">
        <v>242</v>
      </c>
      <c r="B243" s="152" t="s">
        <v>2685</v>
      </c>
      <c r="C243" s="153" t="s">
        <v>2686</v>
      </c>
      <c r="D243" s="153" t="s">
        <v>2687</v>
      </c>
      <c r="E243" s="153" t="s">
        <v>4948</v>
      </c>
      <c r="F243" s="6"/>
      <c r="G243" s="6"/>
      <c r="H243" s="83">
        <f t="shared" si="4"/>
        <v>0</v>
      </c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x14ac:dyDescent="0.25">
      <c r="A244" s="10">
        <v>243</v>
      </c>
      <c r="B244" s="152" t="s">
        <v>2688</v>
      </c>
      <c r="C244" s="153" t="s">
        <v>2689</v>
      </c>
      <c r="D244" s="153" t="s">
        <v>2690</v>
      </c>
      <c r="E244" s="153" t="s">
        <v>4948</v>
      </c>
      <c r="F244" s="6"/>
      <c r="G244" s="6"/>
      <c r="H244" s="83">
        <f t="shared" si="4"/>
        <v>0</v>
      </c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x14ac:dyDescent="0.25">
      <c r="A245" s="10">
        <v>244</v>
      </c>
      <c r="B245" s="152" t="s">
        <v>2691</v>
      </c>
      <c r="C245" s="153" t="s">
        <v>2692</v>
      </c>
      <c r="D245" s="153" t="s">
        <v>2693</v>
      </c>
      <c r="E245" s="153" t="s">
        <v>4948</v>
      </c>
      <c r="F245" s="6"/>
      <c r="G245" s="6"/>
      <c r="H245" s="83">
        <f t="shared" si="4"/>
        <v>0</v>
      </c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x14ac:dyDescent="0.25">
      <c r="A246" s="10">
        <v>245</v>
      </c>
      <c r="B246" s="152" t="s">
        <v>2694</v>
      </c>
      <c r="C246" s="153" t="s">
        <v>2695</v>
      </c>
      <c r="D246" s="153" t="s">
        <v>2696</v>
      </c>
      <c r="E246" s="153" t="s">
        <v>4948</v>
      </c>
      <c r="F246" s="6"/>
      <c r="G246" s="6"/>
      <c r="H246" s="83">
        <f t="shared" si="4"/>
        <v>0</v>
      </c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x14ac:dyDescent="0.25">
      <c r="A247" s="10">
        <v>246</v>
      </c>
      <c r="B247" s="152" t="s">
        <v>2697</v>
      </c>
      <c r="C247" s="153" t="s">
        <v>2698</v>
      </c>
      <c r="D247" s="153" t="s">
        <v>2699</v>
      </c>
      <c r="E247" s="153" t="s">
        <v>4948</v>
      </c>
      <c r="F247" s="6"/>
      <c r="G247" s="6"/>
      <c r="H247" s="83">
        <f t="shared" si="4"/>
        <v>0</v>
      </c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x14ac:dyDescent="0.25">
      <c r="A248" s="10">
        <v>247</v>
      </c>
      <c r="B248" s="152" t="s">
        <v>2700</v>
      </c>
      <c r="C248" s="153" t="s">
        <v>2701</v>
      </c>
      <c r="D248" s="153" t="s">
        <v>2702</v>
      </c>
      <c r="E248" s="153" t="s">
        <v>4948</v>
      </c>
      <c r="F248" s="6"/>
      <c r="G248" s="6"/>
      <c r="H248" s="83">
        <f t="shared" si="4"/>
        <v>0</v>
      </c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x14ac:dyDescent="0.25">
      <c r="A249" s="10">
        <v>248</v>
      </c>
      <c r="B249" s="152" t="s">
        <v>2703</v>
      </c>
      <c r="C249" s="153" t="s">
        <v>2704</v>
      </c>
      <c r="D249" s="153" t="s">
        <v>2705</v>
      </c>
      <c r="E249" s="153" t="s">
        <v>4948</v>
      </c>
      <c r="F249" s="6"/>
      <c r="G249" s="6"/>
      <c r="H249" s="83">
        <f t="shared" si="4"/>
        <v>0</v>
      </c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x14ac:dyDescent="0.25">
      <c r="A250" s="10">
        <v>249</v>
      </c>
      <c r="B250" s="152" t="s">
        <v>2706</v>
      </c>
      <c r="C250" s="153" t="s">
        <v>2707</v>
      </c>
      <c r="D250" s="153" t="s">
        <v>2708</v>
      </c>
      <c r="E250" s="153" t="s">
        <v>4948</v>
      </c>
      <c r="F250" s="6"/>
      <c r="G250" s="6"/>
      <c r="H250" s="83">
        <f t="shared" si="4"/>
        <v>0</v>
      </c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x14ac:dyDescent="0.25">
      <c r="A251" s="10">
        <v>250</v>
      </c>
      <c r="B251" s="152" t="s">
        <v>2709</v>
      </c>
      <c r="C251" s="153" t="s">
        <v>2710</v>
      </c>
      <c r="D251" s="153" t="s">
        <v>2711</v>
      </c>
      <c r="E251" s="153" t="s">
        <v>4948</v>
      </c>
      <c r="F251" s="6"/>
      <c r="G251" s="6"/>
      <c r="H251" s="83">
        <f t="shared" si="4"/>
        <v>0</v>
      </c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x14ac:dyDescent="0.25">
      <c r="A252" s="10">
        <v>251</v>
      </c>
      <c r="B252" s="152" t="s">
        <v>2712</v>
      </c>
      <c r="C252" s="153" t="s">
        <v>2713</v>
      </c>
      <c r="D252" s="153" t="s">
        <v>2714</v>
      </c>
      <c r="E252" s="153" t="s">
        <v>4948</v>
      </c>
      <c r="F252" s="6"/>
      <c r="G252" s="6"/>
      <c r="H252" s="83">
        <f t="shared" si="4"/>
        <v>0</v>
      </c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x14ac:dyDescent="0.25">
      <c r="A253" s="10">
        <v>252</v>
      </c>
      <c r="B253" s="152" t="s">
        <v>2715</v>
      </c>
      <c r="C253" s="153" t="s">
        <v>2716</v>
      </c>
      <c r="D253" s="153" t="s">
        <v>2717</v>
      </c>
      <c r="E253" s="153" t="s">
        <v>4948</v>
      </c>
      <c r="F253" s="6"/>
      <c r="G253" s="6"/>
      <c r="H253" s="83">
        <f t="shared" si="4"/>
        <v>0</v>
      </c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x14ac:dyDescent="0.25">
      <c r="A254" s="10">
        <v>253</v>
      </c>
      <c r="B254" s="152" t="s">
        <v>2718</v>
      </c>
      <c r="C254" s="153" t="s">
        <v>2719</v>
      </c>
      <c r="D254" s="153" t="s">
        <v>2720</v>
      </c>
      <c r="E254" s="153" t="s">
        <v>4948</v>
      </c>
      <c r="F254" s="6"/>
      <c r="G254" s="6"/>
      <c r="H254" s="83">
        <f t="shared" si="4"/>
        <v>0</v>
      </c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x14ac:dyDescent="0.25">
      <c r="A255" s="10">
        <v>254</v>
      </c>
      <c r="B255" s="152" t="s">
        <v>2721</v>
      </c>
      <c r="C255" s="153" t="s">
        <v>2722</v>
      </c>
      <c r="D255" s="153" t="s">
        <v>2723</v>
      </c>
      <c r="E255" s="153" t="s">
        <v>2086</v>
      </c>
      <c r="F255" s="6"/>
      <c r="G255" s="6"/>
      <c r="H255" s="83">
        <f t="shared" si="4"/>
        <v>0</v>
      </c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x14ac:dyDescent="0.25">
      <c r="A256" s="10">
        <v>255</v>
      </c>
      <c r="B256" s="152" t="s">
        <v>2724</v>
      </c>
      <c r="C256" s="153" t="s">
        <v>2725</v>
      </c>
      <c r="D256" s="153" t="s">
        <v>2726</v>
      </c>
      <c r="E256" s="153" t="s">
        <v>4948</v>
      </c>
      <c r="F256" s="6"/>
      <c r="G256" s="6"/>
      <c r="H256" s="83">
        <f t="shared" si="4"/>
        <v>0</v>
      </c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x14ac:dyDescent="0.25">
      <c r="A257" s="10">
        <v>256</v>
      </c>
      <c r="B257" s="152" t="s">
        <v>2728</v>
      </c>
      <c r="C257" s="153" t="s">
        <v>2729</v>
      </c>
      <c r="D257" s="153" t="s">
        <v>2730</v>
      </c>
      <c r="E257" s="153" t="s">
        <v>4948</v>
      </c>
      <c r="F257" s="6"/>
      <c r="G257" s="6"/>
      <c r="H257" s="83">
        <f t="shared" si="4"/>
        <v>0</v>
      </c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x14ac:dyDescent="0.25">
      <c r="A258" s="10">
        <v>257</v>
      </c>
      <c r="B258" s="152" t="s">
        <v>2731</v>
      </c>
      <c r="C258" s="153" t="s">
        <v>2732</v>
      </c>
      <c r="D258" s="153" t="s">
        <v>2733</v>
      </c>
      <c r="E258" s="153" t="s">
        <v>4948</v>
      </c>
      <c r="F258" s="6"/>
      <c r="G258" s="6"/>
      <c r="H258" s="83">
        <f t="shared" ref="H258:H321" si="5">SUM(I258:AM258)</f>
        <v>0</v>
      </c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x14ac:dyDescent="0.25">
      <c r="A259" s="10">
        <v>258</v>
      </c>
      <c r="B259" s="152" t="s">
        <v>2734</v>
      </c>
      <c r="C259" s="153" t="s">
        <v>2735</v>
      </c>
      <c r="D259" s="153" t="s">
        <v>2736</v>
      </c>
      <c r="E259" s="153" t="s">
        <v>4948</v>
      </c>
      <c r="F259" s="6"/>
      <c r="G259" s="6"/>
      <c r="H259" s="83">
        <f t="shared" si="5"/>
        <v>0</v>
      </c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x14ac:dyDescent="0.25">
      <c r="A260" s="10">
        <v>259</v>
      </c>
      <c r="B260" s="152" t="s">
        <v>2737</v>
      </c>
      <c r="C260" s="153" t="s">
        <v>2738</v>
      </c>
      <c r="D260" s="153" t="s">
        <v>2739</v>
      </c>
      <c r="E260" s="153" t="s">
        <v>4948</v>
      </c>
      <c r="F260" s="6"/>
      <c r="G260" s="6"/>
      <c r="H260" s="83">
        <f t="shared" si="5"/>
        <v>0</v>
      </c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x14ac:dyDescent="0.25">
      <c r="A261" s="10">
        <v>260</v>
      </c>
      <c r="B261" s="152" t="s">
        <v>2740</v>
      </c>
      <c r="C261" s="153" t="s">
        <v>2741</v>
      </c>
      <c r="D261" s="153" t="s">
        <v>2742</v>
      </c>
      <c r="E261" s="153" t="s">
        <v>4948</v>
      </c>
      <c r="F261" s="6"/>
      <c r="G261" s="6"/>
      <c r="H261" s="83">
        <f t="shared" si="5"/>
        <v>0</v>
      </c>
      <c r="I261" s="5">
        <f>2-2</f>
        <v>0</v>
      </c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x14ac:dyDescent="0.25">
      <c r="A262" s="10">
        <v>261</v>
      </c>
      <c r="B262" s="152" t="s">
        <v>2743</v>
      </c>
      <c r="C262" s="153" t="s">
        <v>2744</v>
      </c>
      <c r="D262" s="153" t="s">
        <v>2745</v>
      </c>
      <c r="E262" s="153" t="s">
        <v>4948</v>
      </c>
      <c r="F262" s="6"/>
      <c r="G262" s="6"/>
      <c r="H262" s="83">
        <f t="shared" si="5"/>
        <v>0</v>
      </c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x14ac:dyDescent="0.25">
      <c r="A263" s="10">
        <v>262</v>
      </c>
      <c r="B263" s="152" t="s">
        <v>2747</v>
      </c>
      <c r="C263" s="153" t="s">
        <v>2748</v>
      </c>
      <c r="D263" s="153" t="s">
        <v>2749</v>
      </c>
      <c r="E263" s="153" t="s">
        <v>4948</v>
      </c>
      <c r="F263" s="6"/>
      <c r="G263" s="6"/>
      <c r="H263" s="83">
        <f t="shared" si="5"/>
        <v>0</v>
      </c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x14ac:dyDescent="0.25">
      <c r="A264" s="10">
        <v>263</v>
      </c>
      <c r="B264" s="152" t="s">
        <v>2750</v>
      </c>
      <c r="C264" s="153" t="s">
        <v>2751</v>
      </c>
      <c r="D264" s="153" t="s">
        <v>2752</v>
      </c>
      <c r="E264" s="153" t="s">
        <v>4948</v>
      </c>
      <c r="F264" s="6"/>
      <c r="G264" s="6"/>
      <c r="H264" s="83">
        <f t="shared" si="5"/>
        <v>0</v>
      </c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x14ac:dyDescent="0.25">
      <c r="A265" s="10">
        <v>264</v>
      </c>
      <c r="B265" s="152" t="s">
        <v>2753</v>
      </c>
      <c r="C265" s="153" t="s">
        <v>2754</v>
      </c>
      <c r="D265" s="153" t="s">
        <v>2755</v>
      </c>
      <c r="E265" s="153" t="s">
        <v>4948</v>
      </c>
      <c r="F265" s="6"/>
      <c r="G265" s="6"/>
      <c r="H265" s="83">
        <f t="shared" si="5"/>
        <v>0</v>
      </c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x14ac:dyDescent="0.25">
      <c r="A266" s="10">
        <v>265</v>
      </c>
      <c r="B266" s="152" t="s">
        <v>2756</v>
      </c>
      <c r="C266" s="153" t="s">
        <v>2757</v>
      </c>
      <c r="D266" s="153" t="s">
        <v>2758</v>
      </c>
      <c r="E266" s="153" t="s">
        <v>4948</v>
      </c>
      <c r="F266" s="6"/>
      <c r="G266" s="6"/>
      <c r="H266" s="83">
        <f t="shared" si="5"/>
        <v>0</v>
      </c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x14ac:dyDescent="0.25">
      <c r="A267" s="10">
        <v>266</v>
      </c>
      <c r="B267" s="152" t="s">
        <v>2759</v>
      </c>
      <c r="C267" s="153" t="s">
        <v>2760</v>
      </c>
      <c r="D267" s="153" t="s">
        <v>2761</v>
      </c>
      <c r="E267" s="153" t="s">
        <v>4948</v>
      </c>
      <c r="F267" s="6"/>
      <c r="G267" s="6"/>
      <c r="H267" s="83">
        <f t="shared" si="5"/>
        <v>0</v>
      </c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x14ac:dyDescent="0.25">
      <c r="A268" s="10">
        <v>267</v>
      </c>
      <c r="B268" s="152" t="s">
        <v>2762</v>
      </c>
      <c r="C268" s="153" t="s">
        <v>2763</v>
      </c>
      <c r="D268" s="153" t="s">
        <v>2764</v>
      </c>
      <c r="E268" s="153" t="s">
        <v>4948</v>
      </c>
      <c r="F268" s="6"/>
      <c r="G268" s="6"/>
      <c r="H268" s="83">
        <f t="shared" si="5"/>
        <v>0</v>
      </c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x14ac:dyDescent="0.25">
      <c r="A269" s="10">
        <v>268</v>
      </c>
      <c r="B269" s="152" t="s">
        <v>2765</v>
      </c>
      <c r="C269" s="153" t="s">
        <v>2766</v>
      </c>
      <c r="D269" s="153" t="s">
        <v>2767</v>
      </c>
      <c r="E269" s="153" t="s">
        <v>4948</v>
      </c>
      <c r="F269" s="6"/>
      <c r="G269" s="6"/>
      <c r="H269" s="83">
        <f t="shared" si="5"/>
        <v>0</v>
      </c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x14ac:dyDescent="0.25">
      <c r="A270" s="10">
        <v>269</v>
      </c>
      <c r="B270" s="152" t="s">
        <v>2768</v>
      </c>
      <c r="C270" s="153" t="s">
        <v>2769</v>
      </c>
      <c r="D270" s="153" t="s">
        <v>2770</v>
      </c>
      <c r="E270" s="153" t="s">
        <v>4948</v>
      </c>
      <c r="F270" s="6"/>
      <c r="G270" s="6"/>
      <c r="H270" s="83">
        <f t="shared" si="5"/>
        <v>0</v>
      </c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x14ac:dyDescent="0.25">
      <c r="A271" s="10">
        <v>270</v>
      </c>
      <c r="B271" s="152" t="s">
        <v>2771</v>
      </c>
      <c r="C271" s="153" t="s">
        <v>2772</v>
      </c>
      <c r="D271" s="153" t="s">
        <v>2773</v>
      </c>
      <c r="E271" s="153" t="s">
        <v>4948</v>
      </c>
      <c r="F271" s="6"/>
      <c r="G271" s="6"/>
      <c r="H271" s="83">
        <f t="shared" si="5"/>
        <v>0</v>
      </c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x14ac:dyDescent="0.25">
      <c r="A272" s="10">
        <v>271</v>
      </c>
      <c r="B272" s="155" t="s">
        <v>2774</v>
      </c>
      <c r="C272" s="156" t="s">
        <v>2775</v>
      </c>
      <c r="D272" s="156" t="s">
        <v>2776</v>
      </c>
      <c r="E272" s="153" t="s">
        <v>4948</v>
      </c>
      <c r="F272" s="6"/>
      <c r="G272" s="6"/>
      <c r="H272" s="83">
        <f t="shared" si="5"/>
        <v>0</v>
      </c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x14ac:dyDescent="0.25">
      <c r="A273" s="10">
        <v>272</v>
      </c>
      <c r="B273" s="152" t="s">
        <v>2777</v>
      </c>
      <c r="C273" s="153" t="s">
        <v>2778</v>
      </c>
      <c r="D273" s="153" t="s">
        <v>2779</v>
      </c>
      <c r="E273" s="153" t="s">
        <v>4948</v>
      </c>
      <c r="F273" s="6"/>
      <c r="G273" s="6"/>
      <c r="H273" s="83">
        <f t="shared" si="5"/>
        <v>0</v>
      </c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x14ac:dyDescent="0.25">
      <c r="A274" s="10">
        <v>273</v>
      </c>
      <c r="B274" s="152" t="s">
        <v>2780</v>
      </c>
      <c r="C274" s="153" t="s">
        <v>2781</v>
      </c>
      <c r="D274" s="153" t="s">
        <v>2782</v>
      </c>
      <c r="E274" s="153" t="s">
        <v>4948</v>
      </c>
      <c r="F274" s="6"/>
      <c r="G274" s="6"/>
      <c r="H274" s="83">
        <f t="shared" si="5"/>
        <v>0</v>
      </c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x14ac:dyDescent="0.25">
      <c r="A275" s="10">
        <v>274</v>
      </c>
      <c r="B275" s="152" t="s">
        <v>2783</v>
      </c>
      <c r="C275" s="153" t="s">
        <v>2784</v>
      </c>
      <c r="D275" s="153" t="s">
        <v>2785</v>
      </c>
      <c r="E275" s="153" t="s">
        <v>4948</v>
      </c>
      <c r="F275" s="6"/>
      <c r="G275" s="6"/>
      <c r="H275" s="83">
        <f t="shared" si="5"/>
        <v>0</v>
      </c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x14ac:dyDescent="0.25">
      <c r="A276" s="10">
        <v>275</v>
      </c>
      <c r="B276" s="152" t="s">
        <v>2786</v>
      </c>
      <c r="C276" s="153" t="s">
        <v>2787</v>
      </c>
      <c r="D276" s="153" t="s">
        <v>2788</v>
      </c>
      <c r="E276" s="153" t="s">
        <v>4948</v>
      </c>
      <c r="F276" s="6"/>
      <c r="G276" s="6"/>
      <c r="H276" s="83">
        <f t="shared" si="5"/>
        <v>0</v>
      </c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x14ac:dyDescent="0.25">
      <c r="A277" s="10">
        <v>276</v>
      </c>
      <c r="B277" s="152" t="s">
        <v>2789</v>
      </c>
      <c r="C277" s="153" t="s">
        <v>2790</v>
      </c>
      <c r="D277" s="153">
        <v>0</v>
      </c>
      <c r="E277" s="153" t="s">
        <v>4948</v>
      </c>
      <c r="F277" s="6"/>
      <c r="G277" s="6"/>
      <c r="H277" s="83">
        <f t="shared" si="5"/>
        <v>0</v>
      </c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x14ac:dyDescent="0.25">
      <c r="A278" s="10">
        <v>277</v>
      </c>
      <c r="B278" s="152" t="s">
        <v>2791</v>
      </c>
      <c r="C278" s="153" t="s">
        <v>2792</v>
      </c>
      <c r="D278" s="153" t="s">
        <v>2793</v>
      </c>
      <c r="E278" s="153" t="s">
        <v>4948</v>
      </c>
      <c r="F278" s="6"/>
      <c r="G278" s="6"/>
      <c r="H278" s="83">
        <f t="shared" si="5"/>
        <v>0</v>
      </c>
      <c r="I278" s="5">
        <f>40-40</f>
        <v>0</v>
      </c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x14ac:dyDescent="0.25">
      <c r="A279" s="10">
        <v>278</v>
      </c>
      <c r="B279" s="152" t="s">
        <v>2794</v>
      </c>
      <c r="C279" s="153" t="s">
        <v>2795</v>
      </c>
      <c r="D279" s="153" t="s">
        <v>2796</v>
      </c>
      <c r="E279" s="153" t="s">
        <v>4948</v>
      </c>
      <c r="F279" s="6"/>
      <c r="G279" s="6"/>
      <c r="H279" s="83">
        <f t="shared" si="5"/>
        <v>0</v>
      </c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x14ac:dyDescent="0.25">
      <c r="A280" s="10">
        <v>279</v>
      </c>
      <c r="B280" s="152" t="s">
        <v>2797</v>
      </c>
      <c r="C280" s="153" t="s">
        <v>2798</v>
      </c>
      <c r="D280" s="153" t="s">
        <v>2799</v>
      </c>
      <c r="E280" s="153" t="s">
        <v>4948</v>
      </c>
      <c r="F280" s="6"/>
      <c r="G280" s="6"/>
      <c r="H280" s="83">
        <f t="shared" si="5"/>
        <v>0</v>
      </c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x14ac:dyDescent="0.25">
      <c r="A281" s="10">
        <v>280</v>
      </c>
      <c r="B281" s="152" t="s">
        <v>2800</v>
      </c>
      <c r="C281" s="153" t="s">
        <v>2801</v>
      </c>
      <c r="D281" s="153" t="s">
        <v>2802</v>
      </c>
      <c r="E281" s="153" t="s">
        <v>4948</v>
      </c>
      <c r="F281" s="6"/>
      <c r="G281" s="6"/>
      <c r="H281" s="83">
        <f t="shared" si="5"/>
        <v>0</v>
      </c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x14ac:dyDescent="0.25">
      <c r="A282" s="10">
        <v>281</v>
      </c>
      <c r="B282" s="152" t="s">
        <v>2803</v>
      </c>
      <c r="C282" s="153" t="s">
        <v>2804</v>
      </c>
      <c r="D282" s="153" t="s">
        <v>2805</v>
      </c>
      <c r="E282" s="153" t="s">
        <v>4948</v>
      </c>
      <c r="F282" s="6"/>
      <c r="G282" s="6"/>
      <c r="H282" s="83">
        <f t="shared" si="5"/>
        <v>0</v>
      </c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x14ac:dyDescent="0.25">
      <c r="A283" s="10">
        <v>282</v>
      </c>
      <c r="B283" s="152" t="s">
        <v>2806</v>
      </c>
      <c r="C283" s="153" t="s">
        <v>2807</v>
      </c>
      <c r="D283" s="153" t="s">
        <v>2808</v>
      </c>
      <c r="E283" s="153" t="s">
        <v>4948</v>
      </c>
      <c r="F283" s="6"/>
      <c r="G283" s="6"/>
      <c r="H283" s="83">
        <f t="shared" si="5"/>
        <v>0</v>
      </c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x14ac:dyDescent="0.25">
      <c r="A284" s="10">
        <v>283</v>
      </c>
      <c r="B284" s="152" t="s">
        <v>2809</v>
      </c>
      <c r="C284" s="153" t="s">
        <v>2810</v>
      </c>
      <c r="D284" s="153" t="s">
        <v>2811</v>
      </c>
      <c r="E284" s="153" t="s">
        <v>4948</v>
      </c>
      <c r="F284" s="6"/>
      <c r="G284" s="6"/>
      <c r="H284" s="83">
        <f t="shared" si="5"/>
        <v>0</v>
      </c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x14ac:dyDescent="0.25">
      <c r="A285" s="10">
        <v>284</v>
      </c>
      <c r="B285" s="152" t="s">
        <v>2812</v>
      </c>
      <c r="C285" s="153" t="s">
        <v>2813</v>
      </c>
      <c r="D285" s="153" t="s">
        <v>2814</v>
      </c>
      <c r="E285" s="153" t="s">
        <v>4948</v>
      </c>
      <c r="F285" s="6"/>
      <c r="G285" s="6"/>
      <c r="H285" s="83">
        <f t="shared" si="5"/>
        <v>0</v>
      </c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x14ac:dyDescent="0.25">
      <c r="A286" s="10">
        <v>285</v>
      </c>
      <c r="B286" s="152" t="s">
        <v>2815</v>
      </c>
      <c r="C286" s="153" t="s">
        <v>2816</v>
      </c>
      <c r="D286" s="153">
        <v>0</v>
      </c>
      <c r="E286" s="153" t="s">
        <v>4948</v>
      </c>
      <c r="F286" s="6"/>
      <c r="G286" s="6"/>
      <c r="H286" s="83">
        <f t="shared" si="5"/>
        <v>0</v>
      </c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x14ac:dyDescent="0.25">
      <c r="A287" s="10">
        <v>286</v>
      </c>
      <c r="B287" s="152" t="s">
        <v>2817</v>
      </c>
      <c r="C287" s="153" t="s">
        <v>2818</v>
      </c>
      <c r="D287" s="153">
        <v>0</v>
      </c>
      <c r="E287" s="153" t="s">
        <v>4948</v>
      </c>
      <c r="F287" s="6"/>
      <c r="G287" s="6"/>
      <c r="H287" s="83">
        <f t="shared" si="5"/>
        <v>0</v>
      </c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x14ac:dyDescent="0.25">
      <c r="A288" s="10">
        <v>287</v>
      </c>
      <c r="B288" s="152" t="s">
        <v>2819</v>
      </c>
      <c r="C288" s="153" t="s">
        <v>2820</v>
      </c>
      <c r="D288" s="153" t="s">
        <v>2821</v>
      </c>
      <c r="E288" s="153" t="s">
        <v>4948</v>
      </c>
      <c r="F288" s="6"/>
      <c r="G288" s="6"/>
      <c r="H288" s="83">
        <f t="shared" si="5"/>
        <v>0</v>
      </c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x14ac:dyDescent="0.25">
      <c r="A289" s="10">
        <v>288</v>
      </c>
      <c r="B289" s="152" t="s">
        <v>2822</v>
      </c>
      <c r="C289" s="153" t="s">
        <v>2823</v>
      </c>
      <c r="D289" s="153" t="s">
        <v>2824</v>
      </c>
      <c r="E289" s="153" t="s">
        <v>4948</v>
      </c>
      <c r="F289" s="6"/>
      <c r="G289" s="6"/>
      <c r="H289" s="83">
        <f t="shared" si="5"/>
        <v>0</v>
      </c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x14ac:dyDescent="0.25">
      <c r="A290" s="10">
        <v>289</v>
      </c>
      <c r="B290" s="152" t="s">
        <v>2825</v>
      </c>
      <c r="C290" s="153" t="s">
        <v>2826</v>
      </c>
      <c r="D290" s="153" t="s">
        <v>2827</v>
      </c>
      <c r="E290" s="153" t="s">
        <v>4948</v>
      </c>
      <c r="F290" s="6"/>
      <c r="G290" s="6"/>
      <c r="H290" s="83">
        <f t="shared" si="5"/>
        <v>0</v>
      </c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x14ac:dyDescent="0.25">
      <c r="A291" s="10">
        <v>290</v>
      </c>
      <c r="B291" s="152" t="s">
        <v>2828</v>
      </c>
      <c r="C291" s="153" t="s">
        <v>2829</v>
      </c>
      <c r="D291" s="153" t="s">
        <v>2830</v>
      </c>
      <c r="E291" s="153" t="s">
        <v>4948</v>
      </c>
      <c r="F291" s="6"/>
      <c r="G291" s="6"/>
      <c r="H291" s="83">
        <f t="shared" si="5"/>
        <v>0</v>
      </c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x14ac:dyDescent="0.25">
      <c r="A292" s="10">
        <v>291</v>
      </c>
      <c r="B292" s="152" t="s">
        <v>2831</v>
      </c>
      <c r="C292" s="153" t="s">
        <v>2832</v>
      </c>
      <c r="D292" s="153" t="s">
        <v>2833</v>
      </c>
      <c r="E292" s="153" t="s">
        <v>4948</v>
      </c>
      <c r="F292" s="6"/>
      <c r="G292" s="6"/>
      <c r="H292" s="83">
        <f t="shared" si="5"/>
        <v>0</v>
      </c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x14ac:dyDescent="0.25">
      <c r="A293" s="10">
        <v>292</v>
      </c>
      <c r="B293" s="152" t="s">
        <v>2834</v>
      </c>
      <c r="C293" s="153" t="s">
        <v>2835</v>
      </c>
      <c r="D293" s="153" t="s">
        <v>2836</v>
      </c>
      <c r="E293" s="153" t="s">
        <v>4948</v>
      </c>
      <c r="F293" s="6"/>
      <c r="G293" s="6"/>
      <c r="H293" s="83">
        <f t="shared" si="5"/>
        <v>0</v>
      </c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x14ac:dyDescent="0.25">
      <c r="A294" s="10">
        <v>293</v>
      </c>
      <c r="B294" s="152" t="s">
        <v>2837</v>
      </c>
      <c r="C294" s="153" t="s">
        <v>2838</v>
      </c>
      <c r="D294" s="153" t="s">
        <v>2839</v>
      </c>
      <c r="E294" s="153" t="s">
        <v>4948</v>
      </c>
      <c r="F294" s="6"/>
      <c r="G294" s="6"/>
      <c r="H294" s="83">
        <f t="shared" si="5"/>
        <v>0</v>
      </c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x14ac:dyDescent="0.25">
      <c r="A295" s="10">
        <v>294</v>
      </c>
      <c r="B295" s="152" t="s">
        <v>2840</v>
      </c>
      <c r="C295" s="153" t="s">
        <v>2841</v>
      </c>
      <c r="D295" s="153" t="s">
        <v>2842</v>
      </c>
      <c r="E295" s="153" t="s">
        <v>4948</v>
      </c>
      <c r="F295" s="6"/>
      <c r="G295" s="6"/>
      <c r="H295" s="83">
        <f t="shared" si="5"/>
        <v>0</v>
      </c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x14ac:dyDescent="0.25">
      <c r="A296" s="10">
        <v>295</v>
      </c>
      <c r="B296" s="152" t="s">
        <v>2843</v>
      </c>
      <c r="C296" s="153" t="s">
        <v>2844</v>
      </c>
      <c r="D296" s="153" t="s">
        <v>2845</v>
      </c>
      <c r="E296" s="153" t="s">
        <v>4948</v>
      </c>
      <c r="F296" s="6"/>
      <c r="G296" s="6"/>
      <c r="H296" s="83">
        <f t="shared" si="5"/>
        <v>0</v>
      </c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x14ac:dyDescent="0.25">
      <c r="A297" s="10">
        <v>296</v>
      </c>
      <c r="B297" s="152" t="s">
        <v>2846</v>
      </c>
      <c r="C297" s="153" t="s">
        <v>2847</v>
      </c>
      <c r="D297" s="153" t="s">
        <v>2848</v>
      </c>
      <c r="E297" s="153" t="s">
        <v>4948</v>
      </c>
      <c r="F297" s="6"/>
      <c r="G297" s="6"/>
      <c r="H297" s="83">
        <f t="shared" si="5"/>
        <v>0</v>
      </c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x14ac:dyDescent="0.25">
      <c r="A298" s="10">
        <v>297</v>
      </c>
      <c r="B298" s="152" t="s">
        <v>2849</v>
      </c>
      <c r="C298" s="153" t="s">
        <v>2850</v>
      </c>
      <c r="D298" s="153" t="s">
        <v>2851</v>
      </c>
      <c r="E298" s="153" t="s">
        <v>4948</v>
      </c>
      <c r="F298" s="6"/>
      <c r="G298" s="6"/>
      <c r="H298" s="83">
        <f t="shared" si="5"/>
        <v>0</v>
      </c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x14ac:dyDescent="0.25">
      <c r="A299" s="10">
        <v>298</v>
      </c>
      <c r="B299" s="152" t="s">
        <v>2852</v>
      </c>
      <c r="C299" s="153" t="s">
        <v>2853</v>
      </c>
      <c r="D299" s="153" t="s">
        <v>2854</v>
      </c>
      <c r="E299" s="153" t="s">
        <v>4948</v>
      </c>
      <c r="F299" s="6"/>
      <c r="G299" s="6"/>
      <c r="H299" s="83">
        <f t="shared" si="5"/>
        <v>0</v>
      </c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x14ac:dyDescent="0.25">
      <c r="A300" s="10">
        <v>299</v>
      </c>
      <c r="B300" s="152" t="s">
        <v>2855</v>
      </c>
      <c r="C300" s="153" t="s">
        <v>2856</v>
      </c>
      <c r="D300" s="153" t="s">
        <v>2857</v>
      </c>
      <c r="E300" s="153" t="s">
        <v>4948</v>
      </c>
      <c r="F300" s="6"/>
      <c r="G300" s="6"/>
      <c r="H300" s="83">
        <f t="shared" si="5"/>
        <v>0</v>
      </c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x14ac:dyDescent="0.25">
      <c r="A301" s="10">
        <v>300</v>
      </c>
      <c r="B301" s="152" t="s">
        <v>2858</v>
      </c>
      <c r="C301" s="153" t="s">
        <v>2859</v>
      </c>
      <c r="D301" s="153" t="s">
        <v>2860</v>
      </c>
      <c r="E301" s="153" t="s">
        <v>4948</v>
      </c>
      <c r="F301" s="6"/>
      <c r="G301" s="6"/>
      <c r="H301" s="83">
        <f t="shared" si="5"/>
        <v>0</v>
      </c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x14ac:dyDescent="0.25">
      <c r="A302" s="10">
        <v>301</v>
      </c>
      <c r="B302" s="152" t="s">
        <v>2861</v>
      </c>
      <c r="C302" s="153" t="s">
        <v>2862</v>
      </c>
      <c r="D302" s="153" t="s">
        <v>2863</v>
      </c>
      <c r="E302" s="153" t="s">
        <v>4948</v>
      </c>
      <c r="F302" s="6"/>
      <c r="G302" s="6"/>
      <c r="H302" s="83">
        <f t="shared" si="5"/>
        <v>0</v>
      </c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x14ac:dyDescent="0.25">
      <c r="A303" s="10">
        <v>302</v>
      </c>
      <c r="B303" s="152" t="s">
        <v>2864</v>
      </c>
      <c r="C303" s="153" t="s">
        <v>2865</v>
      </c>
      <c r="D303" s="153" t="s">
        <v>2866</v>
      </c>
      <c r="E303" s="153" t="s">
        <v>4948</v>
      </c>
      <c r="F303" s="6"/>
      <c r="G303" s="6"/>
      <c r="H303" s="83">
        <f t="shared" si="5"/>
        <v>0</v>
      </c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x14ac:dyDescent="0.25">
      <c r="A304" s="10">
        <v>303</v>
      </c>
      <c r="B304" s="152" t="s">
        <v>2867</v>
      </c>
      <c r="C304" s="153" t="s">
        <v>2868</v>
      </c>
      <c r="D304" s="153">
        <v>0</v>
      </c>
      <c r="E304" s="153" t="s">
        <v>4948</v>
      </c>
      <c r="F304" s="6"/>
      <c r="G304" s="6"/>
      <c r="H304" s="83">
        <f t="shared" si="5"/>
        <v>0</v>
      </c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x14ac:dyDescent="0.25">
      <c r="A305" s="10">
        <v>304</v>
      </c>
      <c r="B305" s="152" t="s">
        <v>2869</v>
      </c>
      <c r="C305" s="153" t="s">
        <v>2870</v>
      </c>
      <c r="D305" s="153" t="s">
        <v>2871</v>
      </c>
      <c r="E305" s="153" t="s">
        <v>4948</v>
      </c>
      <c r="F305" s="6"/>
      <c r="G305" s="6"/>
      <c r="H305" s="83">
        <f t="shared" si="5"/>
        <v>0</v>
      </c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x14ac:dyDescent="0.25">
      <c r="A306" s="10">
        <v>305</v>
      </c>
      <c r="B306" s="152" t="s">
        <v>2872</v>
      </c>
      <c r="C306" s="153" t="s">
        <v>2873</v>
      </c>
      <c r="D306" s="153" t="s">
        <v>2874</v>
      </c>
      <c r="E306" s="153" t="s">
        <v>4948</v>
      </c>
      <c r="F306" s="6"/>
      <c r="G306" s="6"/>
      <c r="H306" s="83">
        <f t="shared" si="5"/>
        <v>0</v>
      </c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x14ac:dyDescent="0.25">
      <c r="A307" s="10">
        <v>306</v>
      </c>
      <c r="B307" s="152" t="s">
        <v>2875</v>
      </c>
      <c r="C307" s="153" t="s">
        <v>2876</v>
      </c>
      <c r="D307" s="153" t="s">
        <v>2877</v>
      </c>
      <c r="E307" s="153" t="s">
        <v>4948</v>
      </c>
      <c r="F307" s="6"/>
      <c r="G307" s="6"/>
      <c r="H307" s="83">
        <f t="shared" si="5"/>
        <v>0</v>
      </c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x14ac:dyDescent="0.25">
      <c r="A308" s="10">
        <v>307</v>
      </c>
      <c r="B308" s="152" t="s">
        <v>2878</v>
      </c>
      <c r="C308" s="153" t="s">
        <v>2879</v>
      </c>
      <c r="D308" s="153" t="s">
        <v>2880</v>
      </c>
      <c r="E308" s="153" t="s">
        <v>4948</v>
      </c>
      <c r="F308" s="6"/>
      <c r="G308" s="6"/>
      <c r="H308" s="83">
        <f t="shared" si="5"/>
        <v>0</v>
      </c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x14ac:dyDescent="0.25">
      <c r="A309" s="10">
        <v>308</v>
      </c>
      <c r="B309" s="152" t="s">
        <v>2881</v>
      </c>
      <c r="C309" s="153" t="s">
        <v>2882</v>
      </c>
      <c r="D309" s="153" t="s">
        <v>2883</v>
      </c>
      <c r="E309" s="153" t="s">
        <v>4948</v>
      </c>
      <c r="F309" s="6"/>
      <c r="G309" s="6"/>
      <c r="H309" s="83">
        <f t="shared" si="5"/>
        <v>0</v>
      </c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x14ac:dyDescent="0.25">
      <c r="A310" s="10">
        <v>309</v>
      </c>
      <c r="B310" s="152" t="s">
        <v>2884</v>
      </c>
      <c r="C310" s="153" t="s">
        <v>2885</v>
      </c>
      <c r="D310" s="153" t="s">
        <v>2886</v>
      </c>
      <c r="E310" s="153" t="s">
        <v>4948</v>
      </c>
      <c r="F310" s="6"/>
      <c r="G310" s="6"/>
      <c r="H310" s="83">
        <f t="shared" si="5"/>
        <v>0</v>
      </c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x14ac:dyDescent="0.25">
      <c r="A311" s="10">
        <v>310</v>
      </c>
      <c r="B311" s="152" t="s">
        <v>2887</v>
      </c>
      <c r="C311" s="153" t="s">
        <v>2888</v>
      </c>
      <c r="D311" s="153" t="s">
        <v>2889</v>
      </c>
      <c r="E311" s="153" t="s">
        <v>4948</v>
      </c>
      <c r="F311" s="6"/>
      <c r="G311" s="6"/>
      <c r="H311" s="83">
        <f t="shared" si="5"/>
        <v>0</v>
      </c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x14ac:dyDescent="0.25">
      <c r="A312" s="10">
        <v>311</v>
      </c>
      <c r="B312" s="152" t="s">
        <v>2890</v>
      </c>
      <c r="C312" s="153" t="s">
        <v>2891</v>
      </c>
      <c r="D312" s="153" t="s">
        <v>2892</v>
      </c>
      <c r="E312" s="153" t="s">
        <v>4948</v>
      </c>
      <c r="F312" s="6"/>
      <c r="G312" s="6"/>
      <c r="H312" s="83">
        <f t="shared" si="5"/>
        <v>0</v>
      </c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x14ac:dyDescent="0.25">
      <c r="A313" s="10">
        <v>312</v>
      </c>
      <c r="B313" s="152" t="s">
        <v>2893</v>
      </c>
      <c r="C313" s="153" t="s">
        <v>2894</v>
      </c>
      <c r="D313" s="153" t="s">
        <v>2895</v>
      </c>
      <c r="E313" s="153" t="s">
        <v>4948</v>
      </c>
      <c r="F313" s="6"/>
      <c r="G313" s="6"/>
      <c r="H313" s="83">
        <f t="shared" si="5"/>
        <v>0</v>
      </c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x14ac:dyDescent="0.25">
      <c r="A314" s="10">
        <v>313</v>
      </c>
      <c r="B314" s="152" t="s">
        <v>2896</v>
      </c>
      <c r="C314" s="153" t="s">
        <v>2897</v>
      </c>
      <c r="D314" s="153" t="s">
        <v>2898</v>
      </c>
      <c r="E314" s="153" t="s">
        <v>4948</v>
      </c>
      <c r="F314" s="6"/>
      <c r="G314" s="6"/>
      <c r="H314" s="83">
        <f t="shared" si="5"/>
        <v>0</v>
      </c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x14ac:dyDescent="0.25">
      <c r="A315" s="10">
        <v>314</v>
      </c>
      <c r="B315" s="155" t="s">
        <v>695</v>
      </c>
      <c r="C315" s="156" t="s">
        <v>2899</v>
      </c>
      <c r="D315" s="156" t="s">
        <v>2900</v>
      </c>
      <c r="E315" s="153" t="s">
        <v>2135</v>
      </c>
      <c r="F315" s="6"/>
      <c r="G315" s="6"/>
      <c r="H315" s="83">
        <f t="shared" si="5"/>
        <v>655</v>
      </c>
      <c r="I315" s="5">
        <f>11200/100</f>
        <v>112</v>
      </c>
      <c r="J315" s="5">
        <v>500</v>
      </c>
      <c r="K315" s="5"/>
      <c r="L315" s="5"/>
      <c r="M315" s="5"/>
      <c r="N315" s="5"/>
      <c r="O315" s="5"/>
      <c r="P315" s="5">
        <f>500/100</f>
        <v>5</v>
      </c>
      <c r="Q315" s="5">
        <f>2300/100</f>
        <v>23</v>
      </c>
      <c r="R315" s="5"/>
      <c r="S315" s="5">
        <f>1100/100</f>
        <v>11</v>
      </c>
      <c r="T315" s="5">
        <v>4</v>
      </c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x14ac:dyDescent="0.25">
      <c r="A316" s="10">
        <v>315</v>
      </c>
      <c r="B316" s="152" t="s">
        <v>1619</v>
      </c>
      <c r="C316" s="153" t="s">
        <v>2901</v>
      </c>
      <c r="D316" s="153" t="s">
        <v>2902</v>
      </c>
      <c r="E316" s="153" t="s">
        <v>2086</v>
      </c>
      <c r="F316" s="6"/>
      <c r="G316" s="6"/>
      <c r="H316" s="83">
        <f t="shared" si="5"/>
        <v>16000</v>
      </c>
      <c r="I316" s="5"/>
      <c r="J316" s="5"/>
      <c r="K316" s="5"/>
      <c r="L316" s="5"/>
      <c r="M316" s="5"/>
      <c r="N316" s="5"/>
      <c r="O316" s="5"/>
      <c r="P316" s="5"/>
      <c r="Q316" s="5">
        <v>16000</v>
      </c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x14ac:dyDescent="0.25">
      <c r="A317" s="10">
        <v>316</v>
      </c>
      <c r="B317" s="152" t="s">
        <v>1621</v>
      </c>
      <c r="C317" s="153" t="s">
        <v>2903</v>
      </c>
      <c r="D317" s="153" t="s">
        <v>2904</v>
      </c>
      <c r="E317" s="153" t="s">
        <v>4948</v>
      </c>
      <c r="F317" s="6"/>
      <c r="G317" s="6"/>
      <c r="H317" s="83">
        <f t="shared" si="5"/>
        <v>0</v>
      </c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x14ac:dyDescent="0.25">
      <c r="A318" s="10">
        <v>317</v>
      </c>
      <c r="B318" s="152" t="s">
        <v>1266</v>
      </c>
      <c r="C318" s="153" t="s">
        <v>2905</v>
      </c>
      <c r="D318" s="153" t="s">
        <v>2906</v>
      </c>
      <c r="E318" s="153" t="s">
        <v>2086</v>
      </c>
      <c r="F318" s="6"/>
      <c r="G318" s="6"/>
      <c r="H318" s="83">
        <f t="shared" si="5"/>
        <v>7900</v>
      </c>
      <c r="I318" s="5">
        <v>4600</v>
      </c>
      <c r="J318" s="5"/>
      <c r="K318" s="5"/>
      <c r="L318" s="5"/>
      <c r="M318" s="5"/>
      <c r="N318" s="5"/>
      <c r="O318" s="5"/>
      <c r="P318" s="5">
        <v>1500</v>
      </c>
      <c r="Q318" s="5">
        <v>200</v>
      </c>
      <c r="R318" s="5"/>
      <c r="S318" s="5">
        <v>1400</v>
      </c>
      <c r="T318" s="5">
        <v>200</v>
      </c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x14ac:dyDescent="0.25">
      <c r="A319" s="10">
        <v>318</v>
      </c>
      <c r="B319" s="152" t="s">
        <v>1628</v>
      </c>
      <c r="C319" s="153" t="s">
        <v>2907</v>
      </c>
      <c r="D319" s="153" t="s">
        <v>2908</v>
      </c>
      <c r="E319" s="153" t="s">
        <v>4948</v>
      </c>
      <c r="F319" s="6"/>
      <c r="G319" s="6"/>
      <c r="H319" s="83">
        <f t="shared" si="5"/>
        <v>0</v>
      </c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x14ac:dyDescent="0.25">
      <c r="A320" s="10">
        <v>319</v>
      </c>
      <c r="B320" s="152" t="s">
        <v>974</v>
      </c>
      <c r="C320" s="153" t="s">
        <v>2909</v>
      </c>
      <c r="D320" s="153" t="s">
        <v>2910</v>
      </c>
      <c r="E320" s="153" t="s">
        <v>2086</v>
      </c>
      <c r="F320" s="6"/>
      <c r="G320" s="6"/>
      <c r="H320" s="83">
        <f t="shared" si="5"/>
        <v>0</v>
      </c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x14ac:dyDescent="0.25">
      <c r="A321" s="10">
        <v>320</v>
      </c>
      <c r="B321" s="152" t="s">
        <v>956</v>
      </c>
      <c r="C321" s="153" t="s">
        <v>2911</v>
      </c>
      <c r="D321" s="153" t="s">
        <v>2912</v>
      </c>
      <c r="E321" s="153" t="s">
        <v>4948</v>
      </c>
      <c r="F321" s="6"/>
      <c r="G321" s="6"/>
      <c r="H321" s="83">
        <f t="shared" si="5"/>
        <v>5000</v>
      </c>
      <c r="I321" s="5"/>
      <c r="J321" s="5">
        <v>5000</v>
      </c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x14ac:dyDescent="0.25">
      <c r="A322" s="10">
        <v>321</v>
      </c>
      <c r="B322" s="155" t="s">
        <v>2054</v>
      </c>
      <c r="C322" s="156" t="s">
        <v>2913</v>
      </c>
      <c r="D322" s="156" t="s">
        <v>2914</v>
      </c>
      <c r="E322" s="153" t="s">
        <v>4948</v>
      </c>
      <c r="F322" s="6"/>
      <c r="G322" s="6"/>
      <c r="H322" s="83">
        <f t="shared" ref="H322:H385" si="6">SUM(I322:AM322)</f>
        <v>5000</v>
      </c>
      <c r="I322" s="5"/>
      <c r="J322" s="5">
        <v>5000</v>
      </c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x14ac:dyDescent="0.25">
      <c r="A323" s="10">
        <v>322</v>
      </c>
      <c r="B323" s="155" t="s">
        <v>2052</v>
      </c>
      <c r="C323" s="156" t="s">
        <v>2915</v>
      </c>
      <c r="D323" s="156" t="s">
        <v>2916</v>
      </c>
      <c r="E323" s="153" t="s">
        <v>4948</v>
      </c>
      <c r="F323" s="6"/>
      <c r="G323" s="6"/>
      <c r="H323" s="83">
        <f t="shared" si="6"/>
        <v>5000</v>
      </c>
      <c r="I323" s="5"/>
      <c r="J323" s="5">
        <v>5000</v>
      </c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x14ac:dyDescent="0.25">
      <c r="A324" s="10">
        <v>323</v>
      </c>
      <c r="B324" s="152" t="s">
        <v>2917</v>
      </c>
      <c r="C324" s="153" t="s">
        <v>2918</v>
      </c>
      <c r="D324" s="153" t="s">
        <v>2919</v>
      </c>
      <c r="E324" s="153" t="s">
        <v>4948</v>
      </c>
      <c r="F324" s="6"/>
      <c r="G324" s="6"/>
      <c r="H324" s="83">
        <f t="shared" si="6"/>
        <v>0</v>
      </c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x14ac:dyDescent="0.25">
      <c r="A325" s="10">
        <v>324</v>
      </c>
      <c r="B325" s="152" t="s">
        <v>1626</v>
      </c>
      <c r="C325" s="153" t="s">
        <v>2920</v>
      </c>
      <c r="D325" s="153" t="s">
        <v>2921</v>
      </c>
      <c r="E325" s="153" t="s">
        <v>2086</v>
      </c>
      <c r="F325" s="6"/>
      <c r="G325" s="6"/>
      <c r="H325" s="83">
        <f t="shared" si="6"/>
        <v>0</v>
      </c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x14ac:dyDescent="0.25">
      <c r="A326" s="10">
        <v>325</v>
      </c>
      <c r="B326" s="152" t="s">
        <v>1363</v>
      </c>
      <c r="C326" s="153" t="s">
        <v>2922</v>
      </c>
      <c r="D326" s="153" t="s">
        <v>2923</v>
      </c>
      <c r="E326" s="153" t="s">
        <v>2086</v>
      </c>
      <c r="F326" s="6"/>
      <c r="G326" s="6"/>
      <c r="H326" s="83">
        <f t="shared" si="6"/>
        <v>5</v>
      </c>
      <c r="I326" s="5"/>
      <c r="J326" s="5"/>
      <c r="K326" s="5"/>
      <c r="L326" s="5"/>
      <c r="M326" s="5"/>
      <c r="N326" s="5"/>
      <c r="O326" s="5"/>
      <c r="P326" s="5">
        <v>5</v>
      </c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x14ac:dyDescent="0.25">
      <c r="A327" s="10">
        <v>326</v>
      </c>
      <c r="B327" s="152" t="s">
        <v>1339</v>
      </c>
      <c r="C327" s="153" t="s">
        <v>2924</v>
      </c>
      <c r="D327" s="153" t="s">
        <v>2925</v>
      </c>
      <c r="E327" s="153" t="s">
        <v>2086</v>
      </c>
      <c r="F327" s="6"/>
      <c r="G327" s="6"/>
      <c r="H327" s="83">
        <f t="shared" si="6"/>
        <v>5</v>
      </c>
      <c r="I327" s="5"/>
      <c r="J327" s="5"/>
      <c r="K327" s="5"/>
      <c r="L327" s="5"/>
      <c r="M327" s="5"/>
      <c r="N327" s="5"/>
      <c r="O327" s="5"/>
      <c r="P327" s="5">
        <v>5</v>
      </c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x14ac:dyDescent="0.25">
      <c r="A328" s="10">
        <v>327</v>
      </c>
      <c r="B328" s="152" t="s">
        <v>1371</v>
      </c>
      <c r="C328" s="153" t="s">
        <v>2926</v>
      </c>
      <c r="D328" s="153" t="s">
        <v>2927</v>
      </c>
      <c r="E328" s="153" t="s">
        <v>2086</v>
      </c>
      <c r="F328" s="6"/>
      <c r="G328" s="6"/>
      <c r="H328" s="83">
        <f t="shared" si="6"/>
        <v>5</v>
      </c>
      <c r="I328" s="5"/>
      <c r="J328" s="5"/>
      <c r="K328" s="5"/>
      <c r="L328" s="5"/>
      <c r="M328" s="5"/>
      <c r="N328" s="5"/>
      <c r="O328" s="5"/>
      <c r="P328" s="5">
        <v>5</v>
      </c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x14ac:dyDescent="0.25">
      <c r="A329" s="10">
        <v>328</v>
      </c>
      <c r="B329" s="152" t="s">
        <v>1117</v>
      </c>
      <c r="C329" s="153" t="s">
        <v>2928</v>
      </c>
      <c r="D329" s="153" t="s">
        <v>2929</v>
      </c>
      <c r="E329" s="153" t="s">
        <v>2086</v>
      </c>
      <c r="F329" s="6"/>
      <c r="G329" s="6"/>
      <c r="H329" s="83">
        <f t="shared" si="6"/>
        <v>30400</v>
      </c>
      <c r="I329" s="5"/>
      <c r="J329" s="5">
        <v>30400</v>
      </c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x14ac:dyDescent="0.25">
      <c r="A330" s="10">
        <v>329</v>
      </c>
      <c r="B330" s="152" t="s">
        <v>2930</v>
      </c>
      <c r="C330" s="153" t="s">
        <v>2931</v>
      </c>
      <c r="D330" s="153" t="s">
        <v>2932</v>
      </c>
      <c r="E330" s="153" t="s">
        <v>2086</v>
      </c>
      <c r="F330" s="6"/>
      <c r="G330" s="6"/>
      <c r="H330" s="83">
        <f t="shared" si="6"/>
        <v>6000</v>
      </c>
      <c r="I330" s="5"/>
      <c r="J330" s="5"/>
      <c r="K330" s="5"/>
      <c r="L330" s="5"/>
      <c r="M330" s="5"/>
      <c r="N330" s="5"/>
      <c r="O330" s="5"/>
      <c r="P330" s="5"/>
      <c r="Q330" s="5">
        <v>6000</v>
      </c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x14ac:dyDescent="0.25">
      <c r="A331" s="10">
        <v>330</v>
      </c>
      <c r="B331" s="152" t="s">
        <v>774</v>
      </c>
      <c r="C331" s="153" t="s">
        <v>2933</v>
      </c>
      <c r="D331" s="153" t="s">
        <v>2934</v>
      </c>
      <c r="E331" s="153" t="s">
        <v>2086</v>
      </c>
      <c r="F331" s="6"/>
      <c r="G331" s="6"/>
      <c r="H331" s="83">
        <f t="shared" si="6"/>
        <v>8000</v>
      </c>
      <c r="I331" s="5"/>
      <c r="J331" s="5">
        <v>8000</v>
      </c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x14ac:dyDescent="0.25">
      <c r="A332" s="10">
        <v>331</v>
      </c>
      <c r="B332" s="155" t="s">
        <v>2935</v>
      </c>
      <c r="C332" s="156" t="s">
        <v>2936</v>
      </c>
      <c r="D332" s="156" t="s">
        <v>2937</v>
      </c>
      <c r="E332" s="153" t="s">
        <v>4948</v>
      </c>
      <c r="F332" s="6"/>
      <c r="G332" s="6"/>
      <c r="H332" s="83">
        <f t="shared" si="6"/>
        <v>0</v>
      </c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x14ac:dyDescent="0.25">
      <c r="A333" s="10">
        <v>332</v>
      </c>
      <c r="B333" s="152" t="s">
        <v>224</v>
      </c>
      <c r="C333" s="153" t="s">
        <v>2938</v>
      </c>
      <c r="D333" s="153" t="s">
        <v>2939</v>
      </c>
      <c r="E333" s="153" t="s">
        <v>2086</v>
      </c>
      <c r="F333" s="6"/>
      <c r="G333" s="6"/>
      <c r="H333" s="83">
        <f t="shared" si="6"/>
        <v>0</v>
      </c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x14ac:dyDescent="0.25">
      <c r="A334" s="10">
        <v>333</v>
      </c>
      <c r="B334" s="152" t="s">
        <v>206</v>
      </c>
      <c r="C334" s="153" t="s">
        <v>2940</v>
      </c>
      <c r="D334" s="153" t="s">
        <v>2941</v>
      </c>
      <c r="E334" s="153" t="s">
        <v>4948</v>
      </c>
      <c r="F334" s="6"/>
      <c r="G334" s="6"/>
      <c r="H334" s="83">
        <f t="shared" si="6"/>
        <v>0</v>
      </c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x14ac:dyDescent="0.25">
      <c r="A335" s="10">
        <v>334</v>
      </c>
      <c r="B335" s="152" t="s">
        <v>2942</v>
      </c>
      <c r="C335" s="153" t="s">
        <v>2943</v>
      </c>
      <c r="D335" s="153" t="s">
        <v>2944</v>
      </c>
      <c r="E335" s="153" t="s">
        <v>4948</v>
      </c>
      <c r="F335" s="6"/>
      <c r="G335" s="6"/>
      <c r="H335" s="83">
        <f t="shared" si="6"/>
        <v>0</v>
      </c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x14ac:dyDescent="0.25">
      <c r="A336" s="10">
        <v>335</v>
      </c>
      <c r="B336" s="152" t="s">
        <v>1205</v>
      </c>
      <c r="C336" s="153" t="s">
        <v>2945</v>
      </c>
      <c r="D336" s="153" t="s">
        <v>2946</v>
      </c>
      <c r="E336" s="153" t="s">
        <v>4948</v>
      </c>
      <c r="F336" s="6"/>
      <c r="G336" s="6"/>
      <c r="H336" s="83">
        <f t="shared" si="6"/>
        <v>3000</v>
      </c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>
        <v>2750</v>
      </c>
      <c r="T336" s="5">
        <v>250</v>
      </c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x14ac:dyDescent="0.25">
      <c r="A337" s="10">
        <v>336</v>
      </c>
      <c r="B337" s="152" t="s">
        <v>802</v>
      </c>
      <c r="C337" s="153" t="s">
        <v>2947</v>
      </c>
      <c r="D337" s="153" t="s">
        <v>2948</v>
      </c>
      <c r="E337" s="153" t="s">
        <v>2086</v>
      </c>
      <c r="F337" s="6"/>
      <c r="G337" s="6"/>
      <c r="H337" s="83">
        <f t="shared" si="6"/>
        <v>64780</v>
      </c>
      <c r="I337" s="5">
        <v>32040</v>
      </c>
      <c r="J337" s="5"/>
      <c r="K337" s="5"/>
      <c r="L337" s="5"/>
      <c r="M337" s="5"/>
      <c r="N337" s="5"/>
      <c r="O337" s="5"/>
      <c r="P337" s="5">
        <v>11700</v>
      </c>
      <c r="Q337" s="5">
        <v>5400</v>
      </c>
      <c r="R337" s="5"/>
      <c r="S337" s="5">
        <v>7360</v>
      </c>
      <c r="T337" s="5">
        <v>8280</v>
      </c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x14ac:dyDescent="0.25">
      <c r="A338" s="10">
        <v>337</v>
      </c>
      <c r="B338" s="152" t="s">
        <v>31</v>
      </c>
      <c r="C338" s="153" t="s">
        <v>2949</v>
      </c>
      <c r="D338" s="153" t="s">
        <v>2950</v>
      </c>
      <c r="E338" s="153" t="s">
        <v>4948</v>
      </c>
      <c r="F338" s="6"/>
      <c r="G338" s="6"/>
      <c r="H338" s="83">
        <f t="shared" si="6"/>
        <v>0</v>
      </c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x14ac:dyDescent="0.25">
      <c r="A339" s="10">
        <v>338</v>
      </c>
      <c r="B339" s="152" t="s">
        <v>848</v>
      </c>
      <c r="C339" s="153" t="s">
        <v>2951</v>
      </c>
      <c r="D339" s="153" t="s">
        <v>2952</v>
      </c>
      <c r="E339" s="153" t="s">
        <v>2086</v>
      </c>
      <c r="F339" s="6"/>
      <c r="G339" s="6"/>
      <c r="H339" s="83">
        <f t="shared" si="6"/>
        <v>2310</v>
      </c>
      <c r="I339" s="5">
        <v>1330</v>
      </c>
      <c r="J339" s="5"/>
      <c r="K339" s="5"/>
      <c r="L339" s="5"/>
      <c r="M339" s="5"/>
      <c r="N339" s="5"/>
      <c r="O339" s="5"/>
      <c r="P339" s="5">
        <v>70</v>
      </c>
      <c r="Q339" s="5">
        <v>700</v>
      </c>
      <c r="R339" s="5"/>
      <c r="S339" s="5"/>
      <c r="T339" s="5">
        <v>210</v>
      </c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x14ac:dyDescent="0.25">
      <c r="A340" s="10">
        <v>339</v>
      </c>
      <c r="B340" s="152" t="s">
        <v>909</v>
      </c>
      <c r="C340" s="153" t="s">
        <v>2953</v>
      </c>
      <c r="D340" s="153" t="s">
        <v>2954</v>
      </c>
      <c r="E340" s="153" t="s">
        <v>2086</v>
      </c>
      <c r="F340" s="6"/>
      <c r="G340" s="6"/>
      <c r="H340" s="83">
        <f t="shared" si="6"/>
        <v>5000</v>
      </c>
      <c r="I340" s="5">
        <v>4680</v>
      </c>
      <c r="J340" s="5"/>
      <c r="K340" s="5"/>
      <c r="L340" s="5"/>
      <c r="M340" s="5"/>
      <c r="N340" s="5"/>
      <c r="O340" s="5"/>
      <c r="P340" s="5">
        <v>320</v>
      </c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x14ac:dyDescent="0.25">
      <c r="A341" s="10">
        <v>340</v>
      </c>
      <c r="B341" s="152" t="s">
        <v>2955</v>
      </c>
      <c r="C341" s="153" t="s">
        <v>2956</v>
      </c>
      <c r="D341" s="153" t="s">
        <v>2957</v>
      </c>
      <c r="E341" s="153" t="s">
        <v>2086</v>
      </c>
      <c r="F341" s="6"/>
      <c r="G341" s="6"/>
      <c r="H341" s="83">
        <f t="shared" si="6"/>
        <v>0</v>
      </c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x14ac:dyDescent="0.25">
      <c r="A342" s="10">
        <v>341</v>
      </c>
      <c r="B342" s="152" t="s">
        <v>1474</v>
      </c>
      <c r="C342" s="153" t="s">
        <v>2958</v>
      </c>
      <c r="D342" s="153" t="s">
        <v>2959</v>
      </c>
      <c r="E342" s="153" t="s">
        <v>2086</v>
      </c>
      <c r="F342" s="6"/>
      <c r="G342" s="6"/>
      <c r="H342" s="83">
        <f t="shared" si="6"/>
        <v>5000</v>
      </c>
      <c r="I342" s="5"/>
      <c r="J342" s="5">
        <v>5000</v>
      </c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x14ac:dyDescent="0.25">
      <c r="A343" s="10">
        <v>342</v>
      </c>
      <c r="B343" s="152" t="s">
        <v>1084</v>
      </c>
      <c r="C343" s="153" t="s">
        <v>2960</v>
      </c>
      <c r="D343" s="153" t="s">
        <v>2961</v>
      </c>
      <c r="E343" s="153" t="s">
        <v>2086</v>
      </c>
      <c r="F343" s="6"/>
      <c r="G343" s="6"/>
      <c r="H343" s="83">
        <f t="shared" si="6"/>
        <v>5</v>
      </c>
      <c r="I343" s="5"/>
      <c r="J343" s="5"/>
      <c r="K343" s="5"/>
      <c r="L343" s="5"/>
      <c r="M343" s="5"/>
      <c r="N343" s="5"/>
      <c r="O343" s="5"/>
      <c r="P343" s="5">
        <v>5</v>
      </c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x14ac:dyDescent="0.25">
      <c r="A344" s="10">
        <v>343</v>
      </c>
      <c r="B344" s="152" t="s">
        <v>2962</v>
      </c>
      <c r="C344" s="153" t="s">
        <v>2963</v>
      </c>
      <c r="D344" s="153" t="s">
        <v>2964</v>
      </c>
      <c r="E344" s="153" t="s">
        <v>4948</v>
      </c>
      <c r="F344" s="6"/>
      <c r="G344" s="6"/>
      <c r="H344" s="83">
        <f t="shared" si="6"/>
        <v>0</v>
      </c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x14ac:dyDescent="0.25">
      <c r="A345" s="10">
        <v>344</v>
      </c>
      <c r="B345" s="152" t="s">
        <v>953</v>
      </c>
      <c r="C345" s="153" t="s">
        <v>2965</v>
      </c>
      <c r="D345" s="153" t="s">
        <v>2966</v>
      </c>
      <c r="E345" s="153" t="s">
        <v>2086</v>
      </c>
      <c r="F345" s="6"/>
      <c r="G345" s="6"/>
      <c r="H345" s="83">
        <f t="shared" si="6"/>
        <v>73285</v>
      </c>
      <c r="I345" s="5">
        <v>49600</v>
      </c>
      <c r="J345" s="5"/>
      <c r="K345" s="5"/>
      <c r="L345" s="5"/>
      <c r="M345" s="5"/>
      <c r="N345" s="5"/>
      <c r="O345" s="5"/>
      <c r="P345" s="5">
        <v>7200</v>
      </c>
      <c r="Q345" s="5">
        <v>4800</v>
      </c>
      <c r="R345" s="5"/>
      <c r="S345" s="5">
        <v>1230</v>
      </c>
      <c r="T345" s="5">
        <v>10455</v>
      </c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x14ac:dyDescent="0.25">
      <c r="A346" s="10">
        <v>345</v>
      </c>
      <c r="B346" s="152" t="s">
        <v>1423</v>
      </c>
      <c r="C346" s="153" t="s">
        <v>2967</v>
      </c>
      <c r="D346" s="153" t="s">
        <v>2968</v>
      </c>
      <c r="E346" s="153" t="s">
        <v>2086</v>
      </c>
      <c r="F346" s="6"/>
      <c r="G346" s="6"/>
      <c r="H346" s="83">
        <f t="shared" si="6"/>
        <v>1190</v>
      </c>
      <c r="I346" s="5"/>
      <c r="J346" s="5">
        <v>1190</v>
      </c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x14ac:dyDescent="0.25">
      <c r="A347" s="10">
        <v>346</v>
      </c>
      <c r="B347" s="152" t="s">
        <v>2969</v>
      </c>
      <c r="C347" s="153" t="s">
        <v>2970</v>
      </c>
      <c r="D347" s="153" t="s">
        <v>2971</v>
      </c>
      <c r="E347" s="153" t="s">
        <v>2086</v>
      </c>
      <c r="F347" s="6"/>
      <c r="G347" s="6"/>
      <c r="H347" s="83">
        <f t="shared" si="6"/>
        <v>0</v>
      </c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x14ac:dyDescent="0.25">
      <c r="A348" s="10">
        <v>347</v>
      </c>
      <c r="B348" s="155" t="s">
        <v>2972</v>
      </c>
      <c r="C348" s="156" t="s">
        <v>2973</v>
      </c>
      <c r="D348" s="156" t="s">
        <v>2974</v>
      </c>
      <c r="E348" s="153" t="s">
        <v>4948</v>
      </c>
      <c r="F348" s="6"/>
      <c r="G348" s="6"/>
      <c r="H348" s="83">
        <f t="shared" si="6"/>
        <v>0</v>
      </c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x14ac:dyDescent="0.25">
      <c r="A349" s="10">
        <v>348</v>
      </c>
      <c r="B349" s="152" t="s">
        <v>1240</v>
      </c>
      <c r="C349" s="153" t="s">
        <v>2975</v>
      </c>
      <c r="D349" s="153" t="s">
        <v>2976</v>
      </c>
      <c r="E349" s="153" t="s">
        <v>2086</v>
      </c>
      <c r="F349" s="6"/>
      <c r="G349" s="6"/>
      <c r="H349" s="83">
        <f t="shared" si="6"/>
        <v>135500</v>
      </c>
      <c r="I349" s="5">
        <f>47100+37100</f>
        <v>84200</v>
      </c>
      <c r="J349" s="5"/>
      <c r="K349" s="5"/>
      <c r="L349" s="5"/>
      <c r="M349" s="5"/>
      <c r="N349" s="5"/>
      <c r="O349" s="5"/>
      <c r="P349" s="5">
        <f>13100+7200</f>
        <v>20300</v>
      </c>
      <c r="Q349" s="5">
        <v>9000</v>
      </c>
      <c r="R349" s="5"/>
      <c r="S349" s="5">
        <v>5500</v>
      </c>
      <c r="T349" s="5">
        <f>8000+8500</f>
        <v>16500</v>
      </c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x14ac:dyDescent="0.25">
      <c r="A350" s="10">
        <v>349</v>
      </c>
      <c r="B350" s="152" t="s">
        <v>1885</v>
      </c>
      <c r="C350" s="153" t="s">
        <v>2977</v>
      </c>
      <c r="D350" s="153" t="s">
        <v>2978</v>
      </c>
      <c r="E350" s="153" t="s">
        <v>2086</v>
      </c>
      <c r="F350" s="6"/>
      <c r="G350" s="6"/>
      <c r="H350" s="83">
        <f t="shared" si="6"/>
        <v>840</v>
      </c>
      <c r="I350" s="5"/>
      <c r="J350" s="5"/>
      <c r="K350" s="5"/>
      <c r="L350" s="5"/>
      <c r="M350" s="5"/>
      <c r="N350" s="5"/>
      <c r="O350" s="5"/>
      <c r="P350" s="5"/>
      <c r="Q350" s="5">
        <v>840</v>
      </c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x14ac:dyDescent="0.25">
      <c r="A351" s="10">
        <v>350</v>
      </c>
      <c r="B351" s="152" t="s">
        <v>1873</v>
      </c>
      <c r="C351" s="153" t="s">
        <v>2979</v>
      </c>
      <c r="D351" s="153" t="s">
        <v>2980</v>
      </c>
      <c r="E351" s="153" t="s">
        <v>2086</v>
      </c>
      <c r="F351" s="6"/>
      <c r="G351" s="6"/>
      <c r="H351" s="83">
        <f t="shared" si="6"/>
        <v>4005</v>
      </c>
      <c r="I351" s="5">
        <v>4000</v>
      </c>
      <c r="J351" s="5"/>
      <c r="K351" s="5"/>
      <c r="L351" s="5"/>
      <c r="M351" s="5"/>
      <c r="N351" s="5"/>
      <c r="O351" s="5"/>
      <c r="P351" s="5">
        <v>5</v>
      </c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x14ac:dyDescent="0.25">
      <c r="A352" s="10">
        <v>351</v>
      </c>
      <c r="B352" s="152" t="s">
        <v>1183</v>
      </c>
      <c r="C352" s="153" t="s">
        <v>2981</v>
      </c>
      <c r="D352" s="153" t="s">
        <v>2982</v>
      </c>
      <c r="E352" s="153" t="s">
        <v>2086</v>
      </c>
      <c r="F352" s="6"/>
      <c r="G352" s="6"/>
      <c r="H352" s="83">
        <f t="shared" si="6"/>
        <v>4200</v>
      </c>
      <c r="I352" s="5">
        <v>3000</v>
      </c>
      <c r="J352" s="5"/>
      <c r="K352" s="5"/>
      <c r="L352" s="5"/>
      <c r="M352" s="5"/>
      <c r="N352" s="5"/>
      <c r="O352" s="5"/>
      <c r="P352" s="5">
        <v>600</v>
      </c>
      <c r="Q352" s="5"/>
      <c r="R352" s="5"/>
      <c r="S352" s="5"/>
      <c r="T352" s="5">
        <v>600</v>
      </c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x14ac:dyDescent="0.25">
      <c r="A353" s="10">
        <v>352</v>
      </c>
      <c r="B353" s="152" t="s">
        <v>1866</v>
      </c>
      <c r="C353" s="153" t="s">
        <v>2983</v>
      </c>
      <c r="D353" s="153" t="s">
        <v>2984</v>
      </c>
      <c r="E353" s="153" t="s">
        <v>2086</v>
      </c>
      <c r="F353" s="6"/>
      <c r="G353" s="6"/>
      <c r="H353" s="83">
        <f t="shared" si="6"/>
        <v>0</v>
      </c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x14ac:dyDescent="0.25">
      <c r="A354" s="10">
        <v>353</v>
      </c>
      <c r="B354" s="155" t="s">
        <v>2985</v>
      </c>
      <c r="C354" s="156" t="s">
        <v>2986</v>
      </c>
      <c r="D354" s="156" t="s">
        <v>2987</v>
      </c>
      <c r="E354" s="153" t="s">
        <v>4948</v>
      </c>
      <c r="F354" s="6"/>
      <c r="G354" s="6"/>
      <c r="H354" s="83">
        <f t="shared" si="6"/>
        <v>0</v>
      </c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x14ac:dyDescent="0.25">
      <c r="A355" s="10">
        <v>354</v>
      </c>
      <c r="B355" s="152" t="s">
        <v>1879</v>
      </c>
      <c r="C355" s="153" t="s">
        <v>2988</v>
      </c>
      <c r="D355" s="153" t="s">
        <v>2989</v>
      </c>
      <c r="E355" s="153" t="s">
        <v>2086</v>
      </c>
      <c r="F355" s="6"/>
      <c r="G355" s="6"/>
      <c r="H355" s="83">
        <f t="shared" si="6"/>
        <v>100</v>
      </c>
      <c r="I355" s="5">
        <f>2000-1900</f>
        <v>100</v>
      </c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x14ac:dyDescent="0.25">
      <c r="A356" s="10">
        <v>355</v>
      </c>
      <c r="B356" s="152" t="s">
        <v>2990</v>
      </c>
      <c r="C356" s="153" t="s">
        <v>2991</v>
      </c>
      <c r="D356" s="153" t="s">
        <v>2992</v>
      </c>
      <c r="E356" s="153" t="s">
        <v>4948</v>
      </c>
      <c r="F356" s="6"/>
      <c r="G356" s="6"/>
      <c r="H356" s="83">
        <f t="shared" si="6"/>
        <v>0</v>
      </c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x14ac:dyDescent="0.25">
      <c r="A357" s="10">
        <v>356</v>
      </c>
      <c r="B357" s="152" t="s">
        <v>798</v>
      </c>
      <c r="C357" s="153" t="s">
        <v>2993</v>
      </c>
      <c r="D357" s="153" t="s">
        <v>2994</v>
      </c>
      <c r="E357" s="153" t="s">
        <v>2086</v>
      </c>
      <c r="F357" s="6"/>
      <c r="G357" s="6"/>
      <c r="H357" s="83">
        <f t="shared" si="6"/>
        <v>15750</v>
      </c>
      <c r="I357" s="5">
        <v>8550</v>
      </c>
      <c r="J357" s="5"/>
      <c r="K357" s="5"/>
      <c r="L357" s="5"/>
      <c r="M357" s="5"/>
      <c r="N357" s="5"/>
      <c r="O357" s="5"/>
      <c r="P357" s="5">
        <v>2700</v>
      </c>
      <c r="Q357" s="5">
        <v>4050</v>
      </c>
      <c r="R357" s="5"/>
      <c r="S357" s="5">
        <v>450</v>
      </c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x14ac:dyDescent="0.25">
      <c r="A358" s="10">
        <v>357</v>
      </c>
      <c r="B358" s="152" t="s">
        <v>1013</v>
      </c>
      <c r="C358" s="153" t="s">
        <v>2995</v>
      </c>
      <c r="D358" s="153" t="s">
        <v>2996</v>
      </c>
      <c r="E358" s="153" t="s">
        <v>4948</v>
      </c>
      <c r="F358" s="6"/>
      <c r="G358" s="6"/>
      <c r="H358" s="83">
        <f t="shared" si="6"/>
        <v>0</v>
      </c>
      <c r="I358" s="5"/>
      <c r="J358" s="5"/>
      <c r="K358" s="5"/>
      <c r="L358" s="5"/>
      <c r="M358" s="5"/>
      <c r="N358" s="5"/>
      <c r="O358" s="5"/>
      <c r="P358" s="5">
        <f>5-5</f>
        <v>0</v>
      </c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x14ac:dyDescent="0.25">
      <c r="A359" s="10">
        <v>358</v>
      </c>
      <c r="B359" s="152" t="s">
        <v>1033</v>
      </c>
      <c r="C359" s="153" t="s">
        <v>2997</v>
      </c>
      <c r="D359" s="153" t="s">
        <v>2998</v>
      </c>
      <c r="E359" s="153" t="s">
        <v>2086</v>
      </c>
      <c r="F359" s="6"/>
      <c r="G359" s="6"/>
      <c r="H359" s="83">
        <f t="shared" si="6"/>
        <v>601</v>
      </c>
      <c r="I359" s="5">
        <v>200</v>
      </c>
      <c r="J359" s="5"/>
      <c r="K359" s="5"/>
      <c r="L359" s="5"/>
      <c r="M359" s="5"/>
      <c r="N359" s="5"/>
      <c r="O359" s="5"/>
      <c r="P359" s="5">
        <v>400</v>
      </c>
      <c r="Q359" s="5">
        <v>1</v>
      </c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x14ac:dyDescent="0.25">
      <c r="A360" s="10">
        <v>359</v>
      </c>
      <c r="B360" s="152" t="s">
        <v>2999</v>
      </c>
      <c r="C360" s="153" t="s">
        <v>3000</v>
      </c>
      <c r="D360" s="153" t="s">
        <v>3001</v>
      </c>
      <c r="E360" s="153" t="s">
        <v>4948</v>
      </c>
      <c r="F360" s="6"/>
      <c r="G360" s="6"/>
      <c r="H360" s="83">
        <f t="shared" si="6"/>
        <v>0</v>
      </c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x14ac:dyDescent="0.25">
      <c r="A361" s="10">
        <v>360</v>
      </c>
      <c r="B361" s="152" t="s">
        <v>1882</v>
      </c>
      <c r="C361" s="153" t="s">
        <v>3002</v>
      </c>
      <c r="D361" s="153" t="s">
        <v>3003</v>
      </c>
      <c r="E361" s="153" t="s">
        <v>2086</v>
      </c>
      <c r="F361" s="6"/>
      <c r="G361" s="6"/>
      <c r="H361" s="83">
        <f t="shared" si="6"/>
        <v>1000</v>
      </c>
      <c r="I361" s="5">
        <v>1000</v>
      </c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x14ac:dyDescent="0.25">
      <c r="A362" s="10">
        <v>361</v>
      </c>
      <c r="B362" s="152" t="s">
        <v>1565</v>
      </c>
      <c r="C362" s="153" t="s">
        <v>3004</v>
      </c>
      <c r="D362" s="153" t="s">
        <v>3005</v>
      </c>
      <c r="E362" s="153" t="s">
        <v>2086</v>
      </c>
      <c r="F362" s="6"/>
      <c r="G362" s="6"/>
      <c r="H362" s="83">
        <f t="shared" si="6"/>
        <v>0</v>
      </c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x14ac:dyDescent="0.25">
      <c r="A363" s="10">
        <v>362</v>
      </c>
      <c r="B363" s="152" t="s">
        <v>1919</v>
      </c>
      <c r="C363" s="153" t="s">
        <v>3006</v>
      </c>
      <c r="D363" s="153" t="s">
        <v>3007</v>
      </c>
      <c r="E363" s="153" t="s">
        <v>2086</v>
      </c>
      <c r="F363" s="6"/>
      <c r="G363" s="6"/>
      <c r="H363" s="83">
        <f t="shared" si="6"/>
        <v>505</v>
      </c>
      <c r="I363" s="5">
        <v>500</v>
      </c>
      <c r="J363" s="5"/>
      <c r="K363" s="5"/>
      <c r="L363" s="5"/>
      <c r="M363" s="5"/>
      <c r="N363" s="5"/>
      <c r="O363" s="5"/>
      <c r="P363" s="5">
        <v>5</v>
      </c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x14ac:dyDescent="0.25">
      <c r="A364" s="10">
        <v>363</v>
      </c>
      <c r="B364" s="152" t="s">
        <v>197</v>
      </c>
      <c r="C364" s="153" t="s">
        <v>3008</v>
      </c>
      <c r="D364" s="153" t="s">
        <v>3009</v>
      </c>
      <c r="E364" s="153" t="s">
        <v>4948</v>
      </c>
      <c r="F364" s="6"/>
      <c r="G364" s="6"/>
      <c r="H364" s="83">
        <f t="shared" si="6"/>
        <v>0</v>
      </c>
      <c r="I364" s="5"/>
      <c r="J364" s="5"/>
      <c r="K364" s="5"/>
      <c r="L364" s="5"/>
      <c r="M364" s="5"/>
      <c r="N364" s="5"/>
      <c r="O364" s="5"/>
      <c r="P364" s="5">
        <f>5-5</f>
        <v>0</v>
      </c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x14ac:dyDescent="0.25">
      <c r="A365" s="10">
        <v>364</v>
      </c>
      <c r="B365" s="152" t="s">
        <v>3010</v>
      </c>
      <c r="C365" s="153" t="s">
        <v>3011</v>
      </c>
      <c r="D365" s="153" t="s">
        <v>3012</v>
      </c>
      <c r="E365" s="153" t="s">
        <v>2086</v>
      </c>
      <c r="F365" s="6"/>
      <c r="G365" s="6"/>
      <c r="H365" s="83">
        <f t="shared" si="6"/>
        <v>0</v>
      </c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x14ac:dyDescent="0.25">
      <c r="A366" s="10">
        <v>365</v>
      </c>
      <c r="B366" s="152" t="s">
        <v>3013</v>
      </c>
      <c r="C366" s="153" t="s">
        <v>3014</v>
      </c>
      <c r="D366" s="153" t="s">
        <v>3015</v>
      </c>
      <c r="E366" s="153" t="s">
        <v>2086</v>
      </c>
      <c r="F366" s="6"/>
      <c r="G366" s="6"/>
      <c r="H366" s="83">
        <f t="shared" si="6"/>
        <v>0</v>
      </c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x14ac:dyDescent="0.25">
      <c r="A367" s="10">
        <v>366</v>
      </c>
      <c r="B367" s="152" t="s">
        <v>3016</v>
      </c>
      <c r="C367" s="153" t="s">
        <v>3017</v>
      </c>
      <c r="D367" s="153" t="s">
        <v>3018</v>
      </c>
      <c r="E367" s="153" t="s">
        <v>2086</v>
      </c>
      <c r="F367" s="6"/>
      <c r="G367" s="6"/>
      <c r="H367" s="83">
        <f t="shared" si="6"/>
        <v>0</v>
      </c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x14ac:dyDescent="0.25">
      <c r="A368" s="10">
        <v>367</v>
      </c>
      <c r="B368" s="152" t="s">
        <v>1833</v>
      </c>
      <c r="C368" s="153" t="s">
        <v>3019</v>
      </c>
      <c r="D368" s="153" t="s">
        <v>3020</v>
      </c>
      <c r="E368" s="153" t="s">
        <v>4948</v>
      </c>
      <c r="F368" s="6"/>
      <c r="G368" s="6"/>
      <c r="H368" s="83">
        <f t="shared" si="6"/>
        <v>0</v>
      </c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x14ac:dyDescent="0.25">
      <c r="A369" s="10">
        <v>368</v>
      </c>
      <c r="B369" s="155" t="s">
        <v>1869</v>
      </c>
      <c r="C369" s="156" t="s">
        <v>3021</v>
      </c>
      <c r="D369" s="156" t="s">
        <v>3022</v>
      </c>
      <c r="E369" s="153" t="s">
        <v>2086</v>
      </c>
      <c r="F369" s="6"/>
      <c r="G369" s="6"/>
      <c r="H369" s="83">
        <f t="shared" si="6"/>
        <v>200</v>
      </c>
      <c r="I369" s="5"/>
      <c r="J369" s="5"/>
      <c r="K369" s="5"/>
      <c r="L369" s="5"/>
      <c r="M369" s="5"/>
      <c r="N369" s="5"/>
      <c r="O369" s="5"/>
      <c r="P369" s="5"/>
      <c r="Q369" s="5">
        <v>200</v>
      </c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x14ac:dyDescent="0.25">
      <c r="A370" s="10">
        <v>369</v>
      </c>
      <c r="B370" s="152" t="s">
        <v>3023</v>
      </c>
      <c r="C370" s="153" t="s">
        <v>3024</v>
      </c>
      <c r="D370" s="153" t="s">
        <v>3025</v>
      </c>
      <c r="E370" s="153" t="s">
        <v>4948</v>
      </c>
      <c r="F370" s="6"/>
      <c r="G370" s="6"/>
      <c r="H370" s="83">
        <f t="shared" si="6"/>
        <v>0</v>
      </c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x14ac:dyDescent="0.25">
      <c r="A371" s="10">
        <v>370</v>
      </c>
      <c r="B371" s="155" t="s">
        <v>3026</v>
      </c>
      <c r="C371" s="156" t="s">
        <v>3027</v>
      </c>
      <c r="D371" s="156" t="s">
        <v>3028</v>
      </c>
      <c r="E371" s="153" t="s">
        <v>4948</v>
      </c>
      <c r="F371" s="6"/>
      <c r="G371" s="6"/>
      <c r="H371" s="83">
        <f t="shared" si="6"/>
        <v>0</v>
      </c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x14ac:dyDescent="0.25">
      <c r="A372" s="10">
        <v>371</v>
      </c>
      <c r="B372" s="152" t="s">
        <v>1912</v>
      </c>
      <c r="C372" s="153" t="s">
        <v>3029</v>
      </c>
      <c r="D372" s="153" t="s">
        <v>3030</v>
      </c>
      <c r="E372" s="153" t="s">
        <v>2086</v>
      </c>
      <c r="F372" s="6"/>
      <c r="G372" s="6"/>
      <c r="H372" s="83">
        <f t="shared" si="6"/>
        <v>1400</v>
      </c>
      <c r="I372" s="5">
        <v>1400</v>
      </c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x14ac:dyDescent="0.25">
      <c r="A373" s="10">
        <v>372</v>
      </c>
      <c r="B373" s="152" t="s">
        <v>3031</v>
      </c>
      <c r="C373" s="153" t="s">
        <v>3032</v>
      </c>
      <c r="D373" s="153" t="s">
        <v>3033</v>
      </c>
      <c r="E373" s="153" t="s">
        <v>4948</v>
      </c>
      <c r="F373" s="6"/>
      <c r="G373" s="6"/>
      <c r="H373" s="83">
        <f t="shared" si="6"/>
        <v>0</v>
      </c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x14ac:dyDescent="0.25">
      <c r="A374" s="10">
        <v>373</v>
      </c>
      <c r="B374" s="152" t="s">
        <v>1249</v>
      </c>
      <c r="C374" s="153" t="s">
        <v>3034</v>
      </c>
      <c r="D374" s="153" t="s">
        <v>3035</v>
      </c>
      <c r="E374" s="153" t="s">
        <v>2086</v>
      </c>
      <c r="F374" s="6"/>
      <c r="G374" s="6"/>
      <c r="H374" s="83">
        <f t="shared" si="6"/>
        <v>0</v>
      </c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x14ac:dyDescent="0.25">
      <c r="A375" s="10">
        <v>374</v>
      </c>
      <c r="B375" s="152" t="s">
        <v>1173</v>
      </c>
      <c r="C375" s="153" t="s">
        <v>3036</v>
      </c>
      <c r="D375" s="153" t="s">
        <v>3037</v>
      </c>
      <c r="E375" s="153" t="s">
        <v>2086</v>
      </c>
      <c r="F375" s="6"/>
      <c r="G375" s="6"/>
      <c r="H375" s="83">
        <f t="shared" si="6"/>
        <v>2100</v>
      </c>
      <c r="I375" s="5"/>
      <c r="J375" s="5">
        <v>2100</v>
      </c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x14ac:dyDescent="0.25">
      <c r="A376" s="10">
        <v>375</v>
      </c>
      <c r="B376" s="152" t="s">
        <v>43</v>
      </c>
      <c r="C376" s="153" t="s">
        <v>3038</v>
      </c>
      <c r="D376" s="153" t="s">
        <v>3039</v>
      </c>
      <c r="E376" s="153" t="s">
        <v>4948</v>
      </c>
      <c r="F376" s="6"/>
      <c r="G376" s="6"/>
      <c r="H376" s="83">
        <f t="shared" si="6"/>
        <v>0</v>
      </c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x14ac:dyDescent="0.25">
      <c r="A377" s="10">
        <v>376</v>
      </c>
      <c r="B377" s="152" t="s">
        <v>3040</v>
      </c>
      <c r="C377" s="153" t="s">
        <v>3041</v>
      </c>
      <c r="D377" s="153" t="s">
        <v>3042</v>
      </c>
      <c r="E377" s="153" t="s">
        <v>4948</v>
      </c>
      <c r="F377" s="6"/>
      <c r="G377" s="6"/>
      <c r="H377" s="83">
        <f t="shared" si="6"/>
        <v>0</v>
      </c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x14ac:dyDescent="0.25">
      <c r="A378" s="10">
        <v>377</v>
      </c>
      <c r="B378" s="152" t="s">
        <v>3043</v>
      </c>
      <c r="C378" s="153" t="s">
        <v>3044</v>
      </c>
      <c r="D378" s="153" t="s">
        <v>3045</v>
      </c>
      <c r="E378" s="153" t="s">
        <v>2086</v>
      </c>
      <c r="F378" s="6"/>
      <c r="G378" s="6"/>
      <c r="H378" s="83">
        <f t="shared" si="6"/>
        <v>0</v>
      </c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x14ac:dyDescent="0.25">
      <c r="A379" s="10">
        <v>378</v>
      </c>
      <c r="B379" s="152" t="s">
        <v>1570</v>
      </c>
      <c r="C379" s="153" t="s">
        <v>3046</v>
      </c>
      <c r="D379" s="153" t="s">
        <v>3047</v>
      </c>
      <c r="E379" s="153" t="s">
        <v>2086</v>
      </c>
      <c r="F379" s="6"/>
      <c r="G379" s="6"/>
      <c r="H379" s="83">
        <f t="shared" si="6"/>
        <v>0</v>
      </c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x14ac:dyDescent="0.25">
      <c r="A380" s="10">
        <v>379</v>
      </c>
      <c r="B380" s="152" t="s">
        <v>3048</v>
      </c>
      <c r="C380" s="153" t="s">
        <v>3049</v>
      </c>
      <c r="D380" s="153" t="s">
        <v>3050</v>
      </c>
      <c r="E380" s="153" t="s">
        <v>2086</v>
      </c>
      <c r="F380" s="6"/>
      <c r="G380" s="6"/>
      <c r="H380" s="83">
        <f t="shared" si="6"/>
        <v>1500</v>
      </c>
      <c r="I380" s="5">
        <v>1500</v>
      </c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x14ac:dyDescent="0.25">
      <c r="A381" s="10">
        <v>380</v>
      </c>
      <c r="B381" s="152" t="s">
        <v>3051</v>
      </c>
      <c r="C381" s="153" t="s">
        <v>3052</v>
      </c>
      <c r="D381" s="153" t="s">
        <v>3053</v>
      </c>
      <c r="E381" s="153" t="s">
        <v>4948</v>
      </c>
      <c r="F381" s="6"/>
      <c r="G381" s="6"/>
      <c r="H381" s="83">
        <f t="shared" si="6"/>
        <v>0</v>
      </c>
      <c r="I381" s="5">
        <f>6500-6500</f>
        <v>0</v>
      </c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x14ac:dyDescent="0.25">
      <c r="A382" s="10">
        <v>381</v>
      </c>
      <c r="B382" s="152" t="s">
        <v>1347</v>
      </c>
      <c r="C382" s="153" t="s">
        <v>3054</v>
      </c>
      <c r="D382" s="153" t="s">
        <v>3055</v>
      </c>
      <c r="E382" s="153" t="s">
        <v>2086</v>
      </c>
      <c r="F382" s="6"/>
      <c r="G382" s="6"/>
      <c r="H382" s="83">
        <f t="shared" si="6"/>
        <v>15500</v>
      </c>
      <c r="I382" s="5">
        <v>10500</v>
      </c>
      <c r="J382" s="5"/>
      <c r="K382" s="5"/>
      <c r="L382" s="5"/>
      <c r="M382" s="5"/>
      <c r="N382" s="5"/>
      <c r="O382" s="5"/>
      <c r="P382" s="5">
        <v>3000</v>
      </c>
      <c r="Q382" s="5"/>
      <c r="R382" s="5"/>
      <c r="S382" s="5"/>
      <c r="T382" s="5">
        <v>2000</v>
      </c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x14ac:dyDescent="0.25">
      <c r="A383" s="10">
        <v>382</v>
      </c>
      <c r="B383" s="152" t="s">
        <v>3056</v>
      </c>
      <c r="C383" s="153" t="s">
        <v>3057</v>
      </c>
      <c r="D383" s="153" t="s">
        <v>3058</v>
      </c>
      <c r="E383" s="153" t="s">
        <v>4948</v>
      </c>
      <c r="F383" s="6"/>
      <c r="G383" s="6"/>
      <c r="H383" s="83">
        <f t="shared" si="6"/>
        <v>0</v>
      </c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x14ac:dyDescent="0.25">
      <c r="A384" s="10">
        <v>383</v>
      </c>
      <c r="B384" s="152" t="s">
        <v>3059</v>
      </c>
      <c r="C384" s="153" t="s">
        <v>3060</v>
      </c>
      <c r="D384" s="153" t="s">
        <v>3061</v>
      </c>
      <c r="E384" s="153" t="s">
        <v>2086</v>
      </c>
      <c r="F384" s="6"/>
      <c r="G384" s="6"/>
      <c r="H384" s="83">
        <f t="shared" si="6"/>
        <v>0</v>
      </c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x14ac:dyDescent="0.25">
      <c r="A385" s="10">
        <v>384</v>
      </c>
      <c r="B385" s="152" t="s">
        <v>1140</v>
      </c>
      <c r="C385" s="153" t="s">
        <v>3062</v>
      </c>
      <c r="D385" s="153" t="s">
        <v>3063</v>
      </c>
      <c r="E385" s="153" t="s">
        <v>2086</v>
      </c>
      <c r="F385" s="6"/>
      <c r="G385" s="6"/>
      <c r="H385" s="83">
        <f t="shared" si="6"/>
        <v>26000</v>
      </c>
      <c r="I385" s="5">
        <v>8500</v>
      </c>
      <c r="J385" s="5">
        <f>10000+5000</f>
        <v>15000</v>
      </c>
      <c r="K385" s="5"/>
      <c r="L385" s="5"/>
      <c r="M385" s="5"/>
      <c r="N385" s="5"/>
      <c r="O385" s="5"/>
      <c r="P385" s="5">
        <v>500</v>
      </c>
      <c r="Q385" s="5"/>
      <c r="R385" s="5"/>
      <c r="S385" s="5">
        <v>1000</v>
      </c>
      <c r="T385" s="5">
        <v>1000</v>
      </c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x14ac:dyDescent="0.25">
      <c r="A386" s="10">
        <v>385</v>
      </c>
      <c r="B386" s="152" t="s">
        <v>1145</v>
      </c>
      <c r="C386" s="153" t="s">
        <v>3064</v>
      </c>
      <c r="D386" s="153" t="s">
        <v>3065</v>
      </c>
      <c r="E386" s="153" t="s">
        <v>2086</v>
      </c>
      <c r="F386" s="6"/>
      <c r="G386" s="6"/>
      <c r="H386" s="83">
        <f t="shared" ref="H386:H449" si="7">SUM(I386:AM386)</f>
        <v>247000</v>
      </c>
      <c r="I386" s="5">
        <f>130500+6500</f>
        <v>137000</v>
      </c>
      <c r="J386" s="5"/>
      <c r="K386" s="5"/>
      <c r="L386" s="5"/>
      <c r="M386" s="5"/>
      <c r="N386" s="5"/>
      <c r="O386" s="5"/>
      <c r="P386" s="5">
        <v>34000</v>
      </c>
      <c r="Q386" s="5">
        <v>14500</v>
      </c>
      <c r="R386" s="5"/>
      <c r="S386" s="5">
        <v>18500</v>
      </c>
      <c r="T386" s="5">
        <v>43000</v>
      </c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x14ac:dyDescent="0.25">
      <c r="A387" s="10">
        <v>386</v>
      </c>
      <c r="B387" s="152" t="s">
        <v>176</v>
      </c>
      <c r="C387" s="153" t="s">
        <v>3066</v>
      </c>
      <c r="D387" s="153" t="s">
        <v>3067</v>
      </c>
      <c r="E387" s="153" t="s">
        <v>2086</v>
      </c>
      <c r="F387" s="6"/>
      <c r="G387" s="6"/>
      <c r="H387" s="83">
        <f t="shared" si="7"/>
        <v>3500</v>
      </c>
      <c r="I387" s="5"/>
      <c r="J387" s="5"/>
      <c r="K387" s="5"/>
      <c r="L387" s="5"/>
      <c r="M387" s="5"/>
      <c r="N387" s="5"/>
      <c r="O387" s="5"/>
      <c r="P387" s="5"/>
      <c r="Q387" s="5">
        <v>2000</v>
      </c>
      <c r="R387" s="5"/>
      <c r="S387" s="5">
        <v>1000</v>
      </c>
      <c r="T387" s="5">
        <v>500</v>
      </c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x14ac:dyDescent="0.25">
      <c r="A388" s="10">
        <v>387</v>
      </c>
      <c r="B388" s="152" t="s">
        <v>1485</v>
      </c>
      <c r="C388" s="153" t="s">
        <v>3068</v>
      </c>
      <c r="D388" s="153" t="s">
        <v>3069</v>
      </c>
      <c r="E388" s="153" t="s">
        <v>4948</v>
      </c>
      <c r="F388" s="6"/>
      <c r="G388" s="6"/>
      <c r="H388" s="83">
        <f t="shared" si="7"/>
        <v>0</v>
      </c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x14ac:dyDescent="0.25">
      <c r="A389" s="10">
        <v>388</v>
      </c>
      <c r="B389" s="152" t="s">
        <v>1035</v>
      </c>
      <c r="C389" s="153" t="s">
        <v>3070</v>
      </c>
      <c r="D389" s="153" t="s">
        <v>3071</v>
      </c>
      <c r="E389" s="153" t="s">
        <v>2086</v>
      </c>
      <c r="F389" s="6"/>
      <c r="G389" s="6"/>
      <c r="H389" s="83">
        <f t="shared" si="7"/>
        <v>5500</v>
      </c>
      <c r="I389" s="5">
        <v>4500</v>
      </c>
      <c r="J389" s="5"/>
      <c r="K389" s="5"/>
      <c r="L389" s="5"/>
      <c r="M389" s="5"/>
      <c r="N389" s="5"/>
      <c r="O389" s="5"/>
      <c r="P389" s="5">
        <v>1000</v>
      </c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x14ac:dyDescent="0.25">
      <c r="A390" s="10">
        <v>389</v>
      </c>
      <c r="B390" s="152" t="s">
        <v>871</v>
      </c>
      <c r="C390" s="153" t="s">
        <v>3072</v>
      </c>
      <c r="D390" s="153" t="s">
        <v>3073</v>
      </c>
      <c r="E390" s="153" t="s">
        <v>4948</v>
      </c>
      <c r="F390" s="6"/>
      <c r="G390" s="6"/>
      <c r="H390" s="83">
        <f t="shared" si="7"/>
        <v>0</v>
      </c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x14ac:dyDescent="0.25">
      <c r="A391" s="10">
        <v>390</v>
      </c>
      <c r="B391" s="152" t="s">
        <v>1275</v>
      </c>
      <c r="C391" s="153" t="s">
        <v>3074</v>
      </c>
      <c r="D391" s="153" t="s">
        <v>3075</v>
      </c>
      <c r="E391" s="153" t="s">
        <v>2086</v>
      </c>
      <c r="F391" s="6"/>
      <c r="G391" s="6"/>
      <c r="H391" s="83">
        <f t="shared" si="7"/>
        <v>0</v>
      </c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x14ac:dyDescent="0.25">
      <c r="A392" s="10">
        <v>391</v>
      </c>
      <c r="B392" s="152" t="s">
        <v>23</v>
      </c>
      <c r="C392" s="153" t="s">
        <v>3076</v>
      </c>
      <c r="D392" s="153" t="s">
        <v>3077</v>
      </c>
      <c r="E392" s="153" t="s">
        <v>2086</v>
      </c>
      <c r="F392" s="6"/>
      <c r="G392" s="6"/>
      <c r="H392" s="83">
        <f t="shared" si="7"/>
        <v>19000</v>
      </c>
      <c r="I392" s="5">
        <v>4000</v>
      </c>
      <c r="J392" s="5"/>
      <c r="K392" s="5"/>
      <c r="L392" s="5"/>
      <c r="M392" s="5"/>
      <c r="N392" s="5"/>
      <c r="O392" s="5"/>
      <c r="P392" s="5"/>
      <c r="Q392" s="5">
        <v>8500</v>
      </c>
      <c r="R392" s="5"/>
      <c r="S392" s="5"/>
      <c r="T392" s="5">
        <v>6500</v>
      </c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x14ac:dyDescent="0.25">
      <c r="A393" s="10">
        <v>392</v>
      </c>
      <c r="B393" s="152" t="s">
        <v>178</v>
      </c>
      <c r="C393" s="153" t="s">
        <v>3078</v>
      </c>
      <c r="D393" s="153" t="s">
        <v>3079</v>
      </c>
      <c r="E393" s="153" t="s">
        <v>4948</v>
      </c>
      <c r="F393" s="6"/>
      <c r="G393" s="6"/>
      <c r="H393" s="83">
        <f t="shared" si="7"/>
        <v>0</v>
      </c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x14ac:dyDescent="0.25">
      <c r="A394" s="10">
        <v>393</v>
      </c>
      <c r="B394" s="152" t="s">
        <v>1845</v>
      </c>
      <c r="C394" s="153" t="s">
        <v>3080</v>
      </c>
      <c r="D394" s="153" t="s">
        <v>3081</v>
      </c>
      <c r="E394" s="153" t="s">
        <v>4948</v>
      </c>
      <c r="F394" s="6"/>
      <c r="G394" s="6"/>
      <c r="H394" s="83">
        <f t="shared" si="7"/>
        <v>0</v>
      </c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x14ac:dyDescent="0.25">
      <c r="A395" s="10">
        <v>394</v>
      </c>
      <c r="B395" s="152" t="s">
        <v>1842</v>
      </c>
      <c r="C395" s="153" t="s">
        <v>3082</v>
      </c>
      <c r="D395" s="153" t="s">
        <v>3083</v>
      </c>
      <c r="E395" s="153" t="s">
        <v>4948</v>
      </c>
      <c r="F395" s="6"/>
      <c r="G395" s="6"/>
      <c r="H395" s="83">
        <f t="shared" si="7"/>
        <v>0</v>
      </c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x14ac:dyDescent="0.25">
      <c r="A396" s="10">
        <v>395</v>
      </c>
      <c r="B396" s="152" t="s">
        <v>1839</v>
      </c>
      <c r="C396" s="153" t="s">
        <v>3084</v>
      </c>
      <c r="D396" s="153" t="s">
        <v>3085</v>
      </c>
      <c r="E396" s="153" t="s">
        <v>4948</v>
      </c>
      <c r="F396" s="6"/>
      <c r="G396" s="6"/>
      <c r="H396" s="83">
        <f t="shared" si="7"/>
        <v>0</v>
      </c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x14ac:dyDescent="0.25">
      <c r="A397" s="10">
        <v>396</v>
      </c>
      <c r="B397" s="152" t="s">
        <v>1836</v>
      </c>
      <c r="C397" s="153" t="s">
        <v>3086</v>
      </c>
      <c r="D397" s="153" t="s">
        <v>3087</v>
      </c>
      <c r="E397" s="153" t="s">
        <v>4948</v>
      </c>
      <c r="F397" s="6"/>
      <c r="G397" s="6"/>
      <c r="H397" s="83">
        <f t="shared" si="7"/>
        <v>0</v>
      </c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x14ac:dyDescent="0.25">
      <c r="A398" s="10">
        <v>397</v>
      </c>
      <c r="B398" s="152" t="s">
        <v>2043</v>
      </c>
      <c r="C398" s="153" t="s">
        <v>3088</v>
      </c>
      <c r="D398" s="153" t="s">
        <v>3089</v>
      </c>
      <c r="E398" s="153" t="s">
        <v>2086</v>
      </c>
      <c r="F398" s="6"/>
      <c r="G398" s="6"/>
      <c r="H398" s="83">
        <f t="shared" si="7"/>
        <v>0</v>
      </c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x14ac:dyDescent="0.25">
      <c r="A399" s="10">
        <v>398</v>
      </c>
      <c r="B399" s="152" t="s">
        <v>1536</v>
      </c>
      <c r="C399" s="153" t="s">
        <v>3090</v>
      </c>
      <c r="D399" s="153" t="s">
        <v>3091</v>
      </c>
      <c r="E399" s="153" t="s">
        <v>2086</v>
      </c>
      <c r="F399" s="6"/>
      <c r="G399" s="6"/>
      <c r="H399" s="83">
        <f t="shared" si="7"/>
        <v>2500</v>
      </c>
      <c r="I399" s="5">
        <v>1000</v>
      </c>
      <c r="J399" s="5"/>
      <c r="K399" s="5"/>
      <c r="L399" s="5"/>
      <c r="M399" s="5"/>
      <c r="N399" s="5"/>
      <c r="O399" s="5"/>
      <c r="P399" s="5"/>
      <c r="Q399" s="5"/>
      <c r="R399" s="5"/>
      <c r="S399" s="5">
        <v>500</v>
      </c>
      <c r="T399" s="5">
        <v>1000</v>
      </c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x14ac:dyDescent="0.25">
      <c r="A400" s="10">
        <v>399</v>
      </c>
      <c r="B400" s="152" t="s">
        <v>1018</v>
      </c>
      <c r="C400" s="153" t="s">
        <v>3092</v>
      </c>
      <c r="D400" s="153" t="s">
        <v>3093</v>
      </c>
      <c r="E400" s="153" t="s">
        <v>2086</v>
      </c>
      <c r="F400" s="6"/>
      <c r="G400" s="6"/>
      <c r="H400" s="83">
        <f t="shared" si="7"/>
        <v>62500</v>
      </c>
      <c r="I400" s="5">
        <v>50500</v>
      </c>
      <c r="J400" s="5"/>
      <c r="K400" s="5"/>
      <c r="L400" s="5"/>
      <c r="M400" s="5"/>
      <c r="N400" s="5"/>
      <c r="O400" s="5"/>
      <c r="P400" s="5">
        <v>10000</v>
      </c>
      <c r="Q400" s="5"/>
      <c r="R400" s="5"/>
      <c r="S400" s="5">
        <v>2000</v>
      </c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x14ac:dyDescent="0.25">
      <c r="A401" s="10">
        <v>400</v>
      </c>
      <c r="B401" s="152" t="s">
        <v>154</v>
      </c>
      <c r="C401" s="153" t="s">
        <v>3094</v>
      </c>
      <c r="D401" s="153" t="s">
        <v>3095</v>
      </c>
      <c r="E401" s="153" t="s">
        <v>2086</v>
      </c>
      <c r="F401" s="6"/>
      <c r="G401" s="6"/>
      <c r="H401" s="83">
        <f t="shared" si="7"/>
        <v>8000</v>
      </c>
      <c r="I401" s="5">
        <v>8000</v>
      </c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x14ac:dyDescent="0.25">
      <c r="A402" s="10">
        <v>401</v>
      </c>
      <c r="B402" s="152" t="s">
        <v>3096</v>
      </c>
      <c r="C402" s="153" t="s">
        <v>3097</v>
      </c>
      <c r="D402" s="153" t="s">
        <v>3098</v>
      </c>
      <c r="E402" s="153" t="s">
        <v>4948</v>
      </c>
      <c r="F402" s="6"/>
      <c r="G402" s="6"/>
      <c r="H402" s="83">
        <f t="shared" si="7"/>
        <v>0</v>
      </c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x14ac:dyDescent="0.25">
      <c r="A403" s="10">
        <v>402</v>
      </c>
      <c r="B403" s="152" t="s">
        <v>777</v>
      </c>
      <c r="C403" s="153" t="s">
        <v>3099</v>
      </c>
      <c r="D403" s="153" t="s">
        <v>3100</v>
      </c>
      <c r="E403" s="153" t="s">
        <v>2086</v>
      </c>
      <c r="F403" s="6"/>
      <c r="G403" s="6"/>
      <c r="H403" s="83">
        <f t="shared" si="7"/>
        <v>503</v>
      </c>
      <c r="I403" s="5">
        <v>102</v>
      </c>
      <c r="J403" s="5"/>
      <c r="K403" s="5"/>
      <c r="L403" s="5"/>
      <c r="M403" s="5"/>
      <c r="N403" s="5"/>
      <c r="O403" s="5"/>
      <c r="P403" s="5">
        <v>1</v>
      </c>
      <c r="Q403" s="5"/>
      <c r="R403" s="5"/>
      <c r="S403" s="5">
        <v>100</v>
      </c>
      <c r="T403" s="5">
        <v>300</v>
      </c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x14ac:dyDescent="0.25">
      <c r="A404" s="10">
        <v>403</v>
      </c>
      <c r="B404" s="152" t="s">
        <v>943</v>
      </c>
      <c r="C404" s="153" t="s">
        <v>3101</v>
      </c>
      <c r="D404" s="153" t="s">
        <v>3102</v>
      </c>
      <c r="E404" s="153" t="s">
        <v>2086</v>
      </c>
      <c r="F404" s="6"/>
      <c r="G404" s="6"/>
      <c r="H404" s="83">
        <f t="shared" si="7"/>
        <v>31000</v>
      </c>
      <c r="I404" s="5">
        <v>18500</v>
      </c>
      <c r="J404" s="5"/>
      <c r="K404" s="5"/>
      <c r="L404" s="5"/>
      <c r="M404" s="5"/>
      <c r="N404" s="5"/>
      <c r="O404" s="5"/>
      <c r="P404" s="5">
        <v>3500</v>
      </c>
      <c r="Q404" s="5"/>
      <c r="R404" s="5"/>
      <c r="S404" s="5">
        <v>2000</v>
      </c>
      <c r="T404" s="5">
        <v>7000</v>
      </c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x14ac:dyDescent="0.25">
      <c r="A405" s="10">
        <v>404</v>
      </c>
      <c r="B405" s="152" t="s">
        <v>1113</v>
      </c>
      <c r="C405" s="153" t="s">
        <v>3103</v>
      </c>
      <c r="D405" s="153" t="s">
        <v>3104</v>
      </c>
      <c r="E405" s="153" t="s">
        <v>2086</v>
      </c>
      <c r="F405" s="6"/>
      <c r="G405" s="6"/>
      <c r="H405" s="83">
        <f t="shared" si="7"/>
        <v>119900</v>
      </c>
      <c r="I405" s="5">
        <v>86600</v>
      </c>
      <c r="J405" s="5"/>
      <c r="K405" s="5"/>
      <c r="L405" s="5"/>
      <c r="M405" s="5"/>
      <c r="N405" s="5"/>
      <c r="O405" s="5"/>
      <c r="P405" s="5">
        <v>1000</v>
      </c>
      <c r="Q405" s="5">
        <v>16000</v>
      </c>
      <c r="R405" s="5"/>
      <c r="S405" s="5">
        <v>8100</v>
      </c>
      <c r="T405" s="5">
        <v>8200</v>
      </c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x14ac:dyDescent="0.25">
      <c r="A406" s="10">
        <v>405</v>
      </c>
      <c r="B406" s="152" t="s">
        <v>90</v>
      </c>
      <c r="C406" s="153" t="s">
        <v>3105</v>
      </c>
      <c r="D406" s="153" t="s">
        <v>3106</v>
      </c>
      <c r="E406" s="153" t="s">
        <v>2086</v>
      </c>
      <c r="F406" s="6"/>
      <c r="G406" s="6"/>
      <c r="H406" s="83">
        <f t="shared" si="7"/>
        <v>65500</v>
      </c>
      <c r="I406" s="5">
        <v>47500</v>
      </c>
      <c r="J406" s="5"/>
      <c r="K406" s="5"/>
      <c r="L406" s="5"/>
      <c r="M406" s="5"/>
      <c r="N406" s="5"/>
      <c r="O406" s="5"/>
      <c r="P406" s="5">
        <v>4000</v>
      </c>
      <c r="Q406" s="5">
        <v>4000</v>
      </c>
      <c r="R406" s="5"/>
      <c r="S406" s="5">
        <v>6000</v>
      </c>
      <c r="T406" s="5">
        <v>4000</v>
      </c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x14ac:dyDescent="0.25">
      <c r="A407" s="10">
        <v>406</v>
      </c>
      <c r="B407" s="152" t="s">
        <v>1101</v>
      </c>
      <c r="C407" s="153" t="s">
        <v>3107</v>
      </c>
      <c r="D407" s="153" t="s">
        <v>3108</v>
      </c>
      <c r="E407" s="153" t="s">
        <v>2086</v>
      </c>
      <c r="F407" s="6"/>
      <c r="G407" s="6"/>
      <c r="H407" s="83">
        <f t="shared" si="7"/>
        <v>53500</v>
      </c>
      <c r="I407" s="5">
        <v>37500</v>
      </c>
      <c r="J407" s="5"/>
      <c r="K407" s="5"/>
      <c r="L407" s="5"/>
      <c r="M407" s="5"/>
      <c r="N407" s="5"/>
      <c r="O407" s="5"/>
      <c r="P407" s="5">
        <v>4000</v>
      </c>
      <c r="Q407" s="5">
        <v>2000</v>
      </c>
      <c r="R407" s="5"/>
      <c r="S407" s="5">
        <v>6000</v>
      </c>
      <c r="T407" s="5">
        <v>4000</v>
      </c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x14ac:dyDescent="0.25">
      <c r="A408" s="10">
        <v>407</v>
      </c>
      <c r="B408" s="152" t="s">
        <v>934</v>
      </c>
      <c r="C408" s="153" t="s">
        <v>3109</v>
      </c>
      <c r="D408" s="153" t="s">
        <v>3110</v>
      </c>
      <c r="E408" s="153" t="s">
        <v>2086</v>
      </c>
      <c r="F408" s="6"/>
      <c r="G408" s="6"/>
      <c r="H408" s="83">
        <f t="shared" si="7"/>
        <v>29000</v>
      </c>
      <c r="I408" s="5">
        <v>19000</v>
      </c>
      <c r="J408" s="5"/>
      <c r="K408" s="5"/>
      <c r="L408" s="5"/>
      <c r="M408" s="5"/>
      <c r="N408" s="5"/>
      <c r="O408" s="5"/>
      <c r="P408" s="5">
        <v>2000</v>
      </c>
      <c r="Q408" s="5">
        <v>4000</v>
      </c>
      <c r="R408" s="5"/>
      <c r="S408" s="5"/>
      <c r="T408" s="5">
        <v>4000</v>
      </c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x14ac:dyDescent="0.25">
      <c r="A409" s="10">
        <v>408</v>
      </c>
      <c r="B409" s="152" t="s">
        <v>1226</v>
      </c>
      <c r="C409" s="153" t="s">
        <v>3111</v>
      </c>
      <c r="D409" s="153" t="s">
        <v>3112</v>
      </c>
      <c r="E409" s="153" t="s">
        <v>2086</v>
      </c>
      <c r="F409" s="6"/>
      <c r="G409" s="6"/>
      <c r="H409" s="83">
        <f t="shared" si="7"/>
        <v>21000</v>
      </c>
      <c r="I409" s="5">
        <v>15000</v>
      </c>
      <c r="J409" s="5"/>
      <c r="K409" s="5"/>
      <c r="L409" s="5"/>
      <c r="M409" s="5"/>
      <c r="N409" s="5"/>
      <c r="O409" s="5"/>
      <c r="P409" s="5">
        <v>2000</v>
      </c>
      <c r="Q409" s="5"/>
      <c r="R409" s="5"/>
      <c r="S409" s="5"/>
      <c r="T409" s="5">
        <v>4000</v>
      </c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x14ac:dyDescent="0.25">
      <c r="A410" s="10">
        <v>409</v>
      </c>
      <c r="B410" s="152" t="s">
        <v>900</v>
      </c>
      <c r="C410" s="153" t="s">
        <v>3113</v>
      </c>
      <c r="D410" s="153" t="s">
        <v>3114</v>
      </c>
      <c r="E410" s="153" t="s">
        <v>2086</v>
      </c>
      <c r="F410" s="6"/>
      <c r="G410" s="6"/>
      <c r="H410" s="83">
        <f t="shared" si="7"/>
        <v>149000</v>
      </c>
      <c r="I410" s="5">
        <v>72000</v>
      </c>
      <c r="J410" s="5"/>
      <c r="K410" s="5"/>
      <c r="L410" s="5"/>
      <c r="M410" s="5"/>
      <c r="N410" s="5"/>
      <c r="O410" s="5"/>
      <c r="P410" s="5">
        <v>29000</v>
      </c>
      <c r="Q410" s="5">
        <v>12000</v>
      </c>
      <c r="R410" s="5"/>
      <c r="S410" s="5">
        <v>15000</v>
      </c>
      <c r="T410" s="5">
        <v>21000</v>
      </c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x14ac:dyDescent="0.25">
      <c r="A411" s="10">
        <v>410</v>
      </c>
      <c r="B411" s="152" t="s">
        <v>833</v>
      </c>
      <c r="C411" s="153" t="s">
        <v>3115</v>
      </c>
      <c r="D411" s="153" t="s">
        <v>3116</v>
      </c>
      <c r="E411" s="153" t="s">
        <v>2086</v>
      </c>
      <c r="F411" s="6"/>
      <c r="G411" s="6"/>
      <c r="H411" s="83">
        <f t="shared" si="7"/>
        <v>500000</v>
      </c>
      <c r="I411" s="5">
        <v>295000</v>
      </c>
      <c r="J411" s="5"/>
      <c r="K411" s="5"/>
      <c r="L411" s="5"/>
      <c r="M411" s="5"/>
      <c r="N411" s="5"/>
      <c r="O411" s="5"/>
      <c r="P411" s="5">
        <v>69000</v>
      </c>
      <c r="Q411" s="5">
        <v>31500</v>
      </c>
      <c r="R411" s="5"/>
      <c r="S411" s="5">
        <v>36500</v>
      </c>
      <c r="T411" s="5">
        <v>68000</v>
      </c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x14ac:dyDescent="0.25">
      <c r="A412" s="10">
        <v>411</v>
      </c>
      <c r="B412" s="152" t="s">
        <v>1306</v>
      </c>
      <c r="C412" s="153" t="s">
        <v>3117</v>
      </c>
      <c r="D412" s="153" t="s">
        <v>3118</v>
      </c>
      <c r="E412" s="153" t="s">
        <v>2086</v>
      </c>
      <c r="F412" s="6"/>
      <c r="G412" s="6"/>
      <c r="H412" s="83">
        <f t="shared" si="7"/>
        <v>720000</v>
      </c>
      <c r="I412" s="5">
        <v>495000</v>
      </c>
      <c r="J412" s="5"/>
      <c r="K412" s="5"/>
      <c r="L412" s="5"/>
      <c r="M412" s="5"/>
      <c r="N412" s="5"/>
      <c r="O412" s="5"/>
      <c r="P412" s="5">
        <v>90000</v>
      </c>
      <c r="Q412" s="5">
        <v>35000</v>
      </c>
      <c r="R412" s="5"/>
      <c r="S412" s="5">
        <v>60000</v>
      </c>
      <c r="T412" s="5">
        <v>40000</v>
      </c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x14ac:dyDescent="0.25">
      <c r="A413" s="10">
        <v>412</v>
      </c>
      <c r="B413" s="152" t="s">
        <v>1105</v>
      </c>
      <c r="C413" s="153" t="s">
        <v>3119</v>
      </c>
      <c r="D413" s="153" t="s">
        <v>3120</v>
      </c>
      <c r="E413" s="153" t="s">
        <v>4948</v>
      </c>
      <c r="F413" s="6"/>
      <c r="G413" s="6"/>
      <c r="H413" s="83">
        <f t="shared" si="7"/>
        <v>0</v>
      </c>
      <c r="I413" s="5">
        <f>1-1</f>
        <v>0</v>
      </c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x14ac:dyDescent="0.25">
      <c r="A414" s="10">
        <v>413</v>
      </c>
      <c r="B414" s="152" t="s">
        <v>997</v>
      </c>
      <c r="C414" s="153" t="s">
        <v>3121</v>
      </c>
      <c r="D414" s="153" t="s">
        <v>3122</v>
      </c>
      <c r="E414" s="153" t="s">
        <v>2086</v>
      </c>
      <c r="F414" s="6"/>
      <c r="G414" s="6"/>
      <c r="H414" s="83">
        <f t="shared" si="7"/>
        <v>20500</v>
      </c>
      <c r="I414" s="5">
        <v>15250</v>
      </c>
      <c r="J414" s="5"/>
      <c r="K414" s="5"/>
      <c r="L414" s="5"/>
      <c r="M414" s="5"/>
      <c r="N414" s="5"/>
      <c r="O414" s="5"/>
      <c r="P414" s="5">
        <v>750</v>
      </c>
      <c r="Q414" s="5">
        <v>500</v>
      </c>
      <c r="R414" s="5"/>
      <c r="S414" s="5"/>
      <c r="T414" s="5">
        <v>4000</v>
      </c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x14ac:dyDescent="0.25">
      <c r="A415" s="10">
        <v>414</v>
      </c>
      <c r="B415" s="152" t="s">
        <v>891</v>
      </c>
      <c r="C415" s="153" t="s">
        <v>3123</v>
      </c>
      <c r="D415" s="153" t="s">
        <v>3124</v>
      </c>
      <c r="E415" s="153" t="s">
        <v>2086</v>
      </c>
      <c r="F415" s="6"/>
      <c r="G415" s="6"/>
      <c r="H415" s="83">
        <f t="shared" si="7"/>
        <v>66300</v>
      </c>
      <c r="I415" s="5">
        <v>44700</v>
      </c>
      <c r="J415" s="5"/>
      <c r="K415" s="5"/>
      <c r="L415" s="5"/>
      <c r="M415" s="5"/>
      <c r="N415" s="5"/>
      <c r="O415" s="5"/>
      <c r="P415" s="5">
        <v>9600</v>
      </c>
      <c r="Q415" s="5">
        <v>2100</v>
      </c>
      <c r="R415" s="5"/>
      <c r="S415" s="5">
        <v>2100</v>
      </c>
      <c r="T415" s="5">
        <v>7800</v>
      </c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x14ac:dyDescent="0.25">
      <c r="A416" s="10">
        <v>415</v>
      </c>
      <c r="B416" s="152" t="s">
        <v>93</v>
      </c>
      <c r="C416" s="153" t="s">
        <v>3125</v>
      </c>
      <c r="D416" s="153" t="s">
        <v>3126</v>
      </c>
      <c r="E416" s="153" t="s">
        <v>2086</v>
      </c>
      <c r="F416" s="6"/>
      <c r="G416" s="6"/>
      <c r="H416" s="83">
        <f t="shared" si="7"/>
        <v>44000</v>
      </c>
      <c r="I416" s="5">
        <v>1000</v>
      </c>
      <c r="J416" s="5">
        <v>40000</v>
      </c>
      <c r="K416" s="5"/>
      <c r="L416" s="5"/>
      <c r="M416" s="5"/>
      <c r="N416" s="5"/>
      <c r="O416" s="5"/>
      <c r="P416" s="5">
        <v>1000</v>
      </c>
      <c r="Q416" s="5"/>
      <c r="R416" s="5"/>
      <c r="S416" s="5">
        <v>2000</v>
      </c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x14ac:dyDescent="0.25">
      <c r="A417" s="10">
        <v>416</v>
      </c>
      <c r="B417" s="152" t="s">
        <v>1482</v>
      </c>
      <c r="C417" s="153" t="s">
        <v>3127</v>
      </c>
      <c r="D417" s="153" t="s">
        <v>3128</v>
      </c>
      <c r="E417" s="153" t="s">
        <v>2086</v>
      </c>
      <c r="F417" s="6"/>
      <c r="G417" s="6"/>
      <c r="H417" s="83">
        <f t="shared" si="7"/>
        <v>19360</v>
      </c>
      <c r="I417" s="5">
        <v>10500</v>
      </c>
      <c r="J417" s="5">
        <v>80</v>
      </c>
      <c r="K417" s="5"/>
      <c r="L417" s="5"/>
      <c r="M417" s="5"/>
      <c r="N417" s="5"/>
      <c r="O417" s="5"/>
      <c r="P417" s="5">
        <f>720+2400</f>
        <v>3120</v>
      </c>
      <c r="Q417" s="5">
        <f>120+1160</f>
        <v>1280</v>
      </c>
      <c r="R417" s="5"/>
      <c r="S417" s="5">
        <f>180+800</f>
        <v>980</v>
      </c>
      <c r="T417" s="5">
        <f>120+3280</f>
        <v>3400</v>
      </c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x14ac:dyDescent="0.25">
      <c r="A418" s="10">
        <v>417</v>
      </c>
      <c r="B418" s="155" t="s">
        <v>959</v>
      </c>
      <c r="C418" s="156" t="s">
        <v>3129</v>
      </c>
      <c r="D418" s="156" t="s">
        <v>3130</v>
      </c>
      <c r="E418" s="153" t="s">
        <v>2086</v>
      </c>
      <c r="F418" s="6"/>
      <c r="G418" s="6"/>
      <c r="H418" s="83">
        <f t="shared" si="7"/>
        <v>58</v>
      </c>
      <c r="I418" s="5">
        <v>6</v>
      </c>
      <c r="J418" s="5">
        <v>50</v>
      </c>
      <c r="K418" s="5"/>
      <c r="L418" s="5"/>
      <c r="M418" s="5"/>
      <c r="N418" s="5"/>
      <c r="O418" s="5"/>
      <c r="P418" s="5">
        <v>1</v>
      </c>
      <c r="Q418" s="5"/>
      <c r="R418" s="5"/>
      <c r="S418" s="5"/>
      <c r="T418" s="5">
        <v>1</v>
      </c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x14ac:dyDescent="0.25">
      <c r="A419" s="10">
        <v>418</v>
      </c>
      <c r="B419" s="152" t="s">
        <v>1099</v>
      </c>
      <c r="C419" s="153" t="s">
        <v>3131</v>
      </c>
      <c r="D419" s="153" t="s">
        <v>3132</v>
      </c>
      <c r="E419" s="153" t="s">
        <v>2086</v>
      </c>
      <c r="F419" s="6"/>
      <c r="G419" s="6"/>
      <c r="H419" s="83">
        <f t="shared" si="7"/>
        <v>42000</v>
      </c>
      <c r="I419" s="5">
        <v>36000</v>
      </c>
      <c r="J419" s="5"/>
      <c r="K419" s="5"/>
      <c r="L419" s="5"/>
      <c r="M419" s="5"/>
      <c r="N419" s="5"/>
      <c r="O419" s="5"/>
      <c r="P419" s="5"/>
      <c r="Q419" s="5">
        <v>6000</v>
      </c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x14ac:dyDescent="0.25">
      <c r="A420" s="10">
        <v>419</v>
      </c>
      <c r="B420" s="152" t="s">
        <v>967</v>
      </c>
      <c r="C420" s="153" t="s">
        <v>3133</v>
      </c>
      <c r="D420" s="153" t="s">
        <v>3134</v>
      </c>
      <c r="E420" s="153" t="s">
        <v>2086</v>
      </c>
      <c r="F420" s="6"/>
      <c r="G420" s="6"/>
      <c r="H420" s="83">
        <f t="shared" si="7"/>
        <v>53000</v>
      </c>
      <c r="I420" s="5">
        <v>41500</v>
      </c>
      <c r="J420" s="5"/>
      <c r="K420" s="5"/>
      <c r="L420" s="5"/>
      <c r="M420" s="5"/>
      <c r="N420" s="5"/>
      <c r="O420" s="5"/>
      <c r="P420" s="5"/>
      <c r="Q420" s="5">
        <v>9500</v>
      </c>
      <c r="R420" s="5"/>
      <c r="S420" s="5"/>
      <c r="T420" s="5">
        <v>2000</v>
      </c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x14ac:dyDescent="0.25">
      <c r="A421" s="10">
        <v>420</v>
      </c>
      <c r="B421" s="152" t="s">
        <v>181</v>
      </c>
      <c r="C421" s="153" t="s">
        <v>3135</v>
      </c>
      <c r="D421" s="153" t="s">
        <v>3136</v>
      </c>
      <c r="E421" s="153" t="s">
        <v>4948</v>
      </c>
      <c r="F421" s="6"/>
      <c r="G421" s="6"/>
      <c r="H421" s="83">
        <f t="shared" si="7"/>
        <v>0</v>
      </c>
      <c r="I421" s="5">
        <f>180-180</f>
        <v>0</v>
      </c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x14ac:dyDescent="0.25">
      <c r="A422" s="10">
        <v>421</v>
      </c>
      <c r="B422" s="152" t="s">
        <v>3137</v>
      </c>
      <c r="C422" s="153" t="s">
        <v>3138</v>
      </c>
      <c r="D422" s="153" t="s">
        <v>3139</v>
      </c>
      <c r="E422" s="153" t="s">
        <v>4948</v>
      </c>
      <c r="F422" s="6"/>
      <c r="G422" s="6"/>
      <c r="H422" s="83">
        <f t="shared" si="7"/>
        <v>0</v>
      </c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x14ac:dyDescent="0.25">
      <c r="A423" s="10">
        <v>422</v>
      </c>
      <c r="B423" s="152" t="s">
        <v>922</v>
      </c>
      <c r="C423" s="153" t="s">
        <v>3140</v>
      </c>
      <c r="D423" s="153" t="s">
        <v>3141</v>
      </c>
      <c r="E423" s="153" t="s">
        <v>4948</v>
      </c>
      <c r="F423" s="6"/>
      <c r="G423" s="6"/>
      <c r="H423" s="83">
        <f t="shared" si="7"/>
        <v>100800</v>
      </c>
      <c r="I423" s="5">
        <v>52800</v>
      </c>
      <c r="J423" s="5"/>
      <c r="K423" s="5"/>
      <c r="L423" s="5"/>
      <c r="M423" s="5"/>
      <c r="N423" s="5"/>
      <c r="O423" s="5"/>
      <c r="P423" s="5">
        <v>16800</v>
      </c>
      <c r="Q423" s="5">
        <v>31200</v>
      </c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x14ac:dyDescent="0.25">
      <c r="A424" s="10">
        <v>423</v>
      </c>
      <c r="B424" s="152" t="s">
        <v>168</v>
      </c>
      <c r="C424" s="153" t="s">
        <v>3142</v>
      </c>
      <c r="D424" s="153" t="s">
        <v>3143</v>
      </c>
      <c r="E424" s="153" t="s">
        <v>4948</v>
      </c>
      <c r="F424" s="6"/>
      <c r="G424" s="6"/>
      <c r="H424" s="83">
        <f t="shared" si="7"/>
        <v>0</v>
      </c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x14ac:dyDescent="0.25">
      <c r="A425" s="10">
        <v>424</v>
      </c>
      <c r="B425" s="152" t="s">
        <v>1560</v>
      </c>
      <c r="C425" s="153" t="s">
        <v>3144</v>
      </c>
      <c r="D425" s="153" t="s">
        <v>3145</v>
      </c>
      <c r="E425" s="153" t="s">
        <v>4948</v>
      </c>
      <c r="F425" s="6"/>
      <c r="G425" s="6"/>
      <c r="H425" s="83">
        <f t="shared" si="7"/>
        <v>5500</v>
      </c>
      <c r="I425" s="5">
        <f>3000</f>
        <v>3000</v>
      </c>
      <c r="J425" s="5"/>
      <c r="K425" s="5"/>
      <c r="L425" s="5"/>
      <c r="M425" s="5"/>
      <c r="N425" s="5"/>
      <c r="O425" s="5"/>
      <c r="P425" s="5">
        <f>1000</f>
        <v>1000</v>
      </c>
      <c r="Q425" s="5">
        <f>1000</f>
        <v>1000</v>
      </c>
      <c r="R425" s="5"/>
      <c r="S425" s="5">
        <v>500</v>
      </c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x14ac:dyDescent="0.25">
      <c r="A426" s="10">
        <v>425</v>
      </c>
      <c r="B426" s="152" t="s">
        <v>1421</v>
      </c>
      <c r="C426" s="153" t="s">
        <v>3147</v>
      </c>
      <c r="D426" s="153" t="s">
        <v>3148</v>
      </c>
      <c r="E426" s="153" t="s">
        <v>2086</v>
      </c>
      <c r="F426" s="6"/>
      <c r="G426" s="6"/>
      <c r="H426" s="83">
        <f t="shared" si="7"/>
        <v>1000</v>
      </c>
      <c r="I426" s="5">
        <v>1000</v>
      </c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x14ac:dyDescent="0.25">
      <c r="A427" s="10">
        <v>426</v>
      </c>
      <c r="B427" s="155" t="s">
        <v>217</v>
      </c>
      <c r="C427" s="156" t="s">
        <v>3149</v>
      </c>
      <c r="D427" s="156" t="s">
        <v>3150</v>
      </c>
      <c r="E427" s="153" t="s">
        <v>2086</v>
      </c>
      <c r="F427" s="6"/>
      <c r="G427" s="6"/>
      <c r="H427" s="83">
        <f t="shared" si="7"/>
        <v>0</v>
      </c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x14ac:dyDescent="0.25">
      <c r="A428" s="10">
        <v>427</v>
      </c>
      <c r="B428" s="152" t="s">
        <v>3151</v>
      </c>
      <c r="C428" s="153" t="s">
        <v>3152</v>
      </c>
      <c r="D428" s="153" t="s">
        <v>3153</v>
      </c>
      <c r="E428" s="153" t="s">
        <v>4948</v>
      </c>
      <c r="F428" s="6"/>
      <c r="G428" s="6"/>
      <c r="H428" s="83">
        <f t="shared" si="7"/>
        <v>0</v>
      </c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x14ac:dyDescent="0.25">
      <c r="A429" s="10">
        <v>428</v>
      </c>
      <c r="B429" s="152" t="s">
        <v>3154</v>
      </c>
      <c r="C429" s="153" t="s">
        <v>3155</v>
      </c>
      <c r="D429" s="153" t="s">
        <v>3156</v>
      </c>
      <c r="E429" s="153" t="s">
        <v>4948</v>
      </c>
      <c r="F429" s="6"/>
      <c r="G429" s="6"/>
      <c r="H429" s="83">
        <f t="shared" si="7"/>
        <v>0</v>
      </c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x14ac:dyDescent="0.25">
      <c r="A430" s="10">
        <v>429</v>
      </c>
      <c r="B430" s="155" t="s">
        <v>1931</v>
      </c>
      <c r="C430" s="156" t="s">
        <v>3157</v>
      </c>
      <c r="D430" s="156" t="s">
        <v>3158</v>
      </c>
      <c r="E430" s="153" t="s">
        <v>4948</v>
      </c>
      <c r="F430" s="6"/>
      <c r="G430" s="6"/>
      <c r="H430" s="83">
        <f t="shared" si="7"/>
        <v>6</v>
      </c>
      <c r="I430" s="5"/>
      <c r="J430" s="5"/>
      <c r="K430" s="5"/>
      <c r="L430" s="5"/>
      <c r="M430" s="5"/>
      <c r="N430" s="5"/>
      <c r="O430" s="5"/>
      <c r="P430" s="5"/>
      <c r="Q430" s="5">
        <v>6</v>
      </c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x14ac:dyDescent="0.25">
      <c r="A431" s="10">
        <v>430</v>
      </c>
      <c r="B431" s="152" t="s">
        <v>184</v>
      </c>
      <c r="C431" s="153" t="s">
        <v>3159</v>
      </c>
      <c r="D431" s="153" t="s">
        <v>3160</v>
      </c>
      <c r="E431" s="153" t="s">
        <v>4948</v>
      </c>
      <c r="F431" s="6"/>
      <c r="G431" s="6"/>
      <c r="H431" s="83">
        <f t="shared" si="7"/>
        <v>1000</v>
      </c>
      <c r="I431" s="5">
        <v>1000</v>
      </c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x14ac:dyDescent="0.25">
      <c r="A432" s="10">
        <v>431</v>
      </c>
      <c r="B432" s="152" t="s">
        <v>1925</v>
      </c>
      <c r="C432" s="153" t="s">
        <v>3161</v>
      </c>
      <c r="D432" s="153" t="s">
        <v>3162</v>
      </c>
      <c r="E432" s="153" t="s">
        <v>4948</v>
      </c>
      <c r="F432" s="6"/>
      <c r="G432" s="6"/>
      <c r="H432" s="83">
        <f t="shared" si="7"/>
        <v>0</v>
      </c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x14ac:dyDescent="0.25">
      <c r="A433" s="10">
        <v>432</v>
      </c>
      <c r="B433" s="152" t="s">
        <v>129</v>
      </c>
      <c r="C433" s="153" t="s">
        <v>3163</v>
      </c>
      <c r="D433" s="153" t="s">
        <v>3164</v>
      </c>
      <c r="E433" s="153" t="s">
        <v>4948</v>
      </c>
      <c r="F433" s="6"/>
      <c r="G433" s="6"/>
      <c r="H433" s="83">
        <f t="shared" si="7"/>
        <v>0</v>
      </c>
      <c r="I433" s="5">
        <f>2000-2000</f>
        <v>0</v>
      </c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x14ac:dyDescent="0.25">
      <c r="A434" s="10">
        <v>433</v>
      </c>
      <c r="B434" s="152" t="s">
        <v>1679</v>
      </c>
      <c r="C434" s="153" t="s">
        <v>3165</v>
      </c>
      <c r="D434" s="153" t="s">
        <v>3166</v>
      </c>
      <c r="E434" s="153" t="s">
        <v>2086</v>
      </c>
      <c r="F434" s="6"/>
      <c r="G434" s="6"/>
      <c r="H434" s="83">
        <f t="shared" si="7"/>
        <v>225000</v>
      </c>
      <c r="I434" s="5">
        <v>129000</v>
      </c>
      <c r="J434" s="5"/>
      <c r="K434" s="5"/>
      <c r="L434" s="5"/>
      <c r="M434" s="5"/>
      <c r="N434" s="5"/>
      <c r="O434" s="5"/>
      <c r="P434" s="5">
        <v>9000</v>
      </c>
      <c r="Q434" s="5">
        <v>23000</v>
      </c>
      <c r="R434" s="5">
        <f>15000</f>
        <v>15000</v>
      </c>
      <c r="S434" s="5">
        <v>19000</v>
      </c>
      <c r="T434" s="5">
        <v>30000</v>
      </c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x14ac:dyDescent="0.25">
      <c r="A435" s="10">
        <v>434</v>
      </c>
      <c r="B435" s="152" t="s">
        <v>1816</v>
      </c>
      <c r="C435" s="153" t="s">
        <v>3167</v>
      </c>
      <c r="D435" s="153" t="s">
        <v>3168</v>
      </c>
      <c r="E435" s="153" t="s">
        <v>2086</v>
      </c>
      <c r="F435" s="6"/>
      <c r="G435" s="6"/>
      <c r="H435" s="83">
        <f t="shared" si="7"/>
        <v>21217</v>
      </c>
      <c r="I435" s="5">
        <v>21217</v>
      </c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x14ac:dyDescent="0.25">
      <c r="A436" s="10">
        <v>435</v>
      </c>
      <c r="B436" s="152" t="s">
        <v>165</v>
      </c>
      <c r="C436" s="153" t="s">
        <v>3169</v>
      </c>
      <c r="D436" s="153" t="s">
        <v>3170</v>
      </c>
      <c r="E436" s="153" t="s">
        <v>4948</v>
      </c>
      <c r="F436" s="6"/>
      <c r="G436" s="6"/>
      <c r="H436" s="83">
        <f t="shared" si="7"/>
        <v>0</v>
      </c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>
        <f>1000-1000</f>
        <v>0</v>
      </c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x14ac:dyDescent="0.25">
      <c r="A437" s="10">
        <v>436</v>
      </c>
      <c r="B437" s="152" t="s">
        <v>36</v>
      </c>
      <c r="C437" s="153" t="s">
        <v>3171</v>
      </c>
      <c r="D437" s="153" t="s">
        <v>3172</v>
      </c>
      <c r="E437" s="153" t="s">
        <v>4948</v>
      </c>
      <c r="F437" s="6"/>
      <c r="G437" s="6"/>
      <c r="H437" s="83">
        <f t="shared" si="7"/>
        <v>0</v>
      </c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x14ac:dyDescent="0.25">
      <c r="A438" s="10">
        <v>437</v>
      </c>
      <c r="B438" s="155" t="s">
        <v>1396</v>
      </c>
      <c r="C438" s="156" t="s">
        <v>3173</v>
      </c>
      <c r="D438" s="156" t="s">
        <v>3174</v>
      </c>
      <c r="E438" s="153" t="s">
        <v>2086</v>
      </c>
      <c r="F438" s="6"/>
      <c r="G438" s="6"/>
      <c r="H438" s="83">
        <f t="shared" si="7"/>
        <v>1500</v>
      </c>
      <c r="I438" s="5">
        <v>1500</v>
      </c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x14ac:dyDescent="0.25">
      <c r="A439" s="10">
        <v>438</v>
      </c>
      <c r="B439" s="152" t="s">
        <v>3175</v>
      </c>
      <c r="C439" s="153" t="s">
        <v>3176</v>
      </c>
      <c r="D439" s="153" t="s">
        <v>3177</v>
      </c>
      <c r="E439" s="153" t="s">
        <v>4948</v>
      </c>
      <c r="F439" s="6"/>
      <c r="G439" s="6"/>
      <c r="H439" s="83">
        <f t="shared" si="7"/>
        <v>0</v>
      </c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x14ac:dyDescent="0.25">
      <c r="A440" s="10">
        <v>439</v>
      </c>
      <c r="B440" s="155" t="s">
        <v>693</v>
      </c>
      <c r="C440" s="156" t="s">
        <v>3178</v>
      </c>
      <c r="D440" s="156" t="s">
        <v>3179</v>
      </c>
      <c r="E440" s="153" t="s">
        <v>2086</v>
      </c>
      <c r="F440" s="6"/>
      <c r="G440" s="6"/>
      <c r="H440" s="83">
        <f t="shared" si="7"/>
        <v>4800</v>
      </c>
      <c r="I440" s="5">
        <v>4800</v>
      </c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x14ac:dyDescent="0.25">
      <c r="A441" s="10">
        <v>440</v>
      </c>
      <c r="B441" s="152" t="s">
        <v>1590</v>
      </c>
      <c r="C441" s="153" t="s">
        <v>3180</v>
      </c>
      <c r="D441" s="153" t="s">
        <v>3181</v>
      </c>
      <c r="E441" s="153" t="s">
        <v>2086</v>
      </c>
      <c r="F441" s="6"/>
      <c r="G441" s="6"/>
      <c r="H441" s="83">
        <f t="shared" si="7"/>
        <v>1000</v>
      </c>
      <c r="I441" s="5">
        <v>1000</v>
      </c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x14ac:dyDescent="0.25">
      <c r="A442" s="10">
        <v>441</v>
      </c>
      <c r="B442" s="152" t="s">
        <v>3182</v>
      </c>
      <c r="C442" s="153" t="s">
        <v>3183</v>
      </c>
      <c r="D442" s="153" t="s">
        <v>3184</v>
      </c>
      <c r="E442" s="153" t="s">
        <v>4948</v>
      </c>
      <c r="F442" s="6"/>
      <c r="G442" s="6"/>
      <c r="H442" s="83">
        <f t="shared" si="7"/>
        <v>0</v>
      </c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x14ac:dyDescent="0.25">
      <c r="A443" s="10">
        <v>442</v>
      </c>
      <c r="B443" s="152" t="s">
        <v>3185</v>
      </c>
      <c r="C443" s="153" t="s">
        <v>3186</v>
      </c>
      <c r="D443" s="153" t="s">
        <v>3187</v>
      </c>
      <c r="E443" s="153" t="s">
        <v>2086</v>
      </c>
      <c r="F443" s="6"/>
      <c r="G443" s="6"/>
      <c r="H443" s="83">
        <f t="shared" si="7"/>
        <v>0</v>
      </c>
      <c r="I443" s="5"/>
      <c r="J443" s="5">
        <f>5000-5000</f>
        <v>0</v>
      </c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x14ac:dyDescent="0.25">
      <c r="A444" s="10">
        <v>443</v>
      </c>
      <c r="B444" s="155" t="s">
        <v>1683</v>
      </c>
      <c r="C444" s="156" t="s">
        <v>3188</v>
      </c>
      <c r="D444" s="156" t="s">
        <v>3189</v>
      </c>
      <c r="E444" s="153" t="s">
        <v>2086</v>
      </c>
      <c r="F444" s="6"/>
      <c r="G444" s="6"/>
      <c r="H444" s="83">
        <f t="shared" si="7"/>
        <v>2303</v>
      </c>
      <c r="I444" s="5">
        <v>1353</v>
      </c>
      <c r="J444" s="5"/>
      <c r="K444" s="5"/>
      <c r="L444" s="5"/>
      <c r="M444" s="5"/>
      <c r="N444" s="5"/>
      <c r="O444" s="5"/>
      <c r="P444" s="5">
        <v>150</v>
      </c>
      <c r="Q444" s="5">
        <v>200</v>
      </c>
      <c r="R444" s="5"/>
      <c r="S444" s="5">
        <v>150</v>
      </c>
      <c r="T444" s="5">
        <v>450</v>
      </c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x14ac:dyDescent="0.25">
      <c r="A445" s="10">
        <v>444</v>
      </c>
      <c r="B445" s="152" t="s">
        <v>1081</v>
      </c>
      <c r="C445" s="153" t="s">
        <v>3190</v>
      </c>
      <c r="D445" s="153" t="s">
        <v>3191</v>
      </c>
      <c r="E445" s="153" t="s">
        <v>2086</v>
      </c>
      <c r="F445" s="6"/>
      <c r="G445" s="6"/>
      <c r="H445" s="83">
        <f t="shared" si="7"/>
        <v>181</v>
      </c>
      <c r="I445" s="5">
        <v>108</v>
      </c>
      <c r="J445" s="5"/>
      <c r="K445" s="5"/>
      <c r="L445" s="5"/>
      <c r="M445" s="5"/>
      <c r="N445" s="5"/>
      <c r="O445" s="5"/>
      <c r="P445" s="5"/>
      <c r="Q445" s="5"/>
      <c r="R445" s="5"/>
      <c r="S445" s="5">
        <v>72</v>
      </c>
      <c r="T445" s="5">
        <v>1</v>
      </c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x14ac:dyDescent="0.25">
      <c r="A446" s="10">
        <v>445</v>
      </c>
      <c r="B446" s="152" t="s">
        <v>199</v>
      </c>
      <c r="C446" s="153" t="s">
        <v>3192</v>
      </c>
      <c r="D446" s="153" t="s">
        <v>3193</v>
      </c>
      <c r="E446" s="153" t="s">
        <v>4948</v>
      </c>
      <c r="F446" s="6"/>
      <c r="G446" s="6"/>
      <c r="H446" s="83">
        <f t="shared" si="7"/>
        <v>0</v>
      </c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x14ac:dyDescent="0.25">
      <c r="A447" s="10">
        <v>446</v>
      </c>
      <c r="B447" s="155" t="s">
        <v>1228</v>
      </c>
      <c r="C447" s="156" t="s">
        <v>3194</v>
      </c>
      <c r="D447" s="156" t="s">
        <v>3195</v>
      </c>
      <c r="E447" s="153" t="s">
        <v>2086</v>
      </c>
      <c r="F447" s="6"/>
      <c r="G447" s="6"/>
      <c r="H447" s="83">
        <f t="shared" si="7"/>
        <v>150</v>
      </c>
      <c r="I447" s="5">
        <v>100</v>
      </c>
      <c r="J447" s="5"/>
      <c r="K447" s="5"/>
      <c r="L447" s="5"/>
      <c r="M447" s="5"/>
      <c r="N447" s="5"/>
      <c r="O447" s="5"/>
      <c r="P447" s="5"/>
      <c r="Q447" s="5">
        <v>50</v>
      </c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x14ac:dyDescent="0.25">
      <c r="A448" s="10">
        <v>447</v>
      </c>
      <c r="B448" s="152" t="s">
        <v>1392</v>
      </c>
      <c r="C448" s="153" t="s">
        <v>3196</v>
      </c>
      <c r="D448" s="153" t="s">
        <v>3197</v>
      </c>
      <c r="E448" s="153" t="s">
        <v>2086</v>
      </c>
      <c r="F448" s="6"/>
      <c r="G448" s="6"/>
      <c r="H448" s="83">
        <f t="shared" si="7"/>
        <v>20000</v>
      </c>
      <c r="I448" s="5">
        <v>12000</v>
      </c>
      <c r="J448" s="5"/>
      <c r="K448" s="5"/>
      <c r="L448" s="5"/>
      <c r="M448" s="5"/>
      <c r="N448" s="5"/>
      <c r="O448" s="5"/>
      <c r="P448" s="5"/>
      <c r="Q448" s="5">
        <v>6000</v>
      </c>
      <c r="R448" s="5"/>
      <c r="S448" s="5">
        <v>2000</v>
      </c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x14ac:dyDescent="0.25">
      <c r="A449" s="10">
        <v>448</v>
      </c>
      <c r="B449" s="152" t="s">
        <v>3198</v>
      </c>
      <c r="C449" s="153" t="s">
        <v>3199</v>
      </c>
      <c r="D449" s="153" t="s">
        <v>3200</v>
      </c>
      <c r="E449" s="153" t="s">
        <v>2086</v>
      </c>
      <c r="F449" s="6"/>
      <c r="G449" s="6"/>
      <c r="H449" s="83">
        <f t="shared" si="7"/>
        <v>0</v>
      </c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x14ac:dyDescent="0.25">
      <c r="A450" s="10">
        <v>449</v>
      </c>
      <c r="B450" s="152" t="s">
        <v>209</v>
      </c>
      <c r="C450" s="153" t="s">
        <v>3201</v>
      </c>
      <c r="D450" s="153" t="s">
        <v>3202</v>
      </c>
      <c r="E450" s="153" t="s">
        <v>4948</v>
      </c>
      <c r="F450" s="6"/>
      <c r="G450" s="6"/>
      <c r="H450" s="83">
        <f t="shared" ref="H450:H513" si="8">SUM(I450:AM450)</f>
        <v>0</v>
      </c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x14ac:dyDescent="0.25">
      <c r="A451" s="10">
        <v>450</v>
      </c>
      <c r="B451" s="152" t="s">
        <v>1606</v>
      </c>
      <c r="C451" s="153" t="s">
        <v>3203</v>
      </c>
      <c r="D451" s="153" t="s">
        <v>3204</v>
      </c>
      <c r="E451" s="153" t="s">
        <v>4948</v>
      </c>
      <c r="F451" s="6"/>
      <c r="G451" s="6"/>
      <c r="H451" s="83">
        <f t="shared" si="8"/>
        <v>0</v>
      </c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x14ac:dyDescent="0.25">
      <c r="A452" s="10">
        <v>451</v>
      </c>
      <c r="B452" s="152" t="s">
        <v>173</v>
      </c>
      <c r="C452" s="153" t="s">
        <v>3205</v>
      </c>
      <c r="D452" s="153" t="s">
        <v>3206</v>
      </c>
      <c r="E452" s="153" t="s">
        <v>4948</v>
      </c>
      <c r="F452" s="6"/>
      <c r="G452" s="6"/>
      <c r="H452" s="83">
        <f t="shared" si="8"/>
        <v>0</v>
      </c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x14ac:dyDescent="0.25">
      <c r="A453" s="10">
        <v>452</v>
      </c>
      <c r="B453" s="152" t="s">
        <v>762</v>
      </c>
      <c r="C453" s="153" t="s">
        <v>3207</v>
      </c>
      <c r="D453" s="153" t="s">
        <v>3208</v>
      </c>
      <c r="E453" s="153" t="s">
        <v>2086</v>
      </c>
      <c r="F453" s="6"/>
      <c r="G453" s="6"/>
      <c r="H453" s="83">
        <f t="shared" si="8"/>
        <v>75500</v>
      </c>
      <c r="I453" s="5">
        <v>39500</v>
      </c>
      <c r="J453" s="5"/>
      <c r="K453" s="5"/>
      <c r="L453" s="5"/>
      <c r="M453" s="5"/>
      <c r="N453" s="5"/>
      <c r="O453" s="5"/>
      <c r="P453" s="5">
        <v>2000</v>
      </c>
      <c r="Q453" s="5">
        <v>6000</v>
      </c>
      <c r="R453" s="5"/>
      <c r="S453" s="5">
        <v>20000</v>
      </c>
      <c r="T453" s="5">
        <v>8000</v>
      </c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x14ac:dyDescent="0.25">
      <c r="A454" s="10">
        <v>453</v>
      </c>
      <c r="B454" s="152" t="s">
        <v>214</v>
      </c>
      <c r="C454" s="153" t="s">
        <v>3209</v>
      </c>
      <c r="D454" s="153" t="s">
        <v>3210</v>
      </c>
      <c r="E454" s="153" t="s">
        <v>2086</v>
      </c>
      <c r="F454" s="6"/>
      <c r="G454" s="6"/>
      <c r="H454" s="83">
        <f t="shared" si="8"/>
        <v>0</v>
      </c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x14ac:dyDescent="0.25">
      <c r="A455" s="10">
        <v>454</v>
      </c>
      <c r="B455" s="152" t="s">
        <v>3211</v>
      </c>
      <c r="C455" s="153" t="s">
        <v>3212</v>
      </c>
      <c r="D455" s="153" t="s">
        <v>3213</v>
      </c>
      <c r="E455" s="153" t="s">
        <v>2086</v>
      </c>
      <c r="F455" s="6"/>
      <c r="G455" s="6"/>
      <c r="H455" s="83">
        <f t="shared" si="8"/>
        <v>0</v>
      </c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x14ac:dyDescent="0.25">
      <c r="A456" s="10">
        <v>455</v>
      </c>
      <c r="B456" s="152" t="s">
        <v>96</v>
      </c>
      <c r="C456" s="153" t="s">
        <v>3214</v>
      </c>
      <c r="D456" s="153" t="s">
        <v>3215</v>
      </c>
      <c r="E456" s="153" t="s">
        <v>2086</v>
      </c>
      <c r="F456" s="6"/>
      <c r="G456" s="6"/>
      <c r="H456" s="83">
        <f t="shared" si="8"/>
        <v>3000</v>
      </c>
      <c r="I456" s="5">
        <v>2000</v>
      </c>
      <c r="J456" s="5"/>
      <c r="K456" s="5"/>
      <c r="L456" s="5"/>
      <c r="M456" s="5"/>
      <c r="N456" s="5"/>
      <c r="O456" s="5"/>
      <c r="P456" s="5"/>
      <c r="Q456" s="5">
        <v>1000</v>
      </c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x14ac:dyDescent="0.25">
      <c r="A457" s="10">
        <v>456</v>
      </c>
      <c r="B457" s="152" t="s">
        <v>3216</v>
      </c>
      <c r="C457" s="153" t="s">
        <v>3217</v>
      </c>
      <c r="D457" s="153" t="s">
        <v>3218</v>
      </c>
      <c r="E457" s="153" t="s">
        <v>4948</v>
      </c>
      <c r="F457" s="6"/>
      <c r="G457" s="6"/>
      <c r="H457" s="83">
        <f t="shared" si="8"/>
        <v>0</v>
      </c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x14ac:dyDescent="0.25">
      <c r="A458" s="10">
        <v>457</v>
      </c>
      <c r="B458" s="152" t="s">
        <v>3219</v>
      </c>
      <c r="C458" s="153" t="s">
        <v>3220</v>
      </c>
      <c r="D458" s="153" t="s">
        <v>3221</v>
      </c>
      <c r="E458" s="153" t="s">
        <v>4948</v>
      </c>
      <c r="F458" s="6"/>
      <c r="G458" s="6"/>
      <c r="H458" s="83">
        <f t="shared" si="8"/>
        <v>0</v>
      </c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x14ac:dyDescent="0.25">
      <c r="A459" s="10">
        <v>458</v>
      </c>
      <c r="B459" s="152" t="s">
        <v>3222</v>
      </c>
      <c r="C459" s="153" t="s">
        <v>3223</v>
      </c>
      <c r="D459" s="153" t="s">
        <v>3224</v>
      </c>
      <c r="E459" s="153" t="s">
        <v>4948</v>
      </c>
      <c r="F459" s="6"/>
      <c r="G459" s="6"/>
      <c r="H459" s="83">
        <f t="shared" si="8"/>
        <v>0</v>
      </c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x14ac:dyDescent="0.25">
      <c r="A460" s="10">
        <v>459</v>
      </c>
      <c r="B460" s="152" t="s">
        <v>884</v>
      </c>
      <c r="C460" s="153" t="s">
        <v>3225</v>
      </c>
      <c r="D460" s="153" t="s">
        <v>3226</v>
      </c>
      <c r="E460" s="153" t="s">
        <v>4948</v>
      </c>
      <c r="F460" s="6"/>
      <c r="G460" s="6"/>
      <c r="H460" s="83">
        <f t="shared" si="8"/>
        <v>0</v>
      </c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x14ac:dyDescent="0.25">
      <c r="A461" s="10">
        <v>460</v>
      </c>
      <c r="B461" s="152" t="s">
        <v>3227</v>
      </c>
      <c r="C461" s="153" t="s">
        <v>3228</v>
      </c>
      <c r="D461" s="153" t="s">
        <v>3229</v>
      </c>
      <c r="E461" s="153" t="s">
        <v>2086</v>
      </c>
      <c r="F461" s="6"/>
      <c r="G461" s="6"/>
      <c r="H461" s="83">
        <f t="shared" si="8"/>
        <v>0</v>
      </c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x14ac:dyDescent="0.25">
      <c r="A462" s="10">
        <v>461</v>
      </c>
      <c r="B462" s="152" t="s">
        <v>685</v>
      </c>
      <c r="C462" s="153" t="s">
        <v>3230</v>
      </c>
      <c r="D462" s="153" t="s">
        <v>3231</v>
      </c>
      <c r="E462" s="153" t="s">
        <v>2086</v>
      </c>
      <c r="F462" s="6"/>
      <c r="G462" s="6"/>
      <c r="H462" s="83">
        <f t="shared" si="8"/>
        <v>0</v>
      </c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x14ac:dyDescent="0.25">
      <c r="A463" s="10">
        <v>462</v>
      </c>
      <c r="B463" s="152" t="s">
        <v>815</v>
      </c>
      <c r="C463" s="153" t="s">
        <v>3232</v>
      </c>
      <c r="D463" s="153" t="s">
        <v>3233</v>
      </c>
      <c r="E463" s="153" t="s">
        <v>2086</v>
      </c>
      <c r="F463" s="6"/>
      <c r="G463" s="6"/>
      <c r="H463" s="83">
        <f t="shared" si="8"/>
        <v>0</v>
      </c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x14ac:dyDescent="0.25">
      <c r="A464" s="10">
        <v>463</v>
      </c>
      <c r="B464" s="152" t="s">
        <v>3234</v>
      </c>
      <c r="C464" s="153" t="s">
        <v>3235</v>
      </c>
      <c r="D464" s="153" t="s">
        <v>3236</v>
      </c>
      <c r="E464" s="153" t="s">
        <v>4948</v>
      </c>
      <c r="F464" s="6"/>
      <c r="G464" s="6"/>
      <c r="H464" s="83">
        <f t="shared" si="8"/>
        <v>0</v>
      </c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x14ac:dyDescent="0.25">
      <c r="A465" s="10">
        <v>464</v>
      </c>
      <c r="B465" s="152" t="s">
        <v>2036</v>
      </c>
      <c r="C465" s="153" t="s">
        <v>3237</v>
      </c>
      <c r="D465" s="153" t="s">
        <v>3238</v>
      </c>
      <c r="E465" s="153" t="s">
        <v>4948</v>
      </c>
      <c r="F465" s="6"/>
      <c r="G465" s="6"/>
      <c r="H465" s="83">
        <f t="shared" si="8"/>
        <v>0</v>
      </c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x14ac:dyDescent="0.25">
      <c r="A466" s="10">
        <v>465</v>
      </c>
      <c r="B466" s="152" t="s">
        <v>3239</v>
      </c>
      <c r="C466" s="153" t="s">
        <v>3240</v>
      </c>
      <c r="D466" s="153" t="s">
        <v>3241</v>
      </c>
      <c r="E466" s="153" t="s">
        <v>2086</v>
      </c>
      <c r="F466" s="6"/>
      <c r="G466" s="6"/>
      <c r="H466" s="83">
        <f t="shared" si="8"/>
        <v>0</v>
      </c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x14ac:dyDescent="0.25">
      <c r="A467" s="10">
        <v>466</v>
      </c>
      <c r="B467" s="152" t="s">
        <v>3242</v>
      </c>
      <c r="C467" s="153" t="s">
        <v>3243</v>
      </c>
      <c r="D467" s="153" t="s">
        <v>3244</v>
      </c>
      <c r="E467" s="153" t="s">
        <v>4948</v>
      </c>
      <c r="F467" s="6"/>
      <c r="G467" s="6"/>
      <c r="H467" s="83">
        <f t="shared" si="8"/>
        <v>0</v>
      </c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x14ac:dyDescent="0.25">
      <c r="A468" s="10">
        <v>467</v>
      </c>
      <c r="B468" s="152" t="s">
        <v>3245</v>
      </c>
      <c r="C468" s="153" t="s">
        <v>3246</v>
      </c>
      <c r="D468" s="153" t="s">
        <v>3247</v>
      </c>
      <c r="E468" s="153" t="s">
        <v>2086</v>
      </c>
      <c r="F468" s="6"/>
      <c r="G468" s="6"/>
      <c r="H468" s="83">
        <f t="shared" si="8"/>
        <v>0</v>
      </c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x14ac:dyDescent="0.25">
      <c r="A469" s="10">
        <v>468</v>
      </c>
      <c r="B469" s="152" t="s">
        <v>1002</v>
      </c>
      <c r="C469" s="153" t="s">
        <v>3248</v>
      </c>
      <c r="D469" s="153" t="s">
        <v>3249</v>
      </c>
      <c r="E469" s="153" t="s">
        <v>4948</v>
      </c>
      <c r="F469" s="6"/>
      <c r="G469" s="6"/>
      <c r="H469" s="83">
        <f t="shared" si="8"/>
        <v>0</v>
      </c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x14ac:dyDescent="0.25">
      <c r="A470" s="10">
        <v>469</v>
      </c>
      <c r="B470" s="152" t="s">
        <v>3250</v>
      </c>
      <c r="C470" s="153" t="s">
        <v>3251</v>
      </c>
      <c r="D470" s="153" t="s">
        <v>3252</v>
      </c>
      <c r="E470" s="153" t="s">
        <v>4948</v>
      </c>
      <c r="F470" s="6"/>
      <c r="G470" s="6"/>
      <c r="H470" s="83">
        <f t="shared" si="8"/>
        <v>0</v>
      </c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x14ac:dyDescent="0.25">
      <c r="A471" s="10">
        <v>470</v>
      </c>
      <c r="B471" s="152" t="s">
        <v>1987</v>
      </c>
      <c r="C471" s="153" t="s">
        <v>3253</v>
      </c>
      <c r="D471" s="153" t="s">
        <v>3254</v>
      </c>
      <c r="E471" s="153" t="s">
        <v>4948</v>
      </c>
      <c r="F471" s="6"/>
      <c r="G471" s="6"/>
      <c r="H471" s="83">
        <f t="shared" si="8"/>
        <v>0</v>
      </c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x14ac:dyDescent="0.25">
      <c r="A472" s="10">
        <v>471</v>
      </c>
      <c r="B472" s="152" t="s">
        <v>3255</v>
      </c>
      <c r="C472" s="153" t="s">
        <v>3256</v>
      </c>
      <c r="D472" s="153" t="s">
        <v>3257</v>
      </c>
      <c r="E472" s="153" t="s">
        <v>4948</v>
      </c>
      <c r="F472" s="6"/>
      <c r="G472" s="6"/>
      <c r="H472" s="83">
        <f t="shared" si="8"/>
        <v>0</v>
      </c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x14ac:dyDescent="0.25">
      <c r="A473" s="10">
        <v>472</v>
      </c>
      <c r="B473" s="152" t="s">
        <v>3258</v>
      </c>
      <c r="C473" s="153" t="s">
        <v>3259</v>
      </c>
      <c r="D473" s="153" t="s">
        <v>3260</v>
      </c>
      <c r="E473" s="153" t="s">
        <v>2086</v>
      </c>
      <c r="F473" s="6"/>
      <c r="G473" s="6"/>
      <c r="H473" s="83">
        <f t="shared" si="8"/>
        <v>0</v>
      </c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x14ac:dyDescent="0.25">
      <c r="A474" s="10">
        <v>473</v>
      </c>
      <c r="B474" s="152" t="s">
        <v>3261</v>
      </c>
      <c r="C474" s="153" t="s">
        <v>3262</v>
      </c>
      <c r="D474" s="153" t="s">
        <v>3263</v>
      </c>
      <c r="E474" s="153" t="s">
        <v>4948</v>
      </c>
      <c r="F474" s="6"/>
      <c r="G474" s="6"/>
      <c r="H474" s="83">
        <f t="shared" si="8"/>
        <v>0</v>
      </c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x14ac:dyDescent="0.25">
      <c r="A475" s="10">
        <v>474</v>
      </c>
      <c r="B475" s="152" t="s">
        <v>1989</v>
      </c>
      <c r="C475" s="153" t="s">
        <v>3264</v>
      </c>
      <c r="D475" s="153" t="s">
        <v>3265</v>
      </c>
      <c r="E475" s="153" t="s">
        <v>2086</v>
      </c>
      <c r="F475" s="6"/>
      <c r="G475" s="6"/>
      <c r="H475" s="83">
        <f t="shared" si="8"/>
        <v>0</v>
      </c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x14ac:dyDescent="0.25">
      <c r="A476" s="10">
        <v>475</v>
      </c>
      <c r="B476" s="152" t="s">
        <v>2012</v>
      </c>
      <c r="C476" s="153" t="s">
        <v>3266</v>
      </c>
      <c r="D476" s="153" t="s">
        <v>3267</v>
      </c>
      <c r="E476" s="153" t="s">
        <v>4948</v>
      </c>
      <c r="F476" s="6"/>
      <c r="G476" s="6"/>
      <c r="H476" s="83">
        <f t="shared" si="8"/>
        <v>0</v>
      </c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x14ac:dyDescent="0.25">
      <c r="A477" s="10">
        <v>476</v>
      </c>
      <c r="B477" s="152" t="s">
        <v>3268</v>
      </c>
      <c r="C477" s="153" t="s">
        <v>3269</v>
      </c>
      <c r="D477" s="153" t="s">
        <v>3270</v>
      </c>
      <c r="E477" s="153" t="s">
        <v>4948</v>
      </c>
      <c r="F477" s="6"/>
      <c r="G477" s="6"/>
      <c r="H477" s="83">
        <f t="shared" si="8"/>
        <v>0</v>
      </c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x14ac:dyDescent="0.25">
      <c r="A478" s="10">
        <v>477</v>
      </c>
      <c r="B478" s="152" t="s">
        <v>1007</v>
      </c>
      <c r="C478" s="153" t="s">
        <v>3271</v>
      </c>
      <c r="D478" s="153" t="s">
        <v>3272</v>
      </c>
      <c r="E478" s="153" t="s">
        <v>4948</v>
      </c>
      <c r="F478" s="6"/>
      <c r="G478" s="6"/>
      <c r="H478" s="83">
        <f t="shared" si="8"/>
        <v>0</v>
      </c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x14ac:dyDescent="0.25">
      <c r="A479" s="10">
        <v>478</v>
      </c>
      <c r="B479" s="152" t="s">
        <v>698</v>
      </c>
      <c r="C479" s="153" t="s">
        <v>3273</v>
      </c>
      <c r="D479" s="153" t="s">
        <v>3274</v>
      </c>
      <c r="E479" s="153" t="s">
        <v>2086</v>
      </c>
      <c r="F479" s="6"/>
      <c r="G479" s="6"/>
      <c r="H479" s="83">
        <f t="shared" si="8"/>
        <v>2500</v>
      </c>
      <c r="I479" s="5">
        <v>1500</v>
      </c>
      <c r="J479" s="5"/>
      <c r="K479" s="5"/>
      <c r="L479" s="5"/>
      <c r="M479" s="5"/>
      <c r="N479" s="5"/>
      <c r="O479" s="5"/>
      <c r="P479" s="5"/>
      <c r="Q479" s="5">
        <v>1000</v>
      </c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x14ac:dyDescent="0.25">
      <c r="A480" s="10">
        <v>479</v>
      </c>
      <c r="B480" s="152" t="s">
        <v>1060</v>
      </c>
      <c r="C480" s="153" t="s">
        <v>3275</v>
      </c>
      <c r="D480" s="153" t="s">
        <v>3276</v>
      </c>
      <c r="E480" s="153" t="s">
        <v>2086</v>
      </c>
      <c r="F480" s="6"/>
      <c r="G480" s="6"/>
      <c r="H480" s="83">
        <f t="shared" si="8"/>
        <v>20000</v>
      </c>
      <c r="I480" s="5"/>
      <c r="J480" s="5">
        <v>20000</v>
      </c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x14ac:dyDescent="0.25">
      <c r="A481" s="10">
        <v>480</v>
      </c>
      <c r="B481" s="152" t="s">
        <v>1115</v>
      </c>
      <c r="C481" s="153" t="s">
        <v>3277</v>
      </c>
      <c r="D481" s="153" t="s">
        <v>3278</v>
      </c>
      <c r="E481" s="153" t="s">
        <v>4948</v>
      </c>
      <c r="F481" s="6"/>
      <c r="G481" s="6"/>
      <c r="H481" s="83">
        <f t="shared" si="8"/>
        <v>0</v>
      </c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x14ac:dyDescent="0.25">
      <c r="A482" s="10">
        <v>481</v>
      </c>
      <c r="B482" s="152" t="s">
        <v>3279</v>
      </c>
      <c r="C482" s="153" t="s">
        <v>3280</v>
      </c>
      <c r="D482" s="153" t="s">
        <v>3281</v>
      </c>
      <c r="E482" s="153" t="s">
        <v>4948</v>
      </c>
      <c r="F482" s="6"/>
      <c r="G482" s="6"/>
      <c r="H482" s="83">
        <f t="shared" si="8"/>
        <v>0</v>
      </c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x14ac:dyDescent="0.25">
      <c r="A483" s="10">
        <v>482</v>
      </c>
      <c r="B483" s="152" t="s">
        <v>1050</v>
      </c>
      <c r="C483" s="153" t="s">
        <v>3282</v>
      </c>
      <c r="D483" s="153" t="s">
        <v>3283</v>
      </c>
      <c r="E483" s="153" t="s">
        <v>2086</v>
      </c>
      <c r="F483" s="6"/>
      <c r="G483" s="6"/>
      <c r="H483" s="83">
        <f t="shared" si="8"/>
        <v>0</v>
      </c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x14ac:dyDescent="0.25">
      <c r="A484" s="10">
        <v>483</v>
      </c>
      <c r="B484" s="155" t="s">
        <v>3284</v>
      </c>
      <c r="C484" s="156" t="s">
        <v>3285</v>
      </c>
      <c r="D484" s="156" t="s">
        <v>3286</v>
      </c>
      <c r="E484" s="153" t="s">
        <v>4948</v>
      </c>
      <c r="F484" s="6"/>
      <c r="G484" s="6"/>
      <c r="H484" s="83">
        <f t="shared" si="8"/>
        <v>0</v>
      </c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x14ac:dyDescent="0.25">
      <c r="A485" s="10">
        <v>484</v>
      </c>
      <c r="B485" s="152" t="s">
        <v>1909</v>
      </c>
      <c r="C485" s="153" t="s">
        <v>3287</v>
      </c>
      <c r="D485" s="153" t="s">
        <v>3288</v>
      </c>
      <c r="E485" s="153" t="s">
        <v>4948</v>
      </c>
      <c r="F485" s="6"/>
      <c r="G485" s="6"/>
      <c r="H485" s="83">
        <f t="shared" si="8"/>
        <v>0</v>
      </c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x14ac:dyDescent="0.25">
      <c r="A486" s="10">
        <v>485</v>
      </c>
      <c r="B486" s="152" t="s">
        <v>1147</v>
      </c>
      <c r="C486" s="153" t="s">
        <v>3289</v>
      </c>
      <c r="D486" s="153" t="s">
        <v>3290</v>
      </c>
      <c r="E486" s="153" t="s">
        <v>2086</v>
      </c>
      <c r="F486" s="6"/>
      <c r="G486" s="6"/>
      <c r="H486" s="83">
        <f t="shared" si="8"/>
        <v>6895</v>
      </c>
      <c r="I486" s="5">
        <v>4680</v>
      </c>
      <c r="J486" s="5"/>
      <c r="K486" s="5"/>
      <c r="L486" s="5"/>
      <c r="M486" s="5"/>
      <c r="N486" s="5"/>
      <c r="O486" s="5"/>
      <c r="P486" s="5">
        <v>2215</v>
      </c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x14ac:dyDescent="0.25">
      <c r="A487" s="10">
        <v>486</v>
      </c>
      <c r="B487" s="152" t="s">
        <v>1915</v>
      </c>
      <c r="C487" s="153" t="s">
        <v>3291</v>
      </c>
      <c r="D487" s="153" t="s">
        <v>3292</v>
      </c>
      <c r="E487" s="153" t="s">
        <v>4948</v>
      </c>
      <c r="F487" s="6"/>
      <c r="G487" s="6"/>
      <c r="H487" s="83">
        <f t="shared" si="8"/>
        <v>0</v>
      </c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x14ac:dyDescent="0.25">
      <c r="A488" s="10">
        <v>487</v>
      </c>
      <c r="B488" s="152" t="s">
        <v>3293</v>
      </c>
      <c r="C488" s="153" t="s">
        <v>3294</v>
      </c>
      <c r="D488" s="153" t="s">
        <v>3295</v>
      </c>
      <c r="E488" s="153" t="s">
        <v>4948</v>
      </c>
      <c r="F488" s="6"/>
      <c r="G488" s="6"/>
      <c r="H488" s="83">
        <f t="shared" si="8"/>
        <v>0</v>
      </c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x14ac:dyDescent="0.25">
      <c r="A489" s="10">
        <v>488</v>
      </c>
      <c r="B489" s="152" t="s">
        <v>3296</v>
      </c>
      <c r="C489" s="153" t="s">
        <v>3297</v>
      </c>
      <c r="D489" s="153" t="s">
        <v>3298</v>
      </c>
      <c r="E489" s="153" t="s">
        <v>4948</v>
      </c>
      <c r="F489" s="6"/>
      <c r="G489" s="6"/>
      <c r="H489" s="83">
        <f t="shared" si="8"/>
        <v>0</v>
      </c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x14ac:dyDescent="0.25">
      <c r="A490" s="10">
        <v>489</v>
      </c>
      <c r="B490" s="152" t="s">
        <v>1828</v>
      </c>
      <c r="C490" s="153" t="s">
        <v>3299</v>
      </c>
      <c r="D490" s="153" t="s">
        <v>3300</v>
      </c>
      <c r="E490" s="153" t="s">
        <v>2086</v>
      </c>
      <c r="F490" s="6"/>
      <c r="G490" s="6"/>
      <c r="H490" s="83">
        <f t="shared" si="8"/>
        <v>0</v>
      </c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x14ac:dyDescent="0.25">
      <c r="A491" s="10">
        <v>490</v>
      </c>
      <c r="B491" s="152" t="s">
        <v>3301</v>
      </c>
      <c r="C491" s="153" t="s">
        <v>3302</v>
      </c>
      <c r="D491" s="153" t="s">
        <v>3303</v>
      </c>
      <c r="E491" s="153" t="s">
        <v>4948</v>
      </c>
      <c r="F491" s="6"/>
      <c r="G491" s="6"/>
      <c r="H491" s="83">
        <f t="shared" si="8"/>
        <v>0</v>
      </c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x14ac:dyDescent="0.25">
      <c r="A492" s="10">
        <v>491</v>
      </c>
      <c r="B492" s="152" t="s">
        <v>3304</v>
      </c>
      <c r="C492" s="153" t="s">
        <v>3305</v>
      </c>
      <c r="D492" s="153" t="s">
        <v>3306</v>
      </c>
      <c r="E492" s="153" t="s">
        <v>4948</v>
      </c>
      <c r="F492" s="6"/>
      <c r="G492" s="6"/>
      <c r="H492" s="83">
        <f t="shared" si="8"/>
        <v>0</v>
      </c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x14ac:dyDescent="0.25">
      <c r="A493" s="10">
        <v>492</v>
      </c>
      <c r="B493" s="152" t="s">
        <v>3307</v>
      </c>
      <c r="C493" s="153" t="s">
        <v>3308</v>
      </c>
      <c r="D493" s="153" t="s">
        <v>3309</v>
      </c>
      <c r="E493" s="153" t="s">
        <v>4948</v>
      </c>
      <c r="F493" s="6"/>
      <c r="G493" s="6"/>
      <c r="H493" s="83">
        <f t="shared" si="8"/>
        <v>0</v>
      </c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x14ac:dyDescent="0.25">
      <c r="A494" s="10">
        <v>493</v>
      </c>
      <c r="B494" s="152" t="s">
        <v>3310</v>
      </c>
      <c r="C494" s="153" t="s">
        <v>3311</v>
      </c>
      <c r="D494" s="153" t="s">
        <v>3312</v>
      </c>
      <c r="E494" s="153" t="s">
        <v>4948</v>
      </c>
      <c r="F494" s="6"/>
      <c r="G494" s="6"/>
      <c r="H494" s="83">
        <f t="shared" si="8"/>
        <v>0</v>
      </c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x14ac:dyDescent="0.25">
      <c r="A495" s="10">
        <v>494</v>
      </c>
      <c r="B495" s="152" t="s">
        <v>3313</v>
      </c>
      <c r="C495" s="153" t="s">
        <v>3314</v>
      </c>
      <c r="D495" s="153" t="s">
        <v>3315</v>
      </c>
      <c r="E495" s="153" t="s">
        <v>4948</v>
      </c>
      <c r="F495" s="6"/>
      <c r="G495" s="6"/>
      <c r="H495" s="83">
        <f t="shared" si="8"/>
        <v>0</v>
      </c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x14ac:dyDescent="0.25">
      <c r="A496" s="10">
        <v>495</v>
      </c>
      <c r="B496" s="152" t="s">
        <v>3316</v>
      </c>
      <c r="C496" s="153" t="s">
        <v>3317</v>
      </c>
      <c r="D496" s="153" t="s">
        <v>3318</v>
      </c>
      <c r="E496" s="153" t="s">
        <v>4948</v>
      </c>
      <c r="F496" s="6"/>
      <c r="G496" s="6"/>
      <c r="H496" s="83">
        <f t="shared" si="8"/>
        <v>0</v>
      </c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x14ac:dyDescent="0.25">
      <c r="A497" s="10">
        <v>496</v>
      </c>
      <c r="B497" s="152" t="s">
        <v>3319</v>
      </c>
      <c r="C497" s="153" t="s">
        <v>3320</v>
      </c>
      <c r="D497" s="153" t="s">
        <v>3321</v>
      </c>
      <c r="E497" s="153" t="s">
        <v>4948</v>
      </c>
      <c r="F497" s="6"/>
      <c r="G497" s="6"/>
      <c r="H497" s="83">
        <f t="shared" si="8"/>
        <v>0</v>
      </c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x14ac:dyDescent="0.25">
      <c r="A498" s="10">
        <v>497</v>
      </c>
      <c r="B498" s="152" t="s">
        <v>3322</v>
      </c>
      <c r="C498" s="153" t="s">
        <v>3323</v>
      </c>
      <c r="D498" s="153" t="s">
        <v>3324</v>
      </c>
      <c r="E498" s="153" t="s">
        <v>4948</v>
      </c>
      <c r="F498" s="6"/>
      <c r="G498" s="6"/>
      <c r="H498" s="83">
        <f t="shared" si="8"/>
        <v>0</v>
      </c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x14ac:dyDescent="0.25">
      <c r="A499" s="10">
        <v>498</v>
      </c>
      <c r="B499" s="152" t="s">
        <v>3325</v>
      </c>
      <c r="C499" s="153" t="s">
        <v>3326</v>
      </c>
      <c r="D499" s="153" t="s">
        <v>3327</v>
      </c>
      <c r="E499" s="153" t="s">
        <v>4948</v>
      </c>
      <c r="F499" s="6"/>
      <c r="G499" s="6"/>
      <c r="H499" s="83">
        <f t="shared" si="8"/>
        <v>0</v>
      </c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x14ac:dyDescent="0.25">
      <c r="A500" s="10">
        <v>499</v>
      </c>
      <c r="B500" s="152" t="s">
        <v>3328</v>
      </c>
      <c r="C500" s="153" t="s">
        <v>3329</v>
      </c>
      <c r="D500" s="153" t="s">
        <v>3330</v>
      </c>
      <c r="E500" s="153" t="s">
        <v>4948</v>
      </c>
      <c r="F500" s="6"/>
      <c r="G500" s="6"/>
      <c r="H500" s="83">
        <f t="shared" si="8"/>
        <v>0</v>
      </c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x14ac:dyDescent="0.25">
      <c r="A501" s="10">
        <v>500</v>
      </c>
      <c r="B501" s="152" t="s">
        <v>1808</v>
      </c>
      <c r="C501" s="153" t="s">
        <v>3331</v>
      </c>
      <c r="D501" s="153" t="s">
        <v>3332</v>
      </c>
      <c r="E501" s="153" t="s">
        <v>4948</v>
      </c>
      <c r="F501" s="6"/>
      <c r="G501" s="6"/>
      <c r="H501" s="83">
        <f t="shared" si="8"/>
        <v>0</v>
      </c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x14ac:dyDescent="0.25">
      <c r="A502" s="10">
        <v>501</v>
      </c>
      <c r="B502" s="152" t="s">
        <v>3333</v>
      </c>
      <c r="C502" s="153" t="s">
        <v>3334</v>
      </c>
      <c r="D502" s="153" t="s">
        <v>3335</v>
      </c>
      <c r="E502" s="153" t="s">
        <v>4948</v>
      </c>
      <c r="F502" s="6"/>
      <c r="G502" s="6"/>
      <c r="H502" s="83">
        <f t="shared" si="8"/>
        <v>0</v>
      </c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x14ac:dyDescent="0.25">
      <c r="A503" s="10">
        <v>502</v>
      </c>
      <c r="B503" s="152" t="s">
        <v>3336</v>
      </c>
      <c r="C503" s="153" t="s">
        <v>3337</v>
      </c>
      <c r="D503" s="153" t="s">
        <v>3338</v>
      </c>
      <c r="E503" s="153" t="s">
        <v>2086</v>
      </c>
      <c r="F503" s="6"/>
      <c r="G503" s="6"/>
      <c r="H503" s="83">
        <f t="shared" si="8"/>
        <v>0</v>
      </c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x14ac:dyDescent="0.25">
      <c r="A504" s="10">
        <v>503</v>
      </c>
      <c r="B504" s="152" t="s">
        <v>3339</v>
      </c>
      <c r="C504" s="153" t="s">
        <v>3340</v>
      </c>
      <c r="D504" s="153" t="s">
        <v>3341</v>
      </c>
      <c r="E504" s="153" t="s">
        <v>4948</v>
      </c>
      <c r="F504" s="6"/>
      <c r="G504" s="6"/>
      <c r="H504" s="83">
        <f t="shared" si="8"/>
        <v>0</v>
      </c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x14ac:dyDescent="0.25">
      <c r="A505" s="10">
        <v>504</v>
      </c>
      <c r="B505" s="152" t="s">
        <v>3342</v>
      </c>
      <c r="C505" s="153" t="s">
        <v>3343</v>
      </c>
      <c r="D505" s="153" t="s">
        <v>3344</v>
      </c>
      <c r="E505" s="153" t="s">
        <v>4948</v>
      </c>
      <c r="F505" s="6"/>
      <c r="G505" s="6"/>
      <c r="H505" s="83">
        <f t="shared" si="8"/>
        <v>0</v>
      </c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x14ac:dyDescent="0.25">
      <c r="A506" s="10">
        <v>505</v>
      </c>
      <c r="B506" s="152" t="s">
        <v>3345</v>
      </c>
      <c r="C506" s="153" t="s">
        <v>3346</v>
      </c>
      <c r="D506" s="153" t="s">
        <v>3347</v>
      </c>
      <c r="E506" s="153" t="s">
        <v>4948</v>
      </c>
      <c r="F506" s="6"/>
      <c r="G506" s="6"/>
      <c r="H506" s="83">
        <f t="shared" si="8"/>
        <v>0</v>
      </c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x14ac:dyDescent="0.25">
      <c r="A507" s="10">
        <v>506</v>
      </c>
      <c r="B507" s="152" t="s">
        <v>927</v>
      </c>
      <c r="C507" s="153" t="s">
        <v>3348</v>
      </c>
      <c r="D507" s="153" t="s">
        <v>3349</v>
      </c>
      <c r="E507" s="153" t="s">
        <v>2086</v>
      </c>
      <c r="F507" s="6"/>
      <c r="G507" s="6"/>
      <c r="H507" s="83">
        <f t="shared" si="8"/>
        <v>3000</v>
      </c>
      <c r="I507" s="5">
        <v>2000</v>
      </c>
      <c r="J507" s="5"/>
      <c r="K507" s="5"/>
      <c r="L507" s="5"/>
      <c r="M507" s="5"/>
      <c r="N507" s="5"/>
      <c r="O507" s="5"/>
      <c r="P507" s="5"/>
      <c r="Q507" s="5">
        <v>1000</v>
      </c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x14ac:dyDescent="0.25">
      <c r="A508" s="10">
        <v>507</v>
      </c>
      <c r="B508" s="152" t="s">
        <v>3350</v>
      </c>
      <c r="C508" s="153" t="s">
        <v>3351</v>
      </c>
      <c r="D508" s="153" t="s">
        <v>3352</v>
      </c>
      <c r="E508" s="153" t="s">
        <v>4948</v>
      </c>
      <c r="F508" s="6"/>
      <c r="G508" s="6"/>
      <c r="H508" s="83">
        <f t="shared" si="8"/>
        <v>0</v>
      </c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x14ac:dyDescent="0.25">
      <c r="A509" s="10">
        <v>508</v>
      </c>
      <c r="B509" s="152" t="s">
        <v>3353</v>
      </c>
      <c r="C509" s="153" t="s">
        <v>3354</v>
      </c>
      <c r="D509" s="153" t="s">
        <v>3355</v>
      </c>
      <c r="E509" s="153" t="s">
        <v>4948</v>
      </c>
      <c r="F509" s="6"/>
      <c r="G509" s="6"/>
      <c r="H509" s="83">
        <f t="shared" si="8"/>
        <v>0</v>
      </c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x14ac:dyDescent="0.25">
      <c r="A510" s="10">
        <v>509</v>
      </c>
      <c r="B510" s="152" t="s">
        <v>3356</v>
      </c>
      <c r="C510" s="153" t="s">
        <v>3357</v>
      </c>
      <c r="D510" s="153" t="s">
        <v>3358</v>
      </c>
      <c r="E510" s="153" t="s">
        <v>4948</v>
      </c>
      <c r="F510" s="6"/>
      <c r="G510" s="6"/>
      <c r="H510" s="83">
        <f t="shared" si="8"/>
        <v>0</v>
      </c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x14ac:dyDescent="0.25">
      <c r="A511" s="10">
        <v>510</v>
      </c>
      <c r="B511" s="152" t="s">
        <v>795</v>
      </c>
      <c r="C511" s="153" t="s">
        <v>3359</v>
      </c>
      <c r="D511" s="153" t="s">
        <v>3360</v>
      </c>
      <c r="E511" s="153" t="s">
        <v>2086</v>
      </c>
      <c r="F511" s="6"/>
      <c r="G511" s="6"/>
      <c r="H511" s="83">
        <f t="shared" si="8"/>
        <v>1505</v>
      </c>
      <c r="I511" s="5"/>
      <c r="J511" s="5">
        <f>2850-1350</f>
        <v>1500</v>
      </c>
      <c r="K511" s="5"/>
      <c r="L511" s="5"/>
      <c r="M511" s="5"/>
      <c r="N511" s="5"/>
      <c r="O511" s="5"/>
      <c r="P511" s="5">
        <v>5</v>
      </c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x14ac:dyDescent="0.25">
      <c r="A512" s="10">
        <v>511</v>
      </c>
      <c r="B512" s="152" t="s">
        <v>3361</v>
      </c>
      <c r="C512" s="153" t="s">
        <v>3362</v>
      </c>
      <c r="D512" s="153" t="s">
        <v>3363</v>
      </c>
      <c r="E512" s="153" t="s">
        <v>4948</v>
      </c>
      <c r="F512" s="6"/>
      <c r="G512" s="6"/>
      <c r="H512" s="83">
        <f t="shared" si="8"/>
        <v>5</v>
      </c>
      <c r="I512" s="5"/>
      <c r="J512" s="5"/>
      <c r="K512" s="5"/>
      <c r="L512" s="5"/>
      <c r="M512" s="5"/>
      <c r="N512" s="5"/>
      <c r="O512" s="5"/>
      <c r="P512" s="5">
        <v>5</v>
      </c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x14ac:dyDescent="0.25">
      <c r="A513" s="10">
        <v>512</v>
      </c>
      <c r="B513" s="152" t="s">
        <v>1863</v>
      </c>
      <c r="C513" s="153" t="s">
        <v>3364</v>
      </c>
      <c r="D513" s="153" t="s">
        <v>3365</v>
      </c>
      <c r="E513" s="153" t="s">
        <v>2086</v>
      </c>
      <c r="F513" s="6"/>
      <c r="G513" s="6"/>
      <c r="H513" s="83">
        <f t="shared" si="8"/>
        <v>0</v>
      </c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x14ac:dyDescent="0.25">
      <c r="A514" s="10">
        <v>513</v>
      </c>
      <c r="B514" s="152" t="s">
        <v>1854</v>
      </c>
      <c r="C514" s="153" t="s">
        <v>3366</v>
      </c>
      <c r="D514" s="153" t="s">
        <v>3367</v>
      </c>
      <c r="E514" s="153" t="s">
        <v>2086</v>
      </c>
      <c r="F514" s="6"/>
      <c r="G514" s="6"/>
      <c r="H514" s="83">
        <f t="shared" ref="H514:H577" si="9">SUM(I514:AM514)</f>
        <v>0</v>
      </c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x14ac:dyDescent="0.25">
      <c r="A515" s="10">
        <v>514</v>
      </c>
      <c r="B515" s="152" t="s">
        <v>1075</v>
      </c>
      <c r="C515" s="153" t="s">
        <v>3368</v>
      </c>
      <c r="D515" s="153" t="s">
        <v>3369</v>
      </c>
      <c r="E515" s="153" t="s">
        <v>4948</v>
      </c>
      <c r="F515" s="6"/>
      <c r="G515" s="6"/>
      <c r="H515" s="83">
        <f t="shared" si="9"/>
        <v>0</v>
      </c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x14ac:dyDescent="0.25">
      <c r="A516" s="10">
        <v>515</v>
      </c>
      <c r="B516" s="152" t="s">
        <v>3370</v>
      </c>
      <c r="C516" s="153" t="s">
        <v>3371</v>
      </c>
      <c r="D516" s="153" t="s">
        <v>3372</v>
      </c>
      <c r="E516" s="153" t="s">
        <v>4948</v>
      </c>
      <c r="F516" s="6"/>
      <c r="G516" s="6"/>
      <c r="H516" s="83">
        <f t="shared" si="9"/>
        <v>0</v>
      </c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x14ac:dyDescent="0.25">
      <c r="A517" s="10">
        <v>516</v>
      </c>
      <c r="B517" s="152" t="s">
        <v>1519</v>
      </c>
      <c r="C517" s="153" t="s">
        <v>3373</v>
      </c>
      <c r="D517" s="153" t="s">
        <v>3374</v>
      </c>
      <c r="E517" s="153" t="s">
        <v>4948</v>
      </c>
      <c r="F517" s="6"/>
      <c r="G517" s="6"/>
      <c r="H517" s="83">
        <f t="shared" si="9"/>
        <v>0</v>
      </c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x14ac:dyDescent="0.25">
      <c r="A518" s="10">
        <v>517</v>
      </c>
      <c r="B518" s="152" t="s">
        <v>76</v>
      </c>
      <c r="C518" s="153" t="s">
        <v>3375</v>
      </c>
      <c r="D518" s="153" t="s">
        <v>3376</v>
      </c>
      <c r="E518" s="153" t="s">
        <v>4948</v>
      </c>
      <c r="F518" s="6"/>
      <c r="G518" s="6"/>
      <c r="H518" s="83">
        <f t="shared" si="9"/>
        <v>0</v>
      </c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x14ac:dyDescent="0.25">
      <c r="A519" s="10">
        <v>518</v>
      </c>
      <c r="B519" s="152" t="s">
        <v>3377</v>
      </c>
      <c r="C519" s="153" t="s">
        <v>3378</v>
      </c>
      <c r="D519" s="153" t="s">
        <v>3379</v>
      </c>
      <c r="E519" s="153" t="s">
        <v>4948</v>
      </c>
      <c r="F519" s="6"/>
      <c r="G519" s="6"/>
      <c r="H519" s="83">
        <f t="shared" si="9"/>
        <v>0</v>
      </c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x14ac:dyDescent="0.25">
      <c r="A520" s="10">
        <v>519</v>
      </c>
      <c r="B520" s="152" t="s">
        <v>161</v>
      </c>
      <c r="C520" s="153" t="s">
        <v>3380</v>
      </c>
      <c r="D520" s="153" t="s">
        <v>3381</v>
      </c>
      <c r="E520" s="153" t="s">
        <v>4948</v>
      </c>
      <c r="F520" s="6"/>
      <c r="G520" s="6"/>
      <c r="H520" s="83">
        <f t="shared" si="9"/>
        <v>0</v>
      </c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x14ac:dyDescent="0.25">
      <c r="A521" s="10">
        <v>520</v>
      </c>
      <c r="B521" s="152" t="s">
        <v>3382</v>
      </c>
      <c r="C521" s="153" t="s">
        <v>3383</v>
      </c>
      <c r="D521" s="153" t="s">
        <v>3384</v>
      </c>
      <c r="E521" s="153" t="s">
        <v>4948</v>
      </c>
      <c r="F521" s="6"/>
      <c r="G521" s="6"/>
      <c r="H521" s="83">
        <f t="shared" si="9"/>
        <v>0</v>
      </c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x14ac:dyDescent="0.25">
      <c r="A522" s="10">
        <v>521</v>
      </c>
      <c r="B522" s="152" t="s">
        <v>3385</v>
      </c>
      <c r="C522" s="153" t="s">
        <v>3386</v>
      </c>
      <c r="D522" s="153" t="s">
        <v>3387</v>
      </c>
      <c r="E522" s="153" t="s">
        <v>4948</v>
      </c>
      <c r="F522" s="6"/>
      <c r="G522" s="6"/>
      <c r="H522" s="83">
        <f t="shared" si="9"/>
        <v>0</v>
      </c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x14ac:dyDescent="0.25">
      <c r="A523" s="10">
        <v>522</v>
      </c>
      <c r="B523" s="152" t="s">
        <v>1469</v>
      </c>
      <c r="C523" s="153" t="s">
        <v>3388</v>
      </c>
      <c r="D523" s="153" t="s">
        <v>3389</v>
      </c>
      <c r="E523" s="153" t="s">
        <v>4948</v>
      </c>
      <c r="F523" s="6"/>
      <c r="G523" s="6"/>
      <c r="H523" s="83">
        <f t="shared" si="9"/>
        <v>0</v>
      </c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>
        <f>50-50</f>
        <v>0</v>
      </c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x14ac:dyDescent="0.25">
      <c r="A524" s="10">
        <v>523</v>
      </c>
      <c r="B524" s="152" t="s">
        <v>163</v>
      </c>
      <c r="C524" s="153" t="s">
        <v>3390</v>
      </c>
      <c r="D524" s="153" t="s">
        <v>3391</v>
      </c>
      <c r="E524" s="153" t="s">
        <v>4948</v>
      </c>
      <c r="F524" s="6"/>
      <c r="G524" s="6"/>
      <c r="H524" s="83">
        <f t="shared" si="9"/>
        <v>0</v>
      </c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x14ac:dyDescent="0.25">
      <c r="A525" s="10">
        <v>524</v>
      </c>
      <c r="B525" s="152" t="s">
        <v>1888</v>
      </c>
      <c r="C525" s="153" t="s">
        <v>3392</v>
      </c>
      <c r="D525" s="153" t="s">
        <v>3393</v>
      </c>
      <c r="E525" s="153" t="s">
        <v>2086</v>
      </c>
      <c r="F525" s="6"/>
      <c r="G525" s="6"/>
      <c r="H525" s="83">
        <f t="shared" si="9"/>
        <v>0</v>
      </c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x14ac:dyDescent="0.25">
      <c r="A526" s="10">
        <v>525</v>
      </c>
      <c r="B526" s="152" t="s">
        <v>3394</v>
      </c>
      <c r="C526" s="153" t="s">
        <v>3395</v>
      </c>
      <c r="D526" s="153" t="s">
        <v>3396</v>
      </c>
      <c r="E526" s="153" t="s">
        <v>4948</v>
      </c>
      <c r="F526" s="6"/>
      <c r="G526" s="6"/>
      <c r="H526" s="83">
        <f t="shared" si="9"/>
        <v>0</v>
      </c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x14ac:dyDescent="0.25">
      <c r="A527" s="10">
        <v>526</v>
      </c>
      <c r="B527" s="152" t="s">
        <v>3397</v>
      </c>
      <c r="C527" s="153" t="s">
        <v>3398</v>
      </c>
      <c r="D527" s="153" t="s">
        <v>3399</v>
      </c>
      <c r="E527" s="153" t="s">
        <v>4948</v>
      </c>
      <c r="F527" s="6"/>
      <c r="G527" s="6"/>
      <c r="H527" s="83">
        <f t="shared" si="9"/>
        <v>0</v>
      </c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x14ac:dyDescent="0.25">
      <c r="A528" s="10">
        <v>527</v>
      </c>
      <c r="B528" s="152" t="s">
        <v>3400</v>
      </c>
      <c r="C528" s="153" t="s">
        <v>3401</v>
      </c>
      <c r="D528" s="153" t="s">
        <v>3402</v>
      </c>
      <c r="E528" s="153" t="s">
        <v>4948</v>
      </c>
      <c r="F528" s="6"/>
      <c r="G528" s="6"/>
      <c r="H528" s="83">
        <f t="shared" si="9"/>
        <v>0</v>
      </c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x14ac:dyDescent="0.25">
      <c r="A529" s="10">
        <v>528</v>
      </c>
      <c r="B529" s="152" t="s">
        <v>3403</v>
      </c>
      <c r="C529" s="153" t="s">
        <v>3404</v>
      </c>
      <c r="D529" s="153" t="s">
        <v>3405</v>
      </c>
      <c r="E529" s="153" t="s">
        <v>4948</v>
      </c>
      <c r="F529" s="6"/>
      <c r="G529" s="6"/>
      <c r="H529" s="83">
        <f t="shared" si="9"/>
        <v>0</v>
      </c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x14ac:dyDescent="0.25">
      <c r="A530" s="10">
        <v>529</v>
      </c>
      <c r="B530" s="152" t="s">
        <v>3406</v>
      </c>
      <c r="C530" s="153" t="s">
        <v>3407</v>
      </c>
      <c r="D530" s="153" t="s">
        <v>3408</v>
      </c>
      <c r="E530" s="153" t="s">
        <v>4948</v>
      </c>
      <c r="F530" s="6"/>
      <c r="G530" s="6"/>
      <c r="H530" s="83">
        <f t="shared" si="9"/>
        <v>0</v>
      </c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x14ac:dyDescent="0.25">
      <c r="A531" s="10">
        <v>530</v>
      </c>
      <c r="B531" s="152" t="s">
        <v>3409</v>
      </c>
      <c r="C531" s="153" t="s">
        <v>3410</v>
      </c>
      <c r="D531" s="153" t="s">
        <v>3411</v>
      </c>
      <c r="E531" s="153" t="s">
        <v>4948</v>
      </c>
      <c r="F531" s="6"/>
      <c r="G531" s="6"/>
      <c r="H531" s="83">
        <f t="shared" si="9"/>
        <v>0</v>
      </c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x14ac:dyDescent="0.25">
      <c r="A532" s="10">
        <v>531</v>
      </c>
      <c r="B532" s="152" t="s">
        <v>3412</v>
      </c>
      <c r="C532" s="153" t="s">
        <v>3413</v>
      </c>
      <c r="D532" s="153" t="s">
        <v>3414</v>
      </c>
      <c r="E532" s="153" t="s">
        <v>2086</v>
      </c>
      <c r="F532" s="6"/>
      <c r="G532" s="6"/>
      <c r="H532" s="83">
        <f t="shared" si="9"/>
        <v>0</v>
      </c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x14ac:dyDescent="0.25">
      <c r="A533" s="10">
        <v>532</v>
      </c>
      <c r="B533" s="152" t="s">
        <v>3415</v>
      </c>
      <c r="C533" s="153" t="s">
        <v>3416</v>
      </c>
      <c r="D533" s="153" t="s">
        <v>3417</v>
      </c>
      <c r="E533" s="153" t="s">
        <v>4948</v>
      </c>
      <c r="F533" s="6"/>
      <c r="G533" s="6"/>
      <c r="H533" s="83">
        <f t="shared" si="9"/>
        <v>0</v>
      </c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x14ac:dyDescent="0.25">
      <c r="A534" s="10">
        <v>533</v>
      </c>
      <c r="B534" s="152" t="s">
        <v>3418</v>
      </c>
      <c r="C534" s="153" t="s">
        <v>3419</v>
      </c>
      <c r="D534" s="153" t="s">
        <v>3420</v>
      </c>
      <c r="E534" s="153" t="s">
        <v>4948</v>
      </c>
      <c r="F534" s="6"/>
      <c r="G534" s="6"/>
      <c r="H534" s="83">
        <f t="shared" si="9"/>
        <v>0</v>
      </c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x14ac:dyDescent="0.25">
      <c r="A535" s="10">
        <v>534</v>
      </c>
      <c r="B535" s="152" t="s">
        <v>3421</v>
      </c>
      <c r="C535" s="153" t="s">
        <v>3422</v>
      </c>
      <c r="D535" s="153" t="s">
        <v>3423</v>
      </c>
      <c r="E535" s="153" t="s">
        <v>4948</v>
      </c>
      <c r="F535" s="6"/>
      <c r="G535" s="6"/>
      <c r="H535" s="83">
        <f t="shared" si="9"/>
        <v>0</v>
      </c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x14ac:dyDescent="0.25">
      <c r="A536" s="10">
        <v>535</v>
      </c>
      <c r="B536" s="152" t="s">
        <v>735</v>
      </c>
      <c r="C536" s="153" t="s">
        <v>3424</v>
      </c>
      <c r="D536" s="153" t="s">
        <v>3425</v>
      </c>
      <c r="E536" s="153" t="s">
        <v>2086</v>
      </c>
      <c r="F536" s="6"/>
      <c r="G536" s="6"/>
      <c r="H536" s="83">
        <f t="shared" si="9"/>
        <v>1350</v>
      </c>
      <c r="I536" s="5"/>
      <c r="J536" s="5">
        <v>1350</v>
      </c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x14ac:dyDescent="0.25">
      <c r="A537" s="10">
        <v>536</v>
      </c>
      <c r="B537" s="152" t="s">
        <v>1403</v>
      </c>
      <c r="C537" s="153" t="s">
        <v>3426</v>
      </c>
      <c r="D537" s="153" t="s">
        <v>3427</v>
      </c>
      <c r="E537" s="153" t="s">
        <v>2086</v>
      </c>
      <c r="F537" s="6"/>
      <c r="G537" s="6"/>
      <c r="H537" s="83">
        <f t="shared" si="9"/>
        <v>0</v>
      </c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x14ac:dyDescent="0.25">
      <c r="A538" s="10">
        <v>537</v>
      </c>
      <c r="B538" s="152" t="s">
        <v>1848</v>
      </c>
      <c r="C538" s="153" t="s">
        <v>3428</v>
      </c>
      <c r="D538" s="153" t="s">
        <v>3429</v>
      </c>
      <c r="E538" s="153" t="s">
        <v>2086</v>
      </c>
      <c r="F538" s="6"/>
      <c r="G538" s="6"/>
      <c r="H538" s="83">
        <f t="shared" si="9"/>
        <v>0</v>
      </c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x14ac:dyDescent="0.25">
      <c r="A539" s="10">
        <v>538</v>
      </c>
      <c r="B539" s="152" t="s">
        <v>1851</v>
      </c>
      <c r="C539" s="153" t="s">
        <v>3430</v>
      </c>
      <c r="D539" s="153" t="s">
        <v>3431</v>
      </c>
      <c r="E539" s="153" t="s">
        <v>2086</v>
      </c>
      <c r="F539" s="6"/>
      <c r="G539" s="6"/>
      <c r="H539" s="83">
        <f t="shared" si="9"/>
        <v>0</v>
      </c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x14ac:dyDescent="0.25">
      <c r="A540" s="10">
        <v>539</v>
      </c>
      <c r="B540" s="152" t="s">
        <v>3432</v>
      </c>
      <c r="C540" s="153" t="s">
        <v>3433</v>
      </c>
      <c r="D540" s="153" t="s">
        <v>3434</v>
      </c>
      <c r="E540" s="153" t="s">
        <v>4948</v>
      </c>
      <c r="F540" s="6"/>
      <c r="G540" s="6"/>
      <c r="H540" s="83">
        <f t="shared" si="9"/>
        <v>0</v>
      </c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x14ac:dyDescent="0.25">
      <c r="A541" s="10">
        <v>540</v>
      </c>
      <c r="B541" s="152" t="s">
        <v>3435</v>
      </c>
      <c r="C541" s="153" t="s">
        <v>3436</v>
      </c>
      <c r="D541" s="153" t="s">
        <v>3437</v>
      </c>
      <c r="E541" s="153" t="s">
        <v>4948</v>
      </c>
      <c r="F541" s="6"/>
      <c r="G541" s="6"/>
      <c r="H541" s="83">
        <f t="shared" si="9"/>
        <v>0</v>
      </c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x14ac:dyDescent="0.25">
      <c r="A542" s="10">
        <v>541</v>
      </c>
      <c r="B542" s="152" t="s">
        <v>3438</v>
      </c>
      <c r="C542" s="153" t="s">
        <v>3439</v>
      </c>
      <c r="D542" s="153" t="s">
        <v>3440</v>
      </c>
      <c r="E542" s="153" t="s">
        <v>4948</v>
      </c>
      <c r="F542" s="6"/>
      <c r="G542" s="6"/>
      <c r="H542" s="83">
        <f t="shared" si="9"/>
        <v>0</v>
      </c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x14ac:dyDescent="0.25">
      <c r="A543" s="10">
        <v>542</v>
      </c>
      <c r="B543" s="152" t="s">
        <v>3441</v>
      </c>
      <c r="C543" s="153" t="s">
        <v>3442</v>
      </c>
      <c r="D543" s="153" t="s">
        <v>3443</v>
      </c>
      <c r="E543" s="153" t="s">
        <v>4948</v>
      </c>
      <c r="F543" s="6"/>
      <c r="G543" s="6"/>
      <c r="H543" s="83">
        <f t="shared" si="9"/>
        <v>0</v>
      </c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x14ac:dyDescent="0.25">
      <c r="A544" s="10">
        <v>543</v>
      </c>
      <c r="B544" s="152" t="s">
        <v>3444</v>
      </c>
      <c r="C544" s="153" t="s">
        <v>3445</v>
      </c>
      <c r="D544" s="153" t="s">
        <v>3446</v>
      </c>
      <c r="E544" s="153" t="s">
        <v>4948</v>
      </c>
      <c r="F544" s="6"/>
      <c r="G544" s="6"/>
      <c r="H544" s="83">
        <f t="shared" si="9"/>
        <v>0</v>
      </c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x14ac:dyDescent="0.25">
      <c r="A545" s="10">
        <v>544</v>
      </c>
      <c r="B545" s="152" t="s">
        <v>3447</v>
      </c>
      <c r="C545" s="153" t="s">
        <v>3448</v>
      </c>
      <c r="D545" s="153" t="s">
        <v>3449</v>
      </c>
      <c r="E545" s="153" t="s">
        <v>4948</v>
      </c>
      <c r="F545" s="6"/>
      <c r="G545" s="6"/>
      <c r="H545" s="83">
        <f t="shared" si="9"/>
        <v>0</v>
      </c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x14ac:dyDescent="0.25">
      <c r="A546" s="10">
        <v>545</v>
      </c>
      <c r="B546" s="152" t="s">
        <v>1623</v>
      </c>
      <c r="C546" s="153" t="s">
        <v>3450</v>
      </c>
      <c r="D546" s="153" t="s">
        <v>3451</v>
      </c>
      <c r="E546" s="153" t="s">
        <v>2086</v>
      </c>
      <c r="F546" s="6"/>
      <c r="G546" s="6"/>
      <c r="H546" s="83">
        <f t="shared" si="9"/>
        <v>5000</v>
      </c>
      <c r="I546" s="5"/>
      <c r="J546" s="5"/>
      <c r="K546" s="5"/>
      <c r="L546" s="5"/>
      <c r="M546" s="5"/>
      <c r="N546" s="5"/>
      <c r="O546" s="5"/>
      <c r="P546" s="5"/>
      <c r="Q546" s="5">
        <v>5000</v>
      </c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x14ac:dyDescent="0.25">
      <c r="A547" s="10">
        <v>546</v>
      </c>
      <c r="B547" s="152" t="s">
        <v>3452</v>
      </c>
      <c r="C547" s="153" t="s">
        <v>3453</v>
      </c>
      <c r="D547" s="153" t="s">
        <v>3454</v>
      </c>
      <c r="E547" s="153" t="s">
        <v>2086</v>
      </c>
      <c r="F547" s="6"/>
      <c r="G547" s="6"/>
      <c r="H547" s="83">
        <f t="shared" si="9"/>
        <v>1500</v>
      </c>
      <c r="I547" s="5"/>
      <c r="J547" s="5"/>
      <c r="K547" s="5"/>
      <c r="L547" s="5"/>
      <c r="M547" s="5"/>
      <c r="N547" s="5"/>
      <c r="O547" s="5"/>
      <c r="P547" s="5"/>
      <c r="Q547" s="5">
        <v>1500</v>
      </c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x14ac:dyDescent="0.25">
      <c r="A548" s="10">
        <v>547</v>
      </c>
      <c r="B548" s="152" t="s">
        <v>1677</v>
      </c>
      <c r="C548" s="153" t="s">
        <v>3455</v>
      </c>
      <c r="D548" s="153" t="s">
        <v>3456</v>
      </c>
      <c r="E548" s="153" t="s">
        <v>4948</v>
      </c>
      <c r="F548" s="6"/>
      <c r="G548" s="6"/>
      <c r="H548" s="83">
        <f t="shared" si="9"/>
        <v>0</v>
      </c>
      <c r="I548" s="5">
        <f>1000-1000</f>
        <v>0</v>
      </c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x14ac:dyDescent="0.25">
      <c r="A549" s="10">
        <v>548</v>
      </c>
      <c r="B549" s="152" t="s">
        <v>149</v>
      </c>
      <c r="C549" s="153" t="s">
        <v>3457</v>
      </c>
      <c r="D549" s="153" t="s">
        <v>3458</v>
      </c>
      <c r="E549" s="153" t="s">
        <v>2086</v>
      </c>
      <c r="F549" s="6"/>
      <c r="G549" s="6"/>
      <c r="H549" s="83">
        <f t="shared" si="9"/>
        <v>0</v>
      </c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x14ac:dyDescent="0.25">
      <c r="A550" s="10">
        <v>549</v>
      </c>
      <c r="B550" s="152" t="s">
        <v>1516</v>
      </c>
      <c r="C550" s="153" t="s">
        <v>3459</v>
      </c>
      <c r="D550" s="153" t="s">
        <v>3460</v>
      </c>
      <c r="E550" s="153" t="s">
        <v>2086</v>
      </c>
      <c r="F550" s="6"/>
      <c r="G550" s="6"/>
      <c r="H550" s="83">
        <f t="shared" si="9"/>
        <v>16510</v>
      </c>
      <c r="I550" s="5">
        <v>7670</v>
      </c>
      <c r="J550" s="5"/>
      <c r="K550" s="5"/>
      <c r="L550" s="5"/>
      <c r="M550" s="5"/>
      <c r="N550" s="5"/>
      <c r="O550" s="5"/>
      <c r="P550" s="5">
        <v>4420</v>
      </c>
      <c r="Q550" s="5">
        <v>520</v>
      </c>
      <c r="R550" s="5"/>
      <c r="S550" s="5">
        <v>910</v>
      </c>
      <c r="T550" s="5">
        <v>2990</v>
      </c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x14ac:dyDescent="0.25">
      <c r="A551" s="10">
        <v>550</v>
      </c>
      <c r="B551" s="152" t="s">
        <v>1450</v>
      </c>
      <c r="C551" s="153" t="s">
        <v>3461</v>
      </c>
      <c r="D551" s="153" t="s">
        <v>3462</v>
      </c>
      <c r="E551" s="153" t="s">
        <v>4948</v>
      </c>
      <c r="F551" s="6"/>
      <c r="G551" s="6"/>
      <c r="H551" s="83">
        <f t="shared" si="9"/>
        <v>0</v>
      </c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x14ac:dyDescent="0.25">
      <c r="A552" s="10">
        <v>551</v>
      </c>
      <c r="B552" s="152" t="s">
        <v>1430</v>
      </c>
      <c r="C552" s="153" t="s">
        <v>3463</v>
      </c>
      <c r="D552" s="153" t="s">
        <v>3464</v>
      </c>
      <c r="E552" s="153" t="s">
        <v>2086</v>
      </c>
      <c r="F552" s="6"/>
      <c r="G552" s="6"/>
      <c r="H552" s="83">
        <f t="shared" si="9"/>
        <v>0</v>
      </c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x14ac:dyDescent="0.25">
      <c r="A553" s="10">
        <v>552</v>
      </c>
      <c r="B553" s="152" t="s">
        <v>1875</v>
      </c>
      <c r="C553" s="153" t="s">
        <v>3465</v>
      </c>
      <c r="D553" s="153" t="s">
        <v>3466</v>
      </c>
      <c r="E553" s="153" t="s">
        <v>2086</v>
      </c>
      <c r="F553" s="6"/>
      <c r="G553" s="6"/>
      <c r="H553" s="83">
        <f t="shared" si="9"/>
        <v>0</v>
      </c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x14ac:dyDescent="0.25">
      <c r="A554" s="10">
        <v>553</v>
      </c>
      <c r="B554" s="152" t="s">
        <v>143</v>
      </c>
      <c r="C554" s="153" t="s">
        <v>3467</v>
      </c>
      <c r="D554" s="153" t="s">
        <v>3468</v>
      </c>
      <c r="E554" s="153" t="s">
        <v>2086</v>
      </c>
      <c r="F554" s="6"/>
      <c r="G554" s="6"/>
      <c r="H554" s="83">
        <f t="shared" si="9"/>
        <v>150</v>
      </c>
      <c r="I554" s="5">
        <v>50</v>
      </c>
      <c r="J554" s="5"/>
      <c r="K554" s="5"/>
      <c r="L554" s="5"/>
      <c r="M554" s="5"/>
      <c r="N554" s="5"/>
      <c r="O554" s="5"/>
      <c r="P554" s="5"/>
      <c r="Q554" s="5">
        <v>100</v>
      </c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x14ac:dyDescent="0.25">
      <c r="A555" s="10">
        <v>554</v>
      </c>
      <c r="B555" s="152" t="s">
        <v>3469</v>
      </c>
      <c r="C555" s="153" t="s">
        <v>3470</v>
      </c>
      <c r="D555" s="153" t="s">
        <v>3471</v>
      </c>
      <c r="E555" s="153" t="s">
        <v>2086</v>
      </c>
      <c r="F555" s="6"/>
      <c r="G555" s="6"/>
      <c r="H555" s="83">
        <f t="shared" si="9"/>
        <v>0</v>
      </c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x14ac:dyDescent="0.25">
      <c r="A556" s="10">
        <v>555</v>
      </c>
      <c r="B556" s="152" t="s">
        <v>1263</v>
      </c>
      <c r="C556" s="153" t="s">
        <v>3472</v>
      </c>
      <c r="D556" s="153" t="s">
        <v>3473</v>
      </c>
      <c r="E556" s="153" t="s">
        <v>2086</v>
      </c>
      <c r="F556" s="6"/>
      <c r="G556" s="6"/>
      <c r="H556" s="83">
        <f t="shared" si="9"/>
        <v>52500</v>
      </c>
      <c r="I556" s="5">
        <v>36000</v>
      </c>
      <c r="J556" s="5"/>
      <c r="K556" s="5"/>
      <c r="L556" s="5"/>
      <c r="M556" s="5"/>
      <c r="N556" s="5"/>
      <c r="O556" s="5"/>
      <c r="P556" s="5">
        <v>9500</v>
      </c>
      <c r="Q556" s="5">
        <v>2000</v>
      </c>
      <c r="R556" s="5"/>
      <c r="S556" s="5"/>
      <c r="T556" s="5">
        <v>5000</v>
      </c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5.75" customHeight="1" x14ac:dyDescent="0.25">
      <c r="A557" s="10">
        <v>556</v>
      </c>
      <c r="B557" s="152" t="s">
        <v>3474</v>
      </c>
      <c r="C557" s="153" t="s">
        <v>3475</v>
      </c>
      <c r="D557" s="153" t="s">
        <v>3476</v>
      </c>
      <c r="E557" s="153" t="s">
        <v>4948</v>
      </c>
      <c r="F557" s="6"/>
      <c r="G557" s="6"/>
      <c r="H557" s="83">
        <f t="shared" si="9"/>
        <v>0</v>
      </c>
      <c r="I557" s="5"/>
      <c r="J557" s="5"/>
      <c r="K557" s="5"/>
      <c r="L557" s="5"/>
      <c r="M557" s="5"/>
      <c r="N557" s="5"/>
      <c r="O557" s="5"/>
      <c r="P557" s="5">
        <f>2400-2400</f>
        <v>0</v>
      </c>
      <c r="Q557" s="5">
        <f>1160-1160</f>
        <v>0</v>
      </c>
      <c r="R557" s="5"/>
      <c r="S557" s="5">
        <f>800-800</f>
        <v>0</v>
      </c>
      <c r="T557" s="5">
        <f>3280-3280</f>
        <v>0</v>
      </c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x14ac:dyDescent="0.25">
      <c r="A558" s="10">
        <v>557</v>
      </c>
      <c r="B558" s="152" t="s">
        <v>1328</v>
      </c>
      <c r="C558" s="153" t="s">
        <v>3477</v>
      </c>
      <c r="D558" s="153" t="s">
        <v>3478</v>
      </c>
      <c r="E558" s="153" t="s">
        <v>2086</v>
      </c>
      <c r="F558" s="6"/>
      <c r="G558" s="6"/>
      <c r="H558" s="83">
        <f t="shared" si="9"/>
        <v>178800</v>
      </c>
      <c r="I558" s="5">
        <v>90000</v>
      </c>
      <c r="J558" s="5"/>
      <c r="K558" s="5"/>
      <c r="L558" s="5"/>
      <c r="M558" s="5"/>
      <c r="N558" s="5"/>
      <c r="O558" s="5"/>
      <c r="P558" s="5">
        <v>27000</v>
      </c>
      <c r="Q558" s="5">
        <v>17000</v>
      </c>
      <c r="R558" s="5"/>
      <c r="S558" s="5">
        <v>19500</v>
      </c>
      <c r="T558" s="5">
        <v>25300</v>
      </c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x14ac:dyDescent="0.25">
      <c r="A559" s="10">
        <v>558</v>
      </c>
      <c r="B559" s="152" t="s">
        <v>1428</v>
      </c>
      <c r="C559" s="153" t="s">
        <v>3479</v>
      </c>
      <c r="D559" s="153" t="s">
        <v>3480</v>
      </c>
      <c r="E559" s="153" t="s">
        <v>2086</v>
      </c>
      <c r="F559" s="6"/>
      <c r="G559" s="6"/>
      <c r="H559" s="83">
        <f t="shared" si="9"/>
        <v>0</v>
      </c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x14ac:dyDescent="0.25">
      <c r="A560" s="10">
        <v>559</v>
      </c>
      <c r="B560" s="152" t="s">
        <v>3481</v>
      </c>
      <c r="C560" s="153" t="s">
        <v>3482</v>
      </c>
      <c r="D560" s="153" t="s">
        <v>3483</v>
      </c>
      <c r="E560" s="153" t="s">
        <v>2086</v>
      </c>
      <c r="F560" s="6"/>
      <c r="G560" s="6"/>
      <c r="H560" s="83">
        <f t="shared" si="9"/>
        <v>0</v>
      </c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x14ac:dyDescent="0.25">
      <c r="A561" s="10">
        <v>560</v>
      </c>
      <c r="B561" s="152" t="s">
        <v>1567</v>
      </c>
      <c r="C561" s="153" t="s">
        <v>3484</v>
      </c>
      <c r="D561" s="153" t="s">
        <v>3485</v>
      </c>
      <c r="E561" s="153" t="s">
        <v>2086</v>
      </c>
      <c r="F561" s="6"/>
      <c r="G561" s="6"/>
      <c r="H561" s="83">
        <f t="shared" si="9"/>
        <v>0</v>
      </c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x14ac:dyDescent="0.25">
      <c r="A562" s="10">
        <v>561</v>
      </c>
      <c r="B562" s="152" t="s">
        <v>1448</v>
      </c>
      <c r="C562" s="153" t="s">
        <v>3486</v>
      </c>
      <c r="D562" s="153" t="s">
        <v>3487</v>
      </c>
      <c r="E562" s="153" t="s">
        <v>2086</v>
      </c>
      <c r="F562" s="6"/>
      <c r="G562" s="6"/>
      <c r="H562" s="83">
        <f t="shared" si="9"/>
        <v>79500</v>
      </c>
      <c r="I562" s="5">
        <f>37500+2000</f>
        <v>39500</v>
      </c>
      <c r="J562" s="5"/>
      <c r="K562" s="5"/>
      <c r="L562" s="5"/>
      <c r="M562" s="5"/>
      <c r="N562" s="5"/>
      <c r="O562" s="5"/>
      <c r="P562" s="5">
        <v>20000</v>
      </c>
      <c r="Q562" s="5">
        <v>4500</v>
      </c>
      <c r="R562" s="5"/>
      <c r="S562" s="5">
        <v>3500</v>
      </c>
      <c r="T562" s="5">
        <v>12000</v>
      </c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x14ac:dyDescent="0.25">
      <c r="A563" s="10">
        <v>562</v>
      </c>
      <c r="B563" s="152" t="s">
        <v>727</v>
      </c>
      <c r="C563" s="153" t="s">
        <v>3488</v>
      </c>
      <c r="D563" s="153" t="s">
        <v>3489</v>
      </c>
      <c r="E563" s="153" t="s">
        <v>2086</v>
      </c>
      <c r="F563" s="6"/>
      <c r="G563" s="6"/>
      <c r="H563" s="83">
        <f t="shared" si="9"/>
        <v>2400</v>
      </c>
      <c r="I563" s="5">
        <v>2400</v>
      </c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x14ac:dyDescent="0.25">
      <c r="A564" s="10">
        <v>563</v>
      </c>
      <c r="B564" s="152" t="s">
        <v>1446</v>
      </c>
      <c r="C564" s="153" t="s">
        <v>3490</v>
      </c>
      <c r="D564" s="153" t="s">
        <v>3491</v>
      </c>
      <c r="E564" s="153" t="s">
        <v>2086</v>
      </c>
      <c r="F564" s="6"/>
      <c r="G564" s="6"/>
      <c r="H564" s="83">
        <f t="shared" si="9"/>
        <v>0</v>
      </c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>
        <f>60-60</f>
        <v>0</v>
      </c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x14ac:dyDescent="0.25">
      <c r="A565" s="10">
        <v>564</v>
      </c>
      <c r="B565" s="152" t="s">
        <v>1343</v>
      </c>
      <c r="C565" s="153" t="s">
        <v>3492</v>
      </c>
      <c r="D565" s="153" t="s">
        <v>3493</v>
      </c>
      <c r="E565" s="153" t="s">
        <v>2086</v>
      </c>
      <c r="F565" s="6"/>
      <c r="G565" s="6"/>
      <c r="H565" s="83">
        <f t="shared" si="9"/>
        <v>0</v>
      </c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>
        <f>60-60</f>
        <v>0</v>
      </c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x14ac:dyDescent="0.25">
      <c r="A566" s="10">
        <v>565</v>
      </c>
      <c r="B566" s="152" t="s">
        <v>1297</v>
      </c>
      <c r="C566" s="153" t="s">
        <v>3494</v>
      </c>
      <c r="D566" s="153" t="s">
        <v>3495</v>
      </c>
      <c r="E566" s="153" t="s">
        <v>2086</v>
      </c>
      <c r="F566" s="6"/>
      <c r="G566" s="6"/>
      <c r="H566" s="83">
        <f t="shared" si="9"/>
        <v>0</v>
      </c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>
        <f>60-60</f>
        <v>0</v>
      </c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x14ac:dyDescent="0.25">
      <c r="A567" s="10">
        <v>566</v>
      </c>
      <c r="B567" s="152" t="s">
        <v>1500</v>
      </c>
      <c r="C567" s="153" t="s">
        <v>3496</v>
      </c>
      <c r="D567" s="153" t="s">
        <v>3497</v>
      </c>
      <c r="E567" s="153" t="s">
        <v>2086</v>
      </c>
      <c r="F567" s="6"/>
      <c r="G567" s="6"/>
      <c r="H567" s="83">
        <f t="shared" si="9"/>
        <v>0</v>
      </c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>
        <f>60-60</f>
        <v>0</v>
      </c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x14ac:dyDescent="0.25">
      <c r="A568" s="10">
        <v>567</v>
      </c>
      <c r="B568" s="152" t="s">
        <v>1458</v>
      </c>
      <c r="C568" s="153" t="s">
        <v>3498</v>
      </c>
      <c r="D568" s="153" t="s">
        <v>3499</v>
      </c>
      <c r="E568" s="153" t="s">
        <v>2086</v>
      </c>
      <c r="F568" s="6"/>
      <c r="G568" s="6"/>
      <c r="H568" s="83">
        <f t="shared" si="9"/>
        <v>0</v>
      </c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>
        <f>60-60</f>
        <v>0</v>
      </c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x14ac:dyDescent="0.25">
      <c r="A569" s="10">
        <v>568</v>
      </c>
      <c r="B569" s="152" t="s">
        <v>1303</v>
      </c>
      <c r="C569" s="153" t="s">
        <v>3500</v>
      </c>
      <c r="D569" s="153" t="s">
        <v>3501</v>
      </c>
      <c r="E569" s="153" t="s">
        <v>2086</v>
      </c>
      <c r="F569" s="6"/>
      <c r="G569" s="6"/>
      <c r="H569" s="83">
        <f t="shared" si="9"/>
        <v>6000</v>
      </c>
      <c r="I569" s="5"/>
      <c r="J569" s="5">
        <v>6000</v>
      </c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x14ac:dyDescent="0.25">
      <c r="A570" s="10">
        <v>569</v>
      </c>
      <c r="B570" s="152" t="s">
        <v>3502</v>
      </c>
      <c r="C570" s="153" t="s">
        <v>3503</v>
      </c>
      <c r="D570" s="153" t="s">
        <v>3504</v>
      </c>
      <c r="E570" s="153" t="s">
        <v>2086</v>
      </c>
      <c r="F570" s="6"/>
      <c r="G570" s="6"/>
      <c r="H570" s="83">
        <f t="shared" si="9"/>
        <v>240</v>
      </c>
      <c r="I570" s="5">
        <v>240</v>
      </c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x14ac:dyDescent="0.25">
      <c r="A571" s="10">
        <v>570</v>
      </c>
      <c r="B571" s="152" t="s">
        <v>3505</v>
      </c>
      <c r="C571" s="153" t="s">
        <v>3506</v>
      </c>
      <c r="D571" s="153" t="s">
        <v>3507</v>
      </c>
      <c r="E571" s="153" t="s">
        <v>4948</v>
      </c>
      <c r="F571" s="6"/>
      <c r="G571" s="6"/>
      <c r="H571" s="83">
        <f t="shared" si="9"/>
        <v>0</v>
      </c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x14ac:dyDescent="0.25">
      <c r="A572" s="10">
        <v>571</v>
      </c>
      <c r="B572" s="152" t="s">
        <v>3508</v>
      </c>
      <c r="C572" s="153" t="s">
        <v>3509</v>
      </c>
      <c r="D572" s="153" t="s">
        <v>3510</v>
      </c>
      <c r="E572" s="153" t="s">
        <v>4948</v>
      </c>
      <c r="F572" s="6"/>
      <c r="G572" s="6"/>
      <c r="H572" s="83">
        <f t="shared" si="9"/>
        <v>0</v>
      </c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x14ac:dyDescent="0.25">
      <c r="A573" s="10">
        <v>572</v>
      </c>
      <c r="B573" s="152" t="s">
        <v>990</v>
      </c>
      <c r="C573" s="153" t="s">
        <v>3511</v>
      </c>
      <c r="D573" s="153" t="s">
        <v>3512</v>
      </c>
      <c r="E573" s="153" t="s">
        <v>2086</v>
      </c>
      <c r="F573" s="6"/>
      <c r="G573" s="6"/>
      <c r="H573" s="83">
        <f t="shared" si="9"/>
        <v>3100</v>
      </c>
      <c r="I573" s="5">
        <v>2000</v>
      </c>
      <c r="J573" s="5"/>
      <c r="K573" s="5"/>
      <c r="L573" s="5"/>
      <c r="M573" s="5"/>
      <c r="N573" s="5"/>
      <c r="O573" s="5"/>
      <c r="P573" s="5">
        <v>200</v>
      </c>
      <c r="Q573" s="5">
        <v>400</v>
      </c>
      <c r="R573" s="5"/>
      <c r="S573" s="5"/>
      <c r="T573" s="5">
        <v>500</v>
      </c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x14ac:dyDescent="0.25">
      <c r="A574" s="10">
        <v>573</v>
      </c>
      <c r="B574" s="152" t="s">
        <v>2027</v>
      </c>
      <c r="C574" s="153" t="s">
        <v>3513</v>
      </c>
      <c r="D574" s="153" t="s">
        <v>3514</v>
      </c>
      <c r="E574" s="153" t="s">
        <v>4948</v>
      </c>
      <c r="F574" s="6"/>
      <c r="G574" s="6"/>
      <c r="H574" s="83">
        <f t="shared" si="9"/>
        <v>0</v>
      </c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x14ac:dyDescent="0.25">
      <c r="A575" s="10">
        <v>574</v>
      </c>
      <c r="B575" s="152" t="s">
        <v>1892</v>
      </c>
      <c r="C575" s="153" t="s">
        <v>3515</v>
      </c>
      <c r="D575" s="153" t="s">
        <v>3516</v>
      </c>
      <c r="E575" s="153" t="s">
        <v>4948</v>
      </c>
      <c r="F575" s="6"/>
      <c r="G575" s="6"/>
      <c r="H575" s="83">
        <f t="shared" si="9"/>
        <v>0</v>
      </c>
      <c r="I575" s="5">
        <f>800-800</f>
        <v>0</v>
      </c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x14ac:dyDescent="0.25">
      <c r="A576" s="10">
        <v>575</v>
      </c>
      <c r="B576" s="152" t="s">
        <v>1188</v>
      </c>
      <c r="C576" s="153" t="s">
        <v>3517</v>
      </c>
      <c r="D576" s="153" t="s">
        <v>3518</v>
      </c>
      <c r="E576" s="153" t="s">
        <v>2086</v>
      </c>
      <c r="F576" s="6"/>
      <c r="G576" s="6"/>
      <c r="H576" s="83">
        <f t="shared" si="9"/>
        <v>700</v>
      </c>
      <c r="I576" s="5">
        <v>350</v>
      </c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>
        <v>350</v>
      </c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x14ac:dyDescent="0.25">
      <c r="A577" s="10">
        <v>576</v>
      </c>
      <c r="B577" s="152" t="s">
        <v>894</v>
      </c>
      <c r="C577" s="153" t="s">
        <v>3519</v>
      </c>
      <c r="D577" s="153" t="s">
        <v>3520</v>
      </c>
      <c r="E577" s="153" t="s">
        <v>2086</v>
      </c>
      <c r="F577" s="6"/>
      <c r="G577" s="6"/>
      <c r="H577" s="83">
        <f t="shared" si="9"/>
        <v>550</v>
      </c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>
        <v>550</v>
      </c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x14ac:dyDescent="0.25">
      <c r="A578" s="10">
        <v>577</v>
      </c>
      <c r="B578" s="152" t="s">
        <v>2024</v>
      </c>
      <c r="C578" s="153" t="s">
        <v>3521</v>
      </c>
      <c r="D578" s="153" t="s">
        <v>3522</v>
      </c>
      <c r="E578" s="153" t="s">
        <v>2086</v>
      </c>
      <c r="F578" s="6"/>
      <c r="G578" s="6"/>
      <c r="H578" s="83">
        <f t="shared" ref="H578:H641" si="10">SUM(I578:AM578)</f>
        <v>15000</v>
      </c>
      <c r="I578" s="5"/>
      <c r="J578" s="5">
        <v>15000</v>
      </c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x14ac:dyDescent="0.25">
      <c r="A579" s="10">
        <v>578</v>
      </c>
      <c r="B579" s="152" t="s">
        <v>1368</v>
      </c>
      <c r="C579" s="153" t="s">
        <v>3523</v>
      </c>
      <c r="D579" s="153" t="s">
        <v>3524</v>
      </c>
      <c r="E579" s="153" t="s">
        <v>2086</v>
      </c>
      <c r="F579" s="6"/>
      <c r="G579" s="6"/>
      <c r="H579" s="83">
        <f t="shared" si="10"/>
        <v>12000</v>
      </c>
      <c r="I579" s="5">
        <v>6000</v>
      </c>
      <c r="J579" s="5"/>
      <c r="K579" s="5"/>
      <c r="L579" s="5"/>
      <c r="M579" s="5"/>
      <c r="N579" s="5"/>
      <c r="O579" s="5"/>
      <c r="P579" s="5">
        <v>2200</v>
      </c>
      <c r="Q579" s="5">
        <v>400</v>
      </c>
      <c r="R579" s="5"/>
      <c r="S579" s="5">
        <v>1900</v>
      </c>
      <c r="T579" s="5">
        <v>1500</v>
      </c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x14ac:dyDescent="0.25">
      <c r="A580" s="10">
        <v>579</v>
      </c>
      <c r="B580" s="152" t="s">
        <v>3525</v>
      </c>
      <c r="C580" s="153" t="s">
        <v>3526</v>
      </c>
      <c r="D580" s="153" t="s">
        <v>3527</v>
      </c>
      <c r="E580" s="153" t="s">
        <v>2086</v>
      </c>
      <c r="F580" s="6"/>
      <c r="G580" s="6"/>
      <c r="H580" s="83">
        <f t="shared" si="10"/>
        <v>0</v>
      </c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x14ac:dyDescent="0.25">
      <c r="A581" s="10">
        <v>580</v>
      </c>
      <c r="B581" s="152" t="s">
        <v>3528</v>
      </c>
      <c r="C581" s="153" t="s">
        <v>3529</v>
      </c>
      <c r="D581" s="153" t="s">
        <v>3530</v>
      </c>
      <c r="E581" s="153" t="s">
        <v>2086</v>
      </c>
      <c r="F581" s="6"/>
      <c r="G581" s="6"/>
      <c r="H581" s="83">
        <f t="shared" si="10"/>
        <v>0</v>
      </c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x14ac:dyDescent="0.25">
      <c r="A582" s="10">
        <v>581</v>
      </c>
      <c r="B582" s="152" t="s">
        <v>3531</v>
      </c>
      <c r="C582" s="153" t="s">
        <v>3532</v>
      </c>
      <c r="D582" s="153" t="s">
        <v>3533</v>
      </c>
      <c r="E582" s="153" t="s">
        <v>4948</v>
      </c>
      <c r="F582" s="6"/>
      <c r="G582" s="6"/>
      <c r="H582" s="83">
        <f t="shared" si="10"/>
        <v>0</v>
      </c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x14ac:dyDescent="0.25">
      <c r="A583" s="10">
        <v>582</v>
      </c>
      <c r="B583" s="152" t="s">
        <v>729</v>
      </c>
      <c r="C583" s="153" t="s">
        <v>3534</v>
      </c>
      <c r="D583" s="153" t="s">
        <v>3535</v>
      </c>
      <c r="E583" s="153" t="s">
        <v>4948</v>
      </c>
      <c r="F583" s="6"/>
      <c r="G583" s="6"/>
      <c r="H583" s="83">
        <f t="shared" si="10"/>
        <v>0</v>
      </c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x14ac:dyDescent="0.25">
      <c r="A584" s="10">
        <v>583</v>
      </c>
      <c r="B584" s="152" t="s">
        <v>731</v>
      </c>
      <c r="C584" s="153" t="s">
        <v>3536</v>
      </c>
      <c r="D584" s="153" t="s">
        <v>3537</v>
      </c>
      <c r="E584" s="153" t="s">
        <v>4948</v>
      </c>
      <c r="F584" s="6"/>
      <c r="G584" s="6"/>
      <c r="H584" s="83">
        <f t="shared" si="10"/>
        <v>0</v>
      </c>
      <c r="I584" s="5">
        <f>3000-3000</f>
        <v>0</v>
      </c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x14ac:dyDescent="0.25">
      <c r="A585" s="10">
        <v>584</v>
      </c>
      <c r="B585" s="152" t="s">
        <v>3538</v>
      </c>
      <c r="C585" s="153" t="s">
        <v>3539</v>
      </c>
      <c r="D585" s="153" t="s">
        <v>3540</v>
      </c>
      <c r="E585" s="153" t="s">
        <v>4948</v>
      </c>
      <c r="F585" s="6"/>
      <c r="G585" s="6"/>
      <c r="H585" s="83">
        <f t="shared" si="10"/>
        <v>0</v>
      </c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x14ac:dyDescent="0.25">
      <c r="A586" s="10">
        <v>585</v>
      </c>
      <c r="B586" s="152" t="s">
        <v>3541</v>
      </c>
      <c r="C586" s="153" t="s">
        <v>3542</v>
      </c>
      <c r="D586" s="153" t="s">
        <v>3543</v>
      </c>
      <c r="E586" s="153" t="s">
        <v>4948</v>
      </c>
      <c r="F586" s="6"/>
      <c r="G586" s="6"/>
      <c r="H586" s="83">
        <f t="shared" si="10"/>
        <v>0</v>
      </c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x14ac:dyDescent="0.25">
      <c r="A587" s="10">
        <v>586</v>
      </c>
      <c r="B587" s="152" t="s">
        <v>3544</v>
      </c>
      <c r="C587" s="153" t="s">
        <v>3545</v>
      </c>
      <c r="D587" s="153" t="s">
        <v>3546</v>
      </c>
      <c r="E587" s="153" t="s">
        <v>2086</v>
      </c>
      <c r="F587" s="6"/>
      <c r="G587" s="6"/>
      <c r="H587" s="83">
        <f t="shared" si="10"/>
        <v>0</v>
      </c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x14ac:dyDescent="0.25">
      <c r="A588" s="10">
        <v>587</v>
      </c>
      <c r="B588" s="152" t="s">
        <v>3547</v>
      </c>
      <c r="C588" s="153" t="s">
        <v>3548</v>
      </c>
      <c r="D588" s="153" t="s">
        <v>3549</v>
      </c>
      <c r="E588" s="153" t="s">
        <v>4948</v>
      </c>
      <c r="F588" s="6"/>
      <c r="G588" s="6"/>
      <c r="H588" s="83">
        <f t="shared" si="10"/>
        <v>0</v>
      </c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x14ac:dyDescent="0.25">
      <c r="A589" s="10">
        <v>588</v>
      </c>
      <c r="B589" s="152" t="s">
        <v>3550</v>
      </c>
      <c r="C589" s="153" t="s">
        <v>3551</v>
      </c>
      <c r="D589" s="153" t="s">
        <v>3552</v>
      </c>
      <c r="E589" s="153" t="s">
        <v>2086</v>
      </c>
      <c r="F589" s="6"/>
      <c r="G589" s="6"/>
      <c r="H589" s="83">
        <f t="shared" si="10"/>
        <v>0</v>
      </c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x14ac:dyDescent="0.25">
      <c r="A590" s="10">
        <v>589</v>
      </c>
      <c r="B590" s="152" t="s">
        <v>1531</v>
      </c>
      <c r="C590" s="153" t="s">
        <v>3553</v>
      </c>
      <c r="D590" s="153" t="s">
        <v>3554</v>
      </c>
      <c r="E590" s="153" t="s">
        <v>2086</v>
      </c>
      <c r="F590" s="6"/>
      <c r="G590" s="6"/>
      <c r="H590" s="83">
        <f t="shared" si="10"/>
        <v>1500</v>
      </c>
      <c r="I590" s="5"/>
      <c r="J590" s="5">
        <v>1500</v>
      </c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x14ac:dyDescent="0.25">
      <c r="A591" s="10">
        <v>590</v>
      </c>
      <c r="B591" s="152" t="s">
        <v>19</v>
      </c>
      <c r="C591" s="153" t="s">
        <v>3555</v>
      </c>
      <c r="D591" s="153" t="s">
        <v>3556</v>
      </c>
      <c r="E591" s="153" t="s">
        <v>2086</v>
      </c>
      <c r="F591" s="6"/>
      <c r="G591" s="6"/>
      <c r="H591" s="83">
        <f t="shared" si="10"/>
        <v>0</v>
      </c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x14ac:dyDescent="0.25">
      <c r="A592" s="10">
        <v>591</v>
      </c>
      <c r="B592" s="152" t="s">
        <v>805</v>
      </c>
      <c r="C592" s="153" t="s">
        <v>3557</v>
      </c>
      <c r="D592" s="153" t="s">
        <v>3558</v>
      </c>
      <c r="E592" s="153" t="s">
        <v>2086</v>
      </c>
      <c r="F592" s="6"/>
      <c r="G592" s="6"/>
      <c r="H592" s="83">
        <f t="shared" si="10"/>
        <v>0</v>
      </c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x14ac:dyDescent="0.25">
      <c r="A593" s="10">
        <v>592</v>
      </c>
      <c r="B593" s="152" t="s">
        <v>3559</v>
      </c>
      <c r="C593" s="153" t="s">
        <v>3560</v>
      </c>
      <c r="D593" s="153" t="s">
        <v>3561</v>
      </c>
      <c r="E593" s="153" t="s">
        <v>4948</v>
      </c>
      <c r="F593" s="6"/>
      <c r="G593" s="6"/>
      <c r="H593" s="83">
        <f t="shared" si="10"/>
        <v>0</v>
      </c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x14ac:dyDescent="0.25">
      <c r="A594" s="10">
        <v>593</v>
      </c>
      <c r="B594" s="152" t="s">
        <v>725</v>
      </c>
      <c r="C594" s="153" t="s">
        <v>3562</v>
      </c>
      <c r="D594" s="153" t="s">
        <v>3563</v>
      </c>
      <c r="E594" s="153" t="s">
        <v>2086</v>
      </c>
      <c r="F594" s="6"/>
      <c r="G594" s="6"/>
      <c r="H594" s="83">
        <f t="shared" si="10"/>
        <v>0</v>
      </c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x14ac:dyDescent="0.25">
      <c r="A595" s="10">
        <v>594</v>
      </c>
      <c r="B595" s="155" t="s">
        <v>1877</v>
      </c>
      <c r="C595" s="156" t="s">
        <v>3564</v>
      </c>
      <c r="D595" s="156" t="s">
        <v>3565</v>
      </c>
      <c r="E595" s="153" t="s">
        <v>2086</v>
      </c>
      <c r="F595" s="6"/>
      <c r="G595" s="6"/>
      <c r="H595" s="83">
        <f t="shared" si="10"/>
        <v>1200</v>
      </c>
      <c r="I595" s="5">
        <v>1000</v>
      </c>
      <c r="J595" s="5"/>
      <c r="K595" s="5"/>
      <c r="L595" s="5"/>
      <c r="M595" s="5"/>
      <c r="N595" s="5"/>
      <c r="O595" s="5"/>
      <c r="P595" s="5"/>
      <c r="Q595" s="5">
        <f>800-600</f>
        <v>200</v>
      </c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x14ac:dyDescent="0.25">
      <c r="A596" s="10">
        <v>595</v>
      </c>
      <c r="B596" s="155" t="s">
        <v>3566</v>
      </c>
      <c r="C596" s="156" t="s">
        <v>3567</v>
      </c>
      <c r="D596" s="156" t="s">
        <v>3568</v>
      </c>
      <c r="E596" s="153" t="s">
        <v>2086</v>
      </c>
      <c r="F596" s="6"/>
      <c r="G596" s="6"/>
      <c r="H596" s="83">
        <f t="shared" si="10"/>
        <v>0</v>
      </c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x14ac:dyDescent="0.25">
      <c r="A597" s="10">
        <v>596</v>
      </c>
      <c r="B597" s="152" t="s">
        <v>3569</v>
      </c>
      <c r="C597" s="153" t="s">
        <v>3570</v>
      </c>
      <c r="D597" s="153" t="s">
        <v>3571</v>
      </c>
      <c r="E597" s="153" t="s">
        <v>4948</v>
      </c>
      <c r="F597" s="6"/>
      <c r="G597" s="6"/>
      <c r="H597" s="83">
        <f t="shared" si="10"/>
        <v>0</v>
      </c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x14ac:dyDescent="0.25">
      <c r="A598" s="10">
        <v>597</v>
      </c>
      <c r="B598" s="152" t="s">
        <v>3572</v>
      </c>
      <c r="C598" s="153" t="s">
        <v>3573</v>
      </c>
      <c r="D598" s="153" t="s">
        <v>3574</v>
      </c>
      <c r="E598" s="153" t="s">
        <v>4948</v>
      </c>
      <c r="F598" s="6"/>
      <c r="G598" s="6"/>
      <c r="H598" s="83">
        <f t="shared" si="10"/>
        <v>0</v>
      </c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x14ac:dyDescent="0.25">
      <c r="A599" s="10">
        <v>598</v>
      </c>
      <c r="B599" s="152" t="s">
        <v>3575</v>
      </c>
      <c r="C599" s="153" t="s">
        <v>3576</v>
      </c>
      <c r="D599" s="153" t="s">
        <v>3577</v>
      </c>
      <c r="E599" s="153" t="s">
        <v>4948</v>
      </c>
      <c r="F599" s="6"/>
      <c r="G599" s="6"/>
      <c r="H599" s="83">
        <f t="shared" si="10"/>
        <v>0</v>
      </c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x14ac:dyDescent="0.25">
      <c r="A600" s="10">
        <v>599</v>
      </c>
      <c r="B600" s="152" t="s">
        <v>3578</v>
      </c>
      <c r="C600" s="153" t="s">
        <v>3579</v>
      </c>
      <c r="D600" s="153" t="s">
        <v>3580</v>
      </c>
      <c r="E600" s="153" t="s">
        <v>2086</v>
      </c>
      <c r="F600" s="6"/>
      <c r="G600" s="6"/>
      <c r="H600" s="83">
        <f t="shared" si="10"/>
        <v>0</v>
      </c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x14ac:dyDescent="0.25">
      <c r="A601" s="10">
        <v>600</v>
      </c>
      <c r="B601" s="152" t="s">
        <v>33</v>
      </c>
      <c r="C601" s="153" t="s">
        <v>3581</v>
      </c>
      <c r="D601" s="153" t="s">
        <v>3582</v>
      </c>
      <c r="E601" s="153" t="s">
        <v>2086</v>
      </c>
      <c r="F601" s="6"/>
      <c r="G601" s="6"/>
      <c r="H601" s="83">
        <f t="shared" si="10"/>
        <v>0</v>
      </c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x14ac:dyDescent="0.25">
      <c r="A602" s="10">
        <v>601</v>
      </c>
      <c r="B602" s="152" t="s">
        <v>3583</v>
      </c>
      <c r="C602" s="153" t="s">
        <v>3584</v>
      </c>
      <c r="D602" s="153" t="s">
        <v>3585</v>
      </c>
      <c r="E602" s="153" t="s">
        <v>4948</v>
      </c>
      <c r="F602" s="6"/>
      <c r="G602" s="6"/>
      <c r="H602" s="83">
        <f t="shared" si="10"/>
        <v>0</v>
      </c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x14ac:dyDescent="0.25">
      <c r="A603" s="10">
        <v>602</v>
      </c>
      <c r="B603" s="152" t="s">
        <v>1455</v>
      </c>
      <c r="C603" s="153" t="s">
        <v>3586</v>
      </c>
      <c r="D603" s="153" t="s">
        <v>3587</v>
      </c>
      <c r="E603" s="153" t="s">
        <v>4948</v>
      </c>
      <c r="F603" s="6"/>
      <c r="G603" s="6"/>
      <c r="H603" s="83">
        <f t="shared" si="10"/>
        <v>0</v>
      </c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x14ac:dyDescent="0.25">
      <c r="A604" s="10">
        <v>603</v>
      </c>
      <c r="B604" s="152" t="s">
        <v>914</v>
      </c>
      <c r="C604" s="153" t="s">
        <v>3588</v>
      </c>
      <c r="D604" s="153" t="s">
        <v>3589</v>
      </c>
      <c r="E604" s="153" t="s">
        <v>2086</v>
      </c>
      <c r="F604" s="6"/>
      <c r="G604" s="6"/>
      <c r="H604" s="83">
        <f t="shared" si="10"/>
        <v>0</v>
      </c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x14ac:dyDescent="0.25">
      <c r="A605" s="10">
        <v>604</v>
      </c>
      <c r="B605" s="152" t="s">
        <v>854</v>
      </c>
      <c r="C605" s="153" t="s">
        <v>3590</v>
      </c>
      <c r="D605" s="153" t="s">
        <v>3591</v>
      </c>
      <c r="E605" s="153" t="s">
        <v>4948</v>
      </c>
      <c r="F605" s="6"/>
      <c r="G605" s="6"/>
      <c r="H605" s="83">
        <f t="shared" si="10"/>
        <v>0</v>
      </c>
      <c r="I605" s="5">
        <f>100-100</f>
        <v>0</v>
      </c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x14ac:dyDescent="0.25">
      <c r="A606" s="10">
        <v>605</v>
      </c>
      <c r="B606" s="152" t="s">
        <v>948</v>
      </c>
      <c r="C606" s="153" t="s">
        <v>3592</v>
      </c>
      <c r="D606" s="153" t="s">
        <v>3593</v>
      </c>
      <c r="E606" s="153" t="s">
        <v>4948</v>
      </c>
      <c r="F606" s="6"/>
      <c r="G606" s="6"/>
      <c r="H606" s="83">
        <f t="shared" si="10"/>
        <v>0</v>
      </c>
      <c r="I606" s="5"/>
      <c r="J606" s="5"/>
      <c r="K606" s="5"/>
      <c r="L606" s="5"/>
      <c r="M606" s="5"/>
      <c r="N606" s="5"/>
      <c r="O606" s="5"/>
      <c r="P606" s="5"/>
      <c r="Q606" s="5">
        <f>500-500</f>
        <v>0</v>
      </c>
      <c r="R606" s="5"/>
      <c r="S606" s="5">
        <f>1000-1000</f>
        <v>0</v>
      </c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x14ac:dyDescent="0.25">
      <c r="A607" s="10">
        <v>606</v>
      </c>
      <c r="B607" s="152" t="s">
        <v>838</v>
      </c>
      <c r="C607" s="153" t="s">
        <v>3594</v>
      </c>
      <c r="D607" s="153" t="s">
        <v>3595</v>
      </c>
      <c r="E607" s="153" t="s">
        <v>2086</v>
      </c>
      <c r="F607" s="6"/>
      <c r="G607" s="6"/>
      <c r="H607" s="83">
        <f t="shared" si="10"/>
        <v>76000</v>
      </c>
      <c r="I607" s="5">
        <v>24000</v>
      </c>
      <c r="J607" s="5"/>
      <c r="K607" s="5"/>
      <c r="L607" s="5"/>
      <c r="M607" s="5"/>
      <c r="N607" s="5"/>
      <c r="O607" s="5"/>
      <c r="P607" s="5">
        <v>26000</v>
      </c>
      <c r="Q607" s="5">
        <v>10000</v>
      </c>
      <c r="R607" s="5"/>
      <c r="S607" s="5">
        <v>12000</v>
      </c>
      <c r="T607" s="5">
        <v>4000</v>
      </c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x14ac:dyDescent="0.25">
      <c r="A608" s="10">
        <v>607</v>
      </c>
      <c r="B608" s="152" t="s">
        <v>3596</v>
      </c>
      <c r="C608" s="153" t="s">
        <v>3597</v>
      </c>
      <c r="D608" s="153" t="s">
        <v>3598</v>
      </c>
      <c r="E608" s="153" t="s">
        <v>4948</v>
      </c>
      <c r="F608" s="6"/>
      <c r="G608" s="6"/>
      <c r="H608" s="83">
        <f t="shared" si="10"/>
        <v>0</v>
      </c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x14ac:dyDescent="0.25">
      <c r="A609" s="10">
        <v>608</v>
      </c>
      <c r="B609" s="152" t="s">
        <v>1178</v>
      </c>
      <c r="C609" s="153" t="s">
        <v>3599</v>
      </c>
      <c r="D609" s="153" t="s">
        <v>3600</v>
      </c>
      <c r="E609" s="153" t="s">
        <v>2086</v>
      </c>
      <c r="F609" s="6"/>
      <c r="G609" s="6"/>
      <c r="H609" s="83">
        <f t="shared" si="10"/>
        <v>9000</v>
      </c>
      <c r="I609" s="5"/>
      <c r="J609" s="5">
        <f>18000-9000</f>
        <v>9000</v>
      </c>
      <c r="K609" s="5"/>
      <c r="L609" s="5"/>
      <c r="M609" s="5"/>
      <c r="N609" s="5"/>
      <c r="O609" s="5"/>
      <c r="P609" s="5">
        <f>5-5</f>
        <v>0</v>
      </c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x14ac:dyDescent="0.25">
      <c r="A610" s="10">
        <v>609</v>
      </c>
      <c r="B610" s="152" t="s">
        <v>1158</v>
      </c>
      <c r="C610" s="153" t="s">
        <v>3601</v>
      </c>
      <c r="D610" s="153" t="s">
        <v>3602</v>
      </c>
      <c r="E610" s="153" t="s">
        <v>2086</v>
      </c>
      <c r="F610" s="6"/>
      <c r="G610" s="6"/>
      <c r="H610" s="83">
        <f t="shared" si="10"/>
        <v>5</v>
      </c>
      <c r="I610" s="5"/>
      <c r="J610" s="5"/>
      <c r="K610" s="5"/>
      <c r="L610" s="5"/>
      <c r="M610" s="5"/>
      <c r="N610" s="5"/>
      <c r="O610" s="5"/>
      <c r="P610" s="5">
        <v>5</v>
      </c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x14ac:dyDescent="0.25">
      <c r="A611" s="10">
        <v>610</v>
      </c>
      <c r="B611" s="152" t="s">
        <v>1587</v>
      </c>
      <c r="C611" s="153" t="s">
        <v>3603</v>
      </c>
      <c r="D611" s="153" t="s">
        <v>3604</v>
      </c>
      <c r="E611" s="153" t="s">
        <v>2086</v>
      </c>
      <c r="F611" s="6"/>
      <c r="G611" s="6"/>
      <c r="H611" s="83">
        <f t="shared" si="10"/>
        <v>5</v>
      </c>
      <c r="I611" s="5"/>
      <c r="J611" s="5"/>
      <c r="K611" s="5"/>
      <c r="L611" s="5"/>
      <c r="M611" s="5"/>
      <c r="N611" s="5"/>
      <c r="O611" s="5"/>
      <c r="P611" s="5">
        <v>5</v>
      </c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x14ac:dyDescent="0.25">
      <c r="A612" s="10">
        <v>611</v>
      </c>
      <c r="B612" s="152" t="s">
        <v>3605</v>
      </c>
      <c r="C612" s="153" t="s">
        <v>3606</v>
      </c>
      <c r="D612" s="153" t="s">
        <v>3607</v>
      </c>
      <c r="E612" s="153" t="s">
        <v>2086</v>
      </c>
      <c r="F612" s="6"/>
      <c r="G612" s="6"/>
      <c r="H612" s="83">
        <f t="shared" si="10"/>
        <v>1000</v>
      </c>
      <c r="I612" s="5">
        <v>1000</v>
      </c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x14ac:dyDescent="0.25">
      <c r="A613" s="10">
        <v>612</v>
      </c>
      <c r="B613" s="152" t="s">
        <v>3608</v>
      </c>
      <c r="C613" s="153" t="s">
        <v>3609</v>
      </c>
      <c r="D613" s="153" t="s">
        <v>3610</v>
      </c>
      <c r="E613" s="153" t="s">
        <v>2086</v>
      </c>
      <c r="F613" s="6"/>
      <c r="G613" s="6"/>
      <c r="H613" s="83">
        <f t="shared" si="10"/>
        <v>0</v>
      </c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x14ac:dyDescent="0.25">
      <c r="A614" s="10">
        <v>613</v>
      </c>
      <c r="B614" s="152" t="s">
        <v>3611</v>
      </c>
      <c r="C614" s="153" t="s">
        <v>3612</v>
      </c>
      <c r="D614" s="153" t="s">
        <v>3613</v>
      </c>
      <c r="E614" s="153" t="s">
        <v>2086</v>
      </c>
      <c r="F614" s="6"/>
      <c r="G614" s="6"/>
      <c r="H614" s="83">
        <f t="shared" si="10"/>
        <v>0</v>
      </c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x14ac:dyDescent="0.25">
      <c r="A615" s="10">
        <v>614</v>
      </c>
      <c r="B615" s="152" t="s">
        <v>3614</v>
      </c>
      <c r="C615" s="153" t="s">
        <v>3615</v>
      </c>
      <c r="D615" s="153" t="s">
        <v>3616</v>
      </c>
      <c r="E615" s="153" t="s">
        <v>2086</v>
      </c>
      <c r="F615" s="6"/>
      <c r="G615" s="6"/>
      <c r="H615" s="83">
        <f t="shared" si="10"/>
        <v>0</v>
      </c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x14ac:dyDescent="0.25">
      <c r="A616" s="10">
        <v>615</v>
      </c>
      <c r="B616" s="152" t="s">
        <v>3617</v>
      </c>
      <c r="C616" s="153" t="s">
        <v>3618</v>
      </c>
      <c r="D616" s="153" t="s">
        <v>3619</v>
      </c>
      <c r="E616" s="153" t="s">
        <v>4948</v>
      </c>
      <c r="F616" s="6"/>
      <c r="G616" s="6"/>
      <c r="H616" s="83">
        <f t="shared" si="10"/>
        <v>0</v>
      </c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x14ac:dyDescent="0.25">
      <c r="A617" s="10">
        <v>616</v>
      </c>
      <c r="B617" s="152" t="s">
        <v>3620</v>
      </c>
      <c r="C617" s="153" t="s">
        <v>3621</v>
      </c>
      <c r="D617" s="153" t="s">
        <v>3622</v>
      </c>
      <c r="E617" s="153" t="s">
        <v>4948</v>
      </c>
      <c r="F617" s="6"/>
      <c r="G617" s="6"/>
      <c r="H617" s="83">
        <f t="shared" si="10"/>
        <v>0</v>
      </c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x14ac:dyDescent="0.25">
      <c r="A618" s="10">
        <v>617</v>
      </c>
      <c r="B618" s="152" t="s">
        <v>3623</v>
      </c>
      <c r="C618" s="153" t="s">
        <v>3624</v>
      </c>
      <c r="D618" s="153" t="s">
        <v>3625</v>
      </c>
      <c r="E618" s="153" t="s">
        <v>4948</v>
      </c>
      <c r="F618" s="6"/>
      <c r="G618" s="6"/>
      <c r="H618" s="83">
        <f t="shared" si="10"/>
        <v>0</v>
      </c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x14ac:dyDescent="0.25">
      <c r="A619" s="10">
        <v>618</v>
      </c>
      <c r="B619" s="155" t="s">
        <v>3626</v>
      </c>
      <c r="C619" s="156" t="s">
        <v>3627</v>
      </c>
      <c r="D619" s="156" t="s">
        <v>3628</v>
      </c>
      <c r="E619" s="153" t="s">
        <v>4948</v>
      </c>
      <c r="F619" s="6"/>
      <c r="G619" s="6"/>
      <c r="H619" s="83">
        <f t="shared" si="10"/>
        <v>0</v>
      </c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x14ac:dyDescent="0.25">
      <c r="A620" s="10">
        <v>619</v>
      </c>
      <c r="B620" s="152" t="s">
        <v>3629</v>
      </c>
      <c r="C620" s="153" t="s">
        <v>3630</v>
      </c>
      <c r="D620" s="153" t="s">
        <v>3631</v>
      </c>
      <c r="E620" s="153" t="s">
        <v>4948</v>
      </c>
      <c r="F620" s="6"/>
      <c r="G620" s="6"/>
      <c r="H620" s="83">
        <f t="shared" si="10"/>
        <v>0</v>
      </c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x14ac:dyDescent="0.25">
      <c r="A621" s="10">
        <v>620</v>
      </c>
      <c r="B621" s="152" t="s">
        <v>3632</v>
      </c>
      <c r="C621" s="153" t="s">
        <v>3633</v>
      </c>
      <c r="D621" s="153" t="s">
        <v>3634</v>
      </c>
      <c r="E621" s="153" t="s">
        <v>4948</v>
      </c>
      <c r="F621" s="6"/>
      <c r="G621" s="6"/>
      <c r="H621" s="83">
        <f t="shared" si="10"/>
        <v>0</v>
      </c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x14ac:dyDescent="0.25">
      <c r="A622" s="10">
        <v>621</v>
      </c>
      <c r="B622" s="152" t="s">
        <v>1234</v>
      </c>
      <c r="C622" s="153" t="s">
        <v>3635</v>
      </c>
      <c r="D622" s="153" t="s">
        <v>3636</v>
      </c>
      <c r="E622" s="153" t="s">
        <v>2086</v>
      </c>
      <c r="F622" s="6"/>
      <c r="G622" s="6"/>
      <c r="H622" s="83">
        <f t="shared" si="10"/>
        <v>0</v>
      </c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x14ac:dyDescent="0.25">
      <c r="A623" s="10">
        <v>622</v>
      </c>
      <c r="B623" s="152" t="s">
        <v>204</v>
      </c>
      <c r="C623" s="153" t="s">
        <v>3637</v>
      </c>
      <c r="D623" s="153" t="s">
        <v>3638</v>
      </c>
      <c r="E623" s="153" t="s">
        <v>4948</v>
      </c>
      <c r="F623" s="6"/>
      <c r="G623" s="6"/>
      <c r="H623" s="83">
        <f t="shared" si="10"/>
        <v>0</v>
      </c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x14ac:dyDescent="0.25">
      <c r="A624" s="10">
        <v>623</v>
      </c>
      <c r="B624" s="152" t="s">
        <v>202</v>
      </c>
      <c r="C624" s="153" t="s">
        <v>3639</v>
      </c>
      <c r="D624" s="153" t="s">
        <v>3640</v>
      </c>
      <c r="E624" s="153" t="s">
        <v>2086</v>
      </c>
      <c r="F624" s="6"/>
      <c r="G624" s="6"/>
      <c r="H624" s="83">
        <f t="shared" si="10"/>
        <v>0</v>
      </c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x14ac:dyDescent="0.25">
      <c r="A625" s="10">
        <v>624</v>
      </c>
      <c r="B625" s="152" t="s">
        <v>723</v>
      </c>
      <c r="C625" s="153" t="s">
        <v>3641</v>
      </c>
      <c r="D625" s="153" t="s">
        <v>3642</v>
      </c>
      <c r="E625" s="153" t="s">
        <v>49</v>
      </c>
      <c r="F625" s="6"/>
      <c r="G625" s="6"/>
      <c r="H625" s="83">
        <f t="shared" si="10"/>
        <v>5</v>
      </c>
      <c r="I625" s="5"/>
      <c r="J625" s="5"/>
      <c r="K625" s="5"/>
      <c r="L625" s="5"/>
      <c r="M625" s="5"/>
      <c r="N625" s="5"/>
      <c r="O625" s="5"/>
      <c r="P625" s="5">
        <v>5</v>
      </c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x14ac:dyDescent="0.25">
      <c r="A626" s="10">
        <v>625</v>
      </c>
      <c r="B626" s="152" t="s">
        <v>3643</v>
      </c>
      <c r="C626" s="153" t="s">
        <v>3644</v>
      </c>
      <c r="D626" s="153" t="s">
        <v>3645</v>
      </c>
      <c r="E626" s="153" t="s">
        <v>4948</v>
      </c>
      <c r="F626" s="6"/>
      <c r="G626" s="6"/>
      <c r="H626" s="83">
        <f t="shared" si="10"/>
        <v>0</v>
      </c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x14ac:dyDescent="0.25">
      <c r="A627" s="10">
        <v>626</v>
      </c>
      <c r="B627" s="152" t="s">
        <v>3646</v>
      </c>
      <c r="C627" s="153" t="s">
        <v>3647</v>
      </c>
      <c r="D627" s="153" t="s">
        <v>3648</v>
      </c>
      <c r="E627" s="153" t="s">
        <v>4948</v>
      </c>
      <c r="F627" s="6"/>
      <c r="G627" s="6"/>
      <c r="H627" s="83">
        <f t="shared" si="10"/>
        <v>0</v>
      </c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x14ac:dyDescent="0.25">
      <c r="A628" s="10">
        <v>627</v>
      </c>
      <c r="B628" s="152" t="s">
        <v>3649</v>
      </c>
      <c r="C628" s="153" t="s">
        <v>3650</v>
      </c>
      <c r="D628" s="153" t="s">
        <v>3651</v>
      </c>
      <c r="E628" s="153" t="s">
        <v>4948</v>
      </c>
      <c r="F628" s="6"/>
      <c r="G628" s="6"/>
      <c r="H628" s="83">
        <f t="shared" si="10"/>
        <v>0</v>
      </c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x14ac:dyDescent="0.25">
      <c r="A629" s="10">
        <v>628</v>
      </c>
      <c r="B629" s="152" t="s">
        <v>1944</v>
      </c>
      <c r="C629" s="153" t="s">
        <v>3652</v>
      </c>
      <c r="D629" s="153" t="s">
        <v>3653</v>
      </c>
      <c r="E629" s="153" t="s">
        <v>4948</v>
      </c>
      <c r="F629" s="6"/>
      <c r="G629" s="6"/>
      <c r="H629" s="83">
        <f t="shared" si="10"/>
        <v>0</v>
      </c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x14ac:dyDescent="0.25">
      <c r="A630" s="10">
        <v>629</v>
      </c>
      <c r="B630" s="152" t="s">
        <v>228</v>
      </c>
      <c r="C630" s="153" t="s">
        <v>3654</v>
      </c>
      <c r="D630" s="153" t="s">
        <v>3655</v>
      </c>
      <c r="E630" s="153" t="s">
        <v>2086</v>
      </c>
      <c r="F630" s="6"/>
      <c r="G630" s="6"/>
      <c r="H630" s="83">
        <f t="shared" si="10"/>
        <v>0</v>
      </c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x14ac:dyDescent="0.25">
      <c r="A631" s="10">
        <v>630</v>
      </c>
      <c r="B631" s="152" t="s">
        <v>226</v>
      </c>
      <c r="C631" s="153" t="s">
        <v>3656</v>
      </c>
      <c r="D631" s="153" t="s">
        <v>3657</v>
      </c>
      <c r="E631" s="153" t="s">
        <v>2086</v>
      </c>
      <c r="F631" s="6"/>
      <c r="G631" s="6"/>
      <c r="H631" s="83">
        <f t="shared" si="10"/>
        <v>0</v>
      </c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x14ac:dyDescent="0.25">
      <c r="A632" s="10">
        <v>631</v>
      </c>
      <c r="B632" s="152" t="s">
        <v>3658</v>
      </c>
      <c r="C632" s="153" t="s">
        <v>3659</v>
      </c>
      <c r="D632" s="153" t="s">
        <v>3660</v>
      </c>
      <c r="E632" s="153" t="s">
        <v>2086</v>
      </c>
      <c r="F632" s="6"/>
      <c r="G632" s="6"/>
      <c r="H632" s="83">
        <f t="shared" si="10"/>
        <v>0</v>
      </c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x14ac:dyDescent="0.25">
      <c r="A633" s="10">
        <v>632</v>
      </c>
      <c r="B633" s="152" t="s">
        <v>3661</v>
      </c>
      <c r="C633" s="153" t="s">
        <v>3662</v>
      </c>
      <c r="D633" s="153" t="s">
        <v>3663</v>
      </c>
      <c r="E633" s="153" t="s">
        <v>2086</v>
      </c>
      <c r="F633" s="6"/>
      <c r="G633" s="6"/>
      <c r="H633" s="83">
        <f t="shared" si="10"/>
        <v>0</v>
      </c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x14ac:dyDescent="0.25">
      <c r="A634" s="10">
        <v>633</v>
      </c>
      <c r="B634" s="152" t="s">
        <v>1897</v>
      </c>
      <c r="C634" s="153" t="s">
        <v>3664</v>
      </c>
      <c r="D634" s="153" t="s">
        <v>1899</v>
      </c>
      <c r="E634" s="153" t="s">
        <v>2086</v>
      </c>
      <c r="F634" s="6"/>
      <c r="G634" s="6"/>
      <c r="H634" s="83">
        <f t="shared" si="10"/>
        <v>1900</v>
      </c>
      <c r="I634" s="5"/>
      <c r="J634" s="5"/>
      <c r="K634" s="5"/>
      <c r="L634" s="5"/>
      <c r="M634" s="5"/>
      <c r="N634" s="5"/>
      <c r="O634" s="5"/>
      <c r="P634" s="5">
        <v>1900</v>
      </c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x14ac:dyDescent="0.25">
      <c r="A635" s="10">
        <v>634</v>
      </c>
      <c r="B635" s="152" t="s">
        <v>3665</v>
      </c>
      <c r="C635" s="153" t="s">
        <v>3666</v>
      </c>
      <c r="D635" s="153" t="s">
        <v>3667</v>
      </c>
      <c r="E635" s="153" t="s">
        <v>2086</v>
      </c>
      <c r="F635" s="6"/>
      <c r="G635" s="6"/>
      <c r="H635" s="83">
        <f t="shared" si="10"/>
        <v>300</v>
      </c>
      <c r="I635" s="5">
        <v>100</v>
      </c>
      <c r="J635" s="5"/>
      <c r="K635" s="5"/>
      <c r="L635" s="5"/>
      <c r="M635" s="5"/>
      <c r="N635" s="5"/>
      <c r="O635" s="5"/>
      <c r="P635" s="5"/>
      <c r="Q635" s="5">
        <v>100</v>
      </c>
      <c r="R635" s="5"/>
      <c r="S635" s="5">
        <v>100</v>
      </c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x14ac:dyDescent="0.25">
      <c r="A636" s="10">
        <v>635</v>
      </c>
      <c r="B636" s="152" t="s">
        <v>3668</v>
      </c>
      <c r="C636" s="153" t="s">
        <v>3669</v>
      </c>
      <c r="D636" s="153" t="s">
        <v>3670</v>
      </c>
      <c r="E636" s="153" t="s">
        <v>4948</v>
      </c>
      <c r="F636" s="6"/>
      <c r="G636" s="6"/>
      <c r="H636" s="83">
        <f t="shared" si="10"/>
        <v>0</v>
      </c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x14ac:dyDescent="0.25">
      <c r="A637" s="10">
        <v>636</v>
      </c>
      <c r="B637" s="152" t="s">
        <v>3671</v>
      </c>
      <c r="C637" s="153" t="s">
        <v>3672</v>
      </c>
      <c r="D637" s="153" t="s">
        <v>3673</v>
      </c>
      <c r="E637" s="153" t="s">
        <v>4948</v>
      </c>
      <c r="F637" s="6"/>
      <c r="G637" s="6"/>
      <c r="H637" s="83">
        <f t="shared" si="10"/>
        <v>0</v>
      </c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x14ac:dyDescent="0.25">
      <c r="A638" s="10">
        <v>637</v>
      </c>
      <c r="B638" s="152" t="s">
        <v>3674</v>
      </c>
      <c r="C638" s="153" t="s">
        <v>3675</v>
      </c>
      <c r="D638" s="153" t="s">
        <v>3676</v>
      </c>
      <c r="E638" s="153" t="s">
        <v>4948</v>
      </c>
      <c r="F638" s="6"/>
      <c r="G638" s="6"/>
      <c r="H638" s="83">
        <f t="shared" si="10"/>
        <v>0</v>
      </c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x14ac:dyDescent="0.25">
      <c r="A639" s="10">
        <v>638</v>
      </c>
      <c r="B639" s="152" t="s">
        <v>3677</v>
      </c>
      <c r="C639" s="153" t="s">
        <v>3678</v>
      </c>
      <c r="D639" s="153" t="s">
        <v>3679</v>
      </c>
      <c r="E639" s="153" t="s">
        <v>4948</v>
      </c>
      <c r="F639" s="6"/>
      <c r="G639" s="6"/>
      <c r="H639" s="83">
        <f t="shared" si="10"/>
        <v>0</v>
      </c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x14ac:dyDescent="0.25">
      <c r="A640" s="10">
        <v>639</v>
      </c>
      <c r="B640" s="152" t="s">
        <v>3680</v>
      </c>
      <c r="C640" s="153" t="s">
        <v>3681</v>
      </c>
      <c r="D640" s="153" t="s">
        <v>3682</v>
      </c>
      <c r="E640" s="153" t="s">
        <v>4948</v>
      </c>
      <c r="F640" s="6"/>
      <c r="G640" s="6"/>
      <c r="H640" s="83">
        <f t="shared" si="10"/>
        <v>0</v>
      </c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x14ac:dyDescent="0.25">
      <c r="A641" s="10">
        <v>640</v>
      </c>
      <c r="B641" s="152" t="s">
        <v>3683</v>
      </c>
      <c r="C641" s="153" t="s">
        <v>3684</v>
      </c>
      <c r="D641" s="153" t="s">
        <v>3685</v>
      </c>
      <c r="E641" s="153" t="s">
        <v>2086</v>
      </c>
      <c r="F641" s="6"/>
      <c r="G641" s="6"/>
      <c r="H641" s="83">
        <f t="shared" si="10"/>
        <v>0</v>
      </c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x14ac:dyDescent="0.25">
      <c r="A642" s="10">
        <v>641</v>
      </c>
      <c r="B642" s="152" t="s">
        <v>1739</v>
      </c>
      <c r="C642" s="153" t="s">
        <v>3686</v>
      </c>
      <c r="D642" s="153" t="s">
        <v>3687</v>
      </c>
      <c r="E642" s="153" t="s">
        <v>4948</v>
      </c>
      <c r="F642" s="6"/>
      <c r="G642" s="6"/>
      <c r="H642" s="83">
        <f t="shared" ref="H642:H705" si="11">SUM(I642:AM642)</f>
        <v>0</v>
      </c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x14ac:dyDescent="0.25">
      <c r="A643" s="10">
        <v>642</v>
      </c>
      <c r="B643" s="152" t="s">
        <v>3688</v>
      </c>
      <c r="C643" s="153" t="s">
        <v>3689</v>
      </c>
      <c r="D643" s="153" t="s">
        <v>3690</v>
      </c>
      <c r="E643" s="153" t="s">
        <v>4948</v>
      </c>
      <c r="F643" s="6"/>
      <c r="G643" s="6"/>
      <c r="H643" s="83">
        <f t="shared" si="11"/>
        <v>0</v>
      </c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x14ac:dyDescent="0.25">
      <c r="A644" s="10">
        <v>643</v>
      </c>
      <c r="B644" s="152" t="s">
        <v>3691</v>
      </c>
      <c r="C644" s="153" t="s">
        <v>3692</v>
      </c>
      <c r="D644" s="153" t="s">
        <v>3693</v>
      </c>
      <c r="E644" s="153" t="s">
        <v>4948</v>
      </c>
      <c r="F644" s="6"/>
      <c r="G644" s="6"/>
      <c r="H644" s="83">
        <f t="shared" si="11"/>
        <v>0</v>
      </c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x14ac:dyDescent="0.25">
      <c r="A645" s="10">
        <v>644</v>
      </c>
      <c r="B645" s="152" t="s">
        <v>3694</v>
      </c>
      <c r="C645" s="153" t="s">
        <v>3695</v>
      </c>
      <c r="D645" s="153" t="s">
        <v>3696</v>
      </c>
      <c r="E645" s="153" t="s">
        <v>2086</v>
      </c>
      <c r="F645" s="6"/>
      <c r="G645" s="6"/>
      <c r="H645" s="83">
        <f t="shared" si="11"/>
        <v>0</v>
      </c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x14ac:dyDescent="0.25">
      <c r="A646" s="10">
        <v>645</v>
      </c>
      <c r="B646" s="152" t="s">
        <v>3697</v>
      </c>
      <c r="C646" s="153" t="s">
        <v>3698</v>
      </c>
      <c r="D646" s="153" t="s">
        <v>3699</v>
      </c>
      <c r="E646" s="153" t="s">
        <v>2086</v>
      </c>
      <c r="F646" s="6"/>
      <c r="G646" s="6"/>
      <c r="H646" s="83">
        <f t="shared" si="11"/>
        <v>0</v>
      </c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x14ac:dyDescent="0.25">
      <c r="A647" s="10">
        <v>646</v>
      </c>
      <c r="B647" s="152" t="s">
        <v>3700</v>
      </c>
      <c r="C647" s="153" t="s">
        <v>3701</v>
      </c>
      <c r="D647" s="153" t="s">
        <v>3702</v>
      </c>
      <c r="E647" s="153" t="s">
        <v>4948</v>
      </c>
      <c r="F647" s="6"/>
      <c r="G647" s="6"/>
      <c r="H647" s="83">
        <f t="shared" si="11"/>
        <v>0</v>
      </c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x14ac:dyDescent="0.25">
      <c r="A648" s="10">
        <v>647</v>
      </c>
      <c r="B648" s="152" t="s">
        <v>3703</v>
      </c>
      <c r="C648" s="153" t="s">
        <v>3704</v>
      </c>
      <c r="D648" s="153" t="s">
        <v>3705</v>
      </c>
      <c r="E648" s="153" t="s">
        <v>4948</v>
      </c>
      <c r="F648" s="6"/>
      <c r="G648" s="6"/>
      <c r="H648" s="83">
        <f t="shared" si="11"/>
        <v>0</v>
      </c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x14ac:dyDescent="0.25">
      <c r="A649" s="10">
        <v>648</v>
      </c>
      <c r="B649" s="152" t="s">
        <v>2067</v>
      </c>
      <c r="C649" s="153" t="s">
        <v>3706</v>
      </c>
      <c r="D649" s="153" t="s">
        <v>3707</v>
      </c>
      <c r="E649" s="153" t="s">
        <v>2086</v>
      </c>
      <c r="F649" s="6"/>
      <c r="G649" s="6"/>
      <c r="H649" s="83">
        <f t="shared" si="11"/>
        <v>9000</v>
      </c>
      <c r="I649" s="5"/>
      <c r="J649" s="5">
        <f>10000-1000</f>
        <v>9000</v>
      </c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x14ac:dyDescent="0.25">
      <c r="A650" s="10">
        <v>649</v>
      </c>
      <c r="B650" s="152" t="s">
        <v>3708</v>
      </c>
      <c r="C650" s="153" t="s">
        <v>3709</v>
      </c>
      <c r="D650" s="153" t="s">
        <v>3710</v>
      </c>
      <c r="E650" s="153" t="s">
        <v>2086</v>
      </c>
      <c r="F650" s="6"/>
      <c r="G650" s="6"/>
      <c r="H650" s="83">
        <f t="shared" si="11"/>
        <v>0</v>
      </c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x14ac:dyDescent="0.25">
      <c r="A651" s="10">
        <v>650</v>
      </c>
      <c r="B651" s="152" t="s">
        <v>1684</v>
      </c>
      <c r="C651" s="153" t="s">
        <v>3711</v>
      </c>
      <c r="D651" s="153" t="s">
        <v>3712</v>
      </c>
      <c r="E651" s="153" t="s">
        <v>2086</v>
      </c>
      <c r="F651" s="6"/>
      <c r="G651" s="6"/>
      <c r="H651" s="83">
        <f t="shared" si="11"/>
        <v>0</v>
      </c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x14ac:dyDescent="0.25">
      <c r="A652" s="10">
        <v>651</v>
      </c>
      <c r="B652" s="152" t="s">
        <v>2065</v>
      </c>
      <c r="C652" s="153" t="s">
        <v>3713</v>
      </c>
      <c r="D652" s="153" t="s">
        <v>3714</v>
      </c>
      <c r="E652" s="153" t="s">
        <v>4948</v>
      </c>
      <c r="F652" s="6"/>
      <c r="G652" s="6"/>
      <c r="H652" s="83">
        <f t="shared" si="11"/>
        <v>0</v>
      </c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x14ac:dyDescent="0.25">
      <c r="A653" s="10">
        <v>652</v>
      </c>
      <c r="B653" s="152" t="s">
        <v>3715</v>
      </c>
      <c r="C653" s="153" t="s">
        <v>3716</v>
      </c>
      <c r="D653" s="153" t="s">
        <v>3717</v>
      </c>
      <c r="E653" s="153" t="s">
        <v>4948</v>
      </c>
      <c r="F653" s="6"/>
      <c r="G653" s="6"/>
      <c r="H653" s="83">
        <f t="shared" si="11"/>
        <v>0</v>
      </c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x14ac:dyDescent="0.25">
      <c r="A654" s="10">
        <v>653</v>
      </c>
      <c r="B654" s="152" t="s">
        <v>3718</v>
      </c>
      <c r="C654" s="153" t="s">
        <v>3719</v>
      </c>
      <c r="D654" s="153" t="s">
        <v>3720</v>
      </c>
      <c r="E654" s="153" t="s">
        <v>2086</v>
      </c>
      <c r="F654" s="6"/>
      <c r="G654" s="6"/>
      <c r="H654" s="83">
        <f t="shared" si="11"/>
        <v>0</v>
      </c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x14ac:dyDescent="0.25">
      <c r="A655" s="10">
        <v>654</v>
      </c>
      <c r="B655" s="152" t="s">
        <v>3721</v>
      </c>
      <c r="C655" s="153" t="s">
        <v>3722</v>
      </c>
      <c r="D655" s="153" t="s">
        <v>3723</v>
      </c>
      <c r="E655" s="153" t="s">
        <v>4948</v>
      </c>
      <c r="F655" s="6"/>
      <c r="G655" s="6"/>
      <c r="H655" s="83">
        <f t="shared" si="11"/>
        <v>0</v>
      </c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x14ac:dyDescent="0.25">
      <c r="A656" s="10">
        <v>655</v>
      </c>
      <c r="B656" s="152" t="s">
        <v>3724</v>
      </c>
      <c r="C656" s="153" t="s">
        <v>3725</v>
      </c>
      <c r="D656" s="153" t="s">
        <v>3726</v>
      </c>
      <c r="E656" s="153" t="s">
        <v>4948</v>
      </c>
      <c r="F656" s="6"/>
      <c r="G656" s="6"/>
      <c r="H656" s="83">
        <f t="shared" si="11"/>
        <v>0</v>
      </c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x14ac:dyDescent="0.25">
      <c r="A657" s="10">
        <v>656</v>
      </c>
      <c r="B657" s="152" t="s">
        <v>1935</v>
      </c>
      <c r="C657" s="153" t="s">
        <v>3727</v>
      </c>
      <c r="D657" s="153" t="s">
        <v>3728</v>
      </c>
      <c r="E657" s="153" t="s">
        <v>4948</v>
      </c>
      <c r="F657" s="6"/>
      <c r="G657" s="6"/>
      <c r="H657" s="83">
        <f t="shared" si="11"/>
        <v>0</v>
      </c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x14ac:dyDescent="0.25">
      <c r="A658" s="10">
        <v>657</v>
      </c>
      <c r="B658" s="152" t="s">
        <v>1938</v>
      </c>
      <c r="C658" s="153" t="s">
        <v>3729</v>
      </c>
      <c r="D658" s="153" t="s">
        <v>3730</v>
      </c>
      <c r="E658" s="153" t="s">
        <v>4948</v>
      </c>
      <c r="F658" s="6"/>
      <c r="G658" s="6"/>
      <c r="H658" s="83">
        <f t="shared" si="11"/>
        <v>0</v>
      </c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x14ac:dyDescent="0.25">
      <c r="A659" s="10">
        <v>658</v>
      </c>
      <c r="B659" s="152" t="s">
        <v>3731</v>
      </c>
      <c r="C659" s="153" t="s">
        <v>3732</v>
      </c>
      <c r="D659" s="153" t="s">
        <v>3733</v>
      </c>
      <c r="E659" s="153" t="s">
        <v>4948</v>
      </c>
      <c r="F659" s="6"/>
      <c r="G659" s="6"/>
      <c r="H659" s="83">
        <f t="shared" si="11"/>
        <v>0</v>
      </c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x14ac:dyDescent="0.25">
      <c r="A660" s="10">
        <v>659</v>
      </c>
      <c r="B660" s="152" t="s">
        <v>3734</v>
      </c>
      <c r="C660" s="153" t="s">
        <v>3735</v>
      </c>
      <c r="D660" s="153" t="s">
        <v>3736</v>
      </c>
      <c r="E660" s="153" t="s">
        <v>4948</v>
      </c>
      <c r="F660" s="6"/>
      <c r="G660" s="6"/>
      <c r="H660" s="83">
        <f t="shared" si="11"/>
        <v>0</v>
      </c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x14ac:dyDescent="0.25">
      <c r="A661" s="10">
        <v>660</v>
      </c>
      <c r="B661" s="152" t="s">
        <v>3737</v>
      </c>
      <c r="C661" s="153" t="s">
        <v>3738</v>
      </c>
      <c r="D661" s="153" t="s">
        <v>3739</v>
      </c>
      <c r="E661" s="153" t="s">
        <v>4948</v>
      </c>
      <c r="F661" s="6"/>
      <c r="G661" s="6"/>
      <c r="H661" s="83">
        <f t="shared" si="11"/>
        <v>0</v>
      </c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x14ac:dyDescent="0.25">
      <c r="A662" s="10">
        <v>661</v>
      </c>
      <c r="B662" s="152" t="s">
        <v>2047</v>
      </c>
      <c r="C662" s="153" t="s">
        <v>3740</v>
      </c>
      <c r="D662" s="153" t="s">
        <v>3741</v>
      </c>
      <c r="E662" s="153" t="s">
        <v>4948</v>
      </c>
      <c r="F662" s="6"/>
      <c r="G662" s="6"/>
      <c r="H662" s="83">
        <f t="shared" si="11"/>
        <v>0</v>
      </c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x14ac:dyDescent="0.25">
      <c r="A663" s="10">
        <v>662</v>
      </c>
      <c r="B663" s="152" t="s">
        <v>3742</v>
      </c>
      <c r="C663" s="153" t="s">
        <v>3743</v>
      </c>
      <c r="D663" s="153" t="s">
        <v>3744</v>
      </c>
      <c r="E663" s="153" t="s">
        <v>4948</v>
      </c>
      <c r="F663" s="6"/>
      <c r="G663" s="6"/>
      <c r="H663" s="83">
        <f t="shared" si="11"/>
        <v>0</v>
      </c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x14ac:dyDescent="0.25">
      <c r="A664" s="10">
        <v>663</v>
      </c>
      <c r="B664" s="152" t="s">
        <v>3745</v>
      </c>
      <c r="C664" s="153" t="s">
        <v>3746</v>
      </c>
      <c r="D664" s="153" t="s">
        <v>3747</v>
      </c>
      <c r="E664" s="153" t="s">
        <v>4948</v>
      </c>
      <c r="F664" s="6"/>
      <c r="G664" s="6"/>
      <c r="H664" s="83">
        <f t="shared" si="11"/>
        <v>0</v>
      </c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x14ac:dyDescent="0.25">
      <c r="A665" s="10">
        <v>664</v>
      </c>
      <c r="B665" s="152" t="s">
        <v>3748</v>
      </c>
      <c r="C665" s="153" t="s">
        <v>3749</v>
      </c>
      <c r="D665" s="153" t="s">
        <v>3750</v>
      </c>
      <c r="E665" s="153" t="s">
        <v>2086</v>
      </c>
      <c r="F665" s="6"/>
      <c r="G665" s="6"/>
      <c r="H665" s="83">
        <f t="shared" si="11"/>
        <v>10000</v>
      </c>
      <c r="I665" s="5"/>
      <c r="J665" s="5">
        <v>10000</v>
      </c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x14ac:dyDescent="0.25">
      <c r="A666" s="10">
        <v>665</v>
      </c>
      <c r="B666" s="152" t="s">
        <v>3751</v>
      </c>
      <c r="C666" s="153" t="s">
        <v>3752</v>
      </c>
      <c r="D666" s="153" t="s">
        <v>3753</v>
      </c>
      <c r="E666" s="153" t="s">
        <v>2086</v>
      </c>
      <c r="F666" s="6"/>
      <c r="G666" s="6"/>
      <c r="H666" s="83">
        <f t="shared" si="11"/>
        <v>0</v>
      </c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x14ac:dyDescent="0.25">
      <c r="A667" s="10">
        <v>666</v>
      </c>
      <c r="B667" s="152" t="s">
        <v>2069</v>
      </c>
      <c r="C667" s="153" t="s">
        <v>3754</v>
      </c>
      <c r="D667" s="153" t="s">
        <v>3755</v>
      </c>
      <c r="E667" s="153" t="s">
        <v>4948</v>
      </c>
      <c r="F667" s="6"/>
      <c r="G667" s="6"/>
      <c r="H667" s="83">
        <f t="shared" si="11"/>
        <v>0</v>
      </c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x14ac:dyDescent="0.25">
      <c r="A668" s="10">
        <v>667</v>
      </c>
      <c r="B668" s="152" t="s">
        <v>3756</v>
      </c>
      <c r="C668" s="153" t="s">
        <v>3757</v>
      </c>
      <c r="D668" s="153" t="s">
        <v>3758</v>
      </c>
      <c r="E668" s="153" t="s">
        <v>4948</v>
      </c>
      <c r="F668" s="6"/>
      <c r="G668" s="6"/>
      <c r="H668" s="83">
        <f t="shared" si="11"/>
        <v>0</v>
      </c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x14ac:dyDescent="0.25">
      <c r="A669" s="10">
        <v>668</v>
      </c>
      <c r="B669" s="152" t="s">
        <v>3759</v>
      </c>
      <c r="C669" s="153" t="s">
        <v>3760</v>
      </c>
      <c r="D669" s="153" t="s">
        <v>3761</v>
      </c>
      <c r="E669" s="153" t="s">
        <v>4948</v>
      </c>
      <c r="F669" s="6"/>
      <c r="G669" s="6"/>
      <c r="H669" s="83">
        <f t="shared" si="11"/>
        <v>0</v>
      </c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x14ac:dyDescent="0.25">
      <c r="A670" s="10">
        <v>669</v>
      </c>
      <c r="B670" s="152" t="s">
        <v>3762</v>
      </c>
      <c r="C670" s="153" t="s">
        <v>3763</v>
      </c>
      <c r="D670" s="153" t="s">
        <v>3764</v>
      </c>
      <c r="E670" s="153" t="s">
        <v>4948</v>
      </c>
      <c r="F670" s="6"/>
      <c r="G670" s="6"/>
      <c r="H670" s="83">
        <f t="shared" si="11"/>
        <v>0</v>
      </c>
      <c r="I670" s="5">
        <f>5000-5000</f>
        <v>0</v>
      </c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x14ac:dyDescent="0.25">
      <c r="A671" s="10">
        <v>670</v>
      </c>
      <c r="B671" s="152" t="s">
        <v>3765</v>
      </c>
      <c r="C671" s="153" t="s">
        <v>3766</v>
      </c>
      <c r="D671" s="153" t="s">
        <v>3767</v>
      </c>
      <c r="E671" s="153" t="s">
        <v>4948</v>
      </c>
      <c r="F671" s="6"/>
      <c r="G671" s="6"/>
      <c r="H671" s="83">
        <f t="shared" si="11"/>
        <v>0</v>
      </c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x14ac:dyDescent="0.25">
      <c r="A672" s="10">
        <v>671</v>
      </c>
      <c r="B672" s="152" t="s">
        <v>3768</v>
      </c>
      <c r="C672" s="153" t="s">
        <v>3769</v>
      </c>
      <c r="D672" s="153" t="s">
        <v>3770</v>
      </c>
      <c r="E672" s="153" t="s">
        <v>4948</v>
      </c>
      <c r="F672" s="6"/>
      <c r="G672" s="6"/>
      <c r="H672" s="83">
        <f t="shared" si="11"/>
        <v>0</v>
      </c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x14ac:dyDescent="0.25">
      <c r="A673" s="10">
        <v>672</v>
      </c>
      <c r="B673" s="152" t="s">
        <v>3771</v>
      </c>
      <c r="C673" s="153" t="s">
        <v>3772</v>
      </c>
      <c r="D673" s="153" t="s">
        <v>3773</v>
      </c>
      <c r="E673" s="153" t="s">
        <v>2086</v>
      </c>
      <c r="F673" s="6"/>
      <c r="G673" s="6"/>
      <c r="H673" s="83">
        <f t="shared" si="11"/>
        <v>0</v>
      </c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x14ac:dyDescent="0.25">
      <c r="A674" s="10">
        <v>673</v>
      </c>
      <c r="B674" s="152" t="s">
        <v>3774</v>
      </c>
      <c r="C674" s="153" t="s">
        <v>3775</v>
      </c>
      <c r="D674" s="153" t="s">
        <v>3776</v>
      </c>
      <c r="E674" s="153" t="s">
        <v>2086</v>
      </c>
      <c r="F674" s="6"/>
      <c r="G674" s="6"/>
      <c r="H674" s="83">
        <f t="shared" si="11"/>
        <v>0</v>
      </c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x14ac:dyDescent="0.25">
      <c r="A675" s="10">
        <v>674</v>
      </c>
      <c r="B675" s="152" t="s">
        <v>3777</v>
      </c>
      <c r="C675" s="153" t="s">
        <v>3778</v>
      </c>
      <c r="D675" s="153" t="s">
        <v>3779</v>
      </c>
      <c r="E675" s="153" t="s">
        <v>4948</v>
      </c>
      <c r="F675" s="6"/>
      <c r="G675" s="6"/>
      <c r="H675" s="83">
        <f t="shared" si="11"/>
        <v>0</v>
      </c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x14ac:dyDescent="0.25">
      <c r="A676" s="10">
        <v>675</v>
      </c>
      <c r="B676" s="152" t="s">
        <v>3780</v>
      </c>
      <c r="C676" s="153" t="s">
        <v>3781</v>
      </c>
      <c r="D676" s="153" t="s">
        <v>3782</v>
      </c>
      <c r="E676" s="153" t="s">
        <v>4948</v>
      </c>
      <c r="F676" s="6"/>
      <c r="G676" s="6"/>
      <c r="H676" s="83">
        <f t="shared" si="11"/>
        <v>0</v>
      </c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x14ac:dyDescent="0.25">
      <c r="A677" s="10">
        <v>676</v>
      </c>
      <c r="B677" s="152" t="s">
        <v>1686</v>
      </c>
      <c r="C677" s="153" t="s">
        <v>3783</v>
      </c>
      <c r="D677" s="153" t="s">
        <v>3784</v>
      </c>
      <c r="E677" s="153" t="s">
        <v>4948</v>
      </c>
      <c r="F677" s="6"/>
      <c r="G677" s="6"/>
      <c r="H677" s="83">
        <f t="shared" si="11"/>
        <v>0</v>
      </c>
      <c r="I677" s="5">
        <f>8700-8700</f>
        <v>0</v>
      </c>
      <c r="J677" s="5"/>
      <c r="K677" s="5"/>
      <c r="L677" s="5"/>
      <c r="M677" s="5"/>
      <c r="N677" s="5"/>
      <c r="O677" s="5"/>
      <c r="P677" s="5">
        <f>2500-2500</f>
        <v>0</v>
      </c>
      <c r="Q677" s="5">
        <f>2000-2000</f>
        <v>0</v>
      </c>
      <c r="R677" s="5"/>
      <c r="S677" s="5">
        <f>250-250</f>
        <v>0</v>
      </c>
      <c r="T677" s="5">
        <f>450-450</f>
        <v>0</v>
      </c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x14ac:dyDescent="0.25">
      <c r="A678" s="10">
        <v>677</v>
      </c>
      <c r="B678" s="152" t="s">
        <v>1689</v>
      </c>
      <c r="C678" s="153" t="s">
        <v>3785</v>
      </c>
      <c r="D678" s="153" t="s">
        <v>3786</v>
      </c>
      <c r="E678" s="153" t="s">
        <v>2086</v>
      </c>
      <c r="F678" s="6"/>
      <c r="G678" s="6"/>
      <c r="H678" s="83">
        <f t="shared" si="11"/>
        <v>12250</v>
      </c>
      <c r="I678" s="5">
        <f>15250-3000</f>
        <v>12250</v>
      </c>
      <c r="J678" s="5"/>
      <c r="K678" s="5"/>
      <c r="L678" s="5"/>
      <c r="M678" s="5"/>
      <c r="N678" s="5"/>
      <c r="O678" s="5"/>
      <c r="P678" s="5">
        <f>2500-2500</f>
        <v>0</v>
      </c>
      <c r="Q678" s="5">
        <f>1000-1000</f>
        <v>0</v>
      </c>
      <c r="R678" s="5"/>
      <c r="S678" s="5">
        <f>250-250</f>
        <v>0</v>
      </c>
      <c r="T678" s="5">
        <f>200-200</f>
        <v>0</v>
      </c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x14ac:dyDescent="0.25">
      <c r="A679" s="10">
        <v>678</v>
      </c>
      <c r="B679" s="152" t="s">
        <v>1692</v>
      </c>
      <c r="C679" s="153" t="s">
        <v>3787</v>
      </c>
      <c r="D679" s="153" t="s">
        <v>3788</v>
      </c>
      <c r="E679" s="153" t="s">
        <v>2086</v>
      </c>
      <c r="F679" s="6"/>
      <c r="G679" s="6"/>
      <c r="H679" s="83">
        <f t="shared" si="11"/>
        <v>11450</v>
      </c>
      <c r="I679" s="5">
        <v>5800</v>
      </c>
      <c r="J679" s="5"/>
      <c r="K679" s="5"/>
      <c r="L679" s="5"/>
      <c r="M679" s="5"/>
      <c r="N679" s="5"/>
      <c r="O679" s="5"/>
      <c r="P679" s="5">
        <v>1500</v>
      </c>
      <c r="Q679" s="5">
        <v>1250</v>
      </c>
      <c r="R679" s="5"/>
      <c r="S679" s="5">
        <f>250+250+250</f>
        <v>750</v>
      </c>
      <c r="T679" s="5">
        <f>1500+450+200</f>
        <v>2150</v>
      </c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x14ac:dyDescent="0.25">
      <c r="A680" s="10">
        <v>679</v>
      </c>
      <c r="B680" s="152" t="s">
        <v>3789</v>
      </c>
      <c r="C680" s="153" t="s">
        <v>3790</v>
      </c>
      <c r="D680" s="153" t="s">
        <v>3791</v>
      </c>
      <c r="E680" s="153" t="s">
        <v>4948</v>
      </c>
      <c r="F680" s="6"/>
      <c r="G680" s="6"/>
      <c r="H680" s="83">
        <f t="shared" si="11"/>
        <v>0</v>
      </c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x14ac:dyDescent="0.25">
      <c r="A681" s="10">
        <v>680</v>
      </c>
      <c r="B681" s="152" t="s">
        <v>3792</v>
      </c>
      <c r="C681" s="153" t="s">
        <v>3793</v>
      </c>
      <c r="D681" s="153" t="s">
        <v>3794</v>
      </c>
      <c r="E681" s="153" t="s">
        <v>4948</v>
      </c>
      <c r="F681" s="6"/>
      <c r="G681" s="6"/>
      <c r="H681" s="83">
        <f t="shared" si="11"/>
        <v>13</v>
      </c>
      <c r="I681" s="5"/>
      <c r="J681" s="5">
        <v>13</v>
      </c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x14ac:dyDescent="0.25">
      <c r="A682" s="10">
        <v>681</v>
      </c>
      <c r="B682" s="152" t="s">
        <v>3795</v>
      </c>
      <c r="C682" s="153" t="s">
        <v>3796</v>
      </c>
      <c r="D682" s="153" t="s">
        <v>3797</v>
      </c>
      <c r="E682" s="153" t="s">
        <v>2086</v>
      </c>
      <c r="F682" s="6"/>
      <c r="G682" s="6"/>
      <c r="H682" s="83">
        <f t="shared" si="11"/>
        <v>0</v>
      </c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x14ac:dyDescent="0.25">
      <c r="A683" s="10">
        <v>682</v>
      </c>
      <c r="B683" s="152" t="s">
        <v>3798</v>
      </c>
      <c r="C683" s="153" t="s">
        <v>3799</v>
      </c>
      <c r="D683" s="153" t="s">
        <v>3800</v>
      </c>
      <c r="E683" s="153" t="s">
        <v>4948</v>
      </c>
      <c r="F683" s="6"/>
      <c r="G683" s="6"/>
      <c r="H683" s="83">
        <f t="shared" si="11"/>
        <v>0</v>
      </c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x14ac:dyDescent="0.25">
      <c r="A684" s="10">
        <v>683</v>
      </c>
      <c r="B684" s="152" t="s">
        <v>3801</v>
      </c>
      <c r="C684" s="153" t="s">
        <v>3802</v>
      </c>
      <c r="D684" s="153" t="s">
        <v>3803</v>
      </c>
      <c r="E684" s="153" t="s">
        <v>4948</v>
      </c>
      <c r="F684" s="6"/>
      <c r="G684" s="6"/>
      <c r="H684" s="83">
        <f t="shared" si="11"/>
        <v>0</v>
      </c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x14ac:dyDescent="0.25">
      <c r="A685" s="10">
        <v>684</v>
      </c>
      <c r="B685" s="152" t="s">
        <v>3804</v>
      </c>
      <c r="C685" s="153" t="s">
        <v>3805</v>
      </c>
      <c r="D685" s="153" t="s">
        <v>3806</v>
      </c>
      <c r="E685" s="153" t="s">
        <v>2086</v>
      </c>
      <c r="F685" s="6"/>
      <c r="G685" s="6"/>
      <c r="H685" s="83">
        <f t="shared" si="11"/>
        <v>0</v>
      </c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x14ac:dyDescent="0.25">
      <c r="A686" s="10">
        <v>685</v>
      </c>
      <c r="B686" s="152" t="s">
        <v>3807</v>
      </c>
      <c r="C686" s="153" t="s">
        <v>3808</v>
      </c>
      <c r="D686" s="153" t="s">
        <v>3809</v>
      </c>
      <c r="E686" s="153" t="s">
        <v>4948</v>
      </c>
      <c r="F686" s="6"/>
      <c r="G686" s="6"/>
      <c r="H686" s="83">
        <f t="shared" si="11"/>
        <v>0</v>
      </c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x14ac:dyDescent="0.25">
      <c r="A687" s="10">
        <v>686</v>
      </c>
      <c r="B687" s="152" t="s">
        <v>3810</v>
      </c>
      <c r="C687" s="153" t="s">
        <v>3811</v>
      </c>
      <c r="D687" s="153" t="s">
        <v>3812</v>
      </c>
      <c r="E687" s="153" t="s">
        <v>4948</v>
      </c>
      <c r="F687" s="6"/>
      <c r="G687" s="6"/>
      <c r="H687" s="83">
        <f t="shared" si="11"/>
        <v>0</v>
      </c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x14ac:dyDescent="0.25">
      <c r="A688" s="10">
        <v>687</v>
      </c>
      <c r="B688" s="152" t="s">
        <v>3813</v>
      </c>
      <c r="C688" s="153" t="s">
        <v>3814</v>
      </c>
      <c r="D688" s="153" t="s">
        <v>3815</v>
      </c>
      <c r="E688" s="153" t="s">
        <v>4948</v>
      </c>
      <c r="F688" s="6"/>
      <c r="G688" s="6"/>
      <c r="H688" s="83">
        <f t="shared" si="11"/>
        <v>0</v>
      </c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x14ac:dyDescent="0.25">
      <c r="A689" s="10">
        <v>688</v>
      </c>
      <c r="B689" s="152" t="s">
        <v>3816</v>
      </c>
      <c r="C689" s="153" t="s">
        <v>3817</v>
      </c>
      <c r="D689" s="153" t="s">
        <v>3818</v>
      </c>
      <c r="E689" s="153" t="s">
        <v>4948</v>
      </c>
      <c r="F689" s="6"/>
      <c r="G689" s="6"/>
      <c r="H689" s="83">
        <f t="shared" si="11"/>
        <v>0</v>
      </c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x14ac:dyDescent="0.25">
      <c r="A690" s="10">
        <v>689</v>
      </c>
      <c r="B690" s="152" t="s">
        <v>3819</v>
      </c>
      <c r="C690" s="153" t="s">
        <v>3820</v>
      </c>
      <c r="D690" s="153" t="s">
        <v>3821</v>
      </c>
      <c r="E690" s="153" t="s">
        <v>4948</v>
      </c>
      <c r="F690" s="6"/>
      <c r="G690" s="6"/>
      <c r="H690" s="83">
        <f t="shared" si="11"/>
        <v>0</v>
      </c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x14ac:dyDescent="0.25">
      <c r="A691" s="10">
        <v>690</v>
      </c>
      <c r="B691" s="152" t="s">
        <v>3822</v>
      </c>
      <c r="C691" s="153" t="s">
        <v>3823</v>
      </c>
      <c r="D691" s="153" t="s">
        <v>3824</v>
      </c>
      <c r="E691" s="153" t="s">
        <v>4948</v>
      </c>
      <c r="F691" s="6"/>
      <c r="G691" s="6"/>
      <c r="H691" s="83">
        <f t="shared" si="11"/>
        <v>0</v>
      </c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x14ac:dyDescent="0.25">
      <c r="A692" s="10">
        <v>691</v>
      </c>
      <c r="B692" s="152" t="s">
        <v>3825</v>
      </c>
      <c r="C692" s="153" t="s">
        <v>3826</v>
      </c>
      <c r="D692" s="153" t="s">
        <v>3827</v>
      </c>
      <c r="E692" s="153" t="s">
        <v>4948</v>
      </c>
      <c r="F692" s="6"/>
      <c r="G692" s="6"/>
      <c r="H692" s="83">
        <f t="shared" si="11"/>
        <v>0</v>
      </c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x14ac:dyDescent="0.25">
      <c r="A693" s="10">
        <v>692</v>
      </c>
      <c r="B693" s="152" t="s">
        <v>3828</v>
      </c>
      <c r="C693" s="153" t="s">
        <v>3829</v>
      </c>
      <c r="D693" s="153" t="s">
        <v>3830</v>
      </c>
      <c r="E693" s="153" t="s">
        <v>4948</v>
      </c>
      <c r="F693" s="6"/>
      <c r="G693" s="6"/>
      <c r="H693" s="83">
        <f t="shared" si="11"/>
        <v>0</v>
      </c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x14ac:dyDescent="0.25">
      <c r="A694" s="10">
        <v>693</v>
      </c>
      <c r="B694" s="152" t="s">
        <v>3831</v>
      </c>
      <c r="C694" s="153" t="s">
        <v>3832</v>
      </c>
      <c r="D694" s="153" t="s">
        <v>3833</v>
      </c>
      <c r="E694" s="153" t="s">
        <v>4948</v>
      </c>
      <c r="F694" s="6"/>
      <c r="G694" s="6"/>
      <c r="H694" s="83">
        <f t="shared" si="11"/>
        <v>0</v>
      </c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x14ac:dyDescent="0.25">
      <c r="A695" s="10">
        <v>694</v>
      </c>
      <c r="B695" s="152" t="s">
        <v>3834</v>
      </c>
      <c r="C695" s="153" t="s">
        <v>3835</v>
      </c>
      <c r="D695" s="153" t="s">
        <v>3836</v>
      </c>
      <c r="E695" s="153" t="s">
        <v>2086</v>
      </c>
      <c r="F695" s="6"/>
      <c r="G695" s="6"/>
      <c r="H695" s="83">
        <f t="shared" si="11"/>
        <v>0</v>
      </c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x14ac:dyDescent="0.25">
      <c r="A696" s="10">
        <v>695</v>
      </c>
      <c r="B696" s="152" t="s">
        <v>3837</v>
      </c>
      <c r="C696" s="153" t="s">
        <v>3838</v>
      </c>
      <c r="D696" s="153" t="s">
        <v>3839</v>
      </c>
      <c r="E696" s="153" t="s">
        <v>2086</v>
      </c>
      <c r="F696" s="6"/>
      <c r="G696" s="6"/>
      <c r="H696" s="83">
        <f t="shared" si="11"/>
        <v>0</v>
      </c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x14ac:dyDescent="0.25">
      <c r="A697" s="10">
        <v>696</v>
      </c>
      <c r="B697" s="152" t="s">
        <v>3840</v>
      </c>
      <c r="C697" s="153" t="s">
        <v>3841</v>
      </c>
      <c r="D697" s="153" t="s">
        <v>3842</v>
      </c>
      <c r="E697" s="153" t="s">
        <v>4948</v>
      </c>
      <c r="F697" s="6"/>
      <c r="G697" s="6"/>
      <c r="H697" s="83">
        <f t="shared" si="11"/>
        <v>0</v>
      </c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x14ac:dyDescent="0.25">
      <c r="A698" s="10">
        <v>697</v>
      </c>
      <c r="B698" s="152" t="s">
        <v>3843</v>
      </c>
      <c r="C698" s="153" t="s">
        <v>3844</v>
      </c>
      <c r="D698" s="153" t="s">
        <v>3845</v>
      </c>
      <c r="E698" s="153" t="s">
        <v>4948</v>
      </c>
      <c r="F698" s="6"/>
      <c r="G698" s="6"/>
      <c r="H698" s="83">
        <f t="shared" si="11"/>
        <v>0</v>
      </c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x14ac:dyDescent="0.25">
      <c r="A699" s="10">
        <v>698</v>
      </c>
      <c r="B699" s="152" t="s">
        <v>3846</v>
      </c>
      <c r="C699" s="153" t="s">
        <v>3847</v>
      </c>
      <c r="D699" s="153" t="s">
        <v>3848</v>
      </c>
      <c r="E699" s="153" t="s">
        <v>4948</v>
      </c>
      <c r="F699" s="6"/>
      <c r="G699" s="6"/>
      <c r="H699" s="83">
        <f t="shared" si="11"/>
        <v>0</v>
      </c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x14ac:dyDescent="0.25">
      <c r="A700" s="10">
        <v>699</v>
      </c>
      <c r="B700" s="152" t="s">
        <v>3849</v>
      </c>
      <c r="C700" s="153" t="s">
        <v>3850</v>
      </c>
      <c r="D700" s="153" t="s">
        <v>3851</v>
      </c>
      <c r="E700" s="153" t="s">
        <v>4948</v>
      </c>
      <c r="F700" s="6"/>
      <c r="G700" s="6"/>
      <c r="H700" s="83">
        <f t="shared" si="11"/>
        <v>0</v>
      </c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x14ac:dyDescent="0.25">
      <c r="A701" s="10">
        <v>700</v>
      </c>
      <c r="B701" s="152" t="s">
        <v>3852</v>
      </c>
      <c r="C701" s="153" t="s">
        <v>3853</v>
      </c>
      <c r="D701" s="153" t="s">
        <v>3854</v>
      </c>
      <c r="E701" s="153" t="s">
        <v>4948</v>
      </c>
      <c r="F701" s="6"/>
      <c r="G701" s="6"/>
      <c r="H701" s="83">
        <f t="shared" si="11"/>
        <v>0</v>
      </c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x14ac:dyDescent="0.25">
      <c r="A702" s="10">
        <v>701</v>
      </c>
      <c r="B702" s="152" t="s">
        <v>3855</v>
      </c>
      <c r="C702" s="153" t="s">
        <v>3856</v>
      </c>
      <c r="D702" s="153" t="s">
        <v>3857</v>
      </c>
      <c r="E702" s="153" t="s">
        <v>4948</v>
      </c>
      <c r="F702" s="6"/>
      <c r="G702" s="6"/>
      <c r="H702" s="83">
        <f t="shared" si="11"/>
        <v>0</v>
      </c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x14ac:dyDescent="0.25">
      <c r="A703" s="10">
        <v>702</v>
      </c>
      <c r="B703" s="152" t="s">
        <v>3858</v>
      </c>
      <c r="C703" s="153" t="s">
        <v>3859</v>
      </c>
      <c r="D703" s="153" t="s">
        <v>3860</v>
      </c>
      <c r="E703" s="153" t="s">
        <v>4948</v>
      </c>
      <c r="F703" s="6"/>
      <c r="G703" s="6"/>
      <c r="H703" s="83">
        <f t="shared" si="11"/>
        <v>0</v>
      </c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x14ac:dyDescent="0.25">
      <c r="A704" s="10">
        <v>703</v>
      </c>
      <c r="B704" s="152" t="s">
        <v>3861</v>
      </c>
      <c r="C704" s="153" t="s">
        <v>3862</v>
      </c>
      <c r="D704" s="153" t="s">
        <v>3863</v>
      </c>
      <c r="E704" s="153" t="s">
        <v>4948</v>
      </c>
      <c r="F704" s="6"/>
      <c r="G704" s="6"/>
      <c r="H704" s="83">
        <f t="shared" si="11"/>
        <v>0</v>
      </c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x14ac:dyDescent="0.25">
      <c r="A705" s="10">
        <v>704</v>
      </c>
      <c r="B705" s="152" t="s">
        <v>3864</v>
      </c>
      <c r="C705" s="153" t="s">
        <v>3865</v>
      </c>
      <c r="D705" s="153" t="s">
        <v>3866</v>
      </c>
      <c r="E705" s="153" t="s">
        <v>4948</v>
      </c>
      <c r="F705" s="6"/>
      <c r="G705" s="6"/>
      <c r="H705" s="83">
        <f t="shared" si="11"/>
        <v>0</v>
      </c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x14ac:dyDescent="0.25">
      <c r="A706" s="10">
        <v>705</v>
      </c>
      <c r="B706" s="152" t="s">
        <v>3867</v>
      </c>
      <c r="C706" s="153" t="s">
        <v>3868</v>
      </c>
      <c r="D706" s="153" t="s">
        <v>3869</v>
      </c>
      <c r="E706" s="153" t="s">
        <v>4948</v>
      </c>
      <c r="F706" s="6"/>
      <c r="G706" s="6"/>
      <c r="H706" s="83">
        <f t="shared" ref="H706:H769" si="12">SUM(I706:AM706)</f>
        <v>0</v>
      </c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x14ac:dyDescent="0.25">
      <c r="A707" s="10">
        <v>706</v>
      </c>
      <c r="B707" s="152" t="s">
        <v>3870</v>
      </c>
      <c r="C707" s="153" t="s">
        <v>3871</v>
      </c>
      <c r="D707" s="153" t="s">
        <v>3872</v>
      </c>
      <c r="E707" s="153" t="s">
        <v>4948</v>
      </c>
      <c r="F707" s="6"/>
      <c r="G707" s="6"/>
      <c r="H707" s="83">
        <f t="shared" si="12"/>
        <v>0</v>
      </c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x14ac:dyDescent="0.25">
      <c r="A708" s="10">
        <v>707</v>
      </c>
      <c r="B708" s="152" t="s">
        <v>1671</v>
      </c>
      <c r="C708" s="153" t="s">
        <v>3873</v>
      </c>
      <c r="D708" s="153" t="s">
        <v>3874</v>
      </c>
      <c r="E708" s="153" t="s">
        <v>4948</v>
      </c>
      <c r="F708" s="6"/>
      <c r="G708" s="6"/>
      <c r="H708" s="83">
        <f t="shared" si="12"/>
        <v>0</v>
      </c>
      <c r="I708" s="5">
        <f>37100-37100</f>
        <v>0</v>
      </c>
      <c r="J708" s="5"/>
      <c r="K708" s="5"/>
      <c r="L708" s="5"/>
      <c r="M708" s="5"/>
      <c r="N708" s="5"/>
      <c r="O708" s="5"/>
      <c r="P708" s="5">
        <f>7200-7200</f>
        <v>0</v>
      </c>
      <c r="Q708" s="5"/>
      <c r="R708" s="5"/>
      <c r="S708" s="5"/>
      <c r="T708" s="5">
        <f>8500-8500</f>
        <v>0</v>
      </c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x14ac:dyDescent="0.25">
      <c r="A709" s="10">
        <v>708</v>
      </c>
      <c r="B709" s="152" t="s">
        <v>3875</v>
      </c>
      <c r="C709" s="153" t="s">
        <v>3876</v>
      </c>
      <c r="D709" s="153" t="s">
        <v>3877</v>
      </c>
      <c r="E709" s="153" t="s">
        <v>4948</v>
      </c>
      <c r="F709" s="6"/>
      <c r="G709" s="6"/>
      <c r="H709" s="83">
        <f t="shared" si="12"/>
        <v>0</v>
      </c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x14ac:dyDescent="0.25">
      <c r="A710" s="10">
        <v>709</v>
      </c>
      <c r="B710" s="152" t="s">
        <v>3878</v>
      </c>
      <c r="C710" s="153" t="s">
        <v>3879</v>
      </c>
      <c r="D710" s="153" t="s">
        <v>3880</v>
      </c>
      <c r="E710" s="153" t="s">
        <v>4948</v>
      </c>
      <c r="F710" s="6"/>
      <c r="G710" s="6"/>
      <c r="H710" s="83">
        <f t="shared" si="12"/>
        <v>0</v>
      </c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x14ac:dyDescent="0.25">
      <c r="A711" s="10">
        <v>710</v>
      </c>
      <c r="B711" s="152" t="s">
        <v>3881</v>
      </c>
      <c r="C711" s="153" t="s">
        <v>3882</v>
      </c>
      <c r="D711" s="153" t="s">
        <v>3883</v>
      </c>
      <c r="E711" s="153" t="s">
        <v>4948</v>
      </c>
      <c r="F711" s="6"/>
      <c r="G711" s="6"/>
      <c r="H711" s="83">
        <f t="shared" si="12"/>
        <v>0</v>
      </c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x14ac:dyDescent="0.25">
      <c r="A712" s="10">
        <v>711</v>
      </c>
      <c r="B712" s="152" t="s">
        <v>3884</v>
      </c>
      <c r="C712" s="153" t="s">
        <v>3885</v>
      </c>
      <c r="D712" s="153" t="s">
        <v>3886</v>
      </c>
      <c r="E712" s="153" t="s">
        <v>4948</v>
      </c>
      <c r="F712" s="6"/>
      <c r="G712" s="6"/>
      <c r="H712" s="83">
        <f t="shared" si="12"/>
        <v>0</v>
      </c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x14ac:dyDescent="0.25">
      <c r="A713" s="10">
        <v>712</v>
      </c>
      <c r="B713" s="152" t="s">
        <v>3887</v>
      </c>
      <c r="C713" s="153" t="s">
        <v>3888</v>
      </c>
      <c r="D713" s="153" t="s">
        <v>3889</v>
      </c>
      <c r="E713" s="153" t="s">
        <v>4948</v>
      </c>
      <c r="F713" s="6"/>
      <c r="G713" s="6"/>
      <c r="H713" s="83">
        <f t="shared" si="12"/>
        <v>0</v>
      </c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x14ac:dyDescent="0.25">
      <c r="A714" s="10">
        <v>713</v>
      </c>
      <c r="B714" s="152" t="s">
        <v>3890</v>
      </c>
      <c r="C714" s="153" t="s">
        <v>3891</v>
      </c>
      <c r="D714" s="153" t="s">
        <v>3892</v>
      </c>
      <c r="E714" s="153" t="s">
        <v>4948</v>
      </c>
      <c r="F714" s="6"/>
      <c r="G714" s="6"/>
      <c r="H714" s="83">
        <f t="shared" si="12"/>
        <v>0</v>
      </c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x14ac:dyDescent="0.25">
      <c r="A715" s="10">
        <v>714</v>
      </c>
      <c r="B715" s="152" t="s">
        <v>3893</v>
      </c>
      <c r="C715" s="153" t="s">
        <v>3894</v>
      </c>
      <c r="D715" s="153" t="s">
        <v>3895</v>
      </c>
      <c r="E715" s="153" t="s">
        <v>4948</v>
      </c>
      <c r="F715" s="6"/>
      <c r="G715" s="6"/>
      <c r="H715" s="83">
        <f t="shared" si="12"/>
        <v>0</v>
      </c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x14ac:dyDescent="0.25">
      <c r="A716" s="10">
        <v>715</v>
      </c>
      <c r="B716" s="152" t="s">
        <v>3896</v>
      </c>
      <c r="C716" s="153" t="s">
        <v>3897</v>
      </c>
      <c r="D716" s="153" t="s">
        <v>3898</v>
      </c>
      <c r="E716" s="153" t="s">
        <v>4948</v>
      </c>
      <c r="F716" s="6"/>
      <c r="G716" s="6"/>
      <c r="H716" s="83">
        <f t="shared" si="12"/>
        <v>0</v>
      </c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x14ac:dyDescent="0.25">
      <c r="A717" s="10">
        <v>716</v>
      </c>
      <c r="B717" s="152" t="s">
        <v>3899</v>
      </c>
      <c r="C717" s="153" t="s">
        <v>3900</v>
      </c>
      <c r="D717" s="153" t="s">
        <v>3901</v>
      </c>
      <c r="E717" s="153" t="s">
        <v>4948</v>
      </c>
      <c r="F717" s="6"/>
      <c r="G717" s="6"/>
      <c r="H717" s="83">
        <f t="shared" si="12"/>
        <v>0</v>
      </c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x14ac:dyDescent="0.25">
      <c r="A718" s="10">
        <v>717</v>
      </c>
      <c r="B718" s="152" t="s">
        <v>3902</v>
      </c>
      <c r="C718" s="153" t="s">
        <v>3903</v>
      </c>
      <c r="D718" s="153" t="s">
        <v>3904</v>
      </c>
      <c r="E718" s="153" t="s">
        <v>4948</v>
      </c>
      <c r="F718" s="6"/>
      <c r="G718" s="6"/>
      <c r="H718" s="83">
        <f t="shared" si="12"/>
        <v>0</v>
      </c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x14ac:dyDescent="0.25">
      <c r="A719" s="10">
        <v>718</v>
      </c>
      <c r="B719" s="152" t="s">
        <v>3905</v>
      </c>
      <c r="C719" s="153" t="s">
        <v>3906</v>
      </c>
      <c r="D719" s="153" t="s">
        <v>3907</v>
      </c>
      <c r="E719" s="153" t="s">
        <v>4948</v>
      </c>
      <c r="F719" s="6"/>
      <c r="G719" s="6"/>
      <c r="H719" s="83">
        <f t="shared" si="12"/>
        <v>0</v>
      </c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x14ac:dyDescent="0.25">
      <c r="A720" s="10">
        <v>719</v>
      </c>
      <c r="B720" s="152" t="s">
        <v>3908</v>
      </c>
      <c r="C720" s="153" t="s">
        <v>3909</v>
      </c>
      <c r="D720" s="153" t="s">
        <v>3910</v>
      </c>
      <c r="E720" s="153" t="s">
        <v>4948</v>
      </c>
      <c r="F720" s="6"/>
      <c r="G720" s="6"/>
      <c r="H720" s="83">
        <f t="shared" si="12"/>
        <v>0</v>
      </c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x14ac:dyDescent="0.25">
      <c r="A721" s="10">
        <v>720</v>
      </c>
      <c r="B721" s="152" t="s">
        <v>3911</v>
      </c>
      <c r="C721" s="153" t="s">
        <v>3912</v>
      </c>
      <c r="D721" s="153" t="s">
        <v>3913</v>
      </c>
      <c r="E721" s="153" t="s">
        <v>4948</v>
      </c>
      <c r="F721" s="6"/>
      <c r="G721" s="6"/>
      <c r="H721" s="83">
        <f t="shared" si="12"/>
        <v>0</v>
      </c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x14ac:dyDescent="0.25">
      <c r="A722" s="10">
        <v>721</v>
      </c>
      <c r="B722" s="152" t="s">
        <v>3914</v>
      </c>
      <c r="C722" s="153" t="s">
        <v>3915</v>
      </c>
      <c r="D722" s="153" t="s">
        <v>3916</v>
      </c>
      <c r="E722" s="153" t="s">
        <v>2086</v>
      </c>
      <c r="F722" s="6"/>
      <c r="G722" s="6"/>
      <c r="H722" s="83">
        <f t="shared" si="12"/>
        <v>1000</v>
      </c>
      <c r="I722" s="5">
        <v>1000</v>
      </c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x14ac:dyDescent="0.25">
      <c r="A723" s="10">
        <v>722</v>
      </c>
      <c r="B723" s="152" t="s">
        <v>3917</v>
      </c>
      <c r="C723" s="153" t="s">
        <v>3918</v>
      </c>
      <c r="D723" s="153" t="s">
        <v>3919</v>
      </c>
      <c r="E723" s="153" t="s">
        <v>4948</v>
      </c>
      <c r="F723" s="6"/>
      <c r="G723" s="6"/>
      <c r="H723" s="83">
        <f t="shared" si="12"/>
        <v>0</v>
      </c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x14ac:dyDescent="0.25">
      <c r="A724" s="10">
        <v>723</v>
      </c>
      <c r="B724" s="152" t="s">
        <v>3920</v>
      </c>
      <c r="C724" s="153" t="s">
        <v>3921</v>
      </c>
      <c r="D724" s="153" t="s">
        <v>3922</v>
      </c>
      <c r="E724" s="153" t="s">
        <v>2086</v>
      </c>
      <c r="F724" s="6"/>
      <c r="G724" s="6"/>
      <c r="H724" s="83">
        <f t="shared" si="12"/>
        <v>0</v>
      </c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x14ac:dyDescent="0.25">
      <c r="A725" s="10">
        <v>724</v>
      </c>
      <c r="B725" s="152" t="s">
        <v>3923</v>
      </c>
      <c r="C725" s="153" t="s">
        <v>3924</v>
      </c>
      <c r="D725" s="153" t="s">
        <v>3925</v>
      </c>
      <c r="E725" s="153" t="s">
        <v>4948</v>
      </c>
      <c r="F725" s="6"/>
      <c r="G725" s="6"/>
      <c r="H725" s="83">
        <f t="shared" si="12"/>
        <v>0</v>
      </c>
      <c r="I725" s="5"/>
      <c r="J725" s="5"/>
      <c r="K725" s="5"/>
      <c r="L725" s="5"/>
      <c r="M725" s="5"/>
      <c r="N725" s="5"/>
      <c r="O725" s="5"/>
      <c r="P725" s="5"/>
      <c r="Q725" s="5">
        <f>7200-7200</f>
        <v>0</v>
      </c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x14ac:dyDescent="0.25">
      <c r="A726" s="10">
        <v>725</v>
      </c>
      <c r="B726" s="152" t="s">
        <v>3927</v>
      </c>
      <c r="C726" s="153" t="s">
        <v>3928</v>
      </c>
      <c r="D726" s="153" t="s">
        <v>3929</v>
      </c>
      <c r="E726" s="153" t="s">
        <v>2086</v>
      </c>
      <c r="F726" s="6"/>
      <c r="G726" s="6"/>
      <c r="H726" s="83">
        <f t="shared" si="12"/>
        <v>0</v>
      </c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x14ac:dyDescent="0.25">
      <c r="A727" s="10">
        <v>726</v>
      </c>
      <c r="B727" s="152" t="s">
        <v>3930</v>
      </c>
      <c r="C727" s="153" t="s">
        <v>3931</v>
      </c>
      <c r="D727" s="153" t="s">
        <v>3932</v>
      </c>
      <c r="E727" s="153" t="s">
        <v>4948</v>
      </c>
      <c r="F727" s="6"/>
      <c r="G727" s="6"/>
      <c r="H727" s="83">
        <f t="shared" si="12"/>
        <v>0</v>
      </c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x14ac:dyDescent="0.25">
      <c r="A728" s="10">
        <v>727</v>
      </c>
      <c r="B728" s="152" t="s">
        <v>3933</v>
      </c>
      <c r="C728" s="153" t="s">
        <v>3934</v>
      </c>
      <c r="D728" s="153" t="s">
        <v>3935</v>
      </c>
      <c r="E728" s="153" t="s">
        <v>4948</v>
      </c>
      <c r="F728" s="6"/>
      <c r="G728" s="6"/>
      <c r="H728" s="83">
        <f t="shared" si="12"/>
        <v>0</v>
      </c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x14ac:dyDescent="0.25">
      <c r="A729" s="10">
        <v>728</v>
      </c>
      <c r="B729" s="152" t="s">
        <v>3936</v>
      </c>
      <c r="C729" s="153" t="s">
        <v>3937</v>
      </c>
      <c r="D729" s="153" t="s">
        <v>3938</v>
      </c>
      <c r="E729" s="153" t="s">
        <v>4948</v>
      </c>
      <c r="F729" s="6"/>
      <c r="G729" s="6"/>
      <c r="H729" s="83">
        <f t="shared" si="12"/>
        <v>0</v>
      </c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x14ac:dyDescent="0.25">
      <c r="A730" s="10">
        <v>729</v>
      </c>
      <c r="B730" s="152" t="s">
        <v>3939</v>
      </c>
      <c r="C730" s="153" t="s">
        <v>3940</v>
      </c>
      <c r="D730" s="153" t="s">
        <v>3941</v>
      </c>
      <c r="E730" s="153" t="s">
        <v>2086</v>
      </c>
      <c r="F730" s="6"/>
      <c r="G730" s="6"/>
      <c r="H730" s="83">
        <f t="shared" si="12"/>
        <v>0</v>
      </c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x14ac:dyDescent="0.25">
      <c r="A731" s="10">
        <v>730</v>
      </c>
      <c r="B731" s="152" t="s">
        <v>3942</v>
      </c>
      <c r="C731" s="153" t="s">
        <v>3943</v>
      </c>
      <c r="D731" s="153" t="s">
        <v>3944</v>
      </c>
      <c r="E731" s="153" t="s">
        <v>4948</v>
      </c>
      <c r="F731" s="6"/>
      <c r="G731" s="6"/>
      <c r="H731" s="83">
        <f t="shared" si="12"/>
        <v>0</v>
      </c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x14ac:dyDescent="0.25">
      <c r="A732" s="10">
        <v>731</v>
      </c>
      <c r="B732" s="152" t="s">
        <v>3945</v>
      </c>
      <c r="C732" s="153" t="s">
        <v>3946</v>
      </c>
      <c r="D732" s="153" t="s">
        <v>3947</v>
      </c>
      <c r="E732" s="153" t="s">
        <v>4948</v>
      </c>
      <c r="F732" s="6"/>
      <c r="G732" s="6"/>
      <c r="H732" s="83">
        <f t="shared" si="12"/>
        <v>0</v>
      </c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x14ac:dyDescent="0.25">
      <c r="A733" s="10">
        <v>732</v>
      </c>
      <c r="B733" s="152" t="s">
        <v>3948</v>
      </c>
      <c r="C733" s="153" t="s">
        <v>3949</v>
      </c>
      <c r="D733" s="153" t="s">
        <v>3950</v>
      </c>
      <c r="E733" s="153" t="s">
        <v>4948</v>
      </c>
      <c r="F733" s="6"/>
      <c r="G733" s="6"/>
      <c r="H733" s="83">
        <f t="shared" si="12"/>
        <v>0</v>
      </c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x14ac:dyDescent="0.25">
      <c r="A734" s="10">
        <v>733</v>
      </c>
      <c r="B734" s="152" t="s">
        <v>3951</v>
      </c>
      <c r="C734" s="153" t="s">
        <v>3952</v>
      </c>
      <c r="D734" s="153" t="s">
        <v>3953</v>
      </c>
      <c r="E734" s="153" t="s">
        <v>4948</v>
      </c>
      <c r="F734" s="6"/>
      <c r="G734" s="6"/>
      <c r="H734" s="83">
        <f t="shared" si="12"/>
        <v>0</v>
      </c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x14ac:dyDescent="0.25">
      <c r="A735" s="10">
        <v>734</v>
      </c>
      <c r="B735" s="152" t="s">
        <v>3954</v>
      </c>
      <c r="C735" s="153" t="s">
        <v>3955</v>
      </c>
      <c r="D735" s="153" t="s">
        <v>3956</v>
      </c>
      <c r="E735" s="153" t="s">
        <v>4948</v>
      </c>
      <c r="F735" s="6"/>
      <c r="G735" s="6"/>
      <c r="H735" s="83">
        <f t="shared" si="12"/>
        <v>0</v>
      </c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x14ac:dyDescent="0.25">
      <c r="A736" s="10">
        <v>735</v>
      </c>
      <c r="B736" s="152" t="s">
        <v>3957</v>
      </c>
      <c r="C736" s="153" t="s">
        <v>3958</v>
      </c>
      <c r="D736" s="153" t="s">
        <v>3959</v>
      </c>
      <c r="E736" s="153" t="s">
        <v>4948</v>
      </c>
      <c r="F736" s="6"/>
      <c r="G736" s="6"/>
      <c r="H736" s="83">
        <f t="shared" si="12"/>
        <v>0</v>
      </c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x14ac:dyDescent="0.25">
      <c r="A737" s="10">
        <v>736</v>
      </c>
      <c r="B737" s="152" t="s">
        <v>3960</v>
      </c>
      <c r="C737" s="153" t="s">
        <v>3961</v>
      </c>
      <c r="D737" s="153" t="s">
        <v>3962</v>
      </c>
      <c r="E737" s="153" t="s">
        <v>4948</v>
      </c>
      <c r="F737" s="6"/>
      <c r="G737" s="6"/>
      <c r="H737" s="83">
        <f t="shared" si="12"/>
        <v>0</v>
      </c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x14ac:dyDescent="0.25">
      <c r="A738" s="10">
        <v>737</v>
      </c>
      <c r="B738" s="152" t="s">
        <v>3963</v>
      </c>
      <c r="C738" s="153" t="s">
        <v>3964</v>
      </c>
      <c r="D738" s="153" t="s">
        <v>3965</v>
      </c>
      <c r="E738" s="153" t="s">
        <v>2086</v>
      </c>
      <c r="F738" s="6"/>
      <c r="G738" s="6"/>
      <c r="H738" s="83">
        <f t="shared" si="12"/>
        <v>0</v>
      </c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x14ac:dyDescent="0.25">
      <c r="A739" s="10">
        <v>738</v>
      </c>
      <c r="B739" s="152" t="s">
        <v>3966</v>
      </c>
      <c r="C739" s="153" t="s">
        <v>3967</v>
      </c>
      <c r="D739" s="153" t="s">
        <v>3968</v>
      </c>
      <c r="E739" s="153" t="s">
        <v>2086</v>
      </c>
      <c r="F739" s="6"/>
      <c r="G739" s="6"/>
      <c r="H739" s="83">
        <f t="shared" si="12"/>
        <v>5280</v>
      </c>
      <c r="I739" s="5">
        <f>9000-3720</f>
        <v>5280</v>
      </c>
      <c r="J739" s="5"/>
      <c r="K739" s="5"/>
      <c r="L739" s="5"/>
      <c r="M739" s="5"/>
      <c r="N739" s="5"/>
      <c r="O739" s="5"/>
      <c r="P739" s="5"/>
      <c r="Q739" s="5">
        <f>6000-6000</f>
        <v>0</v>
      </c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x14ac:dyDescent="0.25">
      <c r="A740" s="10">
        <v>739</v>
      </c>
      <c r="B740" s="152" t="s">
        <v>3969</v>
      </c>
      <c r="C740" s="153" t="s">
        <v>3970</v>
      </c>
      <c r="D740" s="153" t="s">
        <v>3971</v>
      </c>
      <c r="E740" s="153" t="s">
        <v>4948</v>
      </c>
      <c r="F740" s="6"/>
      <c r="G740" s="6"/>
      <c r="H740" s="83">
        <f t="shared" si="12"/>
        <v>0</v>
      </c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x14ac:dyDescent="0.25">
      <c r="A741" s="10">
        <v>740</v>
      </c>
      <c r="B741" s="152" t="s">
        <v>3972</v>
      </c>
      <c r="C741" s="153" t="s">
        <v>3973</v>
      </c>
      <c r="D741" s="153" t="s">
        <v>3974</v>
      </c>
      <c r="E741" s="153" t="s">
        <v>2086</v>
      </c>
      <c r="F741" s="6"/>
      <c r="G741" s="6"/>
      <c r="H741" s="83">
        <f t="shared" si="12"/>
        <v>162000</v>
      </c>
      <c r="I741" s="5">
        <v>101000</v>
      </c>
      <c r="J741" s="5"/>
      <c r="K741" s="5"/>
      <c r="L741" s="5"/>
      <c r="M741" s="5"/>
      <c r="N741" s="5"/>
      <c r="O741" s="5"/>
      <c r="P741" s="5">
        <v>25000</v>
      </c>
      <c r="Q741" s="5">
        <v>9000</v>
      </c>
      <c r="R741" s="5"/>
      <c r="S741" s="5">
        <v>18000</v>
      </c>
      <c r="T741" s="5">
        <v>9000</v>
      </c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x14ac:dyDescent="0.25">
      <c r="A742" s="10">
        <v>741</v>
      </c>
      <c r="B742" s="152" t="s">
        <v>3975</v>
      </c>
      <c r="C742" s="153" t="s">
        <v>3976</v>
      </c>
      <c r="D742" s="153" t="s">
        <v>3977</v>
      </c>
      <c r="E742" s="153" t="s">
        <v>4948</v>
      </c>
      <c r="F742" s="6"/>
      <c r="G742" s="6"/>
      <c r="H742" s="83">
        <f t="shared" si="12"/>
        <v>164004</v>
      </c>
      <c r="I742" s="5">
        <v>83000</v>
      </c>
      <c r="J742" s="5"/>
      <c r="K742" s="5"/>
      <c r="L742" s="5"/>
      <c r="M742" s="5"/>
      <c r="N742" s="5"/>
      <c r="O742" s="5"/>
      <c r="P742" s="5">
        <v>16000</v>
      </c>
      <c r="Q742" s="5">
        <v>11000</v>
      </c>
      <c r="R742" s="5"/>
      <c r="S742" s="5">
        <v>45004</v>
      </c>
      <c r="T742" s="5">
        <v>9000</v>
      </c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x14ac:dyDescent="0.25">
      <c r="A743" s="10">
        <v>742</v>
      </c>
      <c r="B743" s="152" t="s">
        <v>3978</v>
      </c>
      <c r="C743" s="153" t="s">
        <v>3979</v>
      </c>
      <c r="D743" s="153" t="s">
        <v>3980</v>
      </c>
      <c r="E743" s="153" t="s">
        <v>4948</v>
      </c>
      <c r="F743" s="6"/>
      <c r="G743" s="6"/>
      <c r="H743" s="83">
        <f t="shared" si="12"/>
        <v>0</v>
      </c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x14ac:dyDescent="0.25">
      <c r="A744" s="10">
        <v>743</v>
      </c>
      <c r="B744" s="152" t="s">
        <v>3981</v>
      </c>
      <c r="C744" s="153" t="s">
        <v>3982</v>
      </c>
      <c r="D744" s="153" t="s">
        <v>3983</v>
      </c>
      <c r="E744" s="153" t="s">
        <v>2086</v>
      </c>
      <c r="F744" s="6"/>
      <c r="G744" s="6"/>
      <c r="H744" s="83">
        <f t="shared" si="12"/>
        <v>23000</v>
      </c>
      <c r="I744" s="5">
        <v>10450</v>
      </c>
      <c r="J744" s="5"/>
      <c r="K744" s="5"/>
      <c r="L744" s="5"/>
      <c r="M744" s="5"/>
      <c r="N744" s="5"/>
      <c r="O744" s="5"/>
      <c r="P744" s="5">
        <v>9150</v>
      </c>
      <c r="Q744" s="5">
        <v>1000</v>
      </c>
      <c r="R744" s="5"/>
      <c r="S744" s="5">
        <v>1750</v>
      </c>
      <c r="T744" s="5">
        <v>650</v>
      </c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x14ac:dyDescent="0.25">
      <c r="A745" s="10">
        <v>744</v>
      </c>
      <c r="B745" s="152" t="s">
        <v>3984</v>
      </c>
      <c r="C745" s="153" t="s">
        <v>3985</v>
      </c>
      <c r="D745" s="153" t="s">
        <v>3986</v>
      </c>
      <c r="E745" s="153" t="s">
        <v>4948</v>
      </c>
      <c r="F745" s="6"/>
      <c r="G745" s="6"/>
      <c r="H745" s="83">
        <f t="shared" si="12"/>
        <v>0</v>
      </c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x14ac:dyDescent="0.25">
      <c r="A746" s="10">
        <v>745</v>
      </c>
      <c r="B746" s="152" t="s">
        <v>3987</v>
      </c>
      <c r="C746" s="153" t="s">
        <v>3988</v>
      </c>
      <c r="D746" s="153" t="s">
        <v>3989</v>
      </c>
      <c r="E746" s="153" t="s">
        <v>2086</v>
      </c>
      <c r="F746" s="6"/>
      <c r="G746" s="6"/>
      <c r="H746" s="83">
        <f t="shared" si="12"/>
        <v>15400</v>
      </c>
      <c r="I746" s="5">
        <f>17200-1800</f>
        <v>15400</v>
      </c>
      <c r="J746" s="5"/>
      <c r="K746" s="5"/>
      <c r="L746" s="5"/>
      <c r="M746" s="5"/>
      <c r="N746" s="5"/>
      <c r="O746" s="5"/>
      <c r="P746" s="5">
        <f>11500-11500</f>
        <v>0</v>
      </c>
      <c r="Q746" s="5">
        <f>2000-2000</f>
        <v>0</v>
      </c>
      <c r="R746" s="5"/>
      <c r="S746" s="5">
        <f>2500-2500</f>
        <v>0</v>
      </c>
      <c r="T746" s="5">
        <f>1500-1500</f>
        <v>0</v>
      </c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x14ac:dyDescent="0.25">
      <c r="A747" s="10">
        <v>746</v>
      </c>
      <c r="B747" s="152" t="s">
        <v>3990</v>
      </c>
      <c r="C747" s="153" t="s">
        <v>3991</v>
      </c>
      <c r="D747" s="153" t="s">
        <v>3992</v>
      </c>
      <c r="E747" s="153" t="s">
        <v>4948</v>
      </c>
      <c r="F747" s="6"/>
      <c r="G747" s="6"/>
      <c r="H747" s="83">
        <f t="shared" si="12"/>
        <v>0</v>
      </c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x14ac:dyDescent="0.25">
      <c r="A748" s="10">
        <v>747</v>
      </c>
      <c r="B748" s="152" t="s">
        <v>3993</v>
      </c>
      <c r="C748" s="153" t="s">
        <v>3994</v>
      </c>
      <c r="D748" s="153" t="s">
        <v>3995</v>
      </c>
      <c r="E748" s="153" t="s">
        <v>4948</v>
      </c>
      <c r="F748" s="6"/>
      <c r="G748" s="6"/>
      <c r="H748" s="83">
        <f t="shared" si="12"/>
        <v>0</v>
      </c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x14ac:dyDescent="0.25">
      <c r="A749" s="10">
        <v>748</v>
      </c>
      <c r="B749" s="152" t="s">
        <v>3996</v>
      </c>
      <c r="C749" s="153" t="s">
        <v>3997</v>
      </c>
      <c r="D749" s="153" t="s">
        <v>3998</v>
      </c>
      <c r="E749" s="153" t="s">
        <v>4948</v>
      </c>
      <c r="F749" s="6"/>
      <c r="G749" s="6"/>
      <c r="H749" s="83">
        <f t="shared" si="12"/>
        <v>0</v>
      </c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x14ac:dyDescent="0.25">
      <c r="A750" s="10">
        <v>749</v>
      </c>
      <c r="B750" s="152" t="s">
        <v>3999</v>
      </c>
      <c r="C750" s="153" t="s">
        <v>4000</v>
      </c>
      <c r="D750" s="153" t="s">
        <v>4001</v>
      </c>
      <c r="E750" s="153" t="s">
        <v>4948</v>
      </c>
      <c r="F750" s="6"/>
      <c r="G750" s="6"/>
      <c r="H750" s="83">
        <f t="shared" si="12"/>
        <v>0</v>
      </c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x14ac:dyDescent="0.25">
      <c r="A751" s="10">
        <v>750</v>
      </c>
      <c r="B751" s="152" t="s">
        <v>4002</v>
      </c>
      <c r="C751" s="153" t="s">
        <v>4003</v>
      </c>
      <c r="D751" s="153" t="s">
        <v>4004</v>
      </c>
      <c r="E751" s="153" t="s">
        <v>2086</v>
      </c>
      <c r="F751" s="6"/>
      <c r="G751" s="6"/>
      <c r="H751" s="83">
        <f t="shared" si="12"/>
        <v>2450</v>
      </c>
      <c r="I751" s="5">
        <v>2450</v>
      </c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x14ac:dyDescent="0.25">
      <c r="A752" s="10">
        <v>751</v>
      </c>
      <c r="B752" s="152" t="s">
        <v>4005</v>
      </c>
      <c r="C752" s="153" t="s">
        <v>4006</v>
      </c>
      <c r="D752" s="153" t="s">
        <v>4007</v>
      </c>
      <c r="E752" s="153" t="s">
        <v>4948</v>
      </c>
      <c r="F752" s="6"/>
      <c r="G752" s="6"/>
      <c r="H752" s="83">
        <f t="shared" si="12"/>
        <v>0</v>
      </c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x14ac:dyDescent="0.25">
      <c r="A753" s="10">
        <v>752</v>
      </c>
      <c r="B753" s="152" t="s">
        <v>4008</v>
      </c>
      <c r="C753" s="153" t="s">
        <v>4009</v>
      </c>
      <c r="D753" s="153" t="s">
        <v>4010</v>
      </c>
      <c r="E753" s="153" t="s">
        <v>4948</v>
      </c>
      <c r="F753" s="6"/>
      <c r="G753" s="6"/>
      <c r="H753" s="83">
        <f t="shared" si="12"/>
        <v>0</v>
      </c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x14ac:dyDescent="0.25">
      <c r="A754" s="10">
        <v>753</v>
      </c>
      <c r="B754" s="152" t="s">
        <v>4011</v>
      </c>
      <c r="C754" s="153" t="s">
        <v>4012</v>
      </c>
      <c r="D754" s="153" t="s">
        <v>4013</v>
      </c>
      <c r="E754" s="153" t="s">
        <v>4948</v>
      </c>
      <c r="F754" s="6"/>
      <c r="G754" s="6"/>
      <c r="H754" s="83">
        <f t="shared" si="12"/>
        <v>0</v>
      </c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x14ac:dyDescent="0.25">
      <c r="A755" s="10">
        <v>754</v>
      </c>
      <c r="B755" s="152" t="s">
        <v>4014</v>
      </c>
      <c r="C755" s="153" t="s">
        <v>4015</v>
      </c>
      <c r="D755" s="153" t="s">
        <v>4016</v>
      </c>
      <c r="E755" s="153" t="s">
        <v>4948</v>
      </c>
      <c r="F755" s="6"/>
      <c r="G755" s="6"/>
      <c r="H755" s="83">
        <f t="shared" si="12"/>
        <v>0</v>
      </c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x14ac:dyDescent="0.25">
      <c r="A756" s="10">
        <v>755</v>
      </c>
      <c r="B756" s="152" t="s">
        <v>4017</v>
      </c>
      <c r="C756" s="153" t="s">
        <v>4018</v>
      </c>
      <c r="D756" s="153" t="s">
        <v>4019</v>
      </c>
      <c r="E756" s="153" t="s">
        <v>4948</v>
      </c>
      <c r="F756" s="6"/>
      <c r="G756" s="6"/>
      <c r="H756" s="83">
        <f t="shared" si="12"/>
        <v>0</v>
      </c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x14ac:dyDescent="0.25">
      <c r="A757" s="10">
        <v>756</v>
      </c>
      <c r="B757" s="152" t="s">
        <v>4020</v>
      </c>
      <c r="C757" s="153" t="s">
        <v>4021</v>
      </c>
      <c r="D757" s="153" t="s">
        <v>4022</v>
      </c>
      <c r="E757" s="153" t="s">
        <v>4948</v>
      </c>
      <c r="F757" s="6"/>
      <c r="G757" s="6"/>
      <c r="H757" s="83">
        <f t="shared" si="12"/>
        <v>0</v>
      </c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x14ac:dyDescent="0.25">
      <c r="A758" s="10">
        <v>757</v>
      </c>
      <c r="B758" s="152" t="s">
        <v>4023</v>
      </c>
      <c r="C758" s="153" t="s">
        <v>4024</v>
      </c>
      <c r="D758" s="153" t="s">
        <v>4025</v>
      </c>
      <c r="E758" s="153" t="s">
        <v>4948</v>
      </c>
      <c r="F758" s="6"/>
      <c r="G758" s="6"/>
      <c r="H758" s="83">
        <f t="shared" si="12"/>
        <v>0</v>
      </c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x14ac:dyDescent="0.25">
      <c r="A759" s="10">
        <v>758</v>
      </c>
      <c r="B759" s="152" t="s">
        <v>1906</v>
      </c>
      <c r="C759" s="153" t="s">
        <v>4026</v>
      </c>
      <c r="D759" s="153" t="s">
        <v>4027</v>
      </c>
      <c r="E759" s="153" t="s">
        <v>4948</v>
      </c>
      <c r="F759" s="6"/>
      <c r="G759" s="6"/>
      <c r="H759" s="83">
        <f t="shared" si="12"/>
        <v>0</v>
      </c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x14ac:dyDescent="0.25">
      <c r="A760" s="10">
        <v>759</v>
      </c>
      <c r="B760" s="152" t="s">
        <v>4028</v>
      </c>
      <c r="C760" s="153" t="s">
        <v>4029</v>
      </c>
      <c r="D760" s="153" t="s">
        <v>4030</v>
      </c>
      <c r="E760" s="153" t="s">
        <v>4948</v>
      </c>
      <c r="F760" s="6"/>
      <c r="G760" s="6"/>
      <c r="H760" s="83">
        <f t="shared" si="12"/>
        <v>0</v>
      </c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x14ac:dyDescent="0.25">
      <c r="A761" s="10">
        <v>760</v>
      </c>
      <c r="B761" s="152" t="s">
        <v>4031</v>
      </c>
      <c r="C761" s="153" t="s">
        <v>4032</v>
      </c>
      <c r="D761" s="153" t="s">
        <v>4033</v>
      </c>
      <c r="E761" s="153" t="s">
        <v>49</v>
      </c>
      <c r="F761" s="6"/>
      <c r="G761" s="6"/>
      <c r="H761" s="83">
        <f t="shared" si="12"/>
        <v>0</v>
      </c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x14ac:dyDescent="0.25">
      <c r="A762" s="10">
        <v>761</v>
      </c>
      <c r="B762" s="152" t="s">
        <v>4034</v>
      </c>
      <c r="C762" s="153" t="s">
        <v>4035</v>
      </c>
      <c r="D762" s="153" t="s">
        <v>4036</v>
      </c>
      <c r="E762" s="153" t="s">
        <v>49</v>
      </c>
      <c r="F762" s="6"/>
      <c r="G762" s="6"/>
      <c r="H762" s="83">
        <f t="shared" si="12"/>
        <v>0</v>
      </c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x14ac:dyDescent="0.25">
      <c r="A763" s="10">
        <v>762</v>
      </c>
      <c r="B763" s="152" t="s">
        <v>4037</v>
      </c>
      <c r="C763" s="153" t="s">
        <v>4038</v>
      </c>
      <c r="D763" s="153" t="s">
        <v>4039</v>
      </c>
      <c r="E763" s="153" t="s">
        <v>49</v>
      </c>
      <c r="F763" s="6"/>
      <c r="G763" s="6"/>
      <c r="H763" s="83">
        <f t="shared" si="12"/>
        <v>0</v>
      </c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x14ac:dyDescent="0.25">
      <c r="A764" s="10">
        <v>763</v>
      </c>
      <c r="B764" s="152" t="s">
        <v>4040</v>
      </c>
      <c r="C764" s="153" t="s">
        <v>4041</v>
      </c>
      <c r="D764" s="153" t="s">
        <v>4042</v>
      </c>
      <c r="E764" s="153" t="s">
        <v>49</v>
      </c>
      <c r="F764" s="6"/>
      <c r="G764" s="6"/>
      <c r="H764" s="83">
        <f t="shared" si="12"/>
        <v>0</v>
      </c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x14ac:dyDescent="0.25">
      <c r="A765" s="10">
        <v>764</v>
      </c>
      <c r="B765" s="152" t="s">
        <v>4043</v>
      </c>
      <c r="C765" s="153" t="s">
        <v>4044</v>
      </c>
      <c r="D765" s="153" t="s">
        <v>4045</v>
      </c>
      <c r="E765" s="153" t="s">
        <v>49</v>
      </c>
      <c r="F765" s="6"/>
      <c r="G765" s="6"/>
      <c r="H765" s="83">
        <f t="shared" si="12"/>
        <v>0</v>
      </c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x14ac:dyDescent="0.25">
      <c r="A766" s="10">
        <v>765</v>
      </c>
      <c r="B766" s="152" t="s">
        <v>4046</v>
      </c>
      <c r="C766" s="153" t="s">
        <v>4047</v>
      </c>
      <c r="D766" s="153" t="s">
        <v>4048</v>
      </c>
      <c r="E766" s="153" t="s">
        <v>49</v>
      </c>
      <c r="F766" s="6"/>
      <c r="G766" s="6"/>
      <c r="H766" s="83">
        <f t="shared" si="12"/>
        <v>0</v>
      </c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x14ac:dyDescent="0.25">
      <c r="A767" s="10">
        <v>766</v>
      </c>
      <c r="B767" s="152" t="s">
        <v>4049</v>
      </c>
      <c r="C767" s="153" t="s">
        <v>4050</v>
      </c>
      <c r="D767" s="153" t="s">
        <v>4051</v>
      </c>
      <c r="E767" s="153" t="s">
        <v>49</v>
      </c>
      <c r="F767" s="6"/>
      <c r="G767" s="6"/>
      <c r="H767" s="83">
        <f t="shared" si="12"/>
        <v>0</v>
      </c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x14ac:dyDescent="0.25">
      <c r="A768" s="10">
        <v>767</v>
      </c>
      <c r="B768" s="152" t="s">
        <v>4052</v>
      </c>
      <c r="C768" s="153" t="s">
        <v>4053</v>
      </c>
      <c r="D768" s="153" t="s">
        <v>4054</v>
      </c>
      <c r="E768" s="153" t="s">
        <v>49</v>
      </c>
      <c r="F768" s="6"/>
      <c r="G768" s="6"/>
      <c r="H768" s="83">
        <f t="shared" si="12"/>
        <v>0</v>
      </c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x14ac:dyDescent="0.25">
      <c r="A769" s="10">
        <v>768</v>
      </c>
      <c r="B769" s="152" t="s">
        <v>1278</v>
      </c>
      <c r="C769" s="153" t="s">
        <v>4055</v>
      </c>
      <c r="D769" s="153" t="s">
        <v>4056</v>
      </c>
      <c r="E769" s="153" t="s">
        <v>4948</v>
      </c>
      <c r="F769" s="6"/>
      <c r="G769" s="6"/>
      <c r="H769" s="83">
        <f t="shared" si="12"/>
        <v>0</v>
      </c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x14ac:dyDescent="0.25">
      <c r="A770" s="10">
        <v>769</v>
      </c>
      <c r="B770" s="152" t="s">
        <v>1719</v>
      </c>
      <c r="C770" s="153" t="s">
        <v>4057</v>
      </c>
      <c r="D770" s="153" t="s">
        <v>4058</v>
      </c>
      <c r="E770" s="153" t="s">
        <v>4948</v>
      </c>
      <c r="F770" s="6"/>
      <c r="G770" s="6"/>
      <c r="H770" s="83">
        <f t="shared" ref="H770:H833" si="13">SUM(I770:AM770)</f>
        <v>0</v>
      </c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x14ac:dyDescent="0.25">
      <c r="A771" s="10">
        <v>770</v>
      </c>
      <c r="B771" s="152" t="s">
        <v>79</v>
      </c>
      <c r="C771" s="153" t="s">
        <v>4059</v>
      </c>
      <c r="D771" s="153" t="s">
        <v>4060</v>
      </c>
      <c r="E771" s="153" t="s">
        <v>64</v>
      </c>
      <c r="F771" s="6"/>
      <c r="G771" s="6"/>
      <c r="H771" s="83">
        <f t="shared" si="13"/>
        <v>6.1999999999999993</v>
      </c>
      <c r="I771" s="5">
        <v>1.6</v>
      </c>
      <c r="J771" s="5"/>
      <c r="K771" s="5"/>
      <c r="L771" s="5"/>
      <c r="M771" s="5"/>
      <c r="N771" s="5"/>
      <c r="O771" s="5"/>
      <c r="P771" s="5">
        <v>1.6</v>
      </c>
      <c r="Q771" s="5">
        <v>2.4</v>
      </c>
      <c r="R771" s="5"/>
      <c r="S771" s="5"/>
      <c r="T771" s="5">
        <v>0.6</v>
      </c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x14ac:dyDescent="0.25">
      <c r="A772" s="10">
        <v>771</v>
      </c>
      <c r="B772" s="152" t="s">
        <v>1725</v>
      </c>
      <c r="C772" s="153" t="s">
        <v>4061</v>
      </c>
      <c r="D772" s="153" t="s">
        <v>4062</v>
      </c>
      <c r="E772" s="153" t="s">
        <v>4948</v>
      </c>
      <c r="F772" s="6"/>
      <c r="G772" s="6"/>
      <c r="H772" s="83">
        <f t="shared" si="13"/>
        <v>0</v>
      </c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x14ac:dyDescent="0.25">
      <c r="A773" s="10">
        <v>772</v>
      </c>
      <c r="B773" s="152" t="s">
        <v>419</v>
      </c>
      <c r="C773" s="153" t="s">
        <v>4063</v>
      </c>
      <c r="D773" s="153" t="s">
        <v>4064</v>
      </c>
      <c r="E773" s="153" t="s">
        <v>4948</v>
      </c>
      <c r="F773" s="6"/>
      <c r="G773" s="6"/>
      <c r="H773" s="83">
        <f t="shared" si="13"/>
        <v>0</v>
      </c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x14ac:dyDescent="0.25">
      <c r="A774" s="10">
        <v>773</v>
      </c>
      <c r="B774" s="152" t="s">
        <v>897</v>
      </c>
      <c r="C774" s="153" t="s">
        <v>4065</v>
      </c>
      <c r="D774" s="153" t="s">
        <v>4066</v>
      </c>
      <c r="E774" s="153" t="s">
        <v>64</v>
      </c>
      <c r="F774" s="6"/>
      <c r="G774" s="6"/>
      <c r="H774" s="83">
        <f t="shared" si="13"/>
        <v>3320</v>
      </c>
      <c r="I774" s="5"/>
      <c r="J774" s="5">
        <v>3320</v>
      </c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x14ac:dyDescent="0.25">
      <c r="A775" s="10">
        <v>774</v>
      </c>
      <c r="B775" s="152" t="s">
        <v>4067</v>
      </c>
      <c r="C775" s="153" t="s">
        <v>4068</v>
      </c>
      <c r="D775" s="153" t="s">
        <v>4069</v>
      </c>
      <c r="E775" s="153" t="s">
        <v>4948</v>
      </c>
      <c r="F775" s="6"/>
      <c r="G775" s="6"/>
      <c r="H775" s="83">
        <f t="shared" si="13"/>
        <v>0</v>
      </c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x14ac:dyDescent="0.25">
      <c r="A776" s="10">
        <v>775</v>
      </c>
      <c r="B776" s="152" t="s">
        <v>1156</v>
      </c>
      <c r="C776" s="153" t="s">
        <v>4070</v>
      </c>
      <c r="D776" s="153" t="s">
        <v>4071</v>
      </c>
      <c r="E776" s="153" t="s">
        <v>4948</v>
      </c>
      <c r="F776" s="6"/>
      <c r="G776" s="6"/>
      <c r="H776" s="83">
        <f t="shared" si="13"/>
        <v>5</v>
      </c>
      <c r="I776" s="5">
        <v>5</v>
      </c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x14ac:dyDescent="0.25">
      <c r="A777" s="10">
        <v>776</v>
      </c>
      <c r="B777" s="152" t="s">
        <v>62</v>
      </c>
      <c r="C777" s="153" t="s">
        <v>4072</v>
      </c>
      <c r="D777" s="153" t="s">
        <v>4073</v>
      </c>
      <c r="E777" s="153" t="s">
        <v>4948</v>
      </c>
      <c r="F777" s="6"/>
      <c r="G777" s="6"/>
      <c r="H777" s="83">
        <f t="shared" si="13"/>
        <v>0</v>
      </c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x14ac:dyDescent="0.25">
      <c r="A778" s="10">
        <v>777</v>
      </c>
      <c r="B778" s="152" t="s">
        <v>520</v>
      </c>
      <c r="C778" s="153" t="s">
        <v>4074</v>
      </c>
      <c r="D778" s="153" t="s">
        <v>4075</v>
      </c>
      <c r="E778" s="153" t="s">
        <v>4948</v>
      </c>
      <c r="F778" s="6"/>
      <c r="G778" s="6"/>
      <c r="H778" s="83">
        <f t="shared" si="13"/>
        <v>0</v>
      </c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x14ac:dyDescent="0.25">
      <c r="A779" s="10">
        <v>778</v>
      </c>
      <c r="B779" s="152" t="s">
        <v>985</v>
      </c>
      <c r="C779" s="153" t="s">
        <v>4076</v>
      </c>
      <c r="D779" s="153" t="s">
        <v>4077</v>
      </c>
      <c r="E779" s="153" t="s">
        <v>4948</v>
      </c>
      <c r="F779" s="6"/>
      <c r="G779" s="6"/>
      <c r="H779" s="83">
        <f t="shared" si="13"/>
        <v>0</v>
      </c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x14ac:dyDescent="0.25">
      <c r="A780" s="10">
        <v>779</v>
      </c>
      <c r="B780" s="152" t="s">
        <v>430</v>
      </c>
      <c r="C780" s="153" t="s">
        <v>4078</v>
      </c>
      <c r="D780" s="153" t="s">
        <v>4079</v>
      </c>
      <c r="E780" s="153" t="s">
        <v>64</v>
      </c>
      <c r="F780" s="6"/>
      <c r="G780" s="6"/>
      <c r="H780" s="83">
        <f t="shared" si="13"/>
        <v>600</v>
      </c>
      <c r="I780" s="5"/>
      <c r="J780" s="5">
        <v>600</v>
      </c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x14ac:dyDescent="0.25">
      <c r="A781" s="10">
        <v>780</v>
      </c>
      <c r="B781" s="152" t="s">
        <v>817</v>
      </c>
      <c r="C781" s="153" t="s">
        <v>4080</v>
      </c>
      <c r="D781" s="153" t="s">
        <v>4081</v>
      </c>
      <c r="E781" s="153" t="s">
        <v>4948</v>
      </c>
      <c r="F781" s="6"/>
      <c r="G781" s="6"/>
      <c r="H781" s="83">
        <f t="shared" si="13"/>
        <v>0</v>
      </c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x14ac:dyDescent="0.25">
      <c r="A782" s="10">
        <v>781</v>
      </c>
      <c r="B782" s="152" t="s">
        <v>1313</v>
      </c>
      <c r="C782" s="153" t="s">
        <v>4082</v>
      </c>
      <c r="D782" s="153" t="s">
        <v>4083</v>
      </c>
      <c r="E782" s="153" t="s">
        <v>64</v>
      </c>
      <c r="F782" s="6"/>
      <c r="G782" s="6"/>
      <c r="H782" s="83">
        <f t="shared" si="13"/>
        <v>28.704000000000001</v>
      </c>
      <c r="I782" s="5">
        <v>8.64</v>
      </c>
      <c r="J782" s="5"/>
      <c r="K782" s="5"/>
      <c r="L782" s="5"/>
      <c r="M782" s="5"/>
      <c r="N782" s="5"/>
      <c r="O782" s="5"/>
      <c r="P782" s="5">
        <v>16.032</v>
      </c>
      <c r="Q782" s="5"/>
      <c r="R782" s="5"/>
      <c r="S782" s="5">
        <v>4.032</v>
      </c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x14ac:dyDescent="0.25">
      <c r="A783" s="10">
        <v>782</v>
      </c>
      <c r="B783" s="152" t="s">
        <v>1220</v>
      </c>
      <c r="C783" s="153" t="s">
        <v>4084</v>
      </c>
      <c r="D783" s="153" t="s">
        <v>4085</v>
      </c>
      <c r="E783" s="153" t="s">
        <v>4948</v>
      </c>
      <c r="F783" s="6"/>
      <c r="G783" s="6"/>
      <c r="H783" s="83">
        <f t="shared" si="13"/>
        <v>0</v>
      </c>
      <c r="I783" s="5">
        <f>6-6</f>
        <v>0</v>
      </c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x14ac:dyDescent="0.25">
      <c r="A784" s="10">
        <v>783</v>
      </c>
      <c r="B784" s="152" t="s">
        <v>470</v>
      </c>
      <c r="C784" s="153" t="s">
        <v>4086</v>
      </c>
      <c r="D784" s="153" t="s">
        <v>4087</v>
      </c>
      <c r="E784" s="153" t="s">
        <v>4948</v>
      </c>
      <c r="F784" s="6"/>
      <c r="G784" s="6"/>
      <c r="H784" s="83">
        <f t="shared" si="13"/>
        <v>750</v>
      </c>
      <c r="I784" s="5">
        <v>0</v>
      </c>
      <c r="J784" s="5">
        <v>750</v>
      </c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x14ac:dyDescent="0.25">
      <c r="A785" s="10">
        <v>784</v>
      </c>
      <c r="B785" s="157" t="s">
        <v>769</v>
      </c>
      <c r="C785" s="158" t="s">
        <v>4088</v>
      </c>
      <c r="D785" s="158" t="s">
        <v>4089</v>
      </c>
      <c r="E785" s="153" t="s">
        <v>64</v>
      </c>
      <c r="F785" s="6"/>
      <c r="G785" s="6"/>
      <c r="H785" s="83">
        <f t="shared" si="13"/>
        <v>10</v>
      </c>
      <c r="I785" s="5">
        <v>10</v>
      </c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x14ac:dyDescent="0.25">
      <c r="A786" s="10">
        <v>785</v>
      </c>
      <c r="B786" s="152" t="s">
        <v>1052</v>
      </c>
      <c r="C786" s="153" t="s">
        <v>4090</v>
      </c>
      <c r="D786" s="153" t="s">
        <v>4091</v>
      </c>
      <c r="E786" s="153" t="s">
        <v>64</v>
      </c>
      <c r="F786" s="6"/>
      <c r="G786" s="6"/>
      <c r="H786" s="83">
        <f t="shared" si="13"/>
        <v>913</v>
      </c>
      <c r="I786" s="5"/>
      <c r="J786" s="5">
        <f>929-16</f>
        <v>913</v>
      </c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x14ac:dyDescent="0.25">
      <c r="A787" s="10">
        <v>786</v>
      </c>
      <c r="B787" s="152" t="s">
        <v>1103</v>
      </c>
      <c r="C787" s="153" t="s">
        <v>4092</v>
      </c>
      <c r="D787" s="153" t="s">
        <v>4093</v>
      </c>
      <c r="E787" s="153" t="s">
        <v>64</v>
      </c>
      <c r="F787" s="6"/>
      <c r="G787" s="6"/>
      <c r="H787" s="83">
        <f t="shared" si="13"/>
        <v>4088</v>
      </c>
      <c r="I787" s="5">
        <v>2480</v>
      </c>
      <c r="J787" s="5"/>
      <c r="K787" s="5"/>
      <c r="L787" s="5"/>
      <c r="M787" s="5"/>
      <c r="N787" s="5"/>
      <c r="O787" s="5"/>
      <c r="P787" s="5">
        <v>324</v>
      </c>
      <c r="Q787" s="5">
        <v>156</v>
      </c>
      <c r="R787" s="5"/>
      <c r="S787" s="5">
        <v>444</v>
      </c>
      <c r="T787" s="5">
        <v>684</v>
      </c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x14ac:dyDescent="0.25">
      <c r="A788" s="10">
        <v>787</v>
      </c>
      <c r="B788" s="152" t="s">
        <v>1015</v>
      </c>
      <c r="C788" s="153" t="s">
        <v>4094</v>
      </c>
      <c r="D788" s="153" t="s">
        <v>4095</v>
      </c>
      <c r="E788" s="153" t="s">
        <v>64</v>
      </c>
      <c r="F788" s="6"/>
      <c r="G788" s="6"/>
      <c r="H788" s="83">
        <f t="shared" si="13"/>
        <v>0</v>
      </c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x14ac:dyDescent="0.25">
      <c r="A789" s="10">
        <v>788</v>
      </c>
      <c r="B789" s="152" t="s">
        <v>936</v>
      </c>
      <c r="C789" s="153" t="s">
        <v>4096</v>
      </c>
      <c r="D789" s="153" t="s">
        <v>4097</v>
      </c>
      <c r="E789" s="153" t="s">
        <v>2086</v>
      </c>
      <c r="F789" s="6"/>
      <c r="G789" s="6"/>
      <c r="H789" s="83">
        <f t="shared" si="13"/>
        <v>1014</v>
      </c>
      <c r="I789" s="5">
        <v>386</v>
      </c>
      <c r="J789" s="5"/>
      <c r="K789" s="5"/>
      <c r="L789" s="5"/>
      <c r="M789" s="5"/>
      <c r="N789" s="5"/>
      <c r="O789" s="5"/>
      <c r="P789" s="5">
        <v>48</v>
      </c>
      <c r="Q789" s="5">
        <v>148</v>
      </c>
      <c r="R789" s="5"/>
      <c r="S789" s="5">
        <v>96</v>
      </c>
      <c r="T789" s="5">
        <v>336</v>
      </c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x14ac:dyDescent="0.25">
      <c r="A790" s="10">
        <v>789</v>
      </c>
      <c r="B790" s="152" t="s">
        <v>961</v>
      </c>
      <c r="C790" s="153" t="s">
        <v>4098</v>
      </c>
      <c r="D790" s="153" t="s">
        <v>4099</v>
      </c>
      <c r="E790" s="153" t="s">
        <v>4948</v>
      </c>
      <c r="F790" s="6"/>
      <c r="G790" s="6"/>
      <c r="H790" s="83">
        <f t="shared" si="13"/>
        <v>0</v>
      </c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x14ac:dyDescent="0.25">
      <c r="A791" s="10">
        <v>790</v>
      </c>
      <c r="B791" s="152" t="s">
        <v>1096</v>
      </c>
      <c r="C791" s="153" t="s">
        <v>4100</v>
      </c>
      <c r="D791" s="153" t="s">
        <v>4101</v>
      </c>
      <c r="E791" s="153" t="s">
        <v>64</v>
      </c>
      <c r="F791" s="6"/>
      <c r="G791" s="6"/>
      <c r="H791" s="83">
        <f t="shared" si="13"/>
        <v>0</v>
      </c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x14ac:dyDescent="0.25">
      <c r="A792" s="10">
        <v>791</v>
      </c>
      <c r="B792" s="152" t="s">
        <v>905</v>
      </c>
      <c r="C792" s="153" t="s">
        <v>4102</v>
      </c>
      <c r="D792" s="153" t="s">
        <v>4103</v>
      </c>
      <c r="E792" s="153" t="s">
        <v>64</v>
      </c>
      <c r="F792" s="6"/>
      <c r="G792" s="6"/>
      <c r="H792" s="83">
        <f t="shared" si="13"/>
        <v>9168</v>
      </c>
      <c r="I792" s="5">
        <f>5340+228</f>
        <v>5568</v>
      </c>
      <c r="J792" s="5"/>
      <c r="K792" s="5"/>
      <c r="L792" s="5"/>
      <c r="M792" s="5"/>
      <c r="N792" s="5"/>
      <c r="O792" s="5"/>
      <c r="P792" s="5">
        <v>828</v>
      </c>
      <c r="Q792" s="5">
        <v>396</v>
      </c>
      <c r="R792" s="5"/>
      <c r="S792" s="5">
        <v>660</v>
      </c>
      <c r="T792" s="5">
        <v>1716</v>
      </c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x14ac:dyDescent="0.25">
      <c r="A793" s="10">
        <v>792</v>
      </c>
      <c r="B793" s="152" t="s">
        <v>458</v>
      </c>
      <c r="C793" s="153" t="s">
        <v>4104</v>
      </c>
      <c r="D793" s="153" t="s">
        <v>4105</v>
      </c>
      <c r="E793" s="153" t="s">
        <v>64</v>
      </c>
      <c r="F793" s="6"/>
      <c r="G793" s="6"/>
      <c r="H793" s="83">
        <f t="shared" si="13"/>
        <v>0</v>
      </c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x14ac:dyDescent="0.25">
      <c r="A794" s="10">
        <v>793</v>
      </c>
      <c r="B794" s="152" t="s">
        <v>807</v>
      </c>
      <c r="C794" s="153" t="s">
        <v>4106</v>
      </c>
      <c r="D794" s="153" t="s">
        <v>4107</v>
      </c>
      <c r="E794" s="153" t="s">
        <v>64</v>
      </c>
      <c r="F794" s="6"/>
      <c r="G794" s="6"/>
      <c r="H794" s="83">
        <f t="shared" si="13"/>
        <v>102</v>
      </c>
      <c r="I794" s="5">
        <v>6</v>
      </c>
      <c r="J794" s="5">
        <v>90</v>
      </c>
      <c r="K794" s="5"/>
      <c r="L794" s="5"/>
      <c r="M794" s="5"/>
      <c r="N794" s="5"/>
      <c r="O794" s="5"/>
      <c r="P794" s="5">
        <v>6</v>
      </c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x14ac:dyDescent="0.25">
      <c r="A795" s="10">
        <v>794</v>
      </c>
      <c r="B795" s="157" t="s">
        <v>1138</v>
      </c>
      <c r="C795" s="158" t="s">
        <v>4108</v>
      </c>
      <c r="D795" s="158" t="s">
        <v>4109</v>
      </c>
      <c r="E795" s="153" t="s">
        <v>64</v>
      </c>
      <c r="F795" s="6"/>
      <c r="G795" s="6"/>
      <c r="H795" s="83">
        <f t="shared" si="13"/>
        <v>0</v>
      </c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x14ac:dyDescent="0.25">
      <c r="A796" s="10">
        <v>795</v>
      </c>
      <c r="B796" s="157" t="s">
        <v>464</v>
      </c>
      <c r="C796" s="158" t="s">
        <v>4110</v>
      </c>
      <c r="D796" s="158" t="s">
        <v>4111</v>
      </c>
      <c r="E796" s="153" t="s">
        <v>64</v>
      </c>
      <c r="F796" s="6"/>
      <c r="G796" s="6"/>
      <c r="H796" s="83">
        <f t="shared" si="13"/>
        <v>0</v>
      </c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x14ac:dyDescent="0.25">
      <c r="A797" s="10">
        <v>796</v>
      </c>
      <c r="B797" s="152" t="s">
        <v>530</v>
      </c>
      <c r="C797" s="153" t="s">
        <v>4112</v>
      </c>
      <c r="D797" s="153" t="s">
        <v>4113</v>
      </c>
      <c r="E797" s="153" t="s">
        <v>4948</v>
      </c>
      <c r="F797" s="6"/>
      <c r="G797" s="6"/>
      <c r="H797" s="83">
        <f t="shared" si="13"/>
        <v>0</v>
      </c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x14ac:dyDescent="0.25">
      <c r="A798" s="10">
        <v>797</v>
      </c>
      <c r="B798" s="152" t="s">
        <v>416</v>
      </c>
      <c r="C798" s="153" t="s">
        <v>4114</v>
      </c>
      <c r="D798" s="153" t="s">
        <v>4115</v>
      </c>
      <c r="E798" s="153" t="s">
        <v>4948</v>
      </c>
      <c r="F798" s="6"/>
      <c r="G798" s="6"/>
      <c r="H798" s="83">
        <f t="shared" si="13"/>
        <v>0</v>
      </c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x14ac:dyDescent="0.25">
      <c r="A799" s="10">
        <v>798</v>
      </c>
      <c r="B799" s="152" t="s">
        <v>1707</v>
      </c>
      <c r="C799" s="153" t="s">
        <v>4116</v>
      </c>
      <c r="D799" s="153" t="s">
        <v>4117</v>
      </c>
      <c r="E799" s="153" t="s">
        <v>4948</v>
      </c>
      <c r="F799" s="6"/>
      <c r="G799" s="6"/>
      <c r="H799" s="83">
        <f t="shared" si="13"/>
        <v>0</v>
      </c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x14ac:dyDescent="0.25">
      <c r="A800" s="10">
        <v>799</v>
      </c>
      <c r="B800" s="152" t="s">
        <v>743</v>
      </c>
      <c r="C800" s="153" t="s">
        <v>4118</v>
      </c>
      <c r="D800" s="153" t="s">
        <v>4119</v>
      </c>
      <c r="E800" s="153" t="s">
        <v>2111</v>
      </c>
      <c r="F800" s="6"/>
      <c r="G800" s="6"/>
      <c r="H800" s="83">
        <f t="shared" si="13"/>
        <v>2400</v>
      </c>
      <c r="I800" s="5"/>
      <c r="J800" s="5">
        <v>2400</v>
      </c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x14ac:dyDescent="0.25">
      <c r="A801" s="10">
        <v>800</v>
      </c>
      <c r="B801" s="152" t="s">
        <v>1308</v>
      </c>
      <c r="C801" s="153" t="s">
        <v>4120</v>
      </c>
      <c r="D801" s="153" t="s">
        <v>4121</v>
      </c>
      <c r="E801" s="153" t="s">
        <v>2111</v>
      </c>
      <c r="F801" s="6"/>
      <c r="G801" s="6"/>
      <c r="H801" s="83">
        <f t="shared" si="13"/>
        <v>36</v>
      </c>
      <c r="I801" s="5">
        <v>36</v>
      </c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x14ac:dyDescent="0.25">
      <c r="A802" s="10">
        <v>801</v>
      </c>
      <c r="B802" s="152" t="s">
        <v>441</v>
      </c>
      <c r="C802" s="153" t="s">
        <v>4122</v>
      </c>
      <c r="D802" s="153" t="s">
        <v>4123</v>
      </c>
      <c r="E802" s="153" t="s">
        <v>4948</v>
      </c>
      <c r="F802" s="6"/>
      <c r="G802" s="6"/>
      <c r="H802" s="83">
        <f t="shared" si="13"/>
        <v>0</v>
      </c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x14ac:dyDescent="0.25">
      <c r="A803" s="10">
        <v>802</v>
      </c>
      <c r="B803" s="152" t="s">
        <v>1711</v>
      </c>
      <c r="C803" s="153" t="s">
        <v>4124</v>
      </c>
      <c r="D803" s="153" t="s">
        <v>4125</v>
      </c>
      <c r="E803" s="153" t="s">
        <v>4948</v>
      </c>
      <c r="F803" s="6"/>
      <c r="G803" s="6"/>
      <c r="H803" s="83">
        <f t="shared" si="13"/>
        <v>0</v>
      </c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x14ac:dyDescent="0.25">
      <c r="A804" s="10">
        <v>803</v>
      </c>
      <c r="B804" s="152" t="s">
        <v>1592</v>
      </c>
      <c r="C804" s="153" t="s">
        <v>4126</v>
      </c>
      <c r="D804" s="153" t="s">
        <v>4127</v>
      </c>
      <c r="E804" s="153" t="s">
        <v>64</v>
      </c>
      <c r="F804" s="6"/>
      <c r="G804" s="6"/>
      <c r="H804" s="83">
        <f t="shared" si="13"/>
        <v>0</v>
      </c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x14ac:dyDescent="0.25">
      <c r="A805" s="10">
        <v>804</v>
      </c>
      <c r="B805" s="152" t="s">
        <v>983</v>
      </c>
      <c r="C805" s="153" t="s">
        <v>4128</v>
      </c>
      <c r="D805" s="153" t="s">
        <v>4129</v>
      </c>
      <c r="E805" s="153" t="s">
        <v>64</v>
      </c>
      <c r="F805" s="6"/>
      <c r="G805" s="6"/>
      <c r="H805" s="83">
        <f t="shared" si="13"/>
        <v>0</v>
      </c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x14ac:dyDescent="0.25">
      <c r="A806" s="10">
        <v>805</v>
      </c>
      <c r="B806" s="152" t="s">
        <v>1151</v>
      </c>
      <c r="C806" s="153" t="s">
        <v>4130</v>
      </c>
      <c r="D806" s="153" t="s">
        <v>4131</v>
      </c>
      <c r="E806" s="153" t="s">
        <v>4948</v>
      </c>
      <c r="F806" s="6"/>
      <c r="G806" s="6"/>
      <c r="H806" s="83">
        <f t="shared" si="13"/>
        <v>4840</v>
      </c>
      <c r="I806" s="5">
        <v>90</v>
      </c>
      <c r="J806" s="5">
        <v>4750</v>
      </c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x14ac:dyDescent="0.25">
      <c r="A807" s="10">
        <v>806</v>
      </c>
      <c r="B807" s="152" t="s">
        <v>1341</v>
      </c>
      <c r="C807" s="153" t="s">
        <v>4132</v>
      </c>
      <c r="D807" s="153" t="s">
        <v>4133</v>
      </c>
      <c r="E807" s="153" t="s">
        <v>64</v>
      </c>
      <c r="F807" s="6"/>
      <c r="G807" s="6"/>
      <c r="H807" s="83">
        <f t="shared" si="13"/>
        <v>0</v>
      </c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x14ac:dyDescent="0.25">
      <c r="A808" s="10">
        <v>807</v>
      </c>
      <c r="B808" s="152" t="s">
        <v>396</v>
      </c>
      <c r="C808" s="153" t="s">
        <v>4134</v>
      </c>
      <c r="D808" s="153" t="s">
        <v>4135</v>
      </c>
      <c r="E808" s="153" t="s">
        <v>4948</v>
      </c>
      <c r="F808" s="6"/>
      <c r="G808" s="6"/>
      <c r="H808" s="83">
        <f t="shared" si="13"/>
        <v>0</v>
      </c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x14ac:dyDescent="0.25">
      <c r="A809" s="10">
        <v>808</v>
      </c>
      <c r="B809" s="152" t="s">
        <v>399</v>
      </c>
      <c r="C809" s="153" t="s">
        <v>4136</v>
      </c>
      <c r="D809" s="153" t="s">
        <v>4137</v>
      </c>
      <c r="E809" s="153" t="s">
        <v>64</v>
      </c>
      <c r="F809" s="6"/>
      <c r="G809" s="6"/>
      <c r="H809" s="83">
        <f t="shared" si="13"/>
        <v>0</v>
      </c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x14ac:dyDescent="0.25">
      <c r="A810" s="10">
        <v>809</v>
      </c>
      <c r="B810" s="152" t="s">
        <v>1057</v>
      </c>
      <c r="C810" s="153" t="s">
        <v>4138</v>
      </c>
      <c r="D810" s="153" t="s">
        <v>4139</v>
      </c>
      <c r="E810" s="153" t="s">
        <v>4948</v>
      </c>
      <c r="F810" s="6"/>
      <c r="G810" s="6"/>
      <c r="H810" s="83">
        <f t="shared" si="13"/>
        <v>0</v>
      </c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x14ac:dyDescent="0.25">
      <c r="A811" s="10">
        <v>810</v>
      </c>
      <c r="B811" s="152" t="s">
        <v>1252</v>
      </c>
      <c r="C811" s="153" t="s">
        <v>4140</v>
      </c>
      <c r="D811" s="153" t="s">
        <v>4141</v>
      </c>
      <c r="E811" s="153" t="s">
        <v>64</v>
      </c>
      <c r="F811" s="6"/>
      <c r="G811" s="6"/>
      <c r="H811" s="83">
        <f t="shared" si="13"/>
        <v>0</v>
      </c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x14ac:dyDescent="0.25">
      <c r="A812" s="10">
        <v>811</v>
      </c>
      <c r="B812" s="152" t="s">
        <v>1502</v>
      </c>
      <c r="C812" s="153" t="s">
        <v>4142</v>
      </c>
      <c r="D812" s="153" t="s">
        <v>4143</v>
      </c>
      <c r="E812" s="153" t="s">
        <v>4948</v>
      </c>
      <c r="F812" s="6"/>
      <c r="G812" s="6"/>
      <c r="H812" s="83">
        <f t="shared" si="13"/>
        <v>0</v>
      </c>
      <c r="I812" s="5"/>
      <c r="J812" s="5">
        <f>25-25</f>
        <v>0</v>
      </c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x14ac:dyDescent="0.25">
      <c r="A813" s="10">
        <v>812</v>
      </c>
      <c r="B813" s="152" t="s">
        <v>1541</v>
      </c>
      <c r="C813" s="153" t="s">
        <v>4144</v>
      </c>
      <c r="D813" s="153" t="s">
        <v>4145</v>
      </c>
      <c r="E813" s="153" t="s">
        <v>64</v>
      </c>
      <c r="F813" s="6"/>
      <c r="G813" s="6"/>
      <c r="H813" s="83">
        <f t="shared" si="13"/>
        <v>0</v>
      </c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x14ac:dyDescent="0.25">
      <c r="A814" s="10">
        <v>813</v>
      </c>
      <c r="B814" s="152" t="s">
        <v>4146</v>
      </c>
      <c r="C814" s="153" t="s">
        <v>4147</v>
      </c>
      <c r="D814" s="153" t="s">
        <v>4148</v>
      </c>
      <c r="E814" s="153" t="s">
        <v>4948</v>
      </c>
      <c r="F814" s="6"/>
      <c r="G814" s="6"/>
      <c r="H814" s="83">
        <f t="shared" si="13"/>
        <v>0</v>
      </c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x14ac:dyDescent="0.25">
      <c r="A815" s="10">
        <v>814</v>
      </c>
      <c r="B815" s="152" t="s">
        <v>682</v>
      </c>
      <c r="C815" s="153" t="s">
        <v>4149</v>
      </c>
      <c r="D815" s="153" t="s">
        <v>4150</v>
      </c>
      <c r="E815" s="153" t="s">
        <v>4948</v>
      </c>
      <c r="F815" s="6"/>
      <c r="G815" s="6"/>
      <c r="H815" s="83">
        <f t="shared" si="13"/>
        <v>0</v>
      </c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x14ac:dyDescent="0.25">
      <c r="A816" s="10">
        <v>815</v>
      </c>
      <c r="B816" s="152" t="s">
        <v>835</v>
      </c>
      <c r="C816" s="153" t="s">
        <v>4151</v>
      </c>
      <c r="D816" s="153" t="s">
        <v>4152</v>
      </c>
      <c r="E816" s="153" t="s">
        <v>4948</v>
      </c>
      <c r="F816" s="6"/>
      <c r="G816" s="6"/>
      <c r="H816" s="83">
        <f t="shared" si="13"/>
        <v>0</v>
      </c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x14ac:dyDescent="0.25">
      <c r="A817" s="10">
        <v>816</v>
      </c>
      <c r="B817" s="152" t="s">
        <v>771</v>
      </c>
      <c r="C817" s="153" t="s">
        <v>4153</v>
      </c>
      <c r="D817" s="153" t="s">
        <v>4154</v>
      </c>
      <c r="E817" s="153" t="s">
        <v>64</v>
      </c>
      <c r="F817" s="6"/>
      <c r="G817" s="6"/>
      <c r="H817" s="83">
        <f t="shared" si="13"/>
        <v>0</v>
      </c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x14ac:dyDescent="0.25">
      <c r="A818" s="10">
        <v>817</v>
      </c>
      <c r="B818" s="152" t="s">
        <v>1357</v>
      </c>
      <c r="C818" s="153" t="s">
        <v>4155</v>
      </c>
      <c r="D818" s="153" t="s">
        <v>4156</v>
      </c>
      <c r="E818" s="153" t="s">
        <v>64</v>
      </c>
      <c r="F818" s="6"/>
      <c r="G818" s="6"/>
      <c r="H818" s="83">
        <f t="shared" si="13"/>
        <v>0</v>
      </c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x14ac:dyDescent="0.25">
      <c r="A819" s="10">
        <v>818</v>
      </c>
      <c r="B819" s="152" t="s">
        <v>1440</v>
      </c>
      <c r="C819" s="153" t="s">
        <v>4157</v>
      </c>
      <c r="D819" s="153" t="s">
        <v>4158</v>
      </c>
      <c r="E819" s="153" t="s">
        <v>2111</v>
      </c>
      <c r="F819" s="6"/>
      <c r="G819" s="6"/>
      <c r="H819" s="83">
        <f t="shared" si="13"/>
        <v>153.36000000000001</v>
      </c>
      <c r="I819" s="5"/>
      <c r="J819" s="5">
        <f>85.2+68.16</f>
        <v>153.36000000000001</v>
      </c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x14ac:dyDescent="0.25">
      <c r="A820" s="10">
        <v>819</v>
      </c>
      <c r="B820" s="152" t="s">
        <v>1555</v>
      </c>
      <c r="C820" s="153" t="s">
        <v>4159</v>
      </c>
      <c r="D820" s="153" t="s">
        <v>4160</v>
      </c>
      <c r="E820" s="153" t="s">
        <v>64</v>
      </c>
      <c r="F820" s="6"/>
      <c r="G820" s="6"/>
      <c r="H820" s="83">
        <f t="shared" si="13"/>
        <v>0</v>
      </c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x14ac:dyDescent="0.25">
      <c r="A821" s="10">
        <v>820</v>
      </c>
      <c r="B821" s="152" t="s">
        <v>1165</v>
      </c>
      <c r="C821" s="153" t="s">
        <v>4161</v>
      </c>
      <c r="D821" s="153" t="s">
        <v>4162</v>
      </c>
      <c r="E821" s="153" t="s">
        <v>64</v>
      </c>
      <c r="F821" s="6"/>
      <c r="G821" s="6"/>
      <c r="H821" s="83">
        <f t="shared" si="13"/>
        <v>0</v>
      </c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x14ac:dyDescent="0.25">
      <c r="A822" s="10">
        <v>821</v>
      </c>
      <c r="B822" s="152" t="s">
        <v>1582</v>
      </c>
      <c r="C822" s="153" t="s">
        <v>4163</v>
      </c>
      <c r="D822" s="153" t="s">
        <v>4164</v>
      </c>
      <c r="E822" s="153" t="s">
        <v>64</v>
      </c>
      <c r="F822" s="6"/>
      <c r="G822" s="6"/>
      <c r="H822" s="83">
        <f t="shared" si="13"/>
        <v>6</v>
      </c>
      <c r="I822" s="5"/>
      <c r="J822" s="5">
        <f>25-19</f>
        <v>6</v>
      </c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x14ac:dyDescent="0.25">
      <c r="A823" s="10">
        <v>822</v>
      </c>
      <c r="B823" s="152" t="s">
        <v>518</v>
      </c>
      <c r="C823" s="153" t="s">
        <v>4165</v>
      </c>
      <c r="D823" s="153" t="s">
        <v>4166</v>
      </c>
      <c r="E823" s="153" t="s">
        <v>4948</v>
      </c>
      <c r="F823" s="6"/>
      <c r="G823" s="6"/>
      <c r="H823" s="83">
        <f t="shared" si="13"/>
        <v>0</v>
      </c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x14ac:dyDescent="0.25">
      <c r="A824" s="10">
        <v>823</v>
      </c>
      <c r="B824" s="152" t="s">
        <v>1292</v>
      </c>
      <c r="C824" s="153" t="s">
        <v>4167</v>
      </c>
      <c r="D824" s="153" t="s">
        <v>4168</v>
      </c>
      <c r="E824" s="153" t="s">
        <v>64</v>
      </c>
      <c r="F824" s="6"/>
      <c r="G824" s="6"/>
      <c r="H824" s="83">
        <f t="shared" si="13"/>
        <v>0</v>
      </c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x14ac:dyDescent="0.25">
      <c r="A825" s="10">
        <v>824</v>
      </c>
      <c r="B825" s="152" t="s">
        <v>1169</v>
      </c>
      <c r="C825" s="153" t="s">
        <v>4169</v>
      </c>
      <c r="D825" s="153" t="s">
        <v>4170</v>
      </c>
      <c r="E825" s="153" t="s">
        <v>64</v>
      </c>
      <c r="F825" s="6"/>
      <c r="G825" s="6"/>
      <c r="H825" s="83">
        <f t="shared" si="13"/>
        <v>0</v>
      </c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x14ac:dyDescent="0.25">
      <c r="A826" s="10">
        <v>825</v>
      </c>
      <c r="B826" s="152" t="s">
        <v>4171</v>
      </c>
      <c r="C826" s="153" t="s">
        <v>4172</v>
      </c>
      <c r="D826" s="153" t="s">
        <v>4173</v>
      </c>
      <c r="E826" s="153" t="s">
        <v>64</v>
      </c>
      <c r="F826" s="6"/>
      <c r="G826" s="6"/>
      <c r="H826" s="83">
        <f t="shared" si="13"/>
        <v>0</v>
      </c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x14ac:dyDescent="0.25">
      <c r="A827" s="10">
        <v>826</v>
      </c>
      <c r="B827" s="152" t="s">
        <v>1131</v>
      </c>
      <c r="C827" s="153" t="s">
        <v>4174</v>
      </c>
      <c r="D827" s="153" t="s">
        <v>4175</v>
      </c>
      <c r="E827" s="153" t="s">
        <v>4948</v>
      </c>
      <c r="F827" s="6"/>
      <c r="G827" s="6"/>
      <c r="H827" s="83">
        <f t="shared" si="13"/>
        <v>0</v>
      </c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x14ac:dyDescent="0.25">
      <c r="A828" s="10">
        <v>827</v>
      </c>
      <c r="B828" s="152" t="s">
        <v>497</v>
      </c>
      <c r="C828" s="153" t="s">
        <v>4176</v>
      </c>
      <c r="D828" s="153" t="s">
        <v>4177</v>
      </c>
      <c r="E828" s="153" t="s">
        <v>64</v>
      </c>
      <c r="F828" s="6"/>
      <c r="G828" s="6"/>
      <c r="H828" s="83">
        <f t="shared" si="13"/>
        <v>0</v>
      </c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x14ac:dyDescent="0.25">
      <c r="A829" s="10">
        <v>828</v>
      </c>
      <c r="B829" s="152" t="s">
        <v>919</v>
      </c>
      <c r="C829" s="153" t="s">
        <v>4178</v>
      </c>
      <c r="D829" s="153" t="s">
        <v>4179</v>
      </c>
      <c r="E829" s="153" t="s">
        <v>64</v>
      </c>
      <c r="F829" s="6"/>
      <c r="G829" s="6"/>
      <c r="H829" s="83">
        <f t="shared" si="13"/>
        <v>2</v>
      </c>
      <c r="I829" s="5">
        <v>1</v>
      </c>
      <c r="J829" s="5"/>
      <c r="K829" s="5"/>
      <c r="L829" s="5"/>
      <c r="M829" s="5"/>
      <c r="N829" s="5"/>
      <c r="O829" s="5"/>
      <c r="P829" s="5">
        <v>1</v>
      </c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x14ac:dyDescent="0.25">
      <c r="A830" s="10">
        <v>829</v>
      </c>
      <c r="B830" s="152" t="s">
        <v>1269</v>
      </c>
      <c r="C830" s="153" t="s">
        <v>4180</v>
      </c>
      <c r="D830" s="153" t="s">
        <v>4181</v>
      </c>
      <c r="E830" s="153" t="s">
        <v>64</v>
      </c>
      <c r="F830" s="6"/>
      <c r="G830" s="6"/>
      <c r="H830" s="83">
        <f t="shared" si="13"/>
        <v>7.02</v>
      </c>
      <c r="I830" s="5"/>
      <c r="J830" s="5">
        <v>7.02</v>
      </c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x14ac:dyDescent="0.25">
      <c r="A831" s="10">
        <v>830</v>
      </c>
      <c r="B831" s="152" t="s">
        <v>1091</v>
      </c>
      <c r="C831" s="153" t="s">
        <v>4182</v>
      </c>
      <c r="D831" s="153" t="s">
        <v>4183</v>
      </c>
      <c r="E831" s="153" t="s">
        <v>64</v>
      </c>
      <c r="F831" s="6"/>
      <c r="G831" s="6"/>
      <c r="H831" s="83">
        <f t="shared" si="13"/>
        <v>0</v>
      </c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x14ac:dyDescent="0.25">
      <c r="A832" s="10">
        <v>831</v>
      </c>
      <c r="B832" s="152" t="s">
        <v>1126</v>
      </c>
      <c r="C832" s="153" t="s">
        <v>4184</v>
      </c>
      <c r="D832" s="153" t="s">
        <v>4185</v>
      </c>
      <c r="E832" s="153" t="s">
        <v>64</v>
      </c>
      <c r="F832" s="6"/>
      <c r="G832" s="6"/>
      <c r="H832" s="83">
        <f t="shared" si="13"/>
        <v>0</v>
      </c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x14ac:dyDescent="0.25">
      <c r="A833" s="10">
        <v>832</v>
      </c>
      <c r="B833" s="152" t="s">
        <v>4186</v>
      </c>
      <c r="C833" s="153" t="s">
        <v>4187</v>
      </c>
      <c r="D833" s="153" t="s">
        <v>4188</v>
      </c>
      <c r="E833" s="153" t="s">
        <v>4948</v>
      </c>
      <c r="F833" s="6"/>
      <c r="G833" s="6"/>
      <c r="H833" s="83">
        <f t="shared" si="13"/>
        <v>0</v>
      </c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x14ac:dyDescent="0.25">
      <c r="A834" s="10">
        <v>833</v>
      </c>
      <c r="B834" s="157" t="s">
        <v>1552</v>
      </c>
      <c r="C834" s="158" t="s">
        <v>4189</v>
      </c>
      <c r="D834" s="158" t="s">
        <v>4190</v>
      </c>
      <c r="E834" s="153" t="s">
        <v>64</v>
      </c>
      <c r="F834" s="6"/>
      <c r="G834" s="6"/>
      <c r="H834" s="83">
        <f t="shared" ref="H834:H897" si="14">SUM(I834:AM834)</f>
        <v>30</v>
      </c>
      <c r="I834" s="5"/>
      <c r="J834" s="5">
        <v>30</v>
      </c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x14ac:dyDescent="0.25">
      <c r="A835" s="10">
        <v>834</v>
      </c>
      <c r="B835" s="152" t="s">
        <v>82</v>
      </c>
      <c r="C835" s="153" t="s">
        <v>4191</v>
      </c>
      <c r="D835" s="153" t="s">
        <v>4192</v>
      </c>
      <c r="E835" s="153" t="s">
        <v>64</v>
      </c>
      <c r="F835" s="6"/>
      <c r="G835" s="6"/>
      <c r="H835" s="83">
        <f t="shared" si="14"/>
        <v>0</v>
      </c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x14ac:dyDescent="0.25">
      <c r="A836" s="10">
        <v>835</v>
      </c>
      <c r="B836" s="152" t="s">
        <v>58</v>
      </c>
      <c r="C836" s="153" t="s">
        <v>4193</v>
      </c>
      <c r="D836" s="153" t="s">
        <v>4194</v>
      </c>
      <c r="E836" s="153" t="s">
        <v>64</v>
      </c>
      <c r="F836" s="6"/>
      <c r="G836" s="6"/>
      <c r="H836" s="83">
        <f t="shared" si="14"/>
        <v>23.94</v>
      </c>
      <c r="I836" s="5">
        <v>6.84</v>
      </c>
      <c r="J836" s="5">
        <v>17.100000000000001</v>
      </c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x14ac:dyDescent="0.25">
      <c r="A837" s="10">
        <v>836</v>
      </c>
      <c r="B837" s="152" t="s">
        <v>544</v>
      </c>
      <c r="C837" s="153" t="s">
        <v>4195</v>
      </c>
      <c r="D837" s="153" t="s">
        <v>4196</v>
      </c>
      <c r="E837" s="153" t="s">
        <v>4948</v>
      </c>
      <c r="F837" s="6"/>
      <c r="G837" s="6"/>
      <c r="H837" s="83">
        <f t="shared" si="14"/>
        <v>0</v>
      </c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x14ac:dyDescent="0.25">
      <c r="A838" s="10">
        <v>837</v>
      </c>
      <c r="B838" s="152" t="s">
        <v>494</v>
      </c>
      <c r="C838" s="153" t="s">
        <v>4197</v>
      </c>
      <c r="D838" s="153" t="s">
        <v>4198</v>
      </c>
      <c r="E838" s="153" t="s">
        <v>4948</v>
      </c>
      <c r="F838" s="6"/>
      <c r="G838" s="6"/>
      <c r="H838" s="83">
        <f t="shared" si="14"/>
        <v>0</v>
      </c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x14ac:dyDescent="0.25">
      <c r="A839" s="10">
        <v>838</v>
      </c>
      <c r="B839" s="152" t="s">
        <v>1129</v>
      </c>
      <c r="C839" s="153" t="s">
        <v>4199</v>
      </c>
      <c r="D839" s="153" t="s">
        <v>4200</v>
      </c>
      <c r="E839" s="153" t="s">
        <v>64</v>
      </c>
      <c r="F839" s="6"/>
      <c r="G839" s="6"/>
      <c r="H839" s="83">
        <f t="shared" si="14"/>
        <v>0</v>
      </c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x14ac:dyDescent="0.25">
      <c r="A840" s="10">
        <v>839</v>
      </c>
      <c r="B840" s="152" t="s">
        <v>474</v>
      </c>
      <c r="C840" s="153" t="s">
        <v>4201</v>
      </c>
      <c r="D840" s="153" t="s">
        <v>4202</v>
      </c>
      <c r="E840" s="153" t="s">
        <v>64</v>
      </c>
      <c r="F840" s="6"/>
      <c r="G840" s="6"/>
      <c r="H840" s="83">
        <f t="shared" si="14"/>
        <v>0</v>
      </c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x14ac:dyDescent="0.25">
      <c r="A841" s="10">
        <v>840</v>
      </c>
      <c r="B841" s="152" t="s">
        <v>1215</v>
      </c>
      <c r="C841" s="153" t="s">
        <v>4203</v>
      </c>
      <c r="D841" s="153" t="s">
        <v>4204</v>
      </c>
      <c r="E841" s="153" t="s">
        <v>4948</v>
      </c>
      <c r="F841" s="6"/>
      <c r="G841" s="6"/>
      <c r="H841" s="83">
        <f t="shared" si="14"/>
        <v>0</v>
      </c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x14ac:dyDescent="0.25">
      <c r="A842" s="10">
        <v>841</v>
      </c>
      <c r="B842" s="152" t="s">
        <v>4205</v>
      </c>
      <c r="C842" s="153" t="s">
        <v>4206</v>
      </c>
      <c r="D842" s="153" t="s">
        <v>4207</v>
      </c>
      <c r="E842" s="153" t="s">
        <v>4948</v>
      </c>
      <c r="F842" s="6"/>
      <c r="G842" s="6"/>
      <c r="H842" s="83">
        <f t="shared" si="14"/>
        <v>0</v>
      </c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x14ac:dyDescent="0.25">
      <c r="A843" s="10">
        <v>842</v>
      </c>
      <c r="B843" s="152" t="s">
        <v>1490</v>
      </c>
      <c r="C843" s="153" t="s">
        <v>4208</v>
      </c>
      <c r="D843" s="153" t="s">
        <v>4209</v>
      </c>
      <c r="E843" s="153" t="s">
        <v>64</v>
      </c>
      <c r="F843" s="6"/>
      <c r="G843" s="6"/>
      <c r="H843" s="83">
        <f t="shared" si="14"/>
        <v>0</v>
      </c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x14ac:dyDescent="0.25">
      <c r="A844" s="10">
        <v>843</v>
      </c>
      <c r="B844" s="152" t="s">
        <v>1295</v>
      </c>
      <c r="C844" s="153" t="s">
        <v>4210</v>
      </c>
      <c r="D844" s="153" t="s">
        <v>4211</v>
      </c>
      <c r="E844" s="153" t="s">
        <v>64</v>
      </c>
      <c r="F844" s="6"/>
      <c r="G844" s="6"/>
      <c r="H844" s="83">
        <f t="shared" si="14"/>
        <v>0</v>
      </c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x14ac:dyDescent="0.25">
      <c r="A845" s="10">
        <v>844</v>
      </c>
      <c r="B845" s="152" t="s">
        <v>1373</v>
      </c>
      <c r="C845" s="153" t="s">
        <v>4212</v>
      </c>
      <c r="D845" s="153" t="s">
        <v>4213</v>
      </c>
      <c r="E845" s="153" t="s">
        <v>2111</v>
      </c>
      <c r="F845" s="6"/>
      <c r="G845" s="6"/>
      <c r="H845" s="83">
        <f t="shared" si="14"/>
        <v>0</v>
      </c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x14ac:dyDescent="0.25">
      <c r="A846" s="10">
        <v>845</v>
      </c>
      <c r="B846" s="157" t="s">
        <v>1208</v>
      </c>
      <c r="C846" s="158" t="s">
        <v>4214</v>
      </c>
      <c r="D846" s="158" t="s">
        <v>4215</v>
      </c>
      <c r="E846" s="153" t="s">
        <v>64</v>
      </c>
      <c r="F846" s="6"/>
      <c r="G846" s="6"/>
      <c r="H846" s="83">
        <f t="shared" si="14"/>
        <v>0</v>
      </c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x14ac:dyDescent="0.25">
      <c r="A847" s="10">
        <v>846</v>
      </c>
      <c r="B847" s="152" t="s">
        <v>1436</v>
      </c>
      <c r="C847" s="153" t="s">
        <v>4216</v>
      </c>
      <c r="D847" s="153" t="s">
        <v>4217</v>
      </c>
      <c r="E847" s="153" t="s">
        <v>64</v>
      </c>
      <c r="F847" s="6"/>
      <c r="G847" s="6"/>
      <c r="H847" s="83">
        <f t="shared" si="14"/>
        <v>0</v>
      </c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x14ac:dyDescent="0.25">
      <c r="A848" s="10">
        <v>847</v>
      </c>
      <c r="B848" s="152" t="s">
        <v>1245</v>
      </c>
      <c r="C848" s="153" t="s">
        <v>4218</v>
      </c>
      <c r="D848" s="153" t="s">
        <v>4219</v>
      </c>
      <c r="E848" s="153" t="s">
        <v>64</v>
      </c>
      <c r="F848" s="6"/>
      <c r="G848" s="6"/>
      <c r="H848" s="83">
        <f t="shared" si="14"/>
        <v>0</v>
      </c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x14ac:dyDescent="0.25">
      <c r="A849" s="10">
        <v>848</v>
      </c>
      <c r="B849" s="157" t="s">
        <v>41</v>
      </c>
      <c r="C849" s="158" t="s">
        <v>4220</v>
      </c>
      <c r="D849" s="158" t="s">
        <v>4221</v>
      </c>
      <c r="E849" s="153" t="s">
        <v>64</v>
      </c>
      <c r="F849" s="6"/>
      <c r="G849" s="6"/>
      <c r="H849" s="83">
        <f t="shared" si="14"/>
        <v>0</v>
      </c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x14ac:dyDescent="0.25">
      <c r="A850" s="10">
        <v>849</v>
      </c>
      <c r="B850" s="152" t="s">
        <v>4222</v>
      </c>
      <c r="C850" s="153" t="s">
        <v>4223</v>
      </c>
      <c r="D850" s="153" t="s">
        <v>4224</v>
      </c>
      <c r="E850" s="153" t="s">
        <v>4948</v>
      </c>
      <c r="F850" s="6"/>
      <c r="G850" s="6"/>
      <c r="H850" s="83">
        <f t="shared" si="14"/>
        <v>0</v>
      </c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x14ac:dyDescent="0.25">
      <c r="A851" s="10">
        <v>850</v>
      </c>
      <c r="B851" s="152" t="s">
        <v>1345</v>
      </c>
      <c r="C851" s="153" t="s">
        <v>4225</v>
      </c>
      <c r="D851" s="153" t="s">
        <v>4226</v>
      </c>
      <c r="E851" s="153" t="s">
        <v>64</v>
      </c>
      <c r="F851" s="6"/>
      <c r="G851" s="6"/>
      <c r="H851" s="83">
        <f t="shared" si="14"/>
        <v>0</v>
      </c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x14ac:dyDescent="0.25">
      <c r="A852" s="10">
        <v>851</v>
      </c>
      <c r="B852" s="152" t="s">
        <v>1526</v>
      </c>
      <c r="C852" s="153" t="s">
        <v>4227</v>
      </c>
      <c r="D852" s="153" t="s">
        <v>4228</v>
      </c>
      <c r="E852" s="153" t="s">
        <v>4948</v>
      </c>
      <c r="F852" s="6"/>
      <c r="G852" s="6"/>
      <c r="H852" s="83">
        <f t="shared" si="14"/>
        <v>0.46700000000000003</v>
      </c>
      <c r="I852" s="5"/>
      <c r="J852" s="5">
        <v>0.46700000000000003</v>
      </c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x14ac:dyDescent="0.25">
      <c r="A853" s="10">
        <v>852</v>
      </c>
      <c r="B853" s="152" t="s">
        <v>4229</v>
      </c>
      <c r="C853" s="153" t="s">
        <v>4230</v>
      </c>
      <c r="D853" s="153" t="s">
        <v>4231</v>
      </c>
      <c r="E853" s="153" t="s">
        <v>2111</v>
      </c>
      <c r="F853" s="6"/>
      <c r="G853" s="6"/>
      <c r="H853" s="83">
        <f t="shared" si="14"/>
        <v>0</v>
      </c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x14ac:dyDescent="0.25">
      <c r="A854" s="10">
        <v>853</v>
      </c>
      <c r="B854" s="152" t="s">
        <v>1478</v>
      </c>
      <c r="C854" s="153" t="s">
        <v>4232</v>
      </c>
      <c r="D854" s="153" t="s">
        <v>4233</v>
      </c>
      <c r="E854" s="153" t="s">
        <v>4948</v>
      </c>
      <c r="F854" s="6"/>
      <c r="G854" s="6"/>
      <c r="H854" s="83">
        <f t="shared" si="14"/>
        <v>0</v>
      </c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x14ac:dyDescent="0.25">
      <c r="A855" s="10">
        <v>854</v>
      </c>
      <c r="B855" s="152" t="s">
        <v>4234</v>
      </c>
      <c r="C855" s="153" t="s">
        <v>4235</v>
      </c>
      <c r="D855" s="153" t="s">
        <v>4236</v>
      </c>
      <c r="E855" s="153" t="s">
        <v>64</v>
      </c>
      <c r="F855" s="6"/>
      <c r="G855" s="6"/>
      <c r="H855" s="83">
        <f t="shared" si="14"/>
        <v>0</v>
      </c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x14ac:dyDescent="0.25">
      <c r="A856" s="10">
        <v>855</v>
      </c>
      <c r="B856" s="152" t="s">
        <v>1134</v>
      </c>
      <c r="C856" s="153" t="s">
        <v>4237</v>
      </c>
      <c r="D856" s="153" t="s">
        <v>4238</v>
      </c>
      <c r="E856" s="153" t="s">
        <v>64</v>
      </c>
      <c r="F856" s="6"/>
      <c r="G856" s="6"/>
      <c r="H856" s="83">
        <f t="shared" si="14"/>
        <v>0</v>
      </c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x14ac:dyDescent="0.25">
      <c r="A857" s="10">
        <v>856</v>
      </c>
      <c r="B857" s="157" t="s">
        <v>1323</v>
      </c>
      <c r="C857" s="158" t="s">
        <v>4239</v>
      </c>
      <c r="D857" s="158" t="s">
        <v>4240</v>
      </c>
      <c r="E857" s="153" t="s">
        <v>4948</v>
      </c>
      <c r="F857" s="6"/>
      <c r="G857" s="6"/>
      <c r="H857" s="83">
        <f t="shared" si="14"/>
        <v>0</v>
      </c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x14ac:dyDescent="0.25">
      <c r="A858" s="10">
        <v>857</v>
      </c>
      <c r="B858" s="152" t="s">
        <v>1285</v>
      </c>
      <c r="C858" s="153" t="s">
        <v>4241</v>
      </c>
      <c r="D858" s="153" t="s">
        <v>4242</v>
      </c>
      <c r="E858" s="153" t="s">
        <v>64</v>
      </c>
      <c r="F858" s="6"/>
      <c r="G858" s="6"/>
      <c r="H858" s="83">
        <f t="shared" si="14"/>
        <v>0</v>
      </c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x14ac:dyDescent="0.25">
      <c r="A859" s="10">
        <v>858</v>
      </c>
      <c r="B859" s="152" t="s">
        <v>1287</v>
      </c>
      <c r="C859" s="153" t="s">
        <v>1993</v>
      </c>
      <c r="D859" s="153" t="s">
        <v>4243</v>
      </c>
      <c r="E859" s="153" t="s">
        <v>64</v>
      </c>
      <c r="F859" s="6"/>
      <c r="G859" s="6"/>
      <c r="H859" s="83">
        <f t="shared" si="14"/>
        <v>2</v>
      </c>
      <c r="I859" s="5"/>
      <c r="J859" s="5">
        <v>2</v>
      </c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x14ac:dyDescent="0.25">
      <c r="A860" s="10">
        <v>859</v>
      </c>
      <c r="B860" s="152" t="s">
        <v>1386</v>
      </c>
      <c r="C860" s="153" t="s">
        <v>4244</v>
      </c>
      <c r="D860" s="153" t="s">
        <v>4245</v>
      </c>
      <c r="E860" s="153" t="s">
        <v>64</v>
      </c>
      <c r="F860" s="6"/>
      <c r="G860" s="6"/>
      <c r="H860" s="83">
        <f t="shared" si="14"/>
        <v>4.8</v>
      </c>
      <c r="I860" s="5">
        <v>4.8</v>
      </c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x14ac:dyDescent="0.25">
      <c r="A861" s="10">
        <v>860</v>
      </c>
      <c r="B861" s="152" t="s">
        <v>1047</v>
      </c>
      <c r="C861" s="153" t="s">
        <v>4246</v>
      </c>
      <c r="D861" s="153" t="s">
        <v>4247</v>
      </c>
      <c r="E861" s="153" t="s">
        <v>64</v>
      </c>
      <c r="F861" s="6"/>
      <c r="G861" s="6"/>
      <c r="H861" s="83">
        <f t="shared" si="14"/>
        <v>306.04599999999999</v>
      </c>
      <c r="I861" s="5">
        <v>237.946</v>
      </c>
      <c r="J861" s="5"/>
      <c r="K861" s="5"/>
      <c r="L861" s="5"/>
      <c r="M861" s="5"/>
      <c r="N861" s="5"/>
      <c r="O861" s="5"/>
      <c r="P861" s="5">
        <v>59.52</v>
      </c>
      <c r="Q861" s="5">
        <v>8.58</v>
      </c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x14ac:dyDescent="0.25">
      <c r="A862" s="10">
        <v>861</v>
      </c>
      <c r="B862" s="152" t="s">
        <v>978</v>
      </c>
      <c r="C862" s="153" t="s">
        <v>4248</v>
      </c>
      <c r="D862" s="153" t="s">
        <v>4249</v>
      </c>
      <c r="E862" s="153" t="s">
        <v>4948</v>
      </c>
      <c r="F862" s="6"/>
      <c r="G862" s="6"/>
      <c r="H862" s="83">
        <f t="shared" si="14"/>
        <v>0</v>
      </c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x14ac:dyDescent="0.25">
      <c r="A863" s="10">
        <v>862</v>
      </c>
      <c r="B863" s="152" t="s">
        <v>1388</v>
      </c>
      <c r="C863" s="153" t="s">
        <v>4250</v>
      </c>
      <c r="D863" s="153" t="s">
        <v>4251</v>
      </c>
      <c r="E863" s="153" t="s">
        <v>64</v>
      </c>
      <c r="F863" s="6"/>
      <c r="G863" s="6"/>
      <c r="H863" s="83">
        <f t="shared" si="14"/>
        <v>0</v>
      </c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x14ac:dyDescent="0.25">
      <c r="A864" s="10">
        <v>863</v>
      </c>
      <c r="B864" s="152" t="s">
        <v>1480</v>
      </c>
      <c r="C864" s="153" t="s">
        <v>4252</v>
      </c>
      <c r="D864" s="153" t="s">
        <v>4253</v>
      </c>
      <c r="E864" s="153" t="s">
        <v>4948</v>
      </c>
      <c r="F864" s="6"/>
      <c r="G864" s="6"/>
      <c r="H864" s="83">
        <f t="shared" si="14"/>
        <v>0</v>
      </c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x14ac:dyDescent="0.25">
      <c r="A865" s="10">
        <v>864</v>
      </c>
      <c r="B865" s="152" t="s">
        <v>691</v>
      </c>
      <c r="C865" s="153" t="s">
        <v>4254</v>
      </c>
      <c r="D865" s="153" t="s">
        <v>4255</v>
      </c>
      <c r="E865" s="153" t="s">
        <v>4948</v>
      </c>
      <c r="F865" s="6"/>
      <c r="G865" s="6"/>
      <c r="H865" s="83">
        <f t="shared" si="14"/>
        <v>0</v>
      </c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x14ac:dyDescent="0.25">
      <c r="A866" s="10">
        <v>865</v>
      </c>
      <c r="B866" s="152" t="s">
        <v>1354</v>
      </c>
      <c r="C866" s="153" t="s">
        <v>4256</v>
      </c>
      <c r="D866" s="153" t="s">
        <v>4257</v>
      </c>
      <c r="E866" s="153" t="s">
        <v>64</v>
      </c>
      <c r="F866" s="6"/>
      <c r="G866" s="6"/>
      <c r="H866" s="83">
        <f t="shared" si="14"/>
        <v>0</v>
      </c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x14ac:dyDescent="0.25">
      <c r="A867" s="10">
        <v>866</v>
      </c>
      <c r="B867" s="152" t="s">
        <v>1167</v>
      </c>
      <c r="C867" s="153" t="s">
        <v>4258</v>
      </c>
      <c r="D867" s="153" t="s">
        <v>4259</v>
      </c>
      <c r="E867" s="153" t="s">
        <v>4948</v>
      </c>
      <c r="F867" s="6"/>
      <c r="G867" s="6"/>
      <c r="H867" s="83">
        <f t="shared" si="14"/>
        <v>0</v>
      </c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x14ac:dyDescent="0.25">
      <c r="A868" s="10">
        <v>867</v>
      </c>
      <c r="B868" s="152" t="s">
        <v>1523</v>
      </c>
      <c r="C868" s="153" t="s">
        <v>4260</v>
      </c>
      <c r="D868" s="153" t="s">
        <v>4261</v>
      </c>
      <c r="E868" s="153" t="s">
        <v>64</v>
      </c>
      <c r="F868" s="6"/>
      <c r="G868" s="6"/>
      <c r="H868" s="83">
        <f t="shared" si="14"/>
        <v>0</v>
      </c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x14ac:dyDescent="0.25">
      <c r="A869" s="10">
        <v>868</v>
      </c>
      <c r="B869" s="152" t="s">
        <v>1122</v>
      </c>
      <c r="C869" s="153" t="s">
        <v>4262</v>
      </c>
      <c r="D869" s="153" t="s">
        <v>4263</v>
      </c>
      <c r="E869" s="153" t="s">
        <v>64</v>
      </c>
      <c r="F869" s="6"/>
      <c r="G869" s="6"/>
      <c r="H869" s="83">
        <f t="shared" si="14"/>
        <v>0</v>
      </c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x14ac:dyDescent="0.25">
      <c r="A870" s="10">
        <v>869</v>
      </c>
      <c r="B870" s="152" t="s">
        <v>851</v>
      </c>
      <c r="C870" s="153" t="s">
        <v>4264</v>
      </c>
      <c r="D870" s="153" t="s">
        <v>4265</v>
      </c>
      <c r="E870" s="153" t="s">
        <v>4948</v>
      </c>
      <c r="F870" s="6"/>
      <c r="G870" s="6"/>
      <c r="H870" s="83">
        <f t="shared" si="14"/>
        <v>0</v>
      </c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x14ac:dyDescent="0.25">
      <c r="A871" s="10">
        <v>870</v>
      </c>
      <c r="B871" s="152" t="s">
        <v>716</v>
      </c>
      <c r="C871" s="153" t="s">
        <v>4266</v>
      </c>
      <c r="D871" s="153" t="s">
        <v>4267</v>
      </c>
      <c r="E871" s="153" t="s">
        <v>4948</v>
      </c>
      <c r="F871" s="6"/>
      <c r="G871" s="6"/>
      <c r="H871" s="83">
        <f t="shared" si="14"/>
        <v>0</v>
      </c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x14ac:dyDescent="0.25">
      <c r="A872" s="10">
        <v>871</v>
      </c>
      <c r="B872" s="152" t="s">
        <v>1202</v>
      </c>
      <c r="C872" s="153" t="s">
        <v>4268</v>
      </c>
      <c r="D872" s="153" t="s">
        <v>4269</v>
      </c>
      <c r="E872" s="153" t="s">
        <v>64</v>
      </c>
      <c r="F872" s="6"/>
      <c r="G872" s="6"/>
      <c r="H872" s="83">
        <f t="shared" si="14"/>
        <v>22.8</v>
      </c>
      <c r="I872" s="5"/>
      <c r="J872" s="5">
        <v>22.8</v>
      </c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x14ac:dyDescent="0.25">
      <c r="A873" s="10">
        <v>872</v>
      </c>
      <c r="B873" s="152" t="s">
        <v>1078</v>
      </c>
      <c r="C873" s="153" t="s">
        <v>4270</v>
      </c>
      <c r="D873" s="153" t="s">
        <v>4271</v>
      </c>
      <c r="E873" s="153" t="s">
        <v>64</v>
      </c>
      <c r="F873" s="6"/>
      <c r="G873" s="6"/>
      <c r="H873" s="83">
        <f t="shared" si="14"/>
        <v>0</v>
      </c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x14ac:dyDescent="0.25">
      <c r="A874" s="10">
        <v>873</v>
      </c>
      <c r="B874" s="152" t="s">
        <v>402</v>
      </c>
      <c r="C874" s="153" t="s">
        <v>4272</v>
      </c>
      <c r="D874" s="153" t="s">
        <v>4273</v>
      </c>
      <c r="E874" s="153" t="s">
        <v>4948</v>
      </c>
      <c r="F874" s="6"/>
      <c r="G874" s="6"/>
      <c r="H874" s="83">
        <f t="shared" si="14"/>
        <v>0</v>
      </c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x14ac:dyDescent="0.25">
      <c r="A875" s="10">
        <v>874</v>
      </c>
      <c r="B875" s="152" t="s">
        <v>635</v>
      </c>
      <c r="C875" s="153" t="s">
        <v>4274</v>
      </c>
      <c r="D875" s="153" t="s">
        <v>4275</v>
      </c>
      <c r="E875" s="153" t="s">
        <v>64</v>
      </c>
      <c r="F875" s="6"/>
      <c r="G875" s="6"/>
      <c r="H875" s="83">
        <f t="shared" si="14"/>
        <v>0</v>
      </c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x14ac:dyDescent="0.25">
      <c r="A876" s="10">
        <v>875</v>
      </c>
      <c r="B876" s="152" t="s">
        <v>1558</v>
      </c>
      <c r="C876" s="153" t="s">
        <v>4276</v>
      </c>
      <c r="D876" s="153" t="s">
        <v>4277</v>
      </c>
      <c r="E876" s="153" t="s">
        <v>64</v>
      </c>
      <c r="F876" s="6"/>
      <c r="G876" s="6"/>
      <c r="H876" s="83">
        <f t="shared" si="14"/>
        <v>0</v>
      </c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x14ac:dyDescent="0.25">
      <c r="A877" s="10">
        <v>876</v>
      </c>
      <c r="B877" s="152" t="s">
        <v>1521</v>
      </c>
      <c r="C877" s="153" t="s">
        <v>4278</v>
      </c>
      <c r="D877" s="153" t="s">
        <v>4279</v>
      </c>
      <c r="E877" s="153" t="s">
        <v>2111</v>
      </c>
      <c r="F877" s="6"/>
      <c r="G877" s="6"/>
      <c r="H877" s="83">
        <f t="shared" si="14"/>
        <v>42.6</v>
      </c>
      <c r="I877" s="5"/>
      <c r="J877" s="5">
        <v>42.6</v>
      </c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x14ac:dyDescent="0.25">
      <c r="A878" s="10">
        <v>877</v>
      </c>
      <c r="B878" s="152" t="s">
        <v>1381</v>
      </c>
      <c r="C878" s="153" t="s">
        <v>4280</v>
      </c>
      <c r="D878" s="153" t="s">
        <v>4281</v>
      </c>
      <c r="E878" s="153" t="s">
        <v>64</v>
      </c>
      <c r="F878" s="6"/>
      <c r="G878" s="6"/>
      <c r="H878" s="83">
        <f t="shared" si="14"/>
        <v>950</v>
      </c>
      <c r="I878" s="5">
        <v>630</v>
      </c>
      <c r="J878" s="5"/>
      <c r="K878" s="5"/>
      <c r="L878" s="5"/>
      <c r="M878" s="5"/>
      <c r="N878" s="5"/>
      <c r="O878" s="5"/>
      <c r="P878" s="5">
        <v>80</v>
      </c>
      <c r="Q878" s="5">
        <v>140</v>
      </c>
      <c r="R878" s="5"/>
      <c r="S878" s="5">
        <v>70</v>
      </c>
      <c r="T878" s="5">
        <v>30</v>
      </c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x14ac:dyDescent="0.25">
      <c r="A879" s="10">
        <v>878</v>
      </c>
      <c r="B879" s="152" t="s">
        <v>1213</v>
      </c>
      <c r="C879" s="153" t="s">
        <v>4282</v>
      </c>
      <c r="D879" s="153" t="s">
        <v>4283</v>
      </c>
      <c r="E879" s="153" t="s">
        <v>64</v>
      </c>
      <c r="F879" s="6"/>
      <c r="G879" s="6"/>
      <c r="H879" s="83">
        <f t="shared" si="14"/>
        <v>0</v>
      </c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x14ac:dyDescent="0.25">
      <c r="A880" s="10">
        <v>879</v>
      </c>
      <c r="B880" s="152" t="s">
        <v>1282</v>
      </c>
      <c r="C880" s="153" t="s">
        <v>4284</v>
      </c>
      <c r="D880" s="153" t="s">
        <v>4285</v>
      </c>
      <c r="E880" s="153" t="s">
        <v>64</v>
      </c>
      <c r="F880" s="6"/>
      <c r="G880" s="6"/>
      <c r="H880" s="83">
        <f t="shared" si="14"/>
        <v>0</v>
      </c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x14ac:dyDescent="0.25">
      <c r="A881" s="10">
        <v>880</v>
      </c>
      <c r="B881" s="152" t="s">
        <v>1562</v>
      </c>
      <c r="C881" s="153" t="s">
        <v>4286</v>
      </c>
      <c r="D881" s="153" t="s">
        <v>4287</v>
      </c>
      <c r="E881" s="153" t="s">
        <v>2111</v>
      </c>
      <c r="F881" s="6"/>
      <c r="G881" s="6"/>
      <c r="H881" s="83">
        <f t="shared" si="14"/>
        <v>0</v>
      </c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x14ac:dyDescent="0.25">
      <c r="A882" s="10">
        <v>881</v>
      </c>
      <c r="B882" s="152" t="s">
        <v>1584</v>
      </c>
      <c r="C882" s="153" t="s">
        <v>4288</v>
      </c>
      <c r="D882" s="153" t="s">
        <v>4289</v>
      </c>
      <c r="E882" s="153" t="s">
        <v>64</v>
      </c>
      <c r="F882" s="6"/>
      <c r="G882" s="6"/>
      <c r="H882" s="83">
        <f t="shared" si="14"/>
        <v>0</v>
      </c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x14ac:dyDescent="0.25">
      <c r="A883" s="10">
        <v>882</v>
      </c>
      <c r="B883" s="152" t="s">
        <v>444</v>
      </c>
      <c r="C883" s="153" t="s">
        <v>4290</v>
      </c>
      <c r="D883" s="153" t="s">
        <v>4291</v>
      </c>
      <c r="E883" s="153" t="s">
        <v>4948</v>
      </c>
      <c r="F883" s="6"/>
      <c r="G883" s="6"/>
      <c r="H883" s="83">
        <f t="shared" si="14"/>
        <v>0</v>
      </c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x14ac:dyDescent="0.25">
      <c r="A884" s="10">
        <v>883</v>
      </c>
      <c r="B884" s="157" t="s">
        <v>526</v>
      </c>
      <c r="C884" s="158" t="s">
        <v>4292</v>
      </c>
      <c r="D884" s="158" t="s">
        <v>4293</v>
      </c>
      <c r="E884" s="153" t="s">
        <v>64</v>
      </c>
      <c r="F884" s="6"/>
      <c r="G884" s="6"/>
      <c r="H884" s="83">
        <f t="shared" si="14"/>
        <v>0</v>
      </c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x14ac:dyDescent="0.25">
      <c r="A885" s="10">
        <v>884</v>
      </c>
      <c r="B885" s="152" t="s">
        <v>1495</v>
      </c>
      <c r="C885" s="153" t="s">
        <v>4294</v>
      </c>
      <c r="D885" s="153" t="s">
        <v>4295</v>
      </c>
      <c r="E885" s="153" t="s">
        <v>64</v>
      </c>
      <c r="F885" s="6"/>
      <c r="G885" s="6"/>
      <c r="H885" s="83">
        <f t="shared" si="14"/>
        <v>105</v>
      </c>
      <c r="I885" s="5">
        <v>65</v>
      </c>
      <c r="J885" s="5"/>
      <c r="K885" s="5"/>
      <c r="L885" s="5"/>
      <c r="M885" s="5"/>
      <c r="N885" s="5"/>
      <c r="O885" s="5"/>
      <c r="P885" s="5">
        <v>10</v>
      </c>
      <c r="Q885" s="5">
        <v>5</v>
      </c>
      <c r="R885" s="5"/>
      <c r="S885" s="5">
        <v>10</v>
      </c>
      <c r="T885" s="5">
        <v>15</v>
      </c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x14ac:dyDescent="0.25">
      <c r="A886" s="10">
        <v>885</v>
      </c>
      <c r="B886" s="152" t="s">
        <v>1211</v>
      </c>
      <c r="C886" s="153" t="s">
        <v>4296</v>
      </c>
      <c r="D886" s="153" t="s">
        <v>4297</v>
      </c>
      <c r="E886" s="153" t="s">
        <v>4948</v>
      </c>
      <c r="F886" s="6"/>
      <c r="G886" s="6"/>
      <c r="H886" s="83">
        <f t="shared" si="14"/>
        <v>0</v>
      </c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x14ac:dyDescent="0.25">
      <c r="A887" s="10">
        <v>886</v>
      </c>
      <c r="B887" s="152" t="s">
        <v>542</v>
      </c>
      <c r="C887" s="153" t="s">
        <v>4298</v>
      </c>
      <c r="D887" s="153" t="s">
        <v>4299</v>
      </c>
      <c r="E887" s="153" t="s">
        <v>4948</v>
      </c>
      <c r="F887" s="6"/>
      <c r="G887" s="6"/>
      <c r="H887" s="83">
        <f t="shared" si="14"/>
        <v>0</v>
      </c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x14ac:dyDescent="0.25">
      <c r="A888" s="10">
        <v>887</v>
      </c>
      <c r="B888" s="152" t="s">
        <v>480</v>
      </c>
      <c r="C888" s="153" t="s">
        <v>4300</v>
      </c>
      <c r="D888" s="153" t="s">
        <v>4301</v>
      </c>
      <c r="E888" s="153" t="s">
        <v>64</v>
      </c>
      <c r="F888" s="6"/>
      <c r="G888" s="6"/>
      <c r="H888" s="83">
        <f t="shared" si="14"/>
        <v>0</v>
      </c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x14ac:dyDescent="0.25">
      <c r="A889" s="10">
        <v>888</v>
      </c>
      <c r="B889" s="152" t="s">
        <v>4302</v>
      </c>
      <c r="C889" s="153" t="s">
        <v>4303</v>
      </c>
      <c r="D889" s="153" t="s">
        <v>4304</v>
      </c>
      <c r="E889" s="153" t="s">
        <v>4948</v>
      </c>
      <c r="F889" s="6"/>
      <c r="G889" s="6"/>
      <c r="H889" s="83">
        <f t="shared" si="14"/>
        <v>0</v>
      </c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x14ac:dyDescent="0.25">
      <c r="A890" s="10">
        <v>889</v>
      </c>
      <c r="B890" s="152" t="s">
        <v>1460</v>
      </c>
      <c r="C890" s="153" t="s">
        <v>4305</v>
      </c>
      <c r="D890" s="153" t="s">
        <v>4306</v>
      </c>
      <c r="E890" s="153" t="s">
        <v>64</v>
      </c>
      <c r="F890" s="6"/>
      <c r="G890" s="6"/>
      <c r="H890" s="83">
        <f t="shared" si="14"/>
        <v>8.7119999999999997</v>
      </c>
      <c r="I890" s="5"/>
      <c r="J890" s="5">
        <f>8.712</f>
        <v>8.7119999999999997</v>
      </c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x14ac:dyDescent="0.25">
      <c r="A891" s="10">
        <v>890</v>
      </c>
      <c r="B891" s="152" t="s">
        <v>1242</v>
      </c>
      <c r="C891" s="153" t="s">
        <v>4307</v>
      </c>
      <c r="D891" s="153" t="s">
        <v>4308</v>
      </c>
      <c r="E891" s="153" t="s">
        <v>64</v>
      </c>
      <c r="F891" s="6"/>
      <c r="G891" s="6"/>
      <c r="H891" s="83">
        <f t="shared" si="14"/>
        <v>50</v>
      </c>
      <c r="I891" s="5">
        <v>35</v>
      </c>
      <c r="J891" s="5"/>
      <c r="K891" s="5"/>
      <c r="L891" s="5"/>
      <c r="M891" s="5"/>
      <c r="N891" s="5"/>
      <c r="O891" s="5"/>
      <c r="P891" s="5"/>
      <c r="Q891" s="5">
        <v>5</v>
      </c>
      <c r="R891" s="5"/>
      <c r="S891" s="5">
        <v>5</v>
      </c>
      <c r="T891" s="5">
        <v>5</v>
      </c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x14ac:dyDescent="0.25">
      <c r="A892" s="10">
        <v>891</v>
      </c>
      <c r="B892" s="152" t="s">
        <v>1120</v>
      </c>
      <c r="C892" s="153" t="s">
        <v>4309</v>
      </c>
      <c r="D892" s="153" t="s">
        <v>4310</v>
      </c>
      <c r="E892" s="153" t="s">
        <v>64</v>
      </c>
      <c r="F892" s="6"/>
      <c r="G892" s="6"/>
      <c r="H892" s="83">
        <f t="shared" si="14"/>
        <v>0</v>
      </c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x14ac:dyDescent="0.25">
      <c r="A893" s="10">
        <v>892</v>
      </c>
      <c r="B893" s="152" t="s">
        <v>1576</v>
      </c>
      <c r="C893" s="153" t="s">
        <v>4311</v>
      </c>
      <c r="D893" s="153" t="s">
        <v>4312</v>
      </c>
      <c r="E893" s="153" t="s">
        <v>2111</v>
      </c>
      <c r="F893" s="6"/>
      <c r="G893" s="6"/>
      <c r="H893" s="83">
        <f t="shared" si="14"/>
        <v>0</v>
      </c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x14ac:dyDescent="0.25">
      <c r="A894" s="10">
        <v>893</v>
      </c>
      <c r="B894" s="152" t="s">
        <v>4313</v>
      </c>
      <c r="C894" s="153" t="s">
        <v>4314</v>
      </c>
      <c r="D894" s="153" t="s">
        <v>4315</v>
      </c>
      <c r="E894" s="153" t="s">
        <v>4948</v>
      </c>
      <c r="F894" s="6"/>
      <c r="G894" s="6"/>
      <c r="H894" s="83">
        <f t="shared" si="14"/>
        <v>0</v>
      </c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x14ac:dyDescent="0.25">
      <c r="A895" s="10">
        <v>894</v>
      </c>
      <c r="B895" s="152" t="s">
        <v>538</v>
      </c>
      <c r="C895" s="153" t="s">
        <v>4316</v>
      </c>
      <c r="D895" s="153" t="s">
        <v>4317</v>
      </c>
      <c r="E895" s="153" t="s">
        <v>4948</v>
      </c>
      <c r="F895" s="6"/>
      <c r="G895" s="6"/>
      <c r="H895" s="83">
        <f t="shared" si="14"/>
        <v>10</v>
      </c>
      <c r="I895" s="5">
        <v>10</v>
      </c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x14ac:dyDescent="0.25">
      <c r="A896" s="10">
        <v>895</v>
      </c>
      <c r="B896" s="152" t="s">
        <v>1136</v>
      </c>
      <c r="C896" s="153" t="s">
        <v>4318</v>
      </c>
      <c r="D896" s="153" t="s">
        <v>4319</v>
      </c>
      <c r="E896" s="153" t="s">
        <v>4948</v>
      </c>
      <c r="F896" s="6"/>
      <c r="G896" s="6"/>
      <c r="H896" s="83">
        <f t="shared" si="14"/>
        <v>0</v>
      </c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x14ac:dyDescent="0.25">
      <c r="A897" s="10">
        <v>896</v>
      </c>
      <c r="B897" s="152" t="s">
        <v>488</v>
      </c>
      <c r="C897" s="153" t="s">
        <v>4320</v>
      </c>
      <c r="D897" s="153" t="s">
        <v>4321</v>
      </c>
      <c r="E897" s="153" t="s">
        <v>64</v>
      </c>
      <c r="F897" s="6"/>
      <c r="G897" s="6"/>
      <c r="H897" s="83">
        <f t="shared" si="14"/>
        <v>10</v>
      </c>
      <c r="I897" s="5">
        <v>10</v>
      </c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x14ac:dyDescent="0.25">
      <c r="A898" s="10">
        <v>897</v>
      </c>
      <c r="B898" s="152" t="s">
        <v>1272</v>
      </c>
      <c r="C898" s="153" t="s">
        <v>4322</v>
      </c>
      <c r="D898" s="153" t="s">
        <v>4323</v>
      </c>
      <c r="E898" s="153" t="s">
        <v>64</v>
      </c>
      <c r="F898" s="6"/>
      <c r="G898" s="6"/>
      <c r="H898" s="83">
        <f t="shared" ref="H898:H961" si="15">SUM(I898:AM898)</f>
        <v>0</v>
      </c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x14ac:dyDescent="0.25">
      <c r="A899" s="10">
        <v>898</v>
      </c>
      <c r="B899" s="152" t="s">
        <v>1236</v>
      </c>
      <c r="C899" s="153" t="s">
        <v>4324</v>
      </c>
      <c r="D899" s="153" t="s">
        <v>4325</v>
      </c>
      <c r="E899" s="153" t="s">
        <v>4948</v>
      </c>
      <c r="F899" s="6"/>
      <c r="G899" s="6"/>
      <c r="H899" s="83">
        <f t="shared" si="15"/>
        <v>0</v>
      </c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x14ac:dyDescent="0.25">
      <c r="A900" s="10">
        <v>899</v>
      </c>
      <c r="B900" s="152" t="s">
        <v>1513</v>
      </c>
      <c r="C900" s="153" t="s">
        <v>4326</v>
      </c>
      <c r="D900" s="153" t="s">
        <v>4327</v>
      </c>
      <c r="E900" s="153" t="s">
        <v>64</v>
      </c>
      <c r="F900" s="6"/>
      <c r="G900" s="6"/>
      <c r="H900" s="83">
        <f t="shared" si="15"/>
        <v>0</v>
      </c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x14ac:dyDescent="0.25">
      <c r="A901" s="10">
        <v>900</v>
      </c>
      <c r="B901" s="152" t="s">
        <v>136</v>
      </c>
      <c r="C901" s="153" t="s">
        <v>4328</v>
      </c>
      <c r="D901" s="153" t="s">
        <v>4329</v>
      </c>
      <c r="E901" s="153" t="s">
        <v>64</v>
      </c>
      <c r="F901" s="6"/>
      <c r="G901" s="6"/>
      <c r="H901" s="83">
        <f t="shared" si="15"/>
        <v>0</v>
      </c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x14ac:dyDescent="0.25">
      <c r="A902" s="10">
        <v>901</v>
      </c>
      <c r="B902" s="152" t="s">
        <v>638</v>
      </c>
      <c r="C902" s="153" t="s">
        <v>4330</v>
      </c>
      <c r="D902" s="153" t="s">
        <v>4331</v>
      </c>
      <c r="E902" s="153" t="s">
        <v>64</v>
      </c>
      <c r="F902" s="6"/>
      <c r="G902" s="6"/>
      <c r="H902" s="83">
        <f t="shared" si="15"/>
        <v>0</v>
      </c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x14ac:dyDescent="0.25">
      <c r="A903" s="10">
        <v>902</v>
      </c>
      <c r="B903" s="152" t="s">
        <v>1463</v>
      </c>
      <c r="C903" s="153" t="s">
        <v>4332</v>
      </c>
      <c r="D903" s="153" t="s">
        <v>4333</v>
      </c>
      <c r="E903" s="153" t="s">
        <v>2111</v>
      </c>
      <c r="F903" s="6"/>
      <c r="G903" s="6"/>
      <c r="H903" s="83">
        <f t="shared" si="15"/>
        <v>19</v>
      </c>
      <c r="I903" s="5">
        <v>19</v>
      </c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x14ac:dyDescent="0.25">
      <c r="A904" s="10">
        <v>903</v>
      </c>
      <c r="B904" s="152" t="s">
        <v>4334</v>
      </c>
      <c r="C904" s="153" t="s">
        <v>4335</v>
      </c>
      <c r="D904" s="153" t="s">
        <v>4336</v>
      </c>
      <c r="E904" s="153" t="s">
        <v>4948</v>
      </c>
      <c r="F904" s="6"/>
      <c r="G904" s="6"/>
      <c r="H904" s="83">
        <f t="shared" si="15"/>
        <v>0</v>
      </c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x14ac:dyDescent="0.25">
      <c r="A905" s="10">
        <v>904</v>
      </c>
      <c r="B905" s="152" t="s">
        <v>514</v>
      </c>
      <c r="C905" s="153" t="s">
        <v>4337</v>
      </c>
      <c r="D905" s="153" t="s">
        <v>4338</v>
      </c>
      <c r="E905" s="153" t="s">
        <v>2086</v>
      </c>
      <c r="F905" s="6"/>
      <c r="G905" s="6"/>
      <c r="H905" s="83">
        <f t="shared" si="15"/>
        <v>0</v>
      </c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x14ac:dyDescent="0.25">
      <c r="A906" s="10">
        <v>905</v>
      </c>
      <c r="B906" s="152" t="s">
        <v>86</v>
      </c>
      <c r="C906" s="153" t="s">
        <v>4339</v>
      </c>
      <c r="D906" s="153" t="s">
        <v>4340</v>
      </c>
      <c r="E906" s="153" t="s">
        <v>64</v>
      </c>
      <c r="F906" s="6"/>
      <c r="G906" s="6"/>
      <c r="H906" s="83">
        <f t="shared" si="15"/>
        <v>650</v>
      </c>
      <c r="I906" s="5">
        <v>400</v>
      </c>
      <c r="J906" s="5"/>
      <c r="K906" s="5"/>
      <c r="L906" s="5"/>
      <c r="M906" s="5"/>
      <c r="N906" s="5"/>
      <c r="O906" s="5"/>
      <c r="P906" s="5">
        <v>85</v>
      </c>
      <c r="Q906" s="5">
        <v>10</v>
      </c>
      <c r="R906" s="5"/>
      <c r="S906" s="5">
        <v>45</v>
      </c>
      <c r="T906" s="5">
        <v>110</v>
      </c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x14ac:dyDescent="0.25">
      <c r="A907" s="10">
        <v>906</v>
      </c>
      <c r="B907" s="152" t="s">
        <v>449</v>
      </c>
      <c r="C907" s="153" t="s">
        <v>4341</v>
      </c>
      <c r="D907" s="153" t="s">
        <v>4342</v>
      </c>
      <c r="E907" s="153" t="s">
        <v>4948</v>
      </c>
      <c r="F907" s="6"/>
      <c r="G907" s="6"/>
      <c r="H907" s="83">
        <f t="shared" si="15"/>
        <v>0</v>
      </c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x14ac:dyDescent="0.25">
      <c r="A908" s="10">
        <v>907</v>
      </c>
      <c r="B908" s="152" t="s">
        <v>1175</v>
      </c>
      <c r="C908" s="153" t="s">
        <v>4343</v>
      </c>
      <c r="D908" s="153" t="s">
        <v>4344</v>
      </c>
      <c r="E908" s="153" t="s">
        <v>64</v>
      </c>
      <c r="F908" s="6"/>
      <c r="G908" s="6"/>
      <c r="H908" s="83">
        <f t="shared" si="15"/>
        <v>570</v>
      </c>
      <c r="I908" s="5"/>
      <c r="J908" s="5">
        <v>570</v>
      </c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x14ac:dyDescent="0.25">
      <c r="A909" s="10">
        <v>908</v>
      </c>
      <c r="B909" s="157" t="s">
        <v>4345</v>
      </c>
      <c r="C909" s="158" t="s">
        <v>4346</v>
      </c>
      <c r="D909" s="158" t="s">
        <v>4347</v>
      </c>
      <c r="E909" s="153" t="s">
        <v>4948</v>
      </c>
      <c r="F909" s="6"/>
      <c r="G909" s="6"/>
      <c r="H909" s="83">
        <f t="shared" si="15"/>
        <v>0</v>
      </c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x14ac:dyDescent="0.25">
      <c r="A910" s="10">
        <v>909</v>
      </c>
      <c r="B910" s="152" t="s">
        <v>4348</v>
      </c>
      <c r="C910" s="153" t="s">
        <v>4349</v>
      </c>
      <c r="D910" s="153" t="s">
        <v>4350</v>
      </c>
      <c r="E910" s="153" t="s">
        <v>64</v>
      </c>
      <c r="F910" s="6"/>
      <c r="G910" s="6"/>
      <c r="H910" s="83">
        <f t="shared" si="15"/>
        <v>282.88</v>
      </c>
      <c r="I910" s="5">
        <v>282.88</v>
      </c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x14ac:dyDescent="0.25">
      <c r="A911" s="10">
        <v>910</v>
      </c>
      <c r="B911" s="152" t="s">
        <v>640</v>
      </c>
      <c r="C911" s="153" t="s">
        <v>4351</v>
      </c>
      <c r="D911" s="153" t="s">
        <v>4352</v>
      </c>
      <c r="E911" s="153" t="s">
        <v>4948</v>
      </c>
      <c r="F911" s="6"/>
      <c r="G911" s="6"/>
      <c r="H911" s="83">
        <f t="shared" si="15"/>
        <v>0</v>
      </c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x14ac:dyDescent="0.25">
      <c r="A912" s="10">
        <v>911</v>
      </c>
      <c r="B912" s="152" t="s">
        <v>642</v>
      </c>
      <c r="C912" s="153" t="s">
        <v>4353</v>
      </c>
      <c r="D912" s="153" t="s">
        <v>4354</v>
      </c>
      <c r="E912" s="153" t="s">
        <v>4948</v>
      </c>
      <c r="F912" s="6"/>
      <c r="G912" s="6"/>
      <c r="H912" s="83">
        <f t="shared" si="15"/>
        <v>0</v>
      </c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x14ac:dyDescent="0.25">
      <c r="A913" s="10">
        <v>912</v>
      </c>
      <c r="B913" s="152" t="s">
        <v>1330</v>
      </c>
      <c r="C913" s="153" t="s">
        <v>4355</v>
      </c>
      <c r="D913" s="153" t="s">
        <v>4356</v>
      </c>
      <c r="E913" s="153" t="s">
        <v>64</v>
      </c>
      <c r="F913" s="6"/>
      <c r="G913" s="6"/>
      <c r="H913" s="83">
        <f t="shared" si="15"/>
        <v>0</v>
      </c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x14ac:dyDescent="0.25">
      <c r="A914" s="10">
        <v>913</v>
      </c>
      <c r="B914" s="152" t="s">
        <v>502</v>
      </c>
      <c r="C914" s="153" t="s">
        <v>4357</v>
      </c>
      <c r="D914" s="153" t="s">
        <v>4358</v>
      </c>
      <c r="E914" s="153" t="s">
        <v>64</v>
      </c>
      <c r="F914" s="6"/>
      <c r="G914" s="6"/>
      <c r="H914" s="83">
        <f t="shared" si="15"/>
        <v>0</v>
      </c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x14ac:dyDescent="0.25">
      <c r="A915" s="10">
        <v>914</v>
      </c>
      <c r="B915" s="152" t="s">
        <v>646</v>
      </c>
      <c r="C915" s="153" t="s">
        <v>4359</v>
      </c>
      <c r="D915" s="153" t="s">
        <v>4360</v>
      </c>
      <c r="E915" s="153" t="s">
        <v>4948</v>
      </c>
      <c r="F915" s="6"/>
      <c r="G915" s="6"/>
      <c r="H915" s="83">
        <f t="shared" si="15"/>
        <v>0</v>
      </c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x14ac:dyDescent="0.25">
      <c r="A916" s="10">
        <v>915</v>
      </c>
      <c r="B916" s="152" t="s">
        <v>4361</v>
      </c>
      <c r="C916" s="153" t="s">
        <v>4362</v>
      </c>
      <c r="D916" s="153" t="s">
        <v>4363</v>
      </c>
      <c r="E916" s="153" t="s">
        <v>4948</v>
      </c>
      <c r="F916" s="6"/>
      <c r="G916" s="6"/>
      <c r="H916" s="83">
        <f t="shared" si="15"/>
        <v>0</v>
      </c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x14ac:dyDescent="0.25">
      <c r="A917" s="10">
        <v>916</v>
      </c>
      <c r="B917" s="152" t="s">
        <v>4364</v>
      </c>
      <c r="C917" s="153" t="s">
        <v>4365</v>
      </c>
      <c r="D917" s="153" t="s">
        <v>4366</v>
      </c>
      <c r="E917" s="153" t="s">
        <v>4948</v>
      </c>
      <c r="F917" s="6"/>
      <c r="G917" s="6"/>
      <c r="H917" s="83">
        <f t="shared" si="15"/>
        <v>0</v>
      </c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x14ac:dyDescent="0.25">
      <c r="A918" s="10">
        <v>917</v>
      </c>
      <c r="B918" s="152" t="s">
        <v>4367</v>
      </c>
      <c r="C918" s="153" t="s">
        <v>4368</v>
      </c>
      <c r="D918" s="153" t="e">
        <v>#NAME?</v>
      </c>
      <c r="E918" s="153" t="s">
        <v>4948</v>
      </c>
      <c r="F918" s="6"/>
      <c r="G918" s="6"/>
      <c r="H918" s="83">
        <f t="shared" si="15"/>
        <v>0</v>
      </c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x14ac:dyDescent="0.25">
      <c r="A919" s="10">
        <v>918</v>
      </c>
      <c r="B919" s="152" t="s">
        <v>4369</v>
      </c>
      <c r="C919" s="153" t="s">
        <v>4370</v>
      </c>
      <c r="D919" s="153" t="e">
        <v>#NAME?</v>
      </c>
      <c r="E919" s="153" t="s">
        <v>4948</v>
      </c>
      <c r="F919" s="6"/>
      <c r="G919" s="6"/>
      <c r="H919" s="83">
        <f t="shared" si="15"/>
        <v>0</v>
      </c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x14ac:dyDescent="0.25">
      <c r="A920" s="10">
        <v>919</v>
      </c>
      <c r="B920" s="152" t="s">
        <v>1713</v>
      </c>
      <c r="C920" s="153" t="s">
        <v>4371</v>
      </c>
      <c r="D920" s="153" t="s">
        <v>4372</v>
      </c>
      <c r="E920" s="153" t="s">
        <v>4948</v>
      </c>
      <c r="F920" s="6"/>
      <c r="G920" s="6"/>
      <c r="H920" s="83">
        <f t="shared" si="15"/>
        <v>0</v>
      </c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x14ac:dyDescent="0.25">
      <c r="A921" s="10">
        <v>920</v>
      </c>
      <c r="B921" s="152" t="s">
        <v>4373</v>
      </c>
      <c r="C921" s="153" t="s">
        <v>4374</v>
      </c>
      <c r="D921" s="153" t="s">
        <v>4375</v>
      </c>
      <c r="E921" s="153" t="s">
        <v>4948</v>
      </c>
      <c r="F921" s="6"/>
      <c r="G921" s="6"/>
      <c r="H921" s="83">
        <f t="shared" si="15"/>
        <v>0</v>
      </c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x14ac:dyDescent="0.25">
      <c r="A922" s="10">
        <v>921</v>
      </c>
      <c r="B922" s="152" t="s">
        <v>4376</v>
      </c>
      <c r="C922" s="153" t="s">
        <v>4377</v>
      </c>
      <c r="D922" s="153" t="s">
        <v>4378</v>
      </c>
      <c r="E922" s="153" t="s">
        <v>4948</v>
      </c>
      <c r="F922" s="6"/>
      <c r="G922" s="6"/>
      <c r="H922" s="83">
        <f t="shared" si="15"/>
        <v>0</v>
      </c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x14ac:dyDescent="0.25">
      <c r="A923" s="10">
        <v>922</v>
      </c>
      <c r="B923" s="152" t="s">
        <v>4379</v>
      </c>
      <c r="C923" s="153" t="s">
        <v>4380</v>
      </c>
      <c r="D923" s="153" t="s">
        <v>4381</v>
      </c>
      <c r="E923" s="153" t="s">
        <v>4948</v>
      </c>
      <c r="F923" s="6"/>
      <c r="G923" s="6"/>
      <c r="H923" s="83">
        <f t="shared" si="15"/>
        <v>0</v>
      </c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x14ac:dyDescent="0.25">
      <c r="A924" s="10">
        <v>923</v>
      </c>
      <c r="B924" s="152" t="s">
        <v>4382</v>
      </c>
      <c r="C924" s="153" t="s">
        <v>4383</v>
      </c>
      <c r="D924" s="153" t="s">
        <v>4384</v>
      </c>
      <c r="E924" s="153" t="s">
        <v>4948</v>
      </c>
      <c r="F924" s="6"/>
      <c r="G924" s="6"/>
      <c r="H924" s="83">
        <f t="shared" si="15"/>
        <v>0</v>
      </c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x14ac:dyDescent="0.25">
      <c r="A925" s="10">
        <v>924</v>
      </c>
      <c r="B925" s="152" t="s">
        <v>4385</v>
      </c>
      <c r="C925" s="153" t="s">
        <v>4386</v>
      </c>
      <c r="D925" s="153" t="s">
        <v>4387</v>
      </c>
      <c r="E925" s="153" t="s">
        <v>4948</v>
      </c>
      <c r="F925" s="6"/>
      <c r="G925" s="6"/>
      <c r="H925" s="83">
        <f t="shared" si="15"/>
        <v>0</v>
      </c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x14ac:dyDescent="0.25">
      <c r="A926" s="10">
        <v>925</v>
      </c>
      <c r="B926" s="152" t="s">
        <v>4388</v>
      </c>
      <c r="C926" s="153" t="s">
        <v>4389</v>
      </c>
      <c r="D926" s="153" t="s">
        <v>4390</v>
      </c>
      <c r="E926" s="153" t="s">
        <v>4948</v>
      </c>
      <c r="F926" s="6"/>
      <c r="G926" s="6"/>
      <c r="H926" s="83">
        <f t="shared" si="15"/>
        <v>0</v>
      </c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x14ac:dyDescent="0.25">
      <c r="A927" s="10">
        <v>926</v>
      </c>
      <c r="B927" s="152" t="s">
        <v>4391</v>
      </c>
      <c r="C927" s="153" t="s">
        <v>4392</v>
      </c>
      <c r="D927" s="153" t="s">
        <v>4393</v>
      </c>
      <c r="E927" s="153" t="s">
        <v>4948</v>
      </c>
      <c r="F927" s="6"/>
      <c r="G927" s="6"/>
      <c r="H927" s="83">
        <f t="shared" si="15"/>
        <v>0</v>
      </c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x14ac:dyDescent="0.25">
      <c r="A928" s="10">
        <v>927</v>
      </c>
      <c r="B928" s="152" t="s">
        <v>4394</v>
      </c>
      <c r="C928" s="153" t="s">
        <v>4395</v>
      </c>
      <c r="D928" s="153" t="s">
        <v>4396</v>
      </c>
      <c r="E928" s="153" t="s">
        <v>4948</v>
      </c>
      <c r="F928" s="6"/>
      <c r="G928" s="6"/>
      <c r="H928" s="83">
        <f t="shared" si="15"/>
        <v>0</v>
      </c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x14ac:dyDescent="0.25">
      <c r="A929" s="10">
        <v>928</v>
      </c>
      <c r="B929" s="152" t="s">
        <v>4397</v>
      </c>
      <c r="C929" s="153" t="s">
        <v>4398</v>
      </c>
      <c r="D929" s="153" t="s">
        <v>4399</v>
      </c>
      <c r="E929" s="153" t="s">
        <v>4948</v>
      </c>
      <c r="F929" s="6"/>
      <c r="G929" s="6"/>
      <c r="H929" s="83">
        <f t="shared" si="15"/>
        <v>0</v>
      </c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x14ac:dyDescent="0.25">
      <c r="A930" s="10">
        <v>929</v>
      </c>
      <c r="B930" s="152" t="s">
        <v>4400</v>
      </c>
      <c r="C930" s="153" t="s">
        <v>4401</v>
      </c>
      <c r="D930" s="153" t="s">
        <v>4402</v>
      </c>
      <c r="E930" s="153" t="s">
        <v>4948</v>
      </c>
      <c r="F930" s="6"/>
      <c r="G930" s="6"/>
      <c r="H930" s="83">
        <f t="shared" si="15"/>
        <v>0</v>
      </c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x14ac:dyDescent="0.25">
      <c r="A931" s="10">
        <v>930</v>
      </c>
      <c r="B931" s="152" t="s">
        <v>1956</v>
      </c>
      <c r="C931" s="153" t="s">
        <v>4403</v>
      </c>
      <c r="D931" s="153" t="s">
        <v>4404</v>
      </c>
      <c r="E931" s="153" t="s">
        <v>4948</v>
      </c>
      <c r="F931" s="6"/>
      <c r="G931" s="6"/>
      <c r="H931" s="83">
        <f t="shared" si="15"/>
        <v>0</v>
      </c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x14ac:dyDescent="0.25">
      <c r="A932" s="10">
        <v>931</v>
      </c>
      <c r="B932" s="152" t="s">
        <v>4405</v>
      </c>
      <c r="C932" s="153" t="s">
        <v>4406</v>
      </c>
      <c r="D932" s="153" t="s">
        <v>4407</v>
      </c>
      <c r="E932" s="153" t="s">
        <v>4948</v>
      </c>
      <c r="F932" s="6"/>
      <c r="G932" s="6"/>
      <c r="H932" s="83">
        <f t="shared" si="15"/>
        <v>0</v>
      </c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x14ac:dyDescent="0.25">
      <c r="A933" s="10">
        <v>932</v>
      </c>
      <c r="B933" s="152" t="s">
        <v>4408</v>
      </c>
      <c r="C933" s="153" t="s">
        <v>4409</v>
      </c>
      <c r="D933" s="153" t="e">
        <v>#NAME?</v>
      </c>
      <c r="E933" s="153" t="s">
        <v>4948</v>
      </c>
      <c r="F933" s="6"/>
      <c r="G933" s="6"/>
      <c r="H933" s="83">
        <f t="shared" si="15"/>
        <v>0</v>
      </c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x14ac:dyDescent="0.25">
      <c r="A934" s="10">
        <v>933</v>
      </c>
      <c r="B934" s="152" t="s">
        <v>1722</v>
      </c>
      <c r="C934" s="153" t="s">
        <v>4410</v>
      </c>
      <c r="D934" s="153" t="s">
        <v>4411</v>
      </c>
      <c r="E934" s="153" t="s">
        <v>4948</v>
      </c>
      <c r="F934" s="6"/>
      <c r="G934" s="6"/>
      <c r="H934" s="83">
        <f t="shared" si="15"/>
        <v>0</v>
      </c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x14ac:dyDescent="0.25">
      <c r="A935" s="10">
        <v>934</v>
      </c>
      <c r="B935" s="152" t="s">
        <v>1443</v>
      </c>
      <c r="C935" s="153" t="s">
        <v>4412</v>
      </c>
      <c r="D935" s="153" t="s">
        <v>4413</v>
      </c>
      <c r="E935" s="153" t="s">
        <v>64</v>
      </c>
      <c r="F935" s="6"/>
      <c r="G935" s="6"/>
      <c r="H935" s="83">
        <f t="shared" si="15"/>
        <v>0</v>
      </c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x14ac:dyDescent="0.25">
      <c r="A936" s="10">
        <v>935</v>
      </c>
      <c r="B936" s="152" t="s">
        <v>700</v>
      </c>
      <c r="C936" s="153" t="s">
        <v>4414</v>
      </c>
      <c r="D936" s="153" t="s">
        <v>4415</v>
      </c>
      <c r="E936" s="153" t="s">
        <v>4948</v>
      </c>
      <c r="F936" s="6"/>
      <c r="G936" s="6"/>
      <c r="H936" s="83">
        <f t="shared" si="15"/>
        <v>0</v>
      </c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x14ac:dyDescent="0.25">
      <c r="A937" s="10">
        <v>936</v>
      </c>
      <c r="B937" s="152" t="s">
        <v>4416</v>
      </c>
      <c r="C937" s="153" t="s">
        <v>4417</v>
      </c>
      <c r="D937" s="153" t="s">
        <v>4418</v>
      </c>
      <c r="E937" s="153" t="s">
        <v>4948</v>
      </c>
      <c r="F937" s="6"/>
      <c r="G937" s="6"/>
      <c r="H937" s="83">
        <f t="shared" si="15"/>
        <v>0</v>
      </c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x14ac:dyDescent="0.25">
      <c r="A938" s="10">
        <v>937</v>
      </c>
      <c r="B938" s="152" t="s">
        <v>390</v>
      </c>
      <c r="C938" s="153" t="s">
        <v>4419</v>
      </c>
      <c r="D938" s="153" t="s">
        <v>4420</v>
      </c>
      <c r="E938" s="153" t="s">
        <v>4948</v>
      </c>
      <c r="F938" s="6"/>
      <c r="G938" s="6"/>
      <c r="H938" s="83">
        <f t="shared" si="15"/>
        <v>0</v>
      </c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x14ac:dyDescent="0.25">
      <c r="A939" s="10">
        <v>938</v>
      </c>
      <c r="B939" s="152" t="s">
        <v>4421</v>
      </c>
      <c r="C939" s="153" t="s">
        <v>4422</v>
      </c>
      <c r="D939" s="153" t="s">
        <v>4423</v>
      </c>
      <c r="E939" s="153" t="s">
        <v>64</v>
      </c>
      <c r="F939" s="6"/>
      <c r="G939" s="6"/>
      <c r="H939" s="83">
        <f t="shared" si="15"/>
        <v>260</v>
      </c>
      <c r="I939" s="5">
        <v>180</v>
      </c>
      <c r="J939" s="5"/>
      <c r="K939" s="5"/>
      <c r="L939" s="5"/>
      <c r="M939" s="5"/>
      <c r="N939" s="5"/>
      <c r="O939" s="5"/>
      <c r="P939" s="5">
        <v>12</v>
      </c>
      <c r="Q939" s="5">
        <v>42</v>
      </c>
      <c r="R939" s="5"/>
      <c r="S939" s="5">
        <v>6</v>
      </c>
      <c r="T939" s="5">
        <v>20</v>
      </c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x14ac:dyDescent="0.25">
      <c r="A940" s="10">
        <v>939</v>
      </c>
      <c r="B940" s="152" t="s">
        <v>499</v>
      </c>
      <c r="C940" s="153" t="s">
        <v>4424</v>
      </c>
      <c r="D940" s="153" t="s">
        <v>4425</v>
      </c>
      <c r="E940" s="153" t="s">
        <v>4948</v>
      </c>
      <c r="F940" s="6"/>
      <c r="G940" s="6"/>
      <c r="H940" s="83">
        <f t="shared" si="15"/>
        <v>0</v>
      </c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x14ac:dyDescent="0.25">
      <c r="A941" s="10">
        <v>940</v>
      </c>
      <c r="B941" s="152" t="s">
        <v>51</v>
      </c>
      <c r="C941" s="153" t="s">
        <v>4426</v>
      </c>
      <c r="D941" s="153" t="s">
        <v>4427</v>
      </c>
      <c r="E941" s="153" t="s">
        <v>64</v>
      </c>
      <c r="F941" s="6"/>
      <c r="G941" s="6"/>
      <c r="H941" s="83">
        <f t="shared" si="15"/>
        <v>0</v>
      </c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x14ac:dyDescent="0.25">
      <c r="A942" s="10">
        <v>941</v>
      </c>
      <c r="B942" s="152" t="s">
        <v>1094</v>
      </c>
      <c r="C942" s="153" t="s">
        <v>4428</v>
      </c>
      <c r="D942" s="153" t="s">
        <v>4429</v>
      </c>
      <c r="E942" s="153" t="s">
        <v>64</v>
      </c>
      <c r="F942" s="6"/>
      <c r="G942" s="6"/>
      <c r="H942" s="83">
        <f t="shared" si="15"/>
        <v>0</v>
      </c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x14ac:dyDescent="0.25">
      <c r="A943" s="10">
        <v>942</v>
      </c>
      <c r="B943" s="152" t="s">
        <v>1432</v>
      </c>
      <c r="C943" s="153" t="s">
        <v>4430</v>
      </c>
      <c r="D943" s="153" t="s">
        <v>4431</v>
      </c>
      <c r="E943" s="153" t="s">
        <v>4948</v>
      </c>
      <c r="F943" s="6"/>
      <c r="G943" s="6"/>
      <c r="H943" s="83">
        <f t="shared" si="15"/>
        <v>0</v>
      </c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x14ac:dyDescent="0.25">
      <c r="A944" s="10">
        <v>943</v>
      </c>
      <c r="B944" s="152" t="s">
        <v>4432</v>
      </c>
      <c r="C944" s="153" t="s">
        <v>4433</v>
      </c>
      <c r="D944" s="153" t="s">
        <v>4434</v>
      </c>
      <c r="E944" s="153" t="s">
        <v>4948</v>
      </c>
      <c r="F944" s="6"/>
      <c r="G944" s="6"/>
      <c r="H944" s="83">
        <f t="shared" si="15"/>
        <v>0</v>
      </c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x14ac:dyDescent="0.25">
      <c r="A945" s="10">
        <v>944</v>
      </c>
      <c r="B945" s="152" t="s">
        <v>68</v>
      </c>
      <c r="C945" s="153" t="s">
        <v>4435</v>
      </c>
      <c r="D945" s="153" t="s">
        <v>4436</v>
      </c>
      <c r="E945" s="153" t="s">
        <v>64</v>
      </c>
      <c r="F945" s="6"/>
      <c r="G945" s="6"/>
      <c r="H945" s="83">
        <f t="shared" si="15"/>
        <v>0</v>
      </c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x14ac:dyDescent="0.25">
      <c r="A946" s="10">
        <v>945</v>
      </c>
      <c r="B946" s="152" t="s">
        <v>749</v>
      </c>
      <c r="C946" s="153" t="s">
        <v>4437</v>
      </c>
      <c r="D946" s="153" t="s">
        <v>4438</v>
      </c>
      <c r="E946" s="153" t="s">
        <v>64</v>
      </c>
      <c r="F946" s="6"/>
      <c r="G946" s="6"/>
      <c r="H946" s="83">
        <f t="shared" si="15"/>
        <v>0</v>
      </c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x14ac:dyDescent="0.25">
      <c r="A947" s="10">
        <v>946</v>
      </c>
      <c r="B947" s="152" t="s">
        <v>4439</v>
      </c>
      <c r="C947" s="153" t="s">
        <v>4440</v>
      </c>
      <c r="D947" s="153" t="s">
        <v>4441</v>
      </c>
      <c r="E947" s="153" t="s">
        <v>4948</v>
      </c>
      <c r="F947" s="6"/>
      <c r="G947" s="6"/>
      <c r="H947" s="83">
        <f t="shared" si="15"/>
        <v>0</v>
      </c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x14ac:dyDescent="0.25">
      <c r="A948" s="10">
        <v>947</v>
      </c>
      <c r="B948" s="152" t="s">
        <v>485</v>
      </c>
      <c r="C948" s="153" t="s">
        <v>4442</v>
      </c>
      <c r="D948" s="153" t="s">
        <v>4443</v>
      </c>
      <c r="E948" s="153" t="s">
        <v>64</v>
      </c>
      <c r="F948" s="6"/>
      <c r="G948" s="6"/>
      <c r="H948" s="83">
        <f t="shared" si="15"/>
        <v>0</v>
      </c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x14ac:dyDescent="0.25">
      <c r="A949" s="10">
        <v>948</v>
      </c>
      <c r="B949" s="152" t="s">
        <v>114</v>
      </c>
      <c r="C949" s="153" t="s">
        <v>4444</v>
      </c>
      <c r="D949" s="153" t="s">
        <v>4445</v>
      </c>
      <c r="E949" s="153" t="s">
        <v>64</v>
      </c>
      <c r="F949" s="6"/>
      <c r="G949" s="6"/>
      <c r="H949" s="83">
        <f t="shared" si="15"/>
        <v>0</v>
      </c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x14ac:dyDescent="0.25">
      <c r="A950" s="10">
        <v>949</v>
      </c>
      <c r="B950" s="152" t="s">
        <v>4446</v>
      </c>
      <c r="C950" s="153" t="s">
        <v>4447</v>
      </c>
      <c r="D950" s="153" t="s">
        <v>4448</v>
      </c>
      <c r="E950" s="153" t="s">
        <v>4948</v>
      </c>
      <c r="F950" s="6"/>
      <c r="G950" s="6"/>
      <c r="H950" s="83">
        <f>SUM(I950:AM950)</f>
        <v>0</v>
      </c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x14ac:dyDescent="0.25">
      <c r="A951" s="10">
        <v>950</v>
      </c>
      <c r="B951" s="152" t="s">
        <v>131</v>
      </c>
      <c r="C951" s="153" t="s">
        <v>4449</v>
      </c>
      <c r="D951" s="153" t="s">
        <v>4450</v>
      </c>
      <c r="E951" s="153" t="s">
        <v>64</v>
      </c>
      <c r="F951" s="6"/>
      <c r="G951" s="6"/>
      <c r="H951" s="83">
        <f t="shared" si="15"/>
        <v>0</v>
      </c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x14ac:dyDescent="0.25">
      <c r="A952" s="10">
        <v>951</v>
      </c>
      <c r="B952" s="152" t="s">
        <v>483</v>
      </c>
      <c r="C952" s="153" t="s">
        <v>4451</v>
      </c>
      <c r="D952" s="153" t="s">
        <v>4452</v>
      </c>
      <c r="E952" s="153" t="s">
        <v>4948</v>
      </c>
      <c r="F952" s="6"/>
      <c r="G952" s="6"/>
      <c r="H952" s="83">
        <f t="shared" si="15"/>
        <v>0</v>
      </c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x14ac:dyDescent="0.25">
      <c r="A953" s="10">
        <v>952</v>
      </c>
      <c r="B953" s="152" t="s">
        <v>74</v>
      </c>
      <c r="C953" s="153" t="s">
        <v>4453</v>
      </c>
      <c r="D953" s="153" t="s">
        <v>4454</v>
      </c>
      <c r="E953" s="153" t="s">
        <v>64</v>
      </c>
      <c r="F953" s="6"/>
      <c r="G953" s="6"/>
      <c r="H953" s="83">
        <f t="shared" si="15"/>
        <v>20</v>
      </c>
      <c r="I953" s="5"/>
      <c r="J953" s="5">
        <v>20</v>
      </c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x14ac:dyDescent="0.25">
      <c r="A954" s="10">
        <v>953</v>
      </c>
      <c r="B954" s="152" t="s">
        <v>1360</v>
      </c>
      <c r="C954" s="153" t="s">
        <v>4455</v>
      </c>
      <c r="D954" s="153" t="s">
        <v>4456</v>
      </c>
      <c r="E954" s="153" t="s">
        <v>4948</v>
      </c>
      <c r="F954" s="6"/>
      <c r="G954" s="6"/>
      <c r="H954" s="83">
        <f t="shared" si="15"/>
        <v>0</v>
      </c>
      <c r="I954" s="5"/>
      <c r="J954" s="5">
        <f>450-450</f>
        <v>0</v>
      </c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x14ac:dyDescent="0.25">
      <c r="A955" s="10">
        <v>954</v>
      </c>
      <c r="B955" s="157" t="s">
        <v>688</v>
      </c>
      <c r="C955" s="158" t="s">
        <v>4457</v>
      </c>
      <c r="D955" s="158" t="s">
        <v>4458</v>
      </c>
      <c r="E955" s="153" t="s">
        <v>2111</v>
      </c>
      <c r="F955" s="6"/>
      <c r="G955" s="6"/>
      <c r="H955" s="83">
        <f t="shared" si="15"/>
        <v>208.8</v>
      </c>
      <c r="I955" s="5">
        <v>208.8</v>
      </c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x14ac:dyDescent="0.25">
      <c r="A956" s="10">
        <v>955</v>
      </c>
      <c r="B956" s="152" t="s">
        <v>1533</v>
      </c>
      <c r="C956" s="153" t="s">
        <v>4459</v>
      </c>
      <c r="D956" s="153" t="s">
        <v>4460</v>
      </c>
      <c r="E956" s="153" t="s">
        <v>2111</v>
      </c>
      <c r="F956" s="6"/>
      <c r="G956" s="6"/>
      <c r="H956" s="83">
        <f t="shared" si="15"/>
        <v>0</v>
      </c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x14ac:dyDescent="0.25">
      <c r="A957" s="10">
        <v>956</v>
      </c>
      <c r="B957" s="152" t="s">
        <v>111</v>
      </c>
      <c r="C957" s="153" t="s">
        <v>4461</v>
      </c>
      <c r="D957" s="153" t="s">
        <v>4462</v>
      </c>
      <c r="E957" s="153" t="s">
        <v>2111</v>
      </c>
      <c r="F957" s="6"/>
      <c r="G957" s="6"/>
      <c r="H957" s="83">
        <f t="shared" si="15"/>
        <v>1050</v>
      </c>
      <c r="I957" s="5"/>
      <c r="J957" s="5">
        <f>600+450</f>
        <v>1050</v>
      </c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x14ac:dyDescent="0.25">
      <c r="A958" s="10">
        <v>957</v>
      </c>
      <c r="B958" s="152" t="s">
        <v>1110</v>
      </c>
      <c r="C958" s="153" t="s">
        <v>4463</v>
      </c>
      <c r="D958" s="153" t="s">
        <v>4464</v>
      </c>
      <c r="E958" s="153" t="s">
        <v>2111</v>
      </c>
      <c r="F958" s="6"/>
      <c r="G958" s="6"/>
      <c r="H958" s="83">
        <f t="shared" si="15"/>
        <v>0</v>
      </c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x14ac:dyDescent="0.25">
      <c r="A959" s="10">
        <v>958</v>
      </c>
      <c r="B959" s="152" t="s">
        <v>812</v>
      </c>
      <c r="C959" s="153" t="s">
        <v>4465</v>
      </c>
      <c r="D959" s="153" t="s">
        <v>4466</v>
      </c>
      <c r="E959" s="153" t="s">
        <v>4948</v>
      </c>
      <c r="F959" s="6"/>
      <c r="G959" s="6"/>
      <c r="H959" s="83">
        <f t="shared" si="15"/>
        <v>0</v>
      </c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x14ac:dyDescent="0.25">
      <c r="A960" s="10">
        <v>959</v>
      </c>
      <c r="B960" s="152" t="s">
        <v>1416</v>
      </c>
      <c r="C960" s="153" t="s">
        <v>4467</v>
      </c>
      <c r="D960" s="153" t="s">
        <v>4468</v>
      </c>
      <c r="E960" s="153" t="s">
        <v>4948</v>
      </c>
      <c r="F960" s="6"/>
      <c r="G960" s="6"/>
      <c r="H960" s="83">
        <f t="shared" si="15"/>
        <v>0</v>
      </c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x14ac:dyDescent="0.25">
      <c r="A961" s="10">
        <v>960</v>
      </c>
      <c r="B961" s="157" t="s">
        <v>992</v>
      </c>
      <c r="C961" s="158" t="s">
        <v>4469</v>
      </c>
      <c r="D961" s="158" t="s">
        <v>4470</v>
      </c>
      <c r="E961" s="153" t="s">
        <v>4948</v>
      </c>
      <c r="F961" s="6"/>
      <c r="G961" s="6"/>
      <c r="H961" s="83">
        <f t="shared" si="15"/>
        <v>0</v>
      </c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x14ac:dyDescent="0.25">
      <c r="A962" s="10">
        <v>961</v>
      </c>
      <c r="B962" s="152" t="s">
        <v>4471</v>
      </c>
      <c r="C962" s="153" t="s">
        <v>4472</v>
      </c>
      <c r="D962" s="153" t="s">
        <v>4473</v>
      </c>
      <c r="E962" s="153" t="s">
        <v>4948</v>
      </c>
      <c r="F962" s="6"/>
      <c r="G962" s="6"/>
      <c r="H962" s="83">
        <f t="shared" ref="H962:H1025" si="16">SUM(I962:AM962)</f>
        <v>0</v>
      </c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>
        <f>15-15</f>
        <v>0</v>
      </c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x14ac:dyDescent="0.25">
      <c r="A963" s="10">
        <v>962</v>
      </c>
      <c r="B963" s="152" t="s">
        <v>1466</v>
      </c>
      <c r="C963" s="153" t="s">
        <v>4474</v>
      </c>
      <c r="D963" s="153" t="s">
        <v>4475</v>
      </c>
      <c r="E963" s="153" t="s">
        <v>64</v>
      </c>
      <c r="F963" s="6"/>
      <c r="G963" s="6"/>
      <c r="H963" s="83">
        <f t="shared" si="16"/>
        <v>17000</v>
      </c>
      <c r="I963" s="5">
        <f>3000+1000+11000</f>
        <v>15000</v>
      </c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>
        <v>2000</v>
      </c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x14ac:dyDescent="0.25">
      <c r="A964" s="10">
        <v>963</v>
      </c>
      <c r="B964" s="152" t="s">
        <v>1185</v>
      </c>
      <c r="C964" s="153" t="s">
        <v>4476</v>
      </c>
      <c r="D964" s="153" t="s">
        <v>4477</v>
      </c>
      <c r="E964" s="153" t="s">
        <v>64</v>
      </c>
      <c r="F964" s="6"/>
      <c r="G964" s="6"/>
      <c r="H964" s="83">
        <f t="shared" si="16"/>
        <v>480</v>
      </c>
      <c r="I964" s="5"/>
      <c r="J964" s="5">
        <v>480</v>
      </c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x14ac:dyDescent="0.25">
      <c r="A965" s="10">
        <v>964</v>
      </c>
      <c r="B965" s="152" t="s">
        <v>404</v>
      </c>
      <c r="C965" s="153" t="s">
        <v>4478</v>
      </c>
      <c r="D965" s="153" t="s">
        <v>4479</v>
      </c>
      <c r="E965" s="153" t="s">
        <v>4948</v>
      </c>
      <c r="F965" s="6"/>
      <c r="G965" s="6"/>
      <c r="H965" s="83">
        <f t="shared" si="16"/>
        <v>0</v>
      </c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x14ac:dyDescent="0.25">
      <c r="A966" s="10">
        <v>965</v>
      </c>
      <c r="B966" s="152" t="s">
        <v>1021</v>
      </c>
      <c r="C966" s="153" t="s">
        <v>4480</v>
      </c>
      <c r="D966" s="153" t="s">
        <v>4481</v>
      </c>
      <c r="E966" s="153" t="s">
        <v>4948</v>
      </c>
      <c r="F966" s="6"/>
      <c r="G966" s="6"/>
      <c r="H966" s="83">
        <f t="shared" si="16"/>
        <v>0</v>
      </c>
      <c r="I966" s="5">
        <f>1000-1000</f>
        <v>0</v>
      </c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x14ac:dyDescent="0.25">
      <c r="A967" s="10">
        <v>966</v>
      </c>
      <c r="B967" s="152" t="s">
        <v>1149</v>
      </c>
      <c r="C967" s="153" t="s">
        <v>4482</v>
      </c>
      <c r="D967" s="153" t="s">
        <v>4483</v>
      </c>
      <c r="E967" s="153" t="s">
        <v>64</v>
      </c>
      <c r="F967" s="6"/>
      <c r="G967" s="6"/>
      <c r="H967" s="83">
        <f t="shared" si="16"/>
        <v>300</v>
      </c>
      <c r="I967" s="5"/>
      <c r="J967" s="5">
        <v>300</v>
      </c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x14ac:dyDescent="0.25">
      <c r="A968" s="10">
        <v>967</v>
      </c>
      <c r="B968" s="152" t="s">
        <v>39</v>
      </c>
      <c r="C968" s="153" t="s">
        <v>4484</v>
      </c>
      <c r="D968" s="153" t="s">
        <v>4485</v>
      </c>
      <c r="E968" s="153" t="s">
        <v>4948</v>
      </c>
      <c r="F968" s="6"/>
      <c r="G968" s="6"/>
      <c r="H968" s="83">
        <f t="shared" si="16"/>
        <v>0</v>
      </c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x14ac:dyDescent="0.25">
      <c r="A969" s="10">
        <v>968</v>
      </c>
      <c r="B969" s="152" t="s">
        <v>1998</v>
      </c>
      <c r="C969" s="153" t="s">
        <v>4486</v>
      </c>
      <c r="D969" s="153" t="s">
        <v>4487</v>
      </c>
      <c r="E969" s="153" t="s">
        <v>2086</v>
      </c>
      <c r="F969" s="6"/>
      <c r="G969" s="6"/>
      <c r="H969" s="83">
        <f t="shared" si="16"/>
        <v>13000</v>
      </c>
      <c r="I969" s="5"/>
      <c r="J969" s="5"/>
      <c r="K969" s="5"/>
      <c r="L969" s="5"/>
      <c r="M969" s="5"/>
      <c r="N969" s="5"/>
      <c r="O969" s="5"/>
      <c r="P969" s="5">
        <v>2000</v>
      </c>
      <c r="Q969" s="5"/>
      <c r="R969" s="5"/>
      <c r="S969" s="5">
        <v>7000</v>
      </c>
      <c r="T969" s="5">
        <v>4000</v>
      </c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x14ac:dyDescent="0.25">
      <c r="A970" s="10">
        <v>969</v>
      </c>
      <c r="B970" s="152" t="s">
        <v>1027</v>
      </c>
      <c r="C970" s="153" t="s">
        <v>4488</v>
      </c>
      <c r="D970" s="153" t="s">
        <v>4489</v>
      </c>
      <c r="E970" s="153" t="s">
        <v>4948</v>
      </c>
      <c r="F970" s="6"/>
      <c r="G970" s="6"/>
      <c r="H970" s="83">
        <f t="shared" si="16"/>
        <v>0</v>
      </c>
      <c r="I970" s="5">
        <f>11000-11000</f>
        <v>0</v>
      </c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x14ac:dyDescent="0.25">
      <c r="A971" s="10">
        <v>970</v>
      </c>
      <c r="B971" s="152" t="s">
        <v>819</v>
      </c>
      <c r="C971" s="153" t="s">
        <v>4490</v>
      </c>
      <c r="D971" s="153" t="s">
        <v>4491</v>
      </c>
      <c r="E971" s="153" t="s">
        <v>4948</v>
      </c>
      <c r="F971" s="6"/>
      <c r="G971" s="6"/>
      <c r="H971" s="83">
        <f t="shared" si="16"/>
        <v>6000</v>
      </c>
      <c r="I971" s="5"/>
      <c r="J971" s="5">
        <f>5000+1000</f>
        <v>6000</v>
      </c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x14ac:dyDescent="0.25">
      <c r="A972" s="10">
        <v>971</v>
      </c>
      <c r="B972" s="157" t="s">
        <v>1547</v>
      </c>
      <c r="C972" s="158" t="s">
        <v>4492</v>
      </c>
      <c r="D972" s="158" t="s">
        <v>4493</v>
      </c>
      <c r="E972" s="153" t="s">
        <v>64</v>
      </c>
      <c r="F972" s="6"/>
      <c r="G972" s="6"/>
      <c r="H972" s="83">
        <f t="shared" si="16"/>
        <v>10</v>
      </c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>
        <v>10</v>
      </c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x14ac:dyDescent="0.25">
      <c r="A973" s="10">
        <v>972</v>
      </c>
      <c r="B973" s="152" t="s">
        <v>105</v>
      </c>
      <c r="C973" s="153" t="s">
        <v>4494</v>
      </c>
      <c r="D973" s="153" t="s">
        <v>4495</v>
      </c>
      <c r="E973" s="153" t="s">
        <v>2111</v>
      </c>
      <c r="F973" s="6"/>
      <c r="G973" s="6"/>
      <c r="H973" s="83">
        <f t="shared" si="16"/>
        <v>5884.8</v>
      </c>
      <c r="I973" s="5">
        <f>72+96</f>
        <v>168</v>
      </c>
      <c r="J973" s="5">
        <v>5716.8</v>
      </c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x14ac:dyDescent="0.25">
      <c r="A974" s="10">
        <v>973</v>
      </c>
      <c r="B974" s="152" t="s">
        <v>888</v>
      </c>
      <c r="C974" s="153" t="s">
        <v>4496</v>
      </c>
      <c r="D974" s="153" t="s">
        <v>4497</v>
      </c>
      <c r="E974" s="153" t="s">
        <v>4948</v>
      </c>
      <c r="F974" s="6"/>
      <c r="G974" s="6"/>
      <c r="H974" s="83">
        <f t="shared" si="16"/>
        <v>0</v>
      </c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x14ac:dyDescent="0.25">
      <c r="A975" s="10">
        <v>974</v>
      </c>
      <c r="B975" s="152" t="s">
        <v>387</v>
      </c>
      <c r="C975" s="153" t="s">
        <v>4498</v>
      </c>
      <c r="D975" s="153" t="s">
        <v>4499</v>
      </c>
      <c r="E975" s="153" t="s">
        <v>4948</v>
      </c>
      <c r="F975" s="6"/>
      <c r="G975" s="6"/>
      <c r="H975" s="83">
        <f t="shared" si="16"/>
        <v>0</v>
      </c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x14ac:dyDescent="0.25">
      <c r="A976" s="10">
        <v>975</v>
      </c>
      <c r="B976" s="152" t="s">
        <v>1378</v>
      </c>
      <c r="C976" s="153" t="s">
        <v>4500</v>
      </c>
      <c r="D976" s="153" t="s">
        <v>4501</v>
      </c>
      <c r="E976" s="153" t="s">
        <v>4948</v>
      </c>
      <c r="F976" s="6"/>
      <c r="G976" s="6"/>
      <c r="H976" s="83">
        <f t="shared" si="16"/>
        <v>6</v>
      </c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>
        <v>6</v>
      </c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x14ac:dyDescent="0.25">
      <c r="A977" s="10">
        <v>976</v>
      </c>
      <c r="B977" s="152" t="s">
        <v>874</v>
      </c>
      <c r="C977" s="153" t="s">
        <v>4502</v>
      </c>
      <c r="D977" s="153" t="s">
        <v>4503</v>
      </c>
      <c r="E977" s="153" t="s">
        <v>2111</v>
      </c>
      <c r="F977" s="6"/>
      <c r="G977" s="6"/>
      <c r="H977" s="83">
        <f t="shared" si="16"/>
        <v>140</v>
      </c>
      <c r="I977" s="5">
        <v>54</v>
      </c>
      <c r="J977" s="5"/>
      <c r="K977" s="5"/>
      <c r="L977" s="5"/>
      <c r="M977" s="5"/>
      <c r="N977" s="5"/>
      <c r="O977" s="5"/>
      <c r="P977" s="5">
        <v>4</v>
      </c>
      <c r="Q977" s="5">
        <v>6</v>
      </c>
      <c r="R977" s="5"/>
      <c r="S977" s="5">
        <v>50</v>
      </c>
      <c r="T977" s="5">
        <v>26</v>
      </c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x14ac:dyDescent="0.25">
      <c r="A978" s="10">
        <v>977</v>
      </c>
      <c r="B978" s="152" t="s">
        <v>1350</v>
      </c>
      <c r="C978" s="153" t="s">
        <v>4504</v>
      </c>
      <c r="D978" s="153" t="s">
        <v>4505</v>
      </c>
      <c r="E978" s="153" t="s">
        <v>2086</v>
      </c>
      <c r="F978" s="6"/>
      <c r="G978" s="6"/>
      <c r="H978" s="83">
        <f t="shared" si="16"/>
        <v>240</v>
      </c>
      <c r="I978" s="5">
        <v>240</v>
      </c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x14ac:dyDescent="0.25">
      <c r="A979" s="10">
        <v>978</v>
      </c>
      <c r="B979" s="152" t="s">
        <v>719</v>
      </c>
      <c r="C979" s="153" t="s">
        <v>4506</v>
      </c>
      <c r="D979" s="153" t="s">
        <v>4507</v>
      </c>
      <c r="E979" s="153" t="s">
        <v>4948</v>
      </c>
      <c r="F979" s="6"/>
      <c r="G979" s="6"/>
      <c r="H979" s="83">
        <f t="shared" si="16"/>
        <v>120</v>
      </c>
      <c r="I979" s="5">
        <v>120</v>
      </c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x14ac:dyDescent="0.25">
      <c r="A980" s="10">
        <v>979</v>
      </c>
      <c r="B980" s="152" t="s">
        <v>1196</v>
      </c>
      <c r="C980" s="153" t="s">
        <v>4508</v>
      </c>
      <c r="D980" s="153" t="s">
        <v>4509</v>
      </c>
      <c r="E980" s="153" t="s">
        <v>2086</v>
      </c>
      <c r="F980" s="6"/>
      <c r="G980" s="6"/>
      <c r="H980" s="83">
        <f t="shared" si="16"/>
        <v>2110</v>
      </c>
      <c r="I980" s="5">
        <v>1320</v>
      </c>
      <c r="J980" s="5"/>
      <c r="K980" s="5"/>
      <c r="L980" s="5"/>
      <c r="M980" s="5"/>
      <c r="N980" s="5"/>
      <c r="O980" s="5"/>
      <c r="P980" s="5">
        <v>432</v>
      </c>
      <c r="Q980" s="5">
        <v>96</v>
      </c>
      <c r="R980" s="5"/>
      <c r="S980" s="5">
        <v>94</v>
      </c>
      <c r="T980" s="5">
        <v>168</v>
      </c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x14ac:dyDescent="0.25">
      <c r="A981" s="10">
        <v>980</v>
      </c>
      <c r="B981" s="152" t="s">
        <v>912</v>
      </c>
      <c r="C981" s="153" t="s">
        <v>4510</v>
      </c>
      <c r="D981" s="153" t="s">
        <v>4511</v>
      </c>
      <c r="E981" s="153" t="s">
        <v>2111</v>
      </c>
      <c r="F981" s="6"/>
      <c r="G981" s="6"/>
      <c r="H981" s="83">
        <f t="shared" si="16"/>
        <v>864</v>
      </c>
      <c r="I981" s="5">
        <v>525</v>
      </c>
      <c r="J981" s="5"/>
      <c r="K981" s="5"/>
      <c r="L981" s="5"/>
      <c r="M981" s="5"/>
      <c r="N981" s="5"/>
      <c r="O981" s="5"/>
      <c r="P981" s="5">
        <v>153</v>
      </c>
      <c r="Q981" s="5">
        <v>60</v>
      </c>
      <c r="R981" s="5"/>
      <c r="S981" s="5">
        <v>80</v>
      </c>
      <c r="T981" s="5">
        <v>46</v>
      </c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x14ac:dyDescent="0.25">
      <c r="A982" s="10">
        <v>981</v>
      </c>
      <c r="B982" s="152" t="s">
        <v>4512</v>
      </c>
      <c r="C982" s="153" t="s">
        <v>4513</v>
      </c>
      <c r="D982" s="153" t="s">
        <v>4514</v>
      </c>
      <c r="E982" s="153" t="s">
        <v>4948</v>
      </c>
      <c r="F982" s="6"/>
      <c r="G982" s="6"/>
      <c r="H982" s="83">
        <f t="shared" si="16"/>
        <v>0</v>
      </c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x14ac:dyDescent="0.25">
      <c r="A983" s="10">
        <v>982</v>
      </c>
      <c r="B983" s="152" t="s">
        <v>713</v>
      </c>
      <c r="C983" s="153" t="s">
        <v>4515</v>
      </c>
      <c r="D983" s="153" t="s">
        <v>4516</v>
      </c>
      <c r="E983" s="153" t="s">
        <v>4948</v>
      </c>
      <c r="F983" s="6"/>
      <c r="G983" s="6"/>
      <c r="H983" s="83">
        <f t="shared" si="16"/>
        <v>0</v>
      </c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x14ac:dyDescent="0.25">
      <c r="A984" s="10">
        <v>983</v>
      </c>
      <c r="B984" s="152" t="s">
        <v>4517</v>
      </c>
      <c r="C984" s="153" t="s">
        <v>4518</v>
      </c>
      <c r="D984" s="153" t="s">
        <v>4519</v>
      </c>
      <c r="E984" s="153" t="s">
        <v>4948</v>
      </c>
      <c r="F984" s="6"/>
      <c r="G984" s="6"/>
      <c r="H984" s="83">
        <f t="shared" si="16"/>
        <v>0</v>
      </c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x14ac:dyDescent="0.25">
      <c r="A985" s="10">
        <v>984</v>
      </c>
      <c r="B985" s="152" t="s">
        <v>432</v>
      </c>
      <c r="C985" s="153" t="s">
        <v>4520</v>
      </c>
      <c r="D985" s="153" t="s">
        <v>4521</v>
      </c>
      <c r="E985" s="153" t="s">
        <v>4948</v>
      </c>
      <c r="F985" s="6"/>
      <c r="G985" s="6"/>
      <c r="H985" s="83">
        <f t="shared" si="16"/>
        <v>0</v>
      </c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x14ac:dyDescent="0.25">
      <c r="A986" s="10">
        <v>985</v>
      </c>
      <c r="B986" s="152" t="s">
        <v>788</v>
      </c>
      <c r="C986" s="153" t="s">
        <v>4522</v>
      </c>
      <c r="D986" s="153" t="s">
        <v>4523</v>
      </c>
      <c r="E986" s="153" t="s">
        <v>2111</v>
      </c>
      <c r="F986" s="6"/>
      <c r="G986" s="6"/>
      <c r="H986" s="83">
        <f t="shared" si="16"/>
        <v>476.4</v>
      </c>
      <c r="I986" s="5"/>
      <c r="J986" s="5">
        <v>476.4</v>
      </c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x14ac:dyDescent="0.25">
      <c r="A987" s="10">
        <v>986</v>
      </c>
      <c r="B987" s="152" t="s">
        <v>4524</v>
      </c>
      <c r="C987" s="153" t="s">
        <v>4525</v>
      </c>
      <c r="D987" s="153" t="s">
        <v>4526</v>
      </c>
      <c r="E987" s="153" t="s">
        <v>4948</v>
      </c>
      <c r="F987" s="6"/>
      <c r="G987" s="6"/>
      <c r="H987" s="83">
        <f t="shared" si="16"/>
        <v>0</v>
      </c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x14ac:dyDescent="0.25">
      <c r="A988" s="10">
        <v>987</v>
      </c>
      <c r="B988" s="152" t="s">
        <v>4527</v>
      </c>
      <c r="C988" s="153" t="s">
        <v>4528</v>
      </c>
      <c r="D988" s="153" t="s">
        <v>4529</v>
      </c>
      <c r="E988" s="153" t="s">
        <v>2111</v>
      </c>
      <c r="F988" s="6"/>
      <c r="G988" s="6"/>
      <c r="H988" s="83">
        <f t="shared" si="16"/>
        <v>0</v>
      </c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x14ac:dyDescent="0.25">
      <c r="A989" s="10">
        <v>988</v>
      </c>
      <c r="B989" s="157" t="s">
        <v>1538</v>
      </c>
      <c r="C989" s="158" t="s">
        <v>4530</v>
      </c>
      <c r="D989" s="158" t="s">
        <v>4531</v>
      </c>
      <c r="E989" s="153" t="s">
        <v>64</v>
      </c>
      <c r="F989" s="6"/>
      <c r="G989" s="6"/>
      <c r="H989" s="83">
        <f t="shared" si="16"/>
        <v>0</v>
      </c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x14ac:dyDescent="0.25">
      <c r="A990" s="10">
        <v>989</v>
      </c>
      <c r="B990" s="152" t="s">
        <v>4532</v>
      </c>
      <c r="C990" s="153" t="s">
        <v>4533</v>
      </c>
      <c r="D990" s="153" t="s">
        <v>4534</v>
      </c>
      <c r="E990" s="153" t="s">
        <v>4948</v>
      </c>
      <c r="F990" s="6"/>
      <c r="G990" s="6"/>
      <c r="H990" s="83">
        <f t="shared" si="16"/>
        <v>0</v>
      </c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x14ac:dyDescent="0.25">
      <c r="A991" s="10">
        <v>990</v>
      </c>
      <c r="B991" s="152" t="s">
        <v>786</v>
      </c>
      <c r="C991" s="153" t="s">
        <v>4535</v>
      </c>
      <c r="D991" s="153" t="s">
        <v>4536</v>
      </c>
      <c r="E991" s="153" t="s">
        <v>2111</v>
      </c>
      <c r="F991" s="6"/>
      <c r="G991" s="6"/>
      <c r="H991" s="83">
        <f t="shared" si="16"/>
        <v>48</v>
      </c>
      <c r="I991" s="5">
        <v>36</v>
      </c>
      <c r="J991" s="5"/>
      <c r="K991" s="5"/>
      <c r="L991" s="5"/>
      <c r="M991" s="5"/>
      <c r="N991" s="5"/>
      <c r="O991" s="5"/>
      <c r="P991" s="5">
        <v>6</v>
      </c>
      <c r="Q991" s="5">
        <v>6</v>
      </c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x14ac:dyDescent="0.25">
      <c r="A992" s="10">
        <v>991</v>
      </c>
      <c r="B992" s="152" t="s">
        <v>1799</v>
      </c>
      <c r="C992" s="153" t="s">
        <v>4537</v>
      </c>
      <c r="D992" s="153" t="s">
        <v>4538</v>
      </c>
      <c r="E992" s="153" t="s">
        <v>2111</v>
      </c>
      <c r="F992" s="6"/>
      <c r="G992" s="6"/>
      <c r="H992" s="83">
        <f t="shared" si="16"/>
        <v>128</v>
      </c>
      <c r="I992" s="5">
        <v>106</v>
      </c>
      <c r="J992" s="5"/>
      <c r="K992" s="5"/>
      <c r="L992" s="5"/>
      <c r="M992" s="5"/>
      <c r="N992" s="5"/>
      <c r="O992" s="5"/>
      <c r="P992" s="5">
        <v>10</v>
      </c>
      <c r="Q992" s="5"/>
      <c r="R992" s="5"/>
      <c r="S992" s="5"/>
      <c r="T992" s="5">
        <v>12</v>
      </c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x14ac:dyDescent="0.25">
      <c r="A993" s="10">
        <v>992</v>
      </c>
      <c r="B993" s="152" t="s">
        <v>127</v>
      </c>
      <c r="C993" s="153" t="s">
        <v>4539</v>
      </c>
      <c r="D993" s="153" t="s">
        <v>4540</v>
      </c>
      <c r="E993" s="153" t="s">
        <v>2111</v>
      </c>
      <c r="F993" s="6"/>
      <c r="G993" s="6"/>
      <c r="H993" s="83">
        <f t="shared" si="16"/>
        <v>99</v>
      </c>
      <c r="I993" s="5">
        <v>48</v>
      </c>
      <c r="J993" s="5"/>
      <c r="K993" s="5"/>
      <c r="L993" s="5"/>
      <c r="M993" s="5"/>
      <c r="N993" s="5"/>
      <c r="O993" s="5"/>
      <c r="P993" s="5">
        <v>6</v>
      </c>
      <c r="Q993" s="5">
        <v>15</v>
      </c>
      <c r="R993" s="5"/>
      <c r="S993" s="5">
        <v>6</v>
      </c>
      <c r="T993" s="5">
        <v>24</v>
      </c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x14ac:dyDescent="0.25">
      <c r="A994" s="10">
        <v>993</v>
      </c>
      <c r="B994" s="152" t="s">
        <v>1247</v>
      </c>
      <c r="C994" s="153" t="s">
        <v>4541</v>
      </c>
      <c r="D994" s="153" t="s">
        <v>4542</v>
      </c>
      <c r="E994" s="153" t="s">
        <v>2111</v>
      </c>
      <c r="F994" s="6"/>
      <c r="G994" s="6"/>
      <c r="H994" s="83">
        <f t="shared" si="16"/>
        <v>94</v>
      </c>
      <c r="I994" s="5">
        <v>58</v>
      </c>
      <c r="J994" s="5"/>
      <c r="K994" s="5"/>
      <c r="L994" s="5"/>
      <c r="M994" s="5"/>
      <c r="N994" s="5"/>
      <c r="O994" s="5"/>
      <c r="P994" s="5"/>
      <c r="Q994" s="5">
        <v>12</v>
      </c>
      <c r="R994" s="5"/>
      <c r="S994" s="5">
        <v>12</v>
      </c>
      <c r="T994" s="5">
        <v>12</v>
      </c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x14ac:dyDescent="0.25">
      <c r="A995" s="10">
        <v>994</v>
      </c>
      <c r="B995" s="152" t="s">
        <v>1086</v>
      </c>
      <c r="C995" s="153" t="s">
        <v>4543</v>
      </c>
      <c r="D995" s="153" t="s">
        <v>4544</v>
      </c>
      <c r="E995" s="153" t="s">
        <v>2111</v>
      </c>
      <c r="F995" s="6"/>
      <c r="G995" s="6"/>
      <c r="H995" s="83">
        <f t="shared" si="16"/>
        <v>109</v>
      </c>
      <c r="I995" s="5">
        <v>61</v>
      </c>
      <c r="J995" s="5"/>
      <c r="K995" s="5"/>
      <c r="L995" s="5"/>
      <c r="M995" s="5"/>
      <c r="N995" s="5"/>
      <c r="O995" s="5"/>
      <c r="P995" s="5"/>
      <c r="Q995" s="5">
        <v>24</v>
      </c>
      <c r="R995" s="5"/>
      <c r="S995" s="5">
        <v>18</v>
      </c>
      <c r="T995" s="5">
        <v>6</v>
      </c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x14ac:dyDescent="0.25">
      <c r="A996" s="10">
        <v>995</v>
      </c>
      <c r="B996" s="152" t="s">
        <v>1352</v>
      </c>
      <c r="C996" s="153" t="s">
        <v>4545</v>
      </c>
      <c r="D996" s="153" t="s">
        <v>4546</v>
      </c>
      <c r="E996" s="153" t="s">
        <v>2111</v>
      </c>
      <c r="F996" s="6"/>
      <c r="G996" s="6"/>
      <c r="H996" s="83">
        <f t="shared" si="16"/>
        <v>24</v>
      </c>
      <c r="I996" s="5">
        <v>18</v>
      </c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>
        <v>6</v>
      </c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x14ac:dyDescent="0.25">
      <c r="A997" s="10">
        <v>996</v>
      </c>
      <c r="B997" s="152" t="s">
        <v>4547</v>
      </c>
      <c r="C997" s="153" t="s">
        <v>4548</v>
      </c>
      <c r="D997" s="153" t="s">
        <v>4549</v>
      </c>
      <c r="E997" s="153" t="s">
        <v>4948</v>
      </c>
      <c r="F997" s="6"/>
      <c r="G997" s="6"/>
      <c r="H997" s="83">
        <f t="shared" si="16"/>
        <v>0</v>
      </c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x14ac:dyDescent="0.25">
      <c r="A998" s="10">
        <v>997</v>
      </c>
      <c r="B998" s="152" t="s">
        <v>1143</v>
      </c>
      <c r="C998" s="153" t="s">
        <v>4550</v>
      </c>
      <c r="D998" s="153" t="s">
        <v>4551</v>
      </c>
      <c r="E998" s="153" t="s">
        <v>2111</v>
      </c>
      <c r="F998" s="6"/>
      <c r="G998" s="6"/>
      <c r="H998" s="83">
        <f t="shared" si="16"/>
        <v>390</v>
      </c>
      <c r="I998" s="5"/>
      <c r="J998" s="5">
        <v>390</v>
      </c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x14ac:dyDescent="0.25">
      <c r="A999" s="10">
        <v>998</v>
      </c>
      <c r="B999" s="152" t="s">
        <v>1218</v>
      </c>
      <c r="C999" s="153" t="s">
        <v>4552</v>
      </c>
      <c r="D999" s="153" t="s">
        <v>4553</v>
      </c>
      <c r="E999" s="153" t="s">
        <v>2111</v>
      </c>
      <c r="F999" s="6"/>
      <c r="G999" s="6"/>
      <c r="H999" s="83">
        <f t="shared" si="16"/>
        <v>462</v>
      </c>
      <c r="I999" s="5">
        <v>27</v>
      </c>
      <c r="J999" s="5">
        <v>426</v>
      </c>
      <c r="K999" s="5"/>
      <c r="L999" s="5"/>
      <c r="M999" s="5"/>
      <c r="N999" s="5"/>
      <c r="O999" s="5"/>
      <c r="P999" s="5"/>
      <c r="Q999" s="5"/>
      <c r="R999" s="5"/>
      <c r="S999" s="5"/>
      <c r="T999" s="5">
        <v>9</v>
      </c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x14ac:dyDescent="0.25">
      <c r="A1000" s="10">
        <v>999</v>
      </c>
      <c r="B1000" s="152" t="s">
        <v>1438</v>
      </c>
      <c r="C1000" s="153" t="s">
        <v>4554</v>
      </c>
      <c r="D1000" s="153" t="s">
        <v>4555</v>
      </c>
      <c r="E1000" s="153" t="s">
        <v>2111</v>
      </c>
      <c r="F1000" s="6"/>
      <c r="G1000" s="6"/>
      <c r="H1000" s="83">
        <f t="shared" si="16"/>
        <v>25</v>
      </c>
      <c r="I1000" s="5">
        <v>13</v>
      </c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>
        <v>12</v>
      </c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x14ac:dyDescent="0.25">
      <c r="A1001" s="10">
        <v>1000</v>
      </c>
      <c r="B1001" s="152" t="s">
        <v>1453</v>
      </c>
      <c r="C1001" s="153" t="s">
        <v>4556</v>
      </c>
      <c r="D1001" s="153" t="s">
        <v>4557</v>
      </c>
      <c r="E1001" s="153" t="s">
        <v>2111</v>
      </c>
      <c r="F1001" s="6"/>
      <c r="G1001" s="6"/>
      <c r="H1001" s="83">
        <f t="shared" si="16"/>
        <v>198</v>
      </c>
      <c r="I1001" s="5">
        <v>72</v>
      </c>
      <c r="J1001" s="5">
        <v>126</v>
      </c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x14ac:dyDescent="0.25">
      <c r="A1002" s="10">
        <v>1001</v>
      </c>
      <c r="B1002" s="152" t="s">
        <v>4558</v>
      </c>
      <c r="C1002" s="153" t="s">
        <v>4559</v>
      </c>
      <c r="D1002" s="153" t="s">
        <v>4560</v>
      </c>
      <c r="E1002" s="153" t="s">
        <v>2111</v>
      </c>
      <c r="F1002" s="6"/>
      <c r="G1002" s="6"/>
      <c r="H1002" s="83">
        <f t="shared" si="16"/>
        <v>348</v>
      </c>
      <c r="I1002" s="5">
        <v>198</v>
      </c>
      <c r="J1002" s="5"/>
      <c r="K1002" s="5"/>
      <c r="L1002" s="5"/>
      <c r="M1002" s="5"/>
      <c r="N1002" s="5"/>
      <c r="O1002" s="5"/>
      <c r="P1002" s="5">
        <v>60</v>
      </c>
      <c r="Q1002" s="5">
        <v>42</v>
      </c>
      <c r="R1002" s="5"/>
      <c r="S1002" s="5">
        <v>12</v>
      </c>
      <c r="T1002" s="5">
        <v>36</v>
      </c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x14ac:dyDescent="0.25">
      <c r="A1003" s="10">
        <v>1002</v>
      </c>
      <c r="B1003" s="152" t="s">
        <v>1401</v>
      </c>
      <c r="C1003" s="153" t="s">
        <v>4561</v>
      </c>
      <c r="D1003" s="153" t="s">
        <v>4562</v>
      </c>
      <c r="E1003" s="153" t="s">
        <v>2111</v>
      </c>
      <c r="F1003" s="6"/>
      <c r="G1003" s="6"/>
      <c r="H1003" s="83">
        <f t="shared" si="16"/>
        <v>17</v>
      </c>
      <c r="I1003" s="5">
        <v>17</v>
      </c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x14ac:dyDescent="0.25">
      <c r="A1004" s="10">
        <v>1003</v>
      </c>
      <c r="B1004" s="152" t="s">
        <v>1511</v>
      </c>
      <c r="C1004" s="153" t="s">
        <v>4563</v>
      </c>
      <c r="D1004" s="153" t="s">
        <v>4564</v>
      </c>
      <c r="E1004" s="153" t="s">
        <v>2111</v>
      </c>
      <c r="F1004" s="6"/>
      <c r="G1004" s="6"/>
      <c r="H1004" s="83">
        <f t="shared" si="16"/>
        <v>67</v>
      </c>
      <c r="I1004" s="5">
        <v>61</v>
      </c>
      <c r="J1004" s="5"/>
      <c r="K1004" s="5"/>
      <c r="L1004" s="5"/>
      <c r="M1004" s="5"/>
      <c r="N1004" s="5"/>
      <c r="O1004" s="5"/>
      <c r="P1004" s="5">
        <v>6</v>
      </c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x14ac:dyDescent="0.25">
      <c r="A1005" s="10">
        <v>1004</v>
      </c>
      <c r="B1005" s="152" t="s">
        <v>987</v>
      </c>
      <c r="C1005" s="153" t="s">
        <v>4565</v>
      </c>
      <c r="D1005" s="153" t="s">
        <v>4566</v>
      </c>
      <c r="E1005" s="153" t="s">
        <v>2111</v>
      </c>
      <c r="F1005" s="6"/>
      <c r="G1005" s="6"/>
      <c r="H1005" s="83">
        <f t="shared" si="16"/>
        <v>120</v>
      </c>
      <c r="I1005" s="5">
        <v>80</v>
      </c>
      <c r="J1005" s="5"/>
      <c r="K1005" s="5"/>
      <c r="L1005" s="5"/>
      <c r="M1005" s="5"/>
      <c r="N1005" s="5"/>
      <c r="O1005" s="5"/>
      <c r="P1005" s="5">
        <v>8</v>
      </c>
      <c r="Q1005" s="5"/>
      <c r="R1005" s="5"/>
      <c r="S1005" s="5">
        <v>16</v>
      </c>
      <c r="T1005" s="5">
        <f>24-8</f>
        <v>16</v>
      </c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x14ac:dyDescent="0.25">
      <c r="A1006" s="10">
        <v>1005</v>
      </c>
      <c r="B1006" s="152" t="s">
        <v>865</v>
      </c>
      <c r="C1006" s="153" t="s">
        <v>4567</v>
      </c>
      <c r="D1006" s="153" t="s">
        <v>4568</v>
      </c>
      <c r="E1006" s="153" t="s">
        <v>4948</v>
      </c>
      <c r="F1006" s="6"/>
      <c r="G1006" s="6"/>
      <c r="H1006" s="83">
        <f t="shared" si="16"/>
        <v>200</v>
      </c>
      <c r="I1006" s="5">
        <v>56</v>
      </c>
      <c r="J1006" s="5"/>
      <c r="K1006" s="5"/>
      <c r="L1006" s="5"/>
      <c r="M1006" s="5"/>
      <c r="N1006" s="5"/>
      <c r="O1006" s="5"/>
      <c r="P1006" s="5">
        <v>36</v>
      </c>
      <c r="Q1006" s="5">
        <v>24</v>
      </c>
      <c r="R1006" s="5"/>
      <c r="S1006" s="5">
        <v>36</v>
      </c>
      <c r="T1006" s="5">
        <v>48</v>
      </c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x14ac:dyDescent="0.25">
      <c r="A1007" s="10">
        <v>1006</v>
      </c>
      <c r="B1007" s="152" t="s">
        <v>4569</v>
      </c>
      <c r="C1007" s="153" t="s">
        <v>4570</v>
      </c>
      <c r="D1007" s="153" t="s">
        <v>4571</v>
      </c>
      <c r="E1007" s="153" t="s">
        <v>4948</v>
      </c>
      <c r="F1007" s="6"/>
      <c r="G1007" s="6"/>
      <c r="H1007" s="83">
        <f t="shared" si="16"/>
        <v>0</v>
      </c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x14ac:dyDescent="0.25">
      <c r="A1008" s="10">
        <v>1007</v>
      </c>
      <c r="B1008" s="152" t="s">
        <v>4572</v>
      </c>
      <c r="C1008" s="153" t="s">
        <v>4573</v>
      </c>
      <c r="D1008" s="153" t="s">
        <v>4574</v>
      </c>
      <c r="E1008" s="153" t="s">
        <v>4948</v>
      </c>
      <c r="F1008" s="6"/>
      <c r="G1008" s="6"/>
      <c r="H1008" s="83">
        <f t="shared" si="16"/>
        <v>0</v>
      </c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x14ac:dyDescent="0.25">
      <c r="A1009" s="10">
        <v>1008</v>
      </c>
      <c r="B1009" s="152" t="s">
        <v>1181</v>
      </c>
      <c r="C1009" s="153" t="s">
        <v>4575</v>
      </c>
      <c r="D1009" s="153" t="s">
        <v>4576</v>
      </c>
      <c r="E1009" s="153" t="s">
        <v>2111</v>
      </c>
      <c r="F1009" s="6"/>
      <c r="G1009" s="6"/>
      <c r="H1009" s="83">
        <f t="shared" si="16"/>
        <v>84</v>
      </c>
      <c r="I1009" s="5">
        <v>36</v>
      </c>
      <c r="J1009" s="5"/>
      <c r="K1009" s="5"/>
      <c r="L1009" s="5"/>
      <c r="M1009" s="5"/>
      <c r="N1009" s="5"/>
      <c r="O1009" s="5"/>
      <c r="P1009" s="5">
        <v>12</v>
      </c>
      <c r="Q1009" s="5"/>
      <c r="R1009" s="5"/>
      <c r="S1009" s="5"/>
      <c r="T1009" s="5">
        <v>36</v>
      </c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x14ac:dyDescent="0.25">
      <c r="A1010" s="10">
        <v>1009</v>
      </c>
      <c r="B1010" s="152" t="s">
        <v>824</v>
      </c>
      <c r="C1010" s="153" t="s">
        <v>4577</v>
      </c>
      <c r="D1010" s="153" t="s">
        <v>4578</v>
      </c>
      <c r="E1010" s="153" t="s">
        <v>64</v>
      </c>
      <c r="F1010" s="6"/>
      <c r="G1010" s="6"/>
      <c r="H1010" s="83">
        <f t="shared" si="16"/>
        <v>80</v>
      </c>
      <c r="I1010" s="5">
        <v>80</v>
      </c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x14ac:dyDescent="0.25">
      <c r="A1011" s="10">
        <v>1010</v>
      </c>
      <c r="B1011" s="152" t="s">
        <v>702</v>
      </c>
      <c r="C1011" s="153" t="s">
        <v>4579</v>
      </c>
      <c r="D1011" s="153" t="s">
        <v>4580</v>
      </c>
      <c r="E1011" s="153" t="s">
        <v>64</v>
      </c>
      <c r="F1011" s="6"/>
      <c r="G1011" s="6"/>
      <c r="H1011" s="83">
        <f t="shared" si="16"/>
        <v>80</v>
      </c>
      <c r="I1011" s="5">
        <v>80</v>
      </c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x14ac:dyDescent="0.25">
      <c r="A1012" s="10">
        <v>1011</v>
      </c>
      <c r="B1012" s="152" t="s">
        <v>1365</v>
      </c>
      <c r="C1012" s="153" t="s">
        <v>4581</v>
      </c>
      <c r="D1012" s="153" t="s">
        <v>4582</v>
      </c>
      <c r="E1012" s="153" t="s">
        <v>2086</v>
      </c>
      <c r="F1012" s="6"/>
      <c r="G1012" s="6"/>
      <c r="H1012" s="83">
        <f t="shared" si="16"/>
        <v>57200</v>
      </c>
      <c r="I1012" s="5">
        <v>31420</v>
      </c>
      <c r="J1012" s="5"/>
      <c r="K1012" s="5"/>
      <c r="L1012" s="5"/>
      <c r="M1012" s="5"/>
      <c r="N1012" s="5"/>
      <c r="O1012" s="5"/>
      <c r="P1012" s="5">
        <v>10580</v>
      </c>
      <c r="Q1012" s="5">
        <v>8000</v>
      </c>
      <c r="R1012" s="5"/>
      <c r="S1012" s="5">
        <v>4200</v>
      </c>
      <c r="T1012" s="5">
        <v>3000</v>
      </c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x14ac:dyDescent="0.25">
      <c r="A1013" s="10">
        <v>1012</v>
      </c>
      <c r="B1013" s="152" t="s">
        <v>827</v>
      </c>
      <c r="C1013" s="153" t="s">
        <v>4583</v>
      </c>
      <c r="D1013" s="153" t="s">
        <v>4584</v>
      </c>
      <c r="E1013" s="153" t="s">
        <v>4948</v>
      </c>
      <c r="F1013" s="6"/>
      <c r="G1013" s="6"/>
      <c r="H1013" s="83">
        <f t="shared" si="16"/>
        <v>0</v>
      </c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x14ac:dyDescent="0.25">
      <c r="A1014" s="10">
        <v>1013</v>
      </c>
      <c r="B1014" s="152" t="s">
        <v>4585</v>
      </c>
      <c r="C1014" s="153" t="s">
        <v>4586</v>
      </c>
      <c r="D1014" s="153" t="s">
        <v>4587</v>
      </c>
      <c r="E1014" s="153" t="s">
        <v>4948</v>
      </c>
      <c r="F1014" s="6"/>
      <c r="G1014" s="6"/>
      <c r="H1014" s="83">
        <f t="shared" si="16"/>
        <v>0</v>
      </c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x14ac:dyDescent="0.25">
      <c r="A1015" s="10">
        <v>1014</v>
      </c>
      <c r="B1015" s="152" t="s">
        <v>1819</v>
      </c>
      <c r="C1015" s="153" t="s">
        <v>4588</v>
      </c>
      <c r="D1015" s="153" t="s">
        <v>4589</v>
      </c>
      <c r="E1015" s="153" t="s">
        <v>4948</v>
      </c>
      <c r="F1015" s="6"/>
      <c r="G1015" s="6"/>
      <c r="H1015" s="83">
        <f t="shared" si="16"/>
        <v>0</v>
      </c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x14ac:dyDescent="0.25">
      <c r="A1016" s="10">
        <v>1015</v>
      </c>
      <c r="B1016" s="152" t="s">
        <v>2005</v>
      </c>
      <c r="C1016" s="153" t="s">
        <v>4590</v>
      </c>
      <c r="D1016" s="153" t="s">
        <v>4591</v>
      </c>
      <c r="E1016" s="153" t="s">
        <v>4948</v>
      </c>
      <c r="F1016" s="6"/>
      <c r="G1016" s="6"/>
      <c r="H1016" s="83">
        <f t="shared" si="16"/>
        <v>0</v>
      </c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x14ac:dyDescent="0.25">
      <c r="A1017" s="10">
        <v>1016</v>
      </c>
      <c r="B1017" s="152" t="s">
        <v>938</v>
      </c>
      <c r="C1017" s="153" t="s">
        <v>4592</v>
      </c>
      <c r="D1017" s="153" t="s">
        <v>4593</v>
      </c>
      <c r="E1017" s="153" t="s">
        <v>64</v>
      </c>
      <c r="F1017" s="6"/>
      <c r="G1017" s="6"/>
      <c r="H1017" s="83">
        <f t="shared" si="16"/>
        <v>0</v>
      </c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x14ac:dyDescent="0.25">
      <c r="A1018" s="10">
        <v>1017</v>
      </c>
      <c r="B1018" s="157" t="s">
        <v>648</v>
      </c>
      <c r="C1018" s="158" t="s">
        <v>4594</v>
      </c>
      <c r="D1018" s="158" t="s">
        <v>4595</v>
      </c>
      <c r="E1018" s="153" t="s">
        <v>4948</v>
      </c>
      <c r="F1018" s="6"/>
      <c r="G1018" s="6"/>
      <c r="H1018" s="83">
        <f t="shared" si="16"/>
        <v>0</v>
      </c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x14ac:dyDescent="0.25">
      <c r="A1019" s="10">
        <v>1018</v>
      </c>
      <c r="B1019" s="152" t="s">
        <v>1974</v>
      </c>
      <c r="C1019" s="153" t="s">
        <v>4596</v>
      </c>
      <c r="D1019" s="153" t="s">
        <v>4597</v>
      </c>
      <c r="E1019" s="153" t="s">
        <v>64</v>
      </c>
      <c r="F1019" s="6"/>
      <c r="G1019" s="6"/>
      <c r="H1019" s="83">
        <f t="shared" si="16"/>
        <v>0</v>
      </c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x14ac:dyDescent="0.25">
      <c r="A1020" s="10">
        <v>1019</v>
      </c>
      <c r="B1020" s="152" t="s">
        <v>4598</v>
      </c>
      <c r="C1020" s="153" t="s">
        <v>4599</v>
      </c>
      <c r="D1020" s="153" t="s">
        <v>4600</v>
      </c>
      <c r="E1020" s="153" t="s">
        <v>64</v>
      </c>
      <c r="F1020" s="6"/>
      <c r="G1020" s="6"/>
      <c r="H1020" s="83">
        <f t="shared" si="16"/>
        <v>0</v>
      </c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x14ac:dyDescent="0.25">
      <c r="A1021" s="10">
        <v>1020</v>
      </c>
      <c r="B1021" s="152" t="s">
        <v>4601</v>
      </c>
      <c r="C1021" s="153" t="s">
        <v>4602</v>
      </c>
      <c r="D1021" s="153" t="s">
        <v>4603</v>
      </c>
      <c r="E1021" s="153" t="s">
        <v>4948</v>
      </c>
      <c r="F1021" s="6"/>
      <c r="G1021" s="6"/>
      <c r="H1021" s="83">
        <f t="shared" si="16"/>
        <v>0</v>
      </c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x14ac:dyDescent="0.25">
      <c r="A1022" s="10">
        <v>1021</v>
      </c>
      <c r="B1022" s="152" t="s">
        <v>2063</v>
      </c>
      <c r="C1022" s="153" t="s">
        <v>4604</v>
      </c>
      <c r="D1022" s="153" t="s">
        <v>4605</v>
      </c>
      <c r="E1022" s="153" t="s">
        <v>4948</v>
      </c>
      <c r="F1022" s="6"/>
      <c r="G1022" s="6"/>
      <c r="H1022" s="83">
        <f t="shared" si="16"/>
        <v>0</v>
      </c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x14ac:dyDescent="0.25">
      <c r="A1023" s="10">
        <v>1022</v>
      </c>
      <c r="B1023" s="152" t="s">
        <v>4606</v>
      </c>
      <c r="C1023" s="153" t="s">
        <v>4607</v>
      </c>
      <c r="D1023" s="153" t="s">
        <v>4608</v>
      </c>
      <c r="E1023" s="153" t="s">
        <v>4948</v>
      </c>
      <c r="F1023" s="6"/>
      <c r="G1023" s="6"/>
      <c r="H1023" s="83">
        <f t="shared" si="16"/>
        <v>0</v>
      </c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x14ac:dyDescent="0.25">
      <c r="A1024" s="10">
        <v>1023</v>
      </c>
      <c r="B1024" s="152" t="s">
        <v>868</v>
      </c>
      <c r="C1024" s="153" t="s">
        <v>4609</v>
      </c>
      <c r="D1024" s="153" t="s">
        <v>4610</v>
      </c>
      <c r="E1024" s="153" t="s">
        <v>4948</v>
      </c>
      <c r="F1024" s="6"/>
      <c r="G1024" s="6"/>
      <c r="H1024" s="83">
        <f t="shared" si="16"/>
        <v>0</v>
      </c>
      <c r="I1024" s="5">
        <f>96-96</f>
        <v>0</v>
      </c>
      <c r="J1024" s="5">
        <f>5716.8-5716.8</f>
        <v>0</v>
      </c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x14ac:dyDescent="0.25">
      <c r="A1025" s="10">
        <v>1024</v>
      </c>
      <c r="B1025" s="152" t="s">
        <v>532</v>
      </c>
      <c r="C1025" s="153" t="s">
        <v>4611</v>
      </c>
      <c r="D1025" s="153" t="s">
        <v>4612</v>
      </c>
      <c r="E1025" s="153" t="s">
        <v>4948</v>
      </c>
      <c r="F1025" s="6"/>
      <c r="G1025" s="6"/>
      <c r="H1025" s="83">
        <f t="shared" si="16"/>
        <v>0</v>
      </c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x14ac:dyDescent="0.25">
      <c r="A1026" s="10">
        <v>1025</v>
      </c>
      <c r="B1026" s="152" t="s">
        <v>4613</v>
      </c>
      <c r="C1026" s="153" t="s">
        <v>4614</v>
      </c>
      <c r="D1026" s="153" t="s">
        <v>4615</v>
      </c>
      <c r="E1026" s="153" t="s">
        <v>4948</v>
      </c>
      <c r="F1026" s="6"/>
      <c r="G1026" s="6"/>
      <c r="H1026" s="83">
        <f t="shared" ref="H1026:H1089" si="17">SUM(I1026:AM1026)</f>
        <v>50</v>
      </c>
      <c r="I1026" s="5">
        <v>50</v>
      </c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x14ac:dyDescent="0.25">
      <c r="A1027" s="10">
        <v>1026</v>
      </c>
      <c r="B1027" s="157" t="s">
        <v>1504</v>
      </c>
      <c r="C1027" s="158" t="s">
        <v>4616</v>
      </c>
      <c r="D1027" s="158" t="s">
        <v>4617</v>
      </c>
      <c r="E1027" s="153" t="s">
        <v>4948</v>
      </c>
      <c r="F1027" s="6"/>
      <c r="G1027" s="6"/>
      <c r="H1027" s="83">
        <f t="shared" si="17"/>
        <v>0</v>
      </c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x14ac:dyDescent="0.25">
      <c r="A1028" s="10">
        <v>1027</v>
      </c>
      <c r="B1028" s="152" t="s">
        <v>4618</v>
      </c>
      <c r="C1028" s="153" t="s">
        <v>4619</v>
      </c>
      <c r="D1028" s="153" t="s">
        <v>4620</v>
      </c>
      <c r="E1028" s="153" t="s">
        <v>64</v>
      </c>
      <c r="F1028" s="6"/>
      <c r="G1028" s="6"/>
      <c r="H1028" s="83">
        <f t="shared" si="17"/>
        <v>0</v>
      </c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x14ac:dyDescent="0.25">
      <c r="A1029" s="10">
        <v>1028</v>
      </c>
      <c r="B1029" s="152" t="s">
        <v>4621</v>
      </c>
      <c r="C1029" s="153" t="s">
        <v>4622</v>
      </c>
      <c r="D1029" s="153" t="s">
        <v>4623</v>
      </c>
      <c r="E1029" s="153" t="s">
        <v>64</v>
      </c>
      <c r="F1029" s="6"/>
      <c r="G1029" s="6"/>
      <c r="H1029" s="83">
        <f t="shared" si="17"/>
        <v>0</v>
      </c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x14ac:dyDescent="0.25">
      <c r="A1030" s="10">
        <v>1029</v>
      </c>
      <c r="B1030" s="152" t="s">
        <v>4624</v>
      </c>
      <c r="C1030" s="153" t="s">
        <v>4625</v>
      </c>
      <c r="D1030" s="153" t="s">
        <v>4626</v>
      </c>
      <c r="E1030" s="153" t="s">
        <v>4948</v>
      </c>
      <c r="F1030" s="6"/>
      <c r="G1030" s="6"/>
      <c r="H1030" s="83">
        <f t="shared" si="17"/>
        <v>0</v>
      </c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x14ac:dyDescent="0.25">
      <c r="A1031" s="10">
        <v>1030</v>
      </c>
      <c r="B1031" s="152" t="s">
        <v>4627</v>
      </c>
      <c r="C1031" s="153" t="s">
        <v>4628</v>
      </c>
      <c r="D1031" s="153" t="s">
        <v>4629</v>
      </c>
      <c r="E1031" s="153" t="s">
        <v>4948</v>
      </c>
      <c r="F1031" s="6"/>
      <c r="G1031" s="6"/>
      <c r="H1031" s="83">
        <f t="shared" si="17"/>
        <v>0</v>
      </c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x14ac:dyDescent="0.25">
      <c r="A1032" s="10">
        <v>1031</v>
      </c>
      <c r="B1032" s="152" t="s">
        <v>4630</v>
      </c>
      <c r="C1032" s="153" t="s">
        <v>4631</v>
      </c>
      <c r="D1032" s="153" t="s">
        <v>4632</v>
      </c>
      <c r="E1032" s="153" t="s">
        <v>4948</v>
      </c>
      <c r="F1032" s="6"/>
      <c r="G1032" s="6"/>
      <c r="H1032" s="83">
        <f t="shared" si="17"/>
        <v>0</v>
      </c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x14ac:dyDescent="0.25">
      <c r="A1033" s="10">
        <v>1032</v>
      </c>
      <c r="B1033" s="152" t="s">
        <v>4633</v>
      </c>
      <c r="C1033" s="153" t="s">
        <v>4634</v>
      </c>
      <c r="D1033" s="153" t="s">
        <v>4635</v>
      </c>
      <c r="E1033" s="153" t="s">
        <v>4948</v>
      </c>
      <c r="F1033" s="6"/>
      <c r="G1033" s="6"/>
      <c r="H1033" s="83">
        <f t="shared" si="17"/>
        <v>0</v>
      </c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x14ac:dyDescent="0.25">
      <c r="A1034" s="10">
        <v>1033</v>
      </c>
      <c r="B1034" s="152" t="s">
        <v>4636</v>
      </c>
      <c r="C1034" s="153" t="s">
        <v>4637</v>
      </c>
      <c r="D1034" s="153" t="s">
        <v>4638</v>
      </c>
      <c r="E1034" s="153" t="s">
        <v>4948</v>
      </c>
      <c r="F1034" s="6"/>
      <c r="G1034" s="6"/>
      <c r="H1034" s="83">
        <f t="shared" si="17"/>
        <v>0</v>
      </c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x14ac:dyDescent="0.25">
      <c r="A1035" s="10">
        <v>1034</v>
      </c>
      <c r="B1035" s="152" t="s">
        <v>4639</v>
      </c>
      <c r="C1035" s="153" t="s">
        <v>4640</v>
      </c>
      <c r="D1035" s="153" t="s">
        <v>4641</v>
      </c>
      <c r="E1035" s="153" t="s">
        <v>4948</v>
      </c>
      <c r="F1035" s="6"/>
      <c r="G1035" s="6"/>
      <c r="H1035" s="83">
        <f t="shared" si="17"/>
        <v>0</v>
      </c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x14ac:dyDescent="0.25">
      <c r="A1036" s="10">
        <v>1035</v>
      </c>
      <c r="B1036" s="152" t="s">
        <v>4642</v>
      </c>
      <c r="C1036" s="153" t="s">
        <v>4643</v>
      </c>
      <c r="D1036" s="153" t="s">
        <v>4644</v>
      </c>
      <c r="E1036" s="153" t="s">
        <v>4948</v>
      </c>
      <c r="F1036" s="6"/>
      <c r="G1036" s="6"/>
      <c r="H1036" s="83">
        <f t="shared" si="17"/>
        <v>0</v>
      </c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x14ac:dyDescent="0.25">
      <c r="A1037" s="10">
        <v>1036</v>
      </c>
      <c r="B1037" s="152" t="s">
        <v>4645</v>
      </c>
      <c r="C1037" s="153" t="s">
        <v>4646</v>
      </c>
      <c r="D1037" s="153" t="s">
        <v>4647</v>
      </c>
      <c r="E1037" s="153" t="s">
        <v>4948</v>
      </c>
      <c r="F1037" s="6"/>
      <c r="G1037" s="6"/>
      <c r="H1037" s="83">
        <f t="shared" si="17"/>
        <v>0</v>
      </c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x14ac:dyDescent="0.25">
      <c r="A1038" s="10">
        <v>1037</v>
      </c>
      <c r="B1038" s="152" t="s">
        <v>4648</v>
      </c>
      <c r="C1038" s="153" t="s">
        <v>4649</v>
      </c>
      <c r="D1038" s="153" t="s">
        <v>4650</v>
      </c>
      <c r="E1038" s="153" t="s">
        <v>4948</v>
      </c>
      <c r="F1038" s="6"/>
      <c r="G1038" s="6"/>
      <c r="H1038" s="83">
        <f t="shared" si="17"/>
        <v>0</v>
      </c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x14ac:dyDescent="0.25">
      <c r="A1039" s="10">
        <v>1038</v>
      </c>
      <c r="B1039" s="157" t="s">
        <v>4651</v>
      </c>
      <c r="C1039" s="158" t="s">
        <v>4652</v>
      </c>
      <c r="D1039" s="158" t="s">
        <v>4653</v>
      </c>
      <c r="E1039" s="153" t="s">
        <v>4948</v>
      </c>
      <c r="F1039" s="6"/>
      <c r="G1039" s="6"/>
      <c r="H1039" s="83">
        <f t="shared" si="17"/>
        <v>0</v>
      </c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x14ac:dyDescent="0.25">
      <c r="A1040" s="10">
        <v>1039</v>
      </c>
      <c r="B1040" s="152" t="s">
        <v>665</v>
      </c>
      <c r="C1040" s="153" t="s">
        <v>4654</v>
      </c>
      <c r="D1040" s="153" t="s">
        <v>4655</v>
      </c>
      <c r="E1040" s="153" t="s">
        <v>64</v>
      </c>
      <c r="F1040" s="6"/>
      <c r="G1040" s="6"/>
      <c r="H1040" s="83">
        <f t="shared" si="17"/>
        <v>0</v>
      </c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x14ac:dyDescent="0.25">
      <c r="A1041" s="10">
        <v>1040</v>
      </c>
      <c r="B1041" s="152" t="s">
        <v>120</v>
      </c>
      <c r="C1041" s="153" t="s">
        <v>4656</v>
      </c>
      <c r="D1041" s="153" t="s">
        <v>4657</v>
      </c>
      <c r="E1041" s="153" t="s">
        <v>4948</v>
      </c>
      <c r="F1041" s="6"/>
      <c r="G1041" s="6"/>
      <c r="H1041" s="83">
        <f t="shared" si="17"/>
        <v>0</v>
      </c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x14ac:dyDescent="0.25">
      <c r="A1042" s="10">
        <v>1041</v>
      </c>
      <c r="B1042" s="152" t="s">
        <v>2009</v>
      </c>
      <c r="C1042" s="153" t="s">
        <v>2010</v>
      </c>
      <c r="D1042" s="153" t="s">
        <v>4658</v>
      </c>
      <c r="E1042" s="153" t="s">
        <v>4948</v>
      </c>
      <c r="F1042" s="6"/>
      <c r="G1042" s="6"/>
      <c r="H1042" s="83">
        <f t="shared" si="17"/>
        <v>0</v>
      </c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x14ac:dyDescent="0.25">
      <c r="A1043" s="10">
        <v>1042</v>
      </c>
      <c r="B1043" s="152" t="s">
        <v>652</v>
      </c>
      <c r="C1043" s="153" t="s">
        <v>4659</v>
      </c>
      <c r="D1043" s="153" t="s">
        <v>4660</v>
      </c>
      <c r="E1043" s="153" t="s">
        <v>4948</v>
      </c>
      <c r="F1043" s="6"/>
      <c r="G1043" s="6"/>
      <c r="H1043" s="83">
        <f t="shared" si="17"/>
        <v>3.1999999999999997</v>
      </c>
      <c r="I1043" s="5"/>
      <c r="J1043" s="5">
        <f>6.912-3.712</f>
        <v>3.1999999999999997</v>
      </c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x14ac:dyDescent="0.25">
      <c r="A1044" s="10">
        <v>1043</v>
      </c>
      <c r="B1044" s="152" t="s">
        <v>47</v>
      </c>
      <c r="C1044" s="153" t="s">
        <v>4661</v>
      </c>
      <c r="D1044" s="153" t="s">
        <v>4662</v>
      </c>
      <c r="E1044" s="153" t="s">
        <v>64</v>
      </c>
      <c r="F1044" s="6"/>
      <c r="G1044" s="6"/>
      <c r="H1044" s="83">
        <f t="shared" si="17"/>
        <v>211.44</v>
      </c>
      <c r="I1044" s="5">
        <v>30</v>
      </c>
      <c r="J1044" s="5">
        <v>181.44</v>
      </c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x14ac:dyDescent="0.25">
      <c r="A1045" s="10">
        <v>1044</v>
      </c>
      <c r="B1045" s="152" t="s">
        <v>1289</v>
      </c>
      <c r="C1045" s="153" t="s">
        <v>4663</v>
      </c>
      <c r="D1045" s="153" t="s">
        <v>4664</v>
      </c>
      <c r="E1045" s="153" t="s">
        <v>4948</v>
      </c>
      <c r="F1045" s="6"/>
      <c r="G1045" s="6"/>
      <c r="H1045" s="83">
        <f t="shared" si="17"/>
        <v>0</v>
      </c>
      <c r="I1045" s="5"/>
      <c r="J1045" s="5">
        <f>28.548-28.548</f>
        <v>0</v>
      </c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x14ac:dyDescent="0.25">
      <c r="A1046" s="10">
        <v>1045</v>
      </c>
      <c r="B1046" s="152" t="s">
        <v>4665</v>
      </c>
      <c r="C1046" s="153" t="s">
        <v>4666</v>
      </c>
      <c r="D1046" s="153" t="s">
        <v>4667</v>
      </c>
      <c r="E1046" s="153" t="s">
        <v>4948</v>
      </c>
      <c r="F1046" s="6"/>
      <c r="G1046" s="6"/>
      <c r="H1046" s="83">
        <f t="shared" si="17"/>
        <v>0</v>
      </c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x14ac:dyDescent="0.25">
      <c r="A1047" s="10">
        <v>1046</v>
      </c>
      <c r="B1047" s="152" t="s">
        <v>65</v>
      </c>
      <c r="C1047" s="153" t="s">
        <v>4668</v>
      </c>
      <c r="D1047" s="153" t="s">
        <v>4669</v>
      </c>
      <c r="E1047" s="153" t="s">
        <v>64</v>
      </c>
      <c r="F1047" s="6"/>
      <c r="G1047" s="6"/>
      <c r="H1047" s="83">
        <f t="shared" si="17"/>
        <v>0</v>
      </c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x14ac:dyDescent="0.25">
      <c r="A1048" s="10">
        <v>1047</v>
      </c>
      <c r="B1048" s="152" t="s">
        <v>1321</v>
      </c>
      <c r="C1048" s="153" t="s">
        <v>4670</v>
      </c>
      <c r="D1048" s="153" t="s">
        <v>4671</v>
      </c>
      <c r="E1048" s="153" t="s">
        <v>64</v>
      </c>
      <c r="F1048" s="6"/>
      <c r="G1048" s="6"/>
      <c r="H1048" s="83">
        <f t="shared" si="17"/>
        <v>0</v>
      </c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x14ac:dyDescent="0.25">
      <c r="A1049" s="10">
        <v>1048</v>
      </c>
      <c r="B1049" s="152" t="s">
        <v>1471</v>
      </c>
      <c r="C1049" s="153" t="s">
        <v>4672</v>
      </c>
      <c r="D1049" s="153" t="s">
        <v>4673</v>
      </c>
      <c r="E1049" s="153" t="s">
        <v>2111</v>
      </c>
      <c r="F1049" s="6"/>
      <c r="G1049" s="6"/>
      <c r="H1049" s="83">
        <f t="shared" si="17"/>
        <v>0</v>
      </c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x14ac:dyDescent="0.25">
      <c r="A1050" s="10">
        <v>1049</v>
      </c>
      <c r="B1050" s="152" t="s">
        <v>508</v>
      </c>
      <c r="C1050" s="153" t="s">
        <v>4674</v>
      </c>
      <c r="D1050" s="153" t="s">
        <v>4675</v>
      </c>
      <c r="E1050" s="153" t="s">
        <v>64</v>
      </c>
      <c r="F1050" s="6"/>
      <c r="G1050" s="6"/>
      <c r="H1050" s="83">
        <f t="shared" si="17"/>
        <v>1</v>
      </c>
      <c r="I1050" s="5">
        <v>1</v>
      </c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x14ac:dyDescent="0.25">
      <c r="A1051" s="10">
        <v>1050</v>
      </c>
      <c r="B1051" s="152" t="s">
        <v>4676</v>
      </c>
      <c r="C1051" s="153" t="s">
        <v>4677</v>
      </c>
      <c r="D1051" s="153" t="s">
        <v>4678</v>
      </c>
      <c r="E1051" s="153" t="s">
        <v>4948</v>
      </c>
      <c r="F1051" s="6"/>
      <c r="G1051" s="6"/>
      <c r="H1051" s="83">
        <f t="shared" si="17"/>
        <v>0</v>
      </c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x14ac:dyDescent="0.25">
      <c r="A1052" s="10">
        <v>1051</v>
      </c>
      <c r="B1052" s="152" t="s">
        <v>422</v>
      </c>
      <c r="C1052" s="153" t="s">
        <v>4679</v>
      </c>
      <c r="D1052" s="153" t="s">
        <v>4680</v>
      </c>
      <c r="E1052" s="153" t="s">
        <v>4948</v>
      </c>
      <c r="F1052" s="6"/>
      <c r="G1052" s="6"/>
      <c r="H1052" s="83">
        <f t="shared" si="17"/>
        <v>0</v>
      </c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x14ac:dyDescent="0.25">
      <c r="A1053" s="10">
        <v>1052</v>
      </c>
      <c r="B1053" s="152" t="s">
        <v>4681</v>
      </c>
      <c r="C1053" s="153" t="s">
        <v>4682</v>
      </c>
      <c r="D1053" s="153" t="s">
        <v>4683</v>
      </c>
      <c r="E1053" s="153" t="s">
        <v>4948</v>
      </c>
      <c r="F1053" s="6"/>
      <c r="G1053" s="6"/>
      <c r="H1053" s="83">
        <f t="shared" si="17"/>
        <v>0</v>
      </c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x14ac:dyDescent="0.25">
      <c r="A1054" s="10">
        <v>1053</v>
      </c>
      <c r="B1054" s="152" t="s">
        <v>1004</v>
      </c>
      <c r="C1054" s="153" t="s">
        <v>4684</v>
      </c>
      <c r="D1054" s="153" t="s">
        <v>4685</v>
      </c>
      <c r="E1054" s="153" t="s">
        <v>64</v>
      </c>
      <c r="F1054" s="6"/>
      <c r="G1054" s="6"/>
      <c r="H1054" s="83">
        <f t="shared" si="17"/>
        <v>17</v>
      </c>
      <c r="I1054" s="5"/>
      <c r="J1054" s="5">
        <v>17</v>
      </c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x14ac:dyDescent="0.25">
      <c r="A1055" s="10">
        <v>1054</v>
      </c>
      <c r="B1055" s="152" t="s">
        <v>903</v>
      </c>
      <c r="C1055" s="153" t="s">
        <v>4686</v>
      </c>
      <c r="D1055" s="153" t="s">
        <v>4687</v>
      </c>
      <c r="E1055" s="153" t="s">
        <v>4948</v>
      </c>
      <c r="F1055" s="6"/>
      <c r="G1055" s="6"/>
      <c r="H1055" s="83">
        <f t="shared" si="17"/>
        <v>0</v>
      </c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x14ac:dyDescent="0.25">
      <c r="A1056" s="10">
        <v>1055</v>
      </c>
      <c r="B1056" s="152" t="s">
        <v>534</v>
      </c>
      <c r="C1056" s="153" t="s">
        <v>4688</v>
      </c>
      <c r="D1056" s="153" t="s">
        <v>4689</v>
      </c>
      <c r="E1056" s="153" t="s">
        <v>4948</v>
      </c>
      <c r="F1056" s="6"/>
      <c r="G1056" s="6"/>
      <c r="H1056" s="83">
        <f t="shared" si="17"/>
        <v>0</v>
      </c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x14ac:dyDescent="0.25">
      <c r="A1057" s="10">
        <v>1056</v>
      </c>
      <c r="B1057" s="152" t="s">
        <v>1978</v>
      </c>
      <c r="C1057" s="153" t="s">
        <v>4690</v>
      </c>
      <c r="D1057" s="153" t="s">
        <v>4691</v>
      </c>
      <c r="E1057" s="153" t="s">
        <v>64</v>
      </c>
      <c r="F1057" s="6"/>
      <c r="G1057" s="6"/>
      <c r="H1057" s="83">
        <f t="shared" si="17"/>
        <v>0</v>
      </c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x14ac:dyDescent="0.25">
      <c r="A1058" s="10">
        <v>1057</v>
      </c>
      <c r="B1058" s="152" t="s">
        <v>1778</v>
      </c>
      <c r="C1058" s="153" t="s">
        <v>4692</v>
      </c>
      <c r="D1058" s="153" t="s">
        <v>4693</v>
      </c>
      <c r="E1058" s="153" t="s">
        <v>4948</v>
      </c>
      <c r="F1058" s="6"/>
      <c r="G1058" s="6"/>
      <c r="H1058" s="83">
        <f t="shared" si="17"/>
        <v>0</v>
      </c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x14ac:dyDescent="0.25">
      <c r="A1059" s="10">
        <v>1058</v>
      </c>
      <c r="B1059" s="152" t="s">
        <v>1780</v>
      </c>
      <c r="C1059" s="153" t="s">
        <v>4694</v>
      </c>
      <c r="D1059" s="153" t="s">
        <v>4695</v>
      </c>
      <c r="E1059" s="153" t="s">
        <v>4948</v>
      </c>
      <c r="F1059" s="6"/>
      <c r="G1059" s="6"/>
      <c r="H1059" s="83">
        <f t="shared" si="17"/>
        <v>0</v>
      </c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x14ac:dyDescent="0.25">
      <c r="A1060" s="10">
        <v>1059</v>
      </c>
      <c r="B1060" s="152" t="s">
        <v>1814</v>
      </c>
      <c r="C1060" s="153" t="s">
        <v>4696</v>
      </c>
      <c r="D1060" s="153" t="s">
        <v>4697</v>
      </c>
      <c r="E1060" s="153" t="s">
        <v>64</v>
      </c>
      <c r="F1060" s="6"/>
      <c r="G1060" s="6"/>
      <c r="H1060" s="83">
        <f t="shared" si="17"/>
        <v>0</v>
      </c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x14ac:dyDescent="0.25">
      <c r="A1061" s="10">
        <v>1060</v>
      </c>
      <c r="B1061" s="152" t="s">
        <v>660</v>
      </c>
      <c r="C1061" s="153" t="s">
        <v>4698</v>
      </c>
      <c r="D1061" s="153" t="s">
        <v>4699</v>
      </c>
      <c r="E1061" s="153" t="s">
        <v>4948</v>
      </c>
      <c r="F1061" s="6"/>
      <c r="G1061" s="6"/>
      <c r="H1061" s="83">
        <f t="shared" si="17"/>
        <v>0</v>
      </c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x14ac:dyDescent="0.25">
      <c r="A1062" s="10">
        <v>1061</v>
      </c>
      <c r="B1062" s="152" t="s">
        <v>1954</v>
      </c>
      <c r="C1062" s="153" t="s">
        <v>4700</v>
      </c>
      <c r="D1062" s="153" t="s">
        <v>4701</v>
      </c>
      <c r="E1062" s="153" t="s">
        <v>4948</v>
      </c>
      <c r="F1062" s="6"/>
      <c r="G1062" s="6"/>
      <c r="H1062" s="83">
        <f t="shared" si="17"/>
        <v>0</v>
      </c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x14ac:dyDescent="0.25">
      <c r="A1063" s="10">
        <v>1062</v>
      </c>
      <c r="B1063" s="152" t="s">
        <v>1980</v>
      </c>
      <c r="C1063" s="153" t="s">
        <v>4702</v>
      </c>
      <c r="D1063" s="153" t="s">
        <v>4703</v>
      </c>
      <c r="E1063" s="153" t="s">
        <v>4948</v>
      </c>
      <c r="F1063" s="6"/>
      <c r="G1063" s="6"/>
      <c r="H1063" s="83">
        <f t="shared" si="17"/>
        <v>0</v>
      </c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x14ac:dyDescent="0.25">
      <c r="A1064" s="10">
        <v>1063</v>
      </c>
      <c r="B1064" s="152" t="s">
        <v>2015</v>
      </c>
      <c r="C1064" s="153" t="s">
        <v>4704</v>
      </c>
      <c r="D1064" s="153" t="s">
        <v>4705</v>
      </c>
      <c r="E1064" s="153" t="s">
        <v>64</v>
      </c>
      <c r="F1064" s="6"/>
      <c r="G1064" s="6"/>
      <c r="H1064" s="83">
        <f t="shared" si="17"/>
        <v>0</v>
      </c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x14ac:dyDescent="0.25">
      <c r="A1065" s="10">
        <v>1064</v>
      </c>
      <c r="B1065" s="152" t="s">
        <v>4706</v>
      </c>
      <c r="C1065" s="153" t="s">
        <v>4707</v>
      </c>
      <c r="D1065" s="153" t="s">
        <v>4708</v>
      </c>
      <c r="E1065" s="153" t="s">
        <v>4948</v>
      </c>
      <c r="F1065" s="6"/>
      <c r="G1065" s="6"/>
      <c r="H1065" s="83">
        <f t="shared" si="17"/>
        <v>0</v>
      </c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x14ac:dyDescent="0.25">
      <c r="A1066" s="10">
        <v>1065</v>
      </c>
      <c r="B1066" s="157" t="s">
        <v>1965</v>
      </c>
      <c r="C1066" s="158" t="s">
        <v>4709</v>
      </c>
      <c r="D1066" s="158" t="s">
        <v>4710</v>
      </c>
      <c r="E1066" s="153" t="s">
        <v>4948</v>
      </c>
      <c r="F1066" s="6"/>
      <c r="G1066" s="6"/>
      <c r="H1066" s="83">
        <f t="shared" si="17"/>
        <v>0</v>
      </c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x14ac:dyDescent="0.25">
      <c r="A1067" s="10">
        <v>1066</v>
      </c>
      <c r="B1067" s="152" t="s">
        <v>540</v>
      </c>
      <c r="C1067" s="153" t="s">
        <v>4711</v>
      </c>
      <c r="D1067" s="153" t="s">
        <v>4712</v>
      </c>
      <c r="E1067" s="153" t="s">
        <v>2111</v>
      </c>
      <c r="F1067" s="6"/>
      <c r="G1067" s="6"/>
      <c r="H1067" s="83">
        <f t="shared" si="17"/>
        <v>0</v>
      </c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x14ac:dyDescent="0.25">
      <c r="A1068" s="10">
        <v>1067</v>
      </c>
      <c r="B1068" s="152" t="s">
        <v>536</v>
      </c>
      <c r="C1068" s="153" t="s">
        <v>4713</v>
      </c>
      <c r="D1068" s="153" t="s">
        <v>4714</v>
      </c>
      <c r="E1068" s="153" t="s">
        <v>4948</v>
      </c>
      <c r="F1068" s="6"/>
      <c r="G1068" s="6"/>
      <c r="H1068" s="83">
        <f t="shared" si="17"/>
        <v>6</v>
      </c>
      <c r="I1068" s="5">
        <v>6</v>
      </c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x14ac:dyDescent="0.25">
      <c r="A1069" s="10">
        <v>1068</v>
      </c>
      <c r="B1069" s="152" t="s">
        <v>1970</v>
      </c>
      <c r="C1069" s="153" t="s">
        <v>4715</v>
      </c>
      <c r="D1069" s="153" t="s">
        <v>4716</v>
      </c>
      <c r="E1069" s="153" t="s">
        <v>4948</v>
      </c>
      <c r="F1069" s="6"/>
      <c r="G1069" s="6"/>
      <c r="H1069" s="83">
        <f t="shared" si="17"/>
        <v>0</v>
      </c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x14ac:dyDescent="0.25">
      <c r="A1070" s="10">
        <v>1069</v>
      </c>
      <c r="B1070" s="152" t="s">
        <v>4717</v>
      </c>
      <c r="C1070" s="153" t="s">
        <v>4718</v>
      </c>
      <c r="D1070" s="153" t="s">
        <v>4719</v>
      </c>
      <c r="E1070" s="153" t="s">
        <v>4948</v>
      </c>
      <c r="F1070" s="6"/>
      <c r="G1070" s="6"/>
      <c r="H1070" s="83">
        <f t="shared" si="17"/>
        <v>0</v>
      </c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x14ac:dyDescent="0.25">
      <c r="A1071" s="10">
        <v>1070</v>
      </c>
      <c r="B1071" s="152" t="s">
        <v>4720</v>
      </c>
      <c r="C1071" s="153" t="s">
        <v>4721</v>
      </c>
      <c r="D1071" s="153" t="s">
        <v>4722</v>
      </c>
      <c r="E1071" s="153" t="s">
        <v>4948</v>
      </c>
      <c r="F1071" s="6"/>
      <c r="G1071" s="6"/>
      <c r="H1071" s="83">
        <f t="shared" si="17"/>
        <v>0</v>
      </c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x14ac:dyDescent="0.25">
      <c r="A1072" s="10">
        <v>1071</v>
      </c>
      <c r="B1072" s="152" t="s">
        <v>1782</v>
      </c>
      <c r="C1072" s="153" t="s">
        <v>4723</v>
      </c>
      <c r="D1072" s="153" t="s">
        <v>4724</v>
      </c>
      <c r="E1072" s="153" t="s">
        <v>2111</v>
      </c>
      <c r="F1072" s="6"/>
      <c r="G1072" s="6"/>
      <c r="H1072" s="83">
        <f t="shared" si="17"/>
        <v>12</v>
      </c>
      <c r="I1072" s="5"/>
      <c r="J1072" s="5">
        <v>12</v>
      </c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x14ac:dyDescent="0.25">
      <c r="A1073" s="10">
        <v>1072</v>
      </c>
      <c r="B1073" s="152" t="s">
        <v>1727</v>
      </c>
      <c r="C1073" s="153" t="s">
        <v>4725</v>
      </c>
      <c r="D1073" s="153" t="s">
        <v>4726</v>
      </c>
      <c r="E1073" s="153" t="s">
        <v>4948</v>
      </c>
      <c r="F1073" s="6"/>
      <c r="G1073" s="6"/>
      <c r="H1073" s="83">
        <f t="shared" si="17"/>
        <v>0</v>
      </c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x14ac:dyDescent="0.25">
      <c r="A1074" s="10">
        <v>1073</v>
      </c>
      <c r="B1074" s="152" t="s">
        <v>1949</v>
      </c>
      <c r="C1074" s="153" t="s">
        <v>1950</v>
      </c>
      <c r="D1074" s="153" t="s">
        <v>4727</v>
      </c>
      <c r="E1074" s="153" t="s">
        <v>4948</v>
      </c>
      <c r="F1074" s="6"/>
      <c r="G1074" s="6"/>
      <c r="H1074" s="83">
        <f t="shared" si="17"/>
        <v>0</v>
      </c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x14ac:dyDescent="0.25">
      <c r="A1075" s="10">
        <v>1074</v>
      </c>
      <c r="B1075" s="152" t="s">
        <v>4728</v>
      </c>
      <c r="C1075" s="153" t="s">
        <v>4729</v>
      </c>
      <c r="D1075" s="153" t="s">
        <v>4730</v>
      </c>
      <c r="E1075" s="153" t="s">
        <v>64</v>
      </c>
      <c r="F1075" s="6"/>
      <c r="G1075" s="6"/>
      <c r="H1075" s="83">
        <f t="shared" si="17"/>
        <v>50</v>
      </c>
      <c r="I1075" s="5"/>
      <c r="J1075" s="5">
        <v>50</v>
      </c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x14ac:dyDescent="0.25">
      <c r="A1076" s="10">
        <v>1075</v>
      </c>
      <c r="B1076" s="152" t="s">
        <v>4731</v>
      </c>
      <c r="C1076" s="153" t="s">
        <v>4732</v>
      </c>
      <c r="D1076" s="153" t="s">
        <v>4733</v>
      </c>
      <c r="E1076" s="153" t="s">
        <v>604</v>
      </c>
      <c r="F1076" s="6"/>
      <c r="G1076" s="6"/>
      <c r="H1076" s="83">
        <f t="shared" si="17"/>
        <v>0</v>
      </c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x14ac:dyDescent="0.25">
      <c r="A1077" s="10">
        <v>1076</v>
      </c>
      <c r="B1077" s="152" t="s">
        <v>4734</v>
      </c>
      <c r="C1077" s="153" t="s">
        <v>4735</v>
      </c>
      <c r="D1077" s="153" t="s">
        <v>4736</v>
      </c>
      <c r="E1077" s="153" t="s">
        <v>4948</v>
      </c>
      <c r="F1077" s="6"/>
      <c r="G1077" s="6"/>
      <c r="H1077" s="83">
        <f t="shared" si="17"/>
        <v>0</v>
      </c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x14ac:dyDescent="0.25">
      <c r="A1078" s="10">
        <v>1077</v>
      </c>
      <c r="B1078" s="152" t="s">
        <v>4737</v>
      </c>
      <c r="C1078" s="153" t="s">
        <v>4738</v>
      </c>
      <c r="D1078" s="153" t="s">
        <v>4739</v>
      </c>
      <c r="E1078" s="153" t="s">
        <v>4948</v>
      </c>
      <c r="F1078" s="6"/>
      <c r="G1078" s="6"/>
      <c r="H1078" s="83">
        <f t="shared" si="17"/>
        <v>0</v>
      </c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x14ac:dyDescent="0.25">
      <c r="A1079" s="10">
        <v>1078</v>
      </c>
      <c r="B1079" s="152" t="s">
        <v>4740</v>
      </c>
      <c r="C1079" s="153" t="s">
        <v>4741</v>
      </c>
      <c r="D1079" s="153" t="s">
        <v>4742</v>
      </c>
      <c r="E1079" s="153" t="s">
        <v>4948</v>
      </c>
      <c r="F1079" s="6"/>
      <c r="G1079" s="6"/>
      <c r="H1079" s="83">
        <f t="shared" si="17"/>
        <v>0</v>
      </c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x14ac:dyDescent="0.25">
      <c r="A1080" s="10">
        <v>1079</v>
      </c>
      <c r="B1080" s="152" t="s">
        <v>4743</v>
      </c>
      <c r="C1080" s="153" t="s">
        <v>4744</v>
      </c>
      <c r="D1080" s="153" t="s">
        <v>4745</v>
      </c>
      <c r="E1080" s="153" t="s">
        <v>4948</v>
      </c>
      <c r="F1080" s="6"/>
      <c r="G1080" s="6"/>
      <c r="H1080" s="83">
        <f t="shared" si="17"/>
        <v>0</v>
      </c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x14ac:dyDescent="0.25">
      <c r="A1081" s="10">
        <v>1080</v>
      </c>
      <c r="B1081" s="152" t="s">
        <v>4746</v>
      </c>
      <c r="C1081" s="153" t="s">
        <v>4747</v>
      </c>
      <c r="D1081" s="153" t="s">
        <v>4748</v>
      </c>
      <c r="E1081" s="153" t="s">
        <v>4948</v>
      </c>
      <c r="F1081" s="6"/>
      <c r="G1081" s="6"/>
      <c r="H1081" s="83">
        <f t="shared" si="17"/>
        <v>0</v>
      </c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x14ac:dyDescent="0.25">
      <c r="A1082" s="10">
        <v>1081</v>
      </c>
      <c r="B1082" s="152" t="s">
        <v>4750</v>
      </c>
      <c r="C1082" s="153" t="s">
        <v>4751</v>
      </c>
      <c r="D1082" s="153" t="s">
        <v>4752</v>
      </c>
      <c r="E1082" s="153" t="s">
        <v>4948</v>
      </c>
      <c r="F1082" s="6"/>
      <c r="G1082" s="6"/>
      <c r="H1082" s="83">
        <f t="shared" si="17"/>
        <v>0</v>
      </c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x14ac:dyDescent="0.25">
      <c r="A1083" s="10">
        <v>1082</v>
      </c>
      <c r="B1083" s="152" t="s">
        <v>4753</v>
      </c>
      <c r="C1083" s="153" t="s">
        <v>4754</v>
      </c>
      <c r="D1083" s="153" t="s">
        <v>4755</v>
      </c>
      <c r="E1083" s="153" t="s">
        <v>4948</v>
      </c>
      <c r="F1083" s="6"/>
      <c r="G1083" s="6"/>
      <c r="H1083" s="83">
        <f t="shared" si="17"/>
        <v>0</v>
      </c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x14ac:dyDescent="0.25">
      <c r="A1084" s="10">
        <v>1083</v>
      </c>
      <c r="B1084" s="152" t="s">
        <v>2002</v>
      </c>
      <c r="C1084" s="153" t="s">
        <v>4756</v>
      </c>
      <c r="D1084" s="153" t="s">
        <v>4757</v>
      </c>
      <c r="E1084" s="153" t="s">
        <v>4948</v>
      </c>
      <c r="F1084" s="6"/>
      <c r="G1084" s="6"/>
      <c r="H1084" s="83">
        <f t="shared" si="17"/>
        <v>0</v>
      </c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x14ac:dyDescent="0.25">
      <c r="A1085" s="10">
        <v>1084</v>
      </c>
      <c r="B1085" s="152" t="s">
        <v>4758</v>
      </c>
      <c r="C1085" s="153" t="s">
        <v>4759</v>
      </c>
      <c r="D1085" s="153" t="s">
        <v>4760</v>
      </c>
      <c r="E1085" s="153" t="s">
        <v>4948</v>
      </c>
      <c r="F1085" s="6"/>
      <c r="G1085" s="6"/>
      <c r="H1085" s="83">
        <f t="shared" si="17"/>
        <v>0</v>
      </c>
      <c r="I1085" s="5">
        <f>12-12</f>
        <v>0</v>
      </c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x14ac:dyDescent="0.25">
      <c r="A1086" s="10">
        <v>1085</v>
      </c>
      <c r="B1086" s="152" t="s">
        <v>4761</v>
      </c>
      <c r="C1086" s="153" t="s">
        <v>4762</v>
      </c>
      <c r="D1086" s="153" t="s">
        <v>4763</v>
      </c>
      <c r="E1086" s="153" t="s">
        <v>4948</v>
      </c>
      <c r="F1086" s="6"/>
      <c r="G1086" s="6"/>
      <c r="H1086" s="83">
        <f t="shared" si="17"/>
        <v>0</v>
      </c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x14ac:dyDescent="0.25">
      <c r="A1087" s="10">
        <v>1086</v>
      </c>
      <c r="B1087" s="152" t="s">
        <v>1991</v>
      </c>
      <c r="C1087" s="153" t="s">
        <v>4764</v>
      </c>
      <c r="D1087" s="153" t="s">
        <v>4765</v>
      </c>
      <c r="E1087" s="153" t="s">
        <v>64</v>
      </c>
      <c r="F1087" s="6"/>
      <c r="G1087" s="6"/>
      <c r="H1087" s="83">
        <f t="shared" si="17"/>
        <v>1292</v>
      </c>
      <c r="I1087" s="5">
        <v>1179</v>
      </c>
      <c r="J1087" s="5"/>
      <c r="K1087" s="5"/>
      <c r="L1087" s="5"/>
      <c r="M1087" s="5"/>
      <c r="N1087" s="5"/>
      <c r="O1087" s="5"/>
      <c r="P1087" s="5">
        <v>14</v>
      </c>
      <c r="Q1087" s="5">
        <v>32</v>
      </c>
      <c r="R1087" s="5"/>
      <c r="S1087" s="5">
        <v>23</v>
      </c>
      <c r="T1087" s="5">
        <v>44</v>
      </c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x14ac:dyDescent="0.25">
      <c r="A1088" s="10">
        <v>1087</v>
      </c>
      <c r="B1088" s="152" t="s">
        <v>1695</v>
      </c>
      <c r="C1088" s="153" t="s">
        <v>4766</v>
      </c>
      <c r="D1088" s="153" t="s">
        <v>4767</v>
      </c>
      <c r="E1088" s="153" t="s">
        <v>2111</v>
      </c>
      <c r="F1088" s="6"/>
      <c r="G1088" s="6"/>
      <c r="H1088" s="83">
        <f t="shared" si="17"/>
        <v>25</v>
      </c>
      <c r="I1088" s="5">
        <v>17</v>
      </c>
      <c r="J1088" s="5"/>
      <c r="K1088" s="5"/>
      <c r="L1088" s="5"/>
      <c r="M1088" s="5"/>
      <c r="N1088" s="5"/>
      <c r="O1088" s="5"/>
      <c r="P1088" s="5">
        <v>2</v>
      </c>
      <c r="Q1088" s="5"/>
      <c r="R1088" s="5"/>
      <c r="S1088" s="5">
        <v>3</v>
      </c>
      <c r="T1088" s="5">
        <v>3</v>
      </c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x14ac:dyDescent="0.25">
      <c r="A1089" s="10">
        <v>1088</v>
      </c>
      <c r="B1089" s="157" t="s">
        <v>1709</v>
      </c>
      <c r="C1089" s="158" t="s">
        <v>4768</v>
      </c>
      <c r="D1089" s="158" t="s">
        <v>4769</v>
      </c>
      <c r="E1089" s="153" t="s">
        <v>2111</v>
      </c>
      <c r="F1089" s="6"/>
      <c r="G1089" s="6"/>
      <c r="H1089" s="83">
        <f t="shared" si="17"/>
        <v>12</v>
      </c>
      <c r="I1089" s="5">
        <v>12</v>
      </c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x14ac:dyDescent="0.25">
      <c r="A1090" s="10">
        <v>1089</v>
      </c>
      <c r="B1090" s="152" t="s">
        <v>1960</v>
      </c>
      <c r="C1090" s="153" t="s">
        <v>4770</v>
      </c>
      <c r="D1090" s="153" t="s">
        <v>4771</v>
      </c>
      <c r="E1090" s="153" t="s">
        <v>4948</v>
      </c>
      <c r="F1090" s="6"/>
      <c r="G1090" s="6"/>
      <c r="H1090" s="83">
        <f t="shared" ref="H1090:H1110" si="18">SUM(I1090:AM1090)</f>
        <v>0</v>
      </c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x14ac:dyDescent="0.25">
      <c r="A1091" s="10">
        <v>1090</v>
      </c>
      <c r="B1091" s="152" t="s">
        <v>1961</v>
      </c>
      <c r="C1091" s="153" t="s">
        <v>4772</v>
      </c>
      <c r="D1091" s="153" t="s">
        <v>4773</v>
      </c>
      <c r="E1091" s="153" t="s">
        <v>4948</v>
      </c>
      <c r="F1091" s="6"/>
      <c r="G1091" s="6"/>
      <c r="H1091" s="83">
        <f t="shared" si="18"/>
        <v>0</v>
      </c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x14ac:dyDescent="0.25">
      <c r="A1092" s="10">
        <v>1091</v>
      </c>
      <c r="B1092" s="152" t="s">
        <v>4774</v>
      </c>
      <c r="C1092" s="153" t="s">
        <v>4775</v>
      </c>
      <c r="D1092" s="153" t="s">
        <v>4776</v>
      </c>
      <c r="E1092" s="153" t="s">
        <v>4948</v>
      </c>
      <c r="F1092" s="6"/>
      <c r="G1092" s="6"/>
      <c r="H1092" s="83">
        <f t="shared" si="18"/>
        <v>0</v>
      </c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x14ac:dyDescent="0.25">
      <c r="A1093" s="10">
        <v>1092</v>
      </c>
      <c r="B1093" s="152" t="s">
        <v>4777</v>
      </c>
      <c r="C1093" s="153" t="s">
        <v>4778</v>
      </c>
      <c r="D1093" s="153" t="s">
        <v>4779</v>
      </c>
      <c r="E1093" s="153" t="s">
        <v>4948</v>
      </c>
      <c r="F1093" s="6"/>
      <c r="G1093" s="6"/>
      <c r="H1093" s="83">
        <f t="shared" si="18"/>
        <v>0</v>
      </c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x14ac:dyDescent="0.25">
      <c r="A1094" s="10">
        <v>1093</v>
      </c>
      <c r="B1094" s="152" t="s">
        <v>4780</v>
      </c>
      <c r="C1094" s="153" t="s">
        <v>4781</v>
      </c>
      <c r="D1094" s="153" t="s">
        <v>4782</v>
      </c>
      <c r="E1094" s="153" t="s">
        <v>4948</v>
      </c>
      <c r="F1094" s="6"/>
      <c r="G1094" s="6"/>
      <c r="H1094" s="83">
        <f t="shared" si="18"/>
        <v>0</v>
      </c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x14ac:dyDescent="0.25">
      <c r="A1095" s="10">
        <v>1094</v>
      </c>
      <c r="B1095" s="152" t="s">
        <v>4783</v>
      </c>
      <c r="C1095" s="153" t="s">
        <v>4784</v>
      </c>
      <c r="D1095" s="153" t="s">
        <v>4785</v>
      </c>
      <c r="E1095" s="153" t="s">
        <v>4948</v>
      </c>
      <c r="F1095" s="6"/>
      <c r="G1095" s="6"/>
      <c r="H1095" s="83">
        <f t="shared" si="18"/>
        <v>0</v>
      </c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x14ac:dyDescent="0.25">
      <c r="A1096" s="10">
        <v>1095</v>
      </c>
      <c r="B1096" s="152" t="s">
        <v>4786</v>
      </c>
      <c r="C1096" s="153" t="s">
        <v>4787</v>
      </c>
      <c r="D1096" s="153" t="s">
        <v>4788</v>
      </c>
      <c r="E1096" s="153" t="s">
        <v>4948</v>
      </c>
      <c r="F1096" s="6"/>
      <c r="G1096" s="6"/>
      <c r="H1096" s="83">
        <f t="shared" si="18"/>
        <v>0</v>
      </c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5.75" x14ac:dyDescent="0.25">
      <c r="A1097" s="10">
        <v>1096</v>
      </c>
      <c r="B1097" s="152" t="s">
        <v>4789</v>
      </c>
      <c r="C1097" s="153" t="s">
        <v>4790</v>
      </c>
      <c r="D1097" s="153" t="s">
        <v>4791</v>
      </c>
      <c r="E1097" s="153" t="s">
        <v>4948</v>
      </c>
      <c r="F1097" s="9"/>
      <c r="G1097" s="9"/>
      <c r="H1097" s="83">
        <f t="shared" si="18"/>
        <v>0</v>
      </c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5.75" x14ac:dyDescent="0.25">
      <c r="A1098" s="10">
        <v>1097</v>
      </c>
      <c r="B1098" s="152" t="s">
        <v>4792</v>
      </c>
      <c r="C1098" s="153" t="s">
        <v>4793</v>
      </c>
      <c r="D1098" s="153" t="s">
        <v>4794</v>
      </c>
      <c r="E1098" s="153" t="s">
        <v>4948</v>
      </c>
      <c r="F1098" s="9"/>
      <c r="G1098" s="9"/>
      <c r="H1098" s="83">
        <f>SUM(I1098:AM1098)</f>
        <v>0</v>
      </c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5.75" x14ac:dyDescent="0.25">
      <c r="A1099" s="10">
        <v>1098</v>
      </c>
      <c r="B1099" s="152" t="s">
        <v>4795</v>
      </c>
      <c r="C1099" s="153" t="s">
        <v>4796</v>
      </c>
      <c r="D1099" s="153" t="s">
        <v>4797</v>
      </c>
      <c r="E1099" s="153" t="s">
        <v>4948</v>
      </c>
      <c r="F1099" s="9"/>
      <c r="G1099" s="9"/>
      <c r="H1099" s="83">
        <f t="shared" si="18"/>
        <v>0</v>
      </c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5.75" x14ac:dyDescent="0.25">
      <c r="A1100" s="10">
        <v>1099</v>
      </c>
      <c r="B1100" s="152" t="s">
        <v>4798</v>
      </c>
      <c r="C1100" s="153" t="s">
        <v>4799</v>
      </c>
      <c r="D1100" s="153" t="s">
        <v>4800</v>
      </c>
      <c r="E1100" s="153" t="s">
        <v>4948</v>
      </c>
      <c r="F1100" s="130"/>
      <c r="G1100" s="130"/>
      <c r="H1100" s="83">
        <f t="shared" si="18"/>
        <v>0</v>
      </c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5.75" x14ac:dyDescent="0.25">
      <c r="A1101" s="10">
        <v>1100</v>
      </c>
      <c r="B1101" s="152" t="s">
        <v>4801</v>
      </c>
      <c r="C1101" s="153" t="s">
        <v>4802</v>
      </c>
      <c r="D1101" s="153" t="s">
        <v>4803</v>
      </c>
      <c r="E1101" s="153" t="s">
        <v>4948</v>
      </c>
      <c r="F1101" s="130"/>
      <c r="G1101" s="130"/>
      <c r="H1101" s="83">
        <f t="shared" si="18"/>
        <v>0</v>
      </c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5.75" x14ac:dyDescent="0.25">
      <c r="A1102" s="10">
        <v>1101</v>
      </c>
      <c r="B1102" s="152" t="s">
        <v>4804</v>
      </c>
      <c r="C1102" s="153" t="s">
        <v>4805</v>
      </c>
      <c r="D1102" s="153" t="s">
        <v>4806</v>
      </c>
      <c r="E1102" s="153" t="s">
        <v>4948</v>
      </c>
      <c r="F1102" s="130"/>
      <c r="G1102" s="130"/>
      <c r="H1102" s="83">
        <f t="shared" si="18"/>
        <v>0</v>
      </c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5.75" x14ac:dyDescent="0.25">
      <c r="A1103" s="10">
        <v>1102</v>
      </c>
      <c r="B1103" s="152" t="s">
        <v>4807</v>
      </c>
      <c r="C1103" s="153" t="s">
        <v>4808</v>
      </c>
      <c r="D1103" s="153" t="s">
        <v>4809</v>
      </c>
      <c r="E1103" s="153" t="s">
        <v>4948</v>
      </c>
      <c r="F1103" s="130"/>
      <c r="G1103" s="130"/>
      <c r="H1103" s="83">
        <f t="shared" si="18"/>
        <v>0</v>
      </c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5.75" x14ac:dyDescent="0.25">
      <c r="A1104" s="10">
        <v>1103</v>
      </c>
      <c r="B1104" s="152" t="s">
        <v>4810</v>
      </c>
      <c r="C1104" s="153" t="s">
        <v>4811</v>
      </c>
      <c r="D1104" s="153" t="s">
        <v>4812</v>
      </c>
      <c r="E1104" s="153" t="s">
        <v>4948</v>
      </c>
      <c r="F1104" s="130"/>
      <c r="G1104" s="130"/>
      <c r="H1104" s="83">
        <f t="shared" si="18"/>
        <v>0</v>
      </c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5.75" x14ac:dyDescent="0.25">
      <c r="A1105" s="10">
        <v>1104</v>
      </c>
      <c r="B1105" s="152" t="s">
        <v>1063</v>
      </c>
      <c r="C1105" s="153" t="s">
        <v>1064</v>
      </c>
      <c r="D1105" s="153" t="e">
        <v>#N/A</v>
      </c>
      <c r="E1105" s="153" t="s">
        <v>2086</v>
      </c>
      <c r="F1105" s="130"/>
      <c r="G1105" s="130"/>
      <c r="H1105" s="83">
        <f t="shared" si="18"/>
        <v>0</v>
      </c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5.75" x14ac:dyDescent="0.25">
      <c r="A1106" s="10">
        <v>1105</v>
      </c>
      <c r="B1106" s="152" t="s">
        <v>4813</v>
      </c>
      <c r="C1106" s="153" t="s">
        <v>4814</v>
      </c>
      <c r="D1106" s="153" t="e">
        <v>#N/A</v>
      </c>
      <c r="E1106" s="153" t="s">
        <v>2086</v>
      </c>
      <c r="F1106" s="130"/>
      <c r="G1106" s="130"/>
      <c r="H1106" s="83">
        <f t="shared" si="18"/>
        <v>0</v>
      </c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5.75" x14ac:dyDescent="0.25">
      <c r="A1107" s="10">
        <v>1106</v>
      </c>
      <c r="B1107" s="152" t="s">
        <v>4815</v>
      </c>
      <c r="C1107" s="153" t="s">
        <v>4816</v>
      </c>
      <c r="D1107" s="153" t="e">
        <v>#N/A</v>
      </c>
      <c r="E1107" s="153" t="s">
        <v>2086</v>
      </c>
      <c r="F1107" s="130"/>
      <c r="G1107" s="130"/>
      <c r="H1107" s="83">
        <f t="shared" si="18"/>
        <v>0</v>
      </c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5.75" x14ac:dyDescent="0.25">
      <c r="A1108" s="10">
        <v>1107</v>
      </c>
      <c r="B1108" s="152" t="s">
        <v>4817</v>
      </c>
      <c r="C1108" s="153" t="s">
        <v>4818</v>
      </c>
      <c r="D1108" s="153" t="e">
        <v>#N/A</v>
      </c>
      <c r="E1108" s="153" t="s">
        <v>2086</v>
      </c>
      <c r="F1108" s="130"/>
      <c r="G1108" s="130"/>
      <c r="H1108" s="83">
        <f t="shared" si="18"/>
        <v>5</v>
      </c>
      <c r="I1108" s="5">
        <f>1</f>
        <v>1</v>
      </c>
      <c r="J1108" s="5"/>
      <c r="K1108" s="5"/>
      <c r="L1108" s="5"/>
      <c r="M1108" s="5"/>
      <c r="N1108" s="5"/>
      <c r="O1108" s="5"/>
      <c r="P1108" s="5"/>
      <c r="Q1108" s="5">
        <v>4</v>
      </c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5.75" x14ac:dyDescent="0.25">
      <c r="A1109" s="10">
        <v>1108</v>
      </c>
      <c r="B1109" s="152" t="s">
        <v>4819</v>
      </c>
      <c r="C1109" s="153" t="s">
        <v>4820</v>
      </c>
      <c r="D1109" s="153" t="e">
        <v>#N/A</v>
      </c>
      <c r="E1109" s="153" t="s">
        <v>2086</v>
      </c>
      <c r="F1109" s="130"/>
      <c r="G1109" s="130"/>
      <c r="H1109" s="2">
        <f t="shared" si="18"/>
        <v>2</v>
      </c>
      <c r="I1109" s="5">
        <v>2</v>
      </c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5.75" x14ac:dyDescent="0.25">
      <c r="A1110" s="10">
        <v>1109</v>
      </c>
      <c r="B1110" s="152" t="s">
        <v>4821</v>
      </c>
      <c r="C1110" s="153" t="s">
        <v>4822</v>
      </c>
      <c r="D1110" s="153" t="e">
        <v>#N/A</v>
      </c>
      <c r="E1110" s="153" t="s">
        <v>2086</v>
      </c>
      <c r="F1110" s="130"/>
      <c r="G1110" s="130"/>
      <c r="H1110" s="2">
        <f t="shared" si="18"/>
        <v>1</v>
      </c>
      <c r="I1110" s="5">
        <v>1</v>
      </c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5.75" x14ac:dyDescent="0.25">
      <c r="A1111" s="10">
        <v>1110</v>
      </c>
      <c r="B1111" s="152" t="s">
        <v>4823</v>
      </c>
      <c r="C1111" s="153" t="s">
        <v>4824</v>
      </c>
      <c r="D1111" s="153" t="e">
        <v>#N/A</v>
      </c>
      <c r="E1111" s="153" t="s">
        <v>2086</v>
      </c>
      <c r="F1111" s="130"/>
      <c r="G1111" s="130"/>
      <c r="H1111" s="2">
        <f t="shared" ref="H1111:H1119" si="19">SUM(I1111:AM1111)</f>
        <v>0</v>
      </c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5.75" x14ac:dyDescent="0.25">
      <c r="A1112" s="10">
        <v>1111</v>
      </c>
      <c r="B1112" s="152" t="s">
        <v>4825</v>
      </c>
      <c r="C1112" s="153" t="s">
        <v>4826</v>
      </c>
      <c r="D1112" s="153" t="e">
        <v>#N/A</v>
      </c>
      <c r="E1112" s="153" t="s">
        <v>2086</v>
      </c>
      <c r="F1112" s="130"/>
      <c r="G1112" s="130"/>
      <c r="H1112" s="2">
        <f t="shared" si="19"/>
        <v>0</v>
      </c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5.75" x14ac:dyDescent="0.25">
      <c r="A1113" s="10">
        <v>1112</v>
      </c>
      <c r="B1113" s="152" t="s">
        <v>4827</v>
      </c>
      <c r="C1113" s="153" t="s">
        <v>4828</v>
      </c>
      <c r="D1113" s="153" t="e">
        <v>#N/A</v>
      </c>
      <c r="E1113" s="153" t="s">
        <v>2086</v>
      </c>
      <c r="F1113" s="130"/>
      <c r="G1113" s="130"/>
      <c r="H1113" s="2">
        <f t="shared" si="19"/>
        <v>0</v>
      </c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5.75" x14ac:dyDescent="0.25">
      <c r="A1114" s="10">
        <v>1113</v>
      </c>
      <c r="B1114" s="152" t="s">
        <v>548</v>
      </c>
      <c r="C1114" s="153" t="s">
        <v>549</v>
      </c>
      <c r="D1114" s="153" t="e">
        <v>#N/A</v>
      </c>
      <c r="E1114" s="153" t="s">
        <v>2086</v>
      </c>
      <c r="F1114" s="130"/>
      <c r="G1114" s="130"/>
      <c r="H1114" s="2">
        <f t="shared" si="19"/>
        <v>0</v>
      </c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5.75" x14ac:dyDescent="0.25">
      <c r="A1115" s="10">
        <v>1114</v>
      </c>
      <c r="B1115" s="152" t="s">
        <v>554</v>
      </c>
      <c r="C1115" s="153" t="s">
        <v>555</v>
      </c>
      <c r="D1115" s="153" t="e">
        <v>#N/A</v>
      </c>
      <c r="E1115" s="153" t="s">
        <v>2086</v>
      </c>
      <c r="F1115" s="9"/>
      <c r="G1115" s="9"/>
      <c r="H1115" s="2">
        <f t="shared" si="19"/>
        <v>0</v>
      </c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5.75" x14ac:dyDescent="0.25">
      <c r="A1116" s="10">
        <v>1115</v>
      </c>
      <c r="B1116" s="152" t="s">
        <v>4829</v>
      </c>
      <c r="C1116" s="153" t="s">
        <v>4830</v>
      </c>
      <c r="D1116" s="153" t="e">
        <v>#N/A</v>
      </c>
      <c r="E1116" s="153" t="s">
        <v>2086</v>
      </c>
      <c r="F1116" s="9"/>
      <c r="G1116" s="9"/>
      <c r="H1116" s="2">
        <f t="shared" si="19"/>
        <v>0</v>
      </c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30" x14ac:dyDescent="0.25">
      <c r="A1117" s="10">
        <v>1116</v>
      </c>
      <c r="B1117" s="152" t="s">
        <v>4831</v>
      </c>
      <c r="C1117" s="159" t="s">
        <v>4832</v>
      </c>
      <c r="D1117" s="159" t="e">
        <v>#N/A</v>
      </c>
      <c r="E1117" s="153" t="s">
        <v>2086</v>
      </c>
      <c r="F1117" s="9"/>
      <c r="G1117" s="9"/>
      <c r="H1117" s="2">
        <f t="shared" si="19"/>
        <v>0</v>
      </c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5.75" x14ac:dyDescent="0.25">
      <c r="A1118" s="10">
        <v>1117</v>
      </c>
      <c r="B1118" s="152" t="s">
        <v>4833</v>
      </c>
      <c r="C1118" s="153" t="s">
        <v>4834</v>
      </c>
      <c r="D1118" s="153" t="e">
        <v>#N/A</v>
      </c>
      <c r="E1118" s="153" t="s">
        <v>2086</v>
      </c>
      <c r="F1118" s="9"/>
      <c r="G1118" s="9"/>
      <c r="H1118" s="2">
        <f t="shared" si="19"/>
        <v>0</v>
      </c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5.75" x14ac:dyDescent="0.25">
      <c r="A1119" s="10">
        <v>1118</v>
      </c>
      <c r="B1119" s="152" t="s">
        <v>4835</v>
      </c>
      <c r="C1119" s="153" t="s">
        <v>4836</v>
      </c>
      <c r="D1119" s="153" t="e">
        <v>#N/A</v>
      </c>
      <c r="E1119" s="153" t="s">
        <v>2086</v>
      </c>
      <c r="F1119" s="9"/>
      <c r="G1119" s="9"/>
      <c r="H1119" s="2">
        <f t="shared" si="19"/>
        <v>0</v>
      </c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5.75" x14ac:dyDescent="0.25">
      <c r="A1120" s="10">
        <v>1119</v>
      </c>
      <c r="B1120" s="152" t="s">
        <v>4837</v>
      </c>
      <c r="C1120" s="153" t="s">
        <v>4838</v>
      </c>
      <c r="D1120" s="153" t="e">
        <v>#N/A</v>
      </c>
      <c r="E1120" s="153" t="s">
        <v>2086</v>
      </c>
      <c r="F1120" s="9"/>
      <c r="G1120" s="9"/>
      <c r="H1120" s="2">
        <f t="shared" ref="H1120:H1140" si="20">SUM(I1120:AM1120)</f>
        <v>0</v>
      </c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5.75" x14ac:dyDescent="0.25">
      <c r="A1121" s="10">
        <v>1120</v>
      </c>
      <c r="B1121" s="152" t="s">
        <v>4839</v>
      </c>
      <c r="C1121" s="153" t="s">
        <v>4840</v>
      </c>
      <c r="D1121" s="153" t="e">
        <v>#N/A</v>
      </c>
      <c r="E1121" s="153" t="s">
        <v>2086</v>
      </c>
      <c r="F1121" s="9"/>
      <c r="G1121" s="9"/>
      <c r="H1121" s="2">
        <f t="shared" si="20"/>
        <v>0</v>
      </c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5.75" x14ac:dyDescent="0.25">
      <c r="A1122" s="10">
        <v>1121</v>
      </c>
      <c r="B1122" s="152" t="s">
        <v>4841</v>
      </c>
      <c r="C1122" s="153" t="s">
        <v>4842</v>
      </c>
      <c r="D1122" s="153" t="e">
        <v>#N/A</v>
      </c>
      <c r="E1122" s="153" t="s">
        <v>2086</v>
      </c>
      <c r="F1122" s="9"/>
      <c r="G1122" s="9"/>
      <c r="H1122" s="2">
        <f t="shared" si="20"/>
        <v>0</v>
      </c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5.75" x14ac:dyDescent="0.25">
      <c r="A1123" s="10">
        <v>1122</v>
      </c>
      <c r="B1123" s="152" t="s">
        <v>4843</v>
      </c>
      <c r="C1123" s="153" t="s">
        <v>4844</v>
      </c>
      <c r="D1123" s="153" t="e">
        <v>#N/A</v>
      </c>
      <c r="E1123" s="153" t="s">
        <v>2086</v>
      </c>
      <c r="F1123" s="9"/>
      <c r="G1123" s="9"/>
      <c r="H1123" s="2">
        <f t="shared" si="20"/>
        <v>0</v>
      </c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5.75" x14ac:dyDescent="0.25">
      <c r="A1124" s="10">
        <v>1123</v>
      </c>
      <c r="B1124" s="152" t="s">
        <v>4845</v>
      </c>
      <c r="C1124" s="153" t="s">
        <v>4846</v>
      </c>
      <c r="D1124" s="153" t="e">
        <v>#N/A</v>
      </c>
      <c r="E1124" s="153" t="s">
        <v>2086</v>
      </c>
      <c r="F1124" s="9"/>
      <c r="G1124" s="9"/>
      <c r="H1124" s="2">
        <f t="shared" si="20"/>
        <v>0</v>
      </c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5.75" x14ac:dyDescent="0.25">
      <c r="A1125" s="10">
        <v>1124</v>
      </c>
      <c r="B1125" s="152" t="s">
        <v>4847</v>
      </c>
      <c r="C1125" s="153" t="s">
        <v>4848</v>
      </c>
      <c r="D1125" s="153" t="e">
        <v>#N/A</v>
      </c>
      <c r="E1125" s="153" t="s">
        <v>2086</v>
      </c>
      <c r="F1125" s="9"/>
      <c r="G1125" s="9"/>
      <c r="H1125" s="2">
        <f t="shared" si="20"/>
        <v>0</v>
      </c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5.75" x14ac:dyDescent="0.25">
      <c r="A1126" s="10">
        <v>1125</v>
      </c>
      <c r="B1126" s="152" t="s">
        <v>1507</v>
      </c>
      <c r="C1126" s="153" t="s">
        <v>1508</v>
      </c>
      <c r="D1126" s="153" t="e">
        <v>#N/A</v>
      </c>
      <c r="E1126" s="153" t="s">
        <v>2086</v>
      </c>
      <c r="F1126" s="9"/>
      <c r="G1126" s="9"/>
      <c r="H1126" s="2">
        <f t="shared" si="20"/>
        <v>0</v>
      </c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5.75" x14ac:dyDescent="0.25">
      <c r="A1127" s="10">
        <v>1126</v>
      </c>
      <c r="B1127" s="152" t="s">
        <v>4849</v>
      </c>
      <c r="C1127" s="153" t="s">
        <v>4850</v>
      </c>
      <c r="D1127" s="153" t="e">
        <v>#N/A</v>
      </c>
      <c r="E1127" s="153" t="s">
        <v>2086</v>
      </c>
      <c r="F1127" s="9"/>
      <c r="G1127" s="9"/>
      <c r="H1127" s="2">
        <f t="shared" si="20"/>
        <v>0</v>
      </c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5.75" x14ac:dyDescent="0.25">
      <c r="A1128" s="10">
        <v>1127</v>
      </c>
      <c r="B1128" s="152" t="s">
        <v>4851</v>
      </c>
      <c r="C1128" s="153" t="s">
        <v>4852</v>
      </c>
      <c r="D1128" s="153" t="e">
        <v>#N/A</v>
      </c>
      <c r="E1128" s="153" t="s">
        <v>2086</v>
      </c>
      <c r="F1128" s="9"/>
      <c r="G1128" s="9"/>
      <c r="H1128" s="2">
        <f t="shared" si="20"/>
        <v>0</v>
      </c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5.75" x14ac:dyDescent="0.25">
      <c r="A1129" s="10">
        <v>1128</v>
      </c>
      <c r="B1129" s="152" t="s">
        <v>4853</v>
      </c>
      <c r="C1129" s="153" t="s">
        <v>4854</v>
      </c>
      <c r="D1129" s="153" t="e">
        <v>#N/A</v>
      </c>
      <c r="E1129" s="153" t="s">
        <v>2086</v>
      </c>
      <c r="F1129" s="130"/>
      <c r="G1129" s="130"/>
      <c r="H1129" s="2">
        <f t="shared" si="20"/>
        <v>0</v>
      </c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5.75" x14ac:dyDescent="0.25">
      <c r="A1130" s="10">
        <v>1129</v>
      </c>
      <c r="B1130" s="152" t="s">
        <v>4855</v>
      </c>
      <c r="C1130" s="153" t="s">
        <v>4856</v>
      </c>
      <c r="D1130" s="153" t="e">
        <v>#N/A</v>
      </c>
      <c r="E1130" s="153" t="s">
        <v>2086</v>
      </c>
      <c r="F1130" s="130"/>
      <c r="G1130" s="130"/>
      <c r="H1130" s="2">
        <f t="shared" si="20"/>
        <v>0</v>
      </c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5.75" x14ac:dyDescent="0.25">
      <c r="A1131" s="10">
        <v>1130</v>
      </c>
      <c r="B1131" s="152" t="s">
        <v>4857</v>
      </c>
      <c r="C1131" s="153" t="s">
        <v>4858</v>
      </c>
      <c r="D1131" s="153" t="e">
        <v>#N/A</v>
      </c>
      <c r="E1131" s="153" t="s">
        <v>2086</v>
      </c>
      <c r="F1131" s="130"/>
      <c r="G1131" s="130"/>
      <c r="H1131" s="2">
        <f t="shared" si="20"/>
        <v>0</v>
      </c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5.75" x14ac:dyDescent="0.25">
      <c r="A1132" s="10">
        <v>1131</v>
      </c>
      <c r="B1132" s="152" t="s">
        <v>4859</v>
      </c>
      <c r="C1132" s="153" t="s">
        <v>4860</v>
      </c>
      <c r="D1132" s="153" t="e">
        <v>#N/A</v>
      </c>
      <c r="E1132" s="153" t="s">
        <v>2086</v>
      </c>
      <c r="F1132" s="130"/>
      <c r="G1132" s="130"/>
      <c r="H1132" s="2">
        <f t="shared" si="20"/>
        <v>0</v>
      </c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5.75" x14ac:dyDescent="0.25">
      <c r="A1133" s="10">
        <v>1132</v>
      </c>
      <c r="B1133" s="152" t="s">
        <v>4861</v>
      </c>
      <c r="C1133" s="160" t="s">
        <v>4862</v>
      </c>
      <c r="D1133" s="160" t="e">
        <v>#N/A</v>
      </c>
      <c r="E1133" s="153" t="s">
        <v>2086</v>
      </c>
      <c r="F1133" s="9"/>
      <c r="G1133" s="9"/>
      <c r="H1133" s="2">
        <f t="shared" si="20"/>
        <v>0</v>
      </c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5.75" x14ac:dyDescent="0.25">
      <c r="A1134" s="10">
        <v>1133</v>
      </c>
      <c r="B1134" s="152" t="s">
        <v>4863</v>
      </c>
      <c r="C1134" s="153" t="s">
        <v>4864</v>
      </c>
      <c r="D1134" s="153" t="e">
        <v>#N/A</v>
      </c>
      <c r="E1134" s="153" t="s">
        <v>2086</v>
      </c>
      <c r="F1134" s="9"/>
      <c r="G1134" s="9"/>
      <c r="H1134" s="2">
        <f t="shared" si="20"/>
        <v>0</v>
      </c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5.75" x14ac:dyDescent="0.25">
      <c r="A1135" s="10">
        <v>1134</v>
      </c>
      <c r="B1135" s="152" t="s">
        <v>4865</v>
      </c>
      <c r="C1135" s="153" t="s">
        <v>4866</v>
      </c>
      <c r="D1135" s="153" t="e">
        <v>#N/A</v>
      </c>
      <c r="E1135" s="153" t="s">
        <v>2086</v>
      </c>
      <c r="F1135" s="9"/>
      <c r="G1135" s="9"/>
      <c r="H1135" s="2">
        <f t="shared" si="20"/>
        <v>0</v>
      </c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5.75" x14ac:dyDescent="0.25">
      <c r="A1136" s="10">
        <v>1135</v>
      </c>
      <c r="B1136" s="152" t="s">
        <v>4867</v>
      </c>
      <c r="C1136" s="153" t="s">
        <v>4868</v>
      </c>
      <c r="D1136" s="153" t="e">
        <v>#N/A</v>
      </c>
      <c r="E1136" s="153" t="s">
        <v>2086</v>
      </c>
      <c r="F1136" s="9"/>
      <c r="G1136" s="9"/>
      <c r="H1136" s="2">
        <f t="shared" si="20"/>
        <v>0</v>
      </c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5.75" x14ac:dyDescent="0.25">
      <c r="A1137" s="10">
        <v>1136</v>
      </c>
      <c r="B1137" s="152" t="s">
        <v>4869</v>
      </c>
      <c r="C1137" s="153" t="s">
        <v>4870</v>
      </c>
      <c r="D1137" s="153" t="e">
        <v>#N/A</v>
      </c>
      <c r="E1137" s="153" t="s">
        <v>2086</v>
      </c>
      <c r="F1137" s="9"/>
      <c r="G1137" s="9"/>
      <c r="H1137" s="2">
        <f t="shared" si="20"/>
        <v>0</v>
      </c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5.75" x14ac:dyDescent="0.25">
      <c r="A1138" s="10">
        <v>1137</v>
      </c>
      <c r="B1138" s="152" t="s">
        <v>4871</v>
      </c>
      <c r="C1138" s="153" t="s">
        <v>4872</v>
      </c>
      <c r="D1138" s="153" t="e">
        <v>#N/A</v>
      </c>
      <c r="E1138" s="153" t="s">
        <v>2086</v>
      </c>
      <c r="F1138" s="9"/>
      <c r="G1138" s="9"/>
      <c r="H1138" s="2">
        <f t="shared" si="20"/>
        <v>0</v>
      </c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5.75" x14ac:dyDescent="0.25">
      <c r="A1139" s="10">
        <v>1138</v>
      </c>
      <c r="B1139" s="152" t="s">
        <v>4873</v>
      </c>
      <c r="C1139" s="153" t="s">
        <v>4874</v>
      </c>
      <c r="D1139" s="153" t="e">
        <v>#N/A</v>
      </c>
      <c r="E1139" s="153" t="s">
        <v>2086</v>
      </c>
      <c r="F1139" s="9"/>
      <c r="G1139" s="9"/>
      <c r="H1139" s="2">
        <f t="shared" si="20"/>
        <v>0</v>
      </c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5.75" x14ac:dyDescent="0.25">
      <c r="A1140" s="10">
        <v>1139</v>
      </c>
      <c r="B1140" s="152" t="s">
        <v>4875</v>
      </c>
      <c r="C1140" s="153" t="s">
        <v>4876</v>
      </c>
      <c r="D1140" s="153" t="e">
        <v>#N/A</v>
      </c>
      <c r="E1140" s="153" t="s">
        <v>2086</v>
      </c>
      <c r="F1140" s="9"/>
      <c r="G1140" s="9"/>
      <c r="H1140" s="2">
        <f t="shared" si="20"/>
        <v>0</v>
      </c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5.75" x14ac:dyDescent="0.25">
      <c r="A1141" s="10">
        <v>1140</v>
      </c>
      <c r="B1141" s="152" t="s">
        <v>4877</v>
      </c>
      <c r="C1141" s="153" t="s">
        <v>4878</v>
      </c>
      <c r="D1141" s="153" t="e">
        <v>#N/A</v>
      </c>
      <c r="E1141" s="153" t="s">
        <v>2086</v>
      </c>
      <c r="F1141" s="9"/>
      <c r="G1141" s="9"/>
      <c r="H1141" s="2">
        <f t="shared" ref="H1141:H1180" si="21">SUM(I1141:AM1141)</f>
        <v>0</v>
      </c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5.75" x14ac:dyDescent="0.25">
      <c r="A1142" s="10">
        <v>1141</v>
      </c>
      <c r="B1142" s="152" t="s">
        <v>4879</v>
      </c>
      <c r="C1142" s="153" t="s">
        <v>4880</v>
      </c>
      <c r="D1142" s="153" t="e">
        <v>#N/A</v>
      </c>
      <c r="E1142" s="153" t="s">
        <v>2086</v>
      </c>
      <c r="F1142" s="9"/>
      <c r="G1142" s="9"/>
      <c r="H1142" s="2">
        <f t="shared" si="21"/>
        <v>0</v>
      </c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5.75" x14ac:dyDescent="0.25">
      <c r="A1143" s="10">
        <v>1142</v>
      </c>
      <c r="B1143" s="152" t="s">
        <v>4881</v>
      </c>
      <c r="C1143" s="153" t="s">
        <v>4882</v>
      </c>
      <c r="D1143" s="153" t="e">
        <v>#N/A</v>
      </c>
      <c r="E1143" s="153" t="s">
        <v>2086</v>
      </c>
      <c r="F1143" s="9"/>
      <c r="G1143" s="9"/>
      <c r="H1143" s="2">
        <f t="shared" si="21"/>
        <v>0</v>
      </c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5.75" x14ac:dyDescent="0.25">
      <c r="A1144" s="10">
        <v>1143</v>
      </c>
      <c r="B1144" s="152" t="s">
        <v>4883</v>
      </c>
      <c r="C1144" s="153" t="s">
        <v>4884</v>
      </c>
      <c r="D1144" s="153" t="e">
        <v>#N/A</v>
      </c>
      <c r="E1144" s="153" t="s">
        <v>2086</v>
      </c>
      <c r="F1144" s="9"/>
      <c r="G1144" s="9"/>
      <c r="H1144" s="2">
        <f t="shared" si="21"/>
        <v>0</v>
      </c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5.75" x14ac:dyDescent="0.25">
      <c r="A1145" s="10">
        <v>1144</v>
      </c>
      <c r="B1145" s="152" t="s">
        <v>562</v>
      </c>
      <c r="C1145" s="153" t="s">
        <v>563</v>
      </c>
      <c r="D1145" s="153" t="e">
        <v>#N/A</v>
      </c>
      <c r="E1145" s="153" t="s">
        <v>2086</v>
      </c>
      <c r="F1145" s="9"/>
      <c r="G1145" s="9"/>
      <c r="H1145" s="2">
        <f t="shared" si="21"/>
        <v>0</v>
      </c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5.75" x14ac:dyDescent="0.25">
      <c r="A1146" s="10">
        <v>1145</v>
      </c>
      <c r="B1146" s="152" t="s">
        <v>4885</v>
      </c>
      <c r="C1146" s="153" t="s">
        <v>4886</v>
      </c>
      <c r="D1146" s="153" t="e">
        <v>#N/A</v>
      </c>
      <c r="E1146" s="153" t="s">
        <v>2086</v>
      </c>
      <c r="F1146" s="9"/>
      <c r="G1146" s="9"/>
      <c r="H1146" s="2">
        <f t="shared" si="21"/>
        <v>0</v>
      </c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5.75" x14ac:dyDescent="0.25">
      <c r="A1147" s="10">
        <v>1146</v>
      </c>
      <c r="B1147" s="152" t="s">
        <v>4887</v>
      </c>
      <c r="C1147" s="153" t="s">
        <v>4888</v>
      </c>
      <c r="D1147" s="153" t="e">
        <v>#N/A</v>
      </c>
      <c r="E1147" s="153" t="s">
        <v>2086</v>
      </c>
      <c r="F1147" s="9"/>
      <c r="G1147" s="9"/>
      <c r="H1147" s="2">
        <f t="shared" si="21"/>
        <v>0</v>
      </c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5.75" x14ac:dyDescent="0.25">
      <c r="A1148" s="10">
        <v>1147</v>
      </c>
      <c r="B1148" s="152" t="s">
        <v>4889</v>
      </c>
      <c r="C1148" s="153" t="s">
        <v>4890</v>
      </c>
      <c r="D1148" s="153" t="e">
        <v>#N/A</v>
      </c>
      <c r="E1148" s="153" t="s">
        <v>2086</v>
      </c>
      <c r="F1148" s="9"/>
      <c r="G1148" s="9"/>
      <c r="H1148" s="2">
        <f t="shared" si="21"/>
        <v>0</v>
      </c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5.75" x14ac:dyDescent="0.25">
      <c r="A1149" s="10">
        <v>1148</v>
      </c>
      <c r="B1149" s="152" t="s">
        <v>4891</v>
      </c>
      <c r="C1149" s="153" t="s">
        <v>4892</v>
      </c>
      <c r="D1149" s="153" t="e">
        <v>#N/A</v>
      </c>
      <c r="E1149" s="153" t="s">
        <v>2086</v>
      </c>
      <c r="F1149" s="9"/>
      <c r="G1149" s="9"/>
      <c r="H1149" s="2">
        <f t="shared" si="21"/>
        <v>0</v>
      </c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5.75" x14ac:dyDescent="0.25">
      <c r="A1150" s="10">
        <v>1149</v>
      </c>
      <c r="B1150" s="152" t="s">
        <v>4893</v>
      </c>
      <c r="C1150" s="153" t="s">
        <v>4894</v>
      </c>
      <c r="D1150" s="153" t="e">
        <v>#N/A</v>
      </c>
      <c r="E1150" s="153" t="s">
        <v>2086</v>
      </c>
      <c r="F1150" s="130"/>
      <c r="G1150" s="130"/>
      <c r="H1150" s="2">
        <f t="shared" si="21"/>
        <v>0</v>
      </c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5.75" x14ac:dyDescent="0.25">
      <c r="A1151" s="10">
        <v>1150</v>
      </c>
      <c r="B1151" s="152" t="s">
        <v>4895</v>
      </c>
      <c r="C1151" s="153" t="s">
        <v>4896</v>
      </c>
      <c r="D1151" s="153" t="e">
        <v>#N/A</v>
      </c>
      <c r="E1151" s="153" t="s">
        <v>2086</v>
      </c>
      <c r="F1151" s="130"/>
      <c r="G1151" s="130"/>
      <c r="H1151" s="2">
        <f t="shared" si="21"/>
        <v>0</v>
      </c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5.75" x14ac:dyDescent="0.25">
      <c r="A1152" s="10">
        <v>1151</v>
      </c>
      <c r="B1152" s="152" t="s">
        <v>4897</v>
      </c>
      <c r="C1152" s="160" t="s">
        <v>4898</v>
      </c>
      <c r="D1152" s="160" t="e">
        <v>#N/A</v>
      </c>
      <c r="E1152" s="153" t="s">
        <v>2086</v>
      </c>
      <c r="F1152" s="130"/>
      <c r="G1152" s="130"/>
      <c r="H1152" s="2">
        <f t="shared" si="21"/>
        <v>0</v>
      </c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x14ac:dyDescent="0.25">
      <c r="A1153" s="10">
        <v>1152</v>
      </c>
      <c r="B1153" s="152" t="s">
        <v>4899</v>
      </c>
      <c r="C1153" s="153" t="s">
        <v>4900</v>
      </c>
      <c r="D1153" s="153" t="e">
        <v>#N/A</v>
      </c>
      <c r="E1153" s="153" t="s">
        <v>2086</v>
      </c>
      <c r="F1153" s="6"/>
      <c r="G1153" s="6"/>
      <c r="H1153" s="2">
        <f t="shared" si="21"/>
        <v>0</v>
      </c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5.75" x14ac:dyDescent="0.25">
      <c r="A1154" s="10">
        <v>1153</v>
      </c>
      <c r="B1154" s="152" t="s">
        <v>4901</v>
      </c>
      <c r="C1154" s="153" t="s">
        <v>4902</v>
      </c>
      <c r="D1154" s="153" t="e">
        <v>#N/A</v>
      </c>
      <c r="E1154" s="153" t="s">
        <v>2086</v>
      </c>
      <c r="F1154" s="130"/>
      <c r="G1154" s="130"/>
      <c r="H1154" s="2">
        <f t="shared" si="21"/>
        <v>0</v>
      </c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5.75" x14ac:dyDescent="0.25">
      <c r="A1155" s="10">
        <v>1154</v>
      </c>
      <c r="B1155" s="152" t="s">
        <v>4903</v>
      </c>
      <c r="C1155" s="153" t="s">
        <v>4904</v>
      </c>
      <c r="D1155" s="153" t="e">
        <v>#N/A</v>
      </c>
      <c r="E1155" s="153" t="s">
        <v>2086</v>
      </c>
      <c r="F1155" s="130"/>
      <c r="G1155" s="130"/>
      <c r="H1155" s="2">
        <f t="shared" si="21"/>
        <v>0</v>
      </c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5.75" x14ac:dyDescent="0.25">
      <c r="A1156" s="10">
        <v>1155</v>
      </c>
      <c r="B1156" s="152" t="s">
        <v>4905</v>
      </c>
      <c r="C1156" s="153" t="s">
        <v>4906</v>
      </c>
      <c r="D1156" s="153" t="e">
        <v>#N/A</v>
      </c>
      <c r="E1156" s="153" t="s">
        <v>2086</v>
      </c>
      <c r="F1156" s="130"/>
      <c r="G1156" s="130"/>
      <c r="H1156" s="2">
        <f t="shared" si="21"/>
        <v>0</v>
      </c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5.75" x14ac:dyDescent="0.25">
      <c r="A1157" s="10">
        <v>1156</v>
      </c>
      <c r="B1157" s="152" t="s">
        <v>4907</v>
      </c>
      <c r="C1157" s="153" t="s">
        <v>4908</v>
      </c>
      <c r="D1157" s="153" t="e">
        <v>#N/A</v>
      </c>
      <c r="E1157" s="153" t="s">
        <v>2086</v>
      </c>
      <c r="F1157" s="130"/>
      <c r="G1157" s="130"/>
      <c r="H1157" s="2">
        <f t="shared" si="21"/>
        <v>194</v>
      </c>
      <c r="I1157" s="5">
        <v>174</v>
      </c>
      <c r="J1157" s="5"/>
      <c r="K1157" s="5"/>
      <c r="L1157" s="5"/>
      <c r="M1157" s="5"/>
      <c r="N1157" s="5"/>
      <c r="O1157" s="5"/>
      <c r="P1157" s="5">
        <f>30-10</f>
        <v>20</v>
      </c>
      <c r="Q1157" s="5">
        <f>10-10</f>
        <v>0</v>
      </c>
      <c r="R1157" s="5"/>
      <c r="S1157" s="5">
        <f>35-35</f>
        <v>0</v>
      </c>
      <c r="T1157" s="5">
        <f>40-40</f>
        <v>0</v>
      </c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5.75" x14ac:dyDescent="0.25">
      <c r="A1158" s="10">
        <v>1157</v>
      </c>
      <c r="B1158" s="152" t="s">
        <v>4909</v>
      </c>
      <c r="C1158" s="153" t="s">
        <v>4910</v>
      </c>
      <c r="D1158" s="153" t="e">
        <v>#N/A</v>
      </c>
      <c r="E1158" s="153" t="s">
        <v>2086</v>
      </c>
      <c r="F1158" s="6"/>
      <c r="G1158" s="130"/>
      <c r="H1158" s="2">
        <f t="shared" si="21"/>
        <v>195</v>
      </c>
      <c r="I1158" s="5">
        <v>120</v>
      </c>
      <c r="J1158" s="5"/>
      <c r="K1158" s="5"/>
      <c r="L1158" s="5"/>
      <c r="M1158" s="5"/>
      <c r="N1158" s="5"/>
      <c r="O1158" s="5"/>
      <c r="P1158" s="5">
        <v>25</v>
      </c>
      <c r="Q1158" s="5">
        <v>10</v>
      </c>
      <c r="R1158" s="5"/>
      <c r="S1158" s="5">
        <v>25</v>
      </c>
      <c r="T1158" s="5">
        <v>15</v>
      </c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5.75" x14ac:dyDescent="0.25">
      <c r="A1159" s="10">
        <v>1158</v>
      </c>
      <c r="B1159" s="152" t="s">
        <v>4911</v>
      </c>
      <c r="C1159" s="153" t="s">
        <v>4912</v>
      </c>
      <c r="D1159" s="153" t="e">
        <v>#N/A</v>
      </c>
      <c r="E1159" s="153" t="s">
        <v>2086</v>
      </c>
      <c r="F1159" s="130"/>
      <c r="G1159" s="130"/>
      <c r="H1159" s="2">
        <f t="shared" si="21"/>
        <v>255</v>
      </c>
      <c r="I1159" s="5">
        <v>255</v>
      </c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5.75" x14ac:dyDescent="0.25">
      <c r="A1160" s="10">
        <v>1159</v>
      </c>
      <c r="B1160" s="152" t="s">
        <v>4913</v>
      </c>
      <c r="C1160" s="153" t="s">
        <v>4914</v>
      </c>
      <c r="D1160" s="153" t="e">
        <v>#N/A</v>
      </c>
      <c r="E1160" s="153" t="s">
        <v>2086</v>
      </c>
      <c r="F1160" s="130"/>
      <c r="G1160" s="130"/>
      <c r="H1160" s="2">
        <f t="shared" si="21"/>
        <v>510</v>
      </c>
      <c r="I1160" s="5">
        <v>300</v>
      </c>
      <c r="J1160" s="5"/>
      <c r="K1160" s="5"/>
      <c r="L1160" s="5"/>
      <c r="M1160" s="5"/>
      <c r="N1160" s="5"/>
      <c r="O1160" s="5"/>
      <c r="P1160" s="5">
        <v>40</v>
      </c>
      <c r="Q1160" s="5">
        <v>50</v>
      </c>
      <c r="R1160" s="5"/>
      <c r="S1160" s="5">
        <v>45</v>
      </c>
      <c r="T1160" s="5">
        <v>75</v>
      </c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5.75" x14ac:dyDescent="0.25">
      <c r="A1161" s="10">
        <v>1160</v>
      </c>
      <c r="B1161" s="152" t="s">
        <v>4915</v>
      </c>
      <c r="C1161" s="153" t="s">
        <v>4916</v>
      </c>
      <c r="D1161" s="153" t="e">
        <v>#N/A</v>
      </c>
      <c r="E1161" s="153" t="s">
        <v>2086</v>
      </c>
      <c r="F1161" s="130"/>
      <c r="G1161" s="130"/>
      <c r="H1161" s="2">
        <f t="shared" si="21"/>
        <v>2140</v>
      </c>
      <c r="I1161" s="5">
        <v>1880</v>
      </c>
      <c r="J1161" s="5"/>
      <c r="K1161" s="5"/>
      <c r="L1161" s="5"/>
      <c r="M1161" s="5"/>
      <c r="N1161" s="5"/>
      <c r="O1161" s="5"/>
      <c r="P1161" s="5">
        <v>240</v>
      </c>
      <c r="Q1161" s="5">
        <f>60-40</f>
        <v>20</v>
      </c>
      <c r="R1161" s="5"/>
      <c r="S1161" s="5">
        <f>280-280</f>
        <v>0</v>
      </c>
      <c r="T1161" s="5">
        <f>480-480</f>
        <v>0</v>
      </c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5.75" x14ac:dyDescent="0.25">
      <c r="A1162" s="10">
        <v>1161</v>
      </c>
      <c r="B1162" s="152" t="s">
        <v>4917</v>
      </c>
      <c r="C1162" s="153" t="s">
        <v>4918</v>
      </c>
      <c r="D1162" s="153" t="e">
        <v>#N/A</v>
      </c>
      <c r="E1162" s="153" t="s">
        <v>2086</v>
      </c>
      <c r="F1162" s="9"/>
      <c r="G1162" s="9"/>
      <c r="H1162" s="2">
        <f t="shared" si="21"/>
        <v>1520</v>
      </c>
      <c r="I1162" s="5">
        <v>1360</v>
      </c>
      <c r="J1162" s="5"/>
      <c r="K1162" s="5"/>
      <c r="L1162" s="5"/>
      <c r="M1162" s="5"/>
      <c r="N1162" s="5"/>
      <c r="O1162" s="5"/>
      <c r="P1162" s="5">
        <v>140</v>
      </c>
      <c r="Q1162" s="5">
        <f>40-20</f>
        <v>20</v>
      </c>
      <c r="R1162" s="5"/>
      <c r="S1162" s="5">
        <f>320-320</f>
        <v>0</v>
      </c>
      <c r="T1162" s="5">
        <f>520-520</f>
        <v>0</v>
      </c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5.75" x14ac:dyDescent="0.25">
      <c r="A1163" s="10">
        <v>1162</v>
      </c>
      <c r="B1163" s="152" t="s">
        <v>4919</v>
      </c>
      <c r="C1163" s="153" t="s">
        <v>135</v>
      </c>
      <c r="D1163" s="153" t="e">
        <v>#N/A</v>
      </c>
      <c r="E1163" s="153" t="s">
        <v>2086</v>
      </c>
      <c r="F1163" s="9"/>
      <c r="G1163" s="9"/>
      <c r="H1163" s="2">
        <f t="shared" si="21"/>
        <v>1840</v>
      </c>
      <c r="I1163" s="5">
        <v>1260</v>
      </c>
      <c r="J1163" s="5"/>
      <c r="K1163" s="5"/>
      <c r="L1163" s="5"/>
      <c r="M1163" s="5"/>
      <c r="N1163" s="5"/>
      <c r="O1163" s="5"/>
      <c r="P1163" s="5">
        <v>300</v>
      </c>
      <c r="Q1163" s="5"/>
      <c r="R1163" s="5"/>
      <c r="S1163" s="5">
        <v>60</v>
      </c>
      <c r="T1163" s="5">
        <v>220</v>
      </c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5.75" x14ac:dyDescent="0.25">
      <c r="A1164" s="10">
        <v>1163</v>
      </c>
      <c r="B1164" s="152" t="s">
        <v>4920</v>
      </c>
      <c r="C1164" s="153" t="s">
        <v>4921</v>
      </c>
      <c r="D1164" s="153" t="e">
        <v>#N/A</v>
      </c>
      <c r="E1164" s="153" t="s">
        <v>2086</v>
      </c>
      <c r="F1164" s="9"/>
      <c r="G1164" s="9"/>
      <c r="H1164" s="2">
        <f t="shared" si="21"/>
        <v>15</v>
      </c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>
        <v>10</v>
      </c>
      <c r="T1164" s="5">
        <v>5</v>
      </c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5.75" x14ac:dyDescent="0.25">
      <c r="A1165" s="10">
        <v>1164</v>
      </c>
      <c r="B1165" s="152" t="s">
        <v>4922</v>
      </c>
      <c r="C1165" s="153" t="s">
        <v>2820</v>
      </c>
      <c r="D1165" s="153" t="e">
        <v>#N/A</v>
      </c>
      <c r="E1165" s="153" t="s">
        <v>2086</v>
      </c>
      <c r="F1165" s="9"/>
      <c r="G1165" s="9"/>
      <c r="H1165" s="2">
        <f t="shared" si="21"/>
        <v>420</v>
      </c>
      <c r="I1165" s="5">
        <v>220</v>
      </c>
      <c r="J1165" s="5"/>
      <c r="K1165" s="5"/>
      <c r="L1165" s="5"/>
      <c r="M1165" s="5"/>
      <c r="N1165" s="5"/>
      <c r="O1165" s="5"/>
      <c r="P1165" s="5">
        <v>60</v>
      </c>
      <c r="Q1165" s="5"/>
      <c r="R1165" s="5"/>
      <c r="S1165" s="5">
        <v>80</v>
      </c>
      <c r="T1165" s="5">
        <v>60</v>
      </c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5.75" x14ac:dyDescent="0.25">
      <c r="A1166" s="10">
        <v>1165</v>
      </c>
      <c r="B1166" s="152" t="s">
        <v>4923</v>
      </c>
      <c r="C1166" s="153" t="s">
        <v>4924</v>
      </c>
      <c r="D1166" s="153" t="e">
        <v>#N/A</v>
      </c>
      <c r="E1166" s="153" t="s">
        <v>2111</v>
      </c>
      <c r="F1166" s="9"/>
      <c r="G1166" s="9"/>
      <c r="H1166" s="2">
        <f t="shared" si="21"/>
        <v>0</v>
      </c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5.75" x14ac:dyDescent="0.25">
      <c r="A1167" s="10">
        <v>1166</v>
      </c>
      <c r="B1167" s="6" t="s">
        <v>4925</v>
      </c>
      <c r="C1167" s="6" t="s">
        <v>4926</v>
      </c>
      <c r="D1167" s="6"/>
      <c r="E1167" s="153" t="s">
        <v>2086</v>
      </c>
      <c r="F1167" s="9"/>
      <c r="G1167" s="9"/>
      <c r="H1167" s="2">
        <f t="shared" si="21"/>
        <v>28500</v>
      </c>
      <c r="I1167" s="5"/>
      <c r="J1167" s="5">
        <v>28500</v>
      </c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5.75" x14ac:dyDescent="0.25">
      <c r="A1168" s="10">
        <v>1167</v>
      </c>
      <c r="B1168" s="163" t="s">
        <v>4927</v>
      </c>
      <c r="C1168" s="163" t="s">
        <v>4928</v>
      </c>
      <c r="D1168" s="153"/>
      <c r="E1168" s="9" t="s">
        <v>2086</v>
      </c>
      <c r="F1168" s="9"/>
      <c r="G1168" s="9"/>
      <c r="H1168" s="2">
        <f t="shared" si="21"/>
        <v>0</v>
      </c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5.75" x14ac:dyDescent="0.25">
      <c r="A1169" s="10">
        <v>1168</v>
      </c>
      <c r="B1169" s="163" t="s">
        <v>4929</v>
      </c>
      <c r="C1169" s="163" t="s">
        <v>4930</v>
      </c>
      <c r="D1169" s="153"/>
      <c r="E1169" s="153" t="s">
        <v>2086</v>
      </c>
      <c r="F1169" s="9"/>
      <c r="G1169" s="9"/>
      <c r="H1169" s="2">
        <f t="shared" si="21"/>
        <v>0</v>
      </c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5.75" x14ac:dyDescent="0.25">
      <c r="A1170" s="10">
        <v>1169</v>
      </c>
      <c r="B1170" s="8" t="s">
        <v>4931</v>
      </c>
      <c r="C1170" s="6" t="s">
        <v>4932</v>
      </c>
      <c r="D1170" s="6"/>
      <c r="E1170" s="153" t="s">
        <v>2086</v>
      </c>
      <c r="F1170" s="9"/>
      <c r="G1170" s="9"/>
      <c r="H1170" s="2">
        <f t="shared" si="21"/>
        <v>1</v>
      </c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>
        <v>1</v>
      </c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5.75" x14ac:dyDescent="0.25">
      <c r="A1171" s="10">
        <v>1170</v>
      </c>
      <c r="B1171" s="187" t="s">
        <v>4933</v>
      </c>
      <c r="C1171" s="188" t="s">
        <v>4934</v>
      </c>
      <c r="D1171" s="9"/>
      <c r="E1171" s="9"/>
      <c r="F1171" s="9"/>
      <c r="G1171" s="9"/>
      <c r="H1171" s="2">
        <f t="shared" si="21"/>
        <v>0</v>
      </c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5.75" x14ac:dyDescent="0.25">
      <c r="A1172" s="10">
        <v>1171</v>
      </c>
      <c r="B1172" s="191" t="s">
        <v>4935</v>
      </c>
      <c r="C1172" s="192" t="s">
        <v>4936</v>
      </c>
      <c r="D1172" s="9"/>
      <c r="E1172" s="9"/>
      <c r="F1172" s="9"/>
      <c r="G1172" s="9"/>
      <c r="H1172" s="2">
        <f t="shared" si="21"/>
        <v>5700</v>
      </c>
      <c r="I1172" s="5"/>
      <c r="J1172" s="5">
        <v>5700</v>
      </c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5.75" x14ac:dyDescent="0.25">
      <c r="A1173" s="10">
        <v>1172</v>
      </c>
      <c r="B1173" s="8" t="s">
        <v>4937</v>
      </c>
      <c r="C1173" s="9" t="s">
        <v>4938</v>
      </c>
      <c r="D1173" s="9"/>
      <c r="E1173" s="9"/>
      <c r="F1173" s="9"/>
      <c r="G1173" s="9"/>
      <c r="H1173" s="2">
        <f t="shared" si="21"/>
        <v>10</v>
      </c>
      <c r="I1173" s="5"/>
      <c r="J1173" s="5">
        <v>0</v>
      </c>
      <c r="K1173" s="5"/>
      <c r="L1173" s="5"/>
      <c r="M1173" s="5"/>
      <c r="N1173" s="5"/>
      <c r="O1173" s="5"/>
      <c r="P1173" s="5"/>
      <c r="Q1173" s="5">
        <v>10</v>
      </c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5.75" x14ac:dyDescent="0.25">
      <c r="A1174" s="10">
        <v>1173</v>
      </c>
      <c r="B1174" s="8" t="s">
        <v>4939</v>
      </c>
      <c r="C1174" s="9" t="s">
        <v>4940</v>
      </c>
      <c r="D1174" s="9"/>
      <c r="E1174" s="9"/>
      <c r="F1174" s="9"/>
      <c r="G1174" s="9"/>
      <c r="H1174" s="2">
        <f t="shared" si="21"/>
        <v>0</v>
      </c>
      <c r="I1174" s="5"/>
      <c r="J1174" s="5"/>
      <c r="K1174" s="5"/>
      <c r="L1174" s="5"/>
      <c r="M1174" s="5"/>
      <c r="N1174" s="5"/>
      <c r="O1174" s="5"/>
      <c r="P1174" s="5"/>
      <c r="Q1174" s="5">
        <f>80-80</f>
        <v>0</v>
      </c>
      <c r="R1174" s="5"/>
      <c r="S1174" s="5">
        <f>45-45</f>
        <v>0</v>
      </c>
      <c r="T1174" s="5">
        <f>120-120</f>
        <v>0</v>
      </c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5.75" x14ac:dyDescent="0.25">
      <c r="A1175" s="10">
        <v>1174</v>
      </c>
      <c r="B1175" s="130" t="s">
        <v>4941</v>
      </c>
      <c r="C1175" s="130" t="s">
        <v>4942</v>
      </c>
      <c r="D1175" s="130"/>
      <c r="E1175" s="130"/>
      <c r="F1175" s="9"/>
      <c r="G1175" s="9"/>
      <c r="H1175" s="2">
        <f t="shared" si="21"/>
        <v>0</v>
      </c>
      <c r="I1175" s="5"/>
      <c r="J1175" s="5"/>
      <c r="K1175" s="5"/>
      <c r="L1175" s="5"/>
      <c r="M1175" s="5"/>
      <c r="N1175" s="5"/>
      <c r="O1175" s="5"/>
      <c r="P1175" s="5"/>
      <c r="Q1175" s="5">
        <f>100-100</f>
        <v>0</v>
      </c>
      <c r="R1175" s="5"/>
      <c r="S1175" s="5">
        <f>20-20</f>
        <v>0</v>
      </c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5.75" x14ac:dyDescent="0.25">
      <c r="A1176" s="10">
        <v>1175</v>
      </c>
      <c r="B1176" s="145" t="s">
        <v>4943</v>
      </c>
      <c r="C1176" s="145" t="s">
        <v>4944</v>
      </c>
      <c r="D1176" s="145"/>
      <c r="E1176" s="145"/>
      <c r="F1176" s="9"/>
      <c r="G1176" s="9"/>
      <c r="H1176" s="2">
        <f t="shared" si="21"/>
        <v>0</v>
      </c>
      <c r="I1176" s="5"/>
      <c r="J1176" s="5"/>
      <c r="K1176" s="5"/>
      <c r="L1176" s="5"/>
      <c r="M1176" s="5"/>
      <c r="N1176" s="5"/>
      <c r="O1176" s="5"/>
      <c r="P1176" s="5"/>
      <c r="Q1176" s="5">
        <f>250-250</f>
        <v>0</v>
      </c>
      <c r="R1176" s="5"/>
      <c r="S1176" s="5">
        <f>730-730</f>
        <v>0</v>
      </c>
      <c r="T1176" s="5">
        <f>216-216</f>
        <v>0</v>
      </c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5.75" x14ac:dyDescent="0.25">
      <c r="A1177" s="10">
        <v>1176</v>
      </c>
      <c r="B1177" s="145" t="s">
        <v>4945</v>
      </c>
      <c r="C1177" s="145" t="s">
        <v>4946</v>
      </c>
      <c r="D1177" s="145"/>
      <c r="E1177" s="9"/>
      <c r="F1177" s="9"/>
      <c r="G1177" s="9"/>
      <c r="H1177" s="2">
        <f t="shared" si="21"/>
        <v>0</v>
      </c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>
        <f>15-15</f>
        <v>0</v>
      </c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5.75" x14ac:dyDescent="0.25">
      <c r="A1178" s="10">
        <v>1177</v>
      </c>
      <c r="B1178" s="196" t="s">
        <v>5044</v>
      </c>
      <c r="C1178" s="196" t="s">
        <v>5045</v>
      </c>
      <c r="D1178" s="145"/>
      <c r="E1178" s="9"/>
      <c r="F1178" s="9"/>
      <c r="G1178" s="9"/>
      <c r="H1178" s="2">
        <f t="shared" si="21"/>
        <v>0</v>
      </c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5.75" x14ac:dyDescent="0.25">
      <c r="A1179" s="10">
        <v>1178</v>
      </c>
      <c r="B1179" s="196" t="s">
        <v>5046</v>
      </c>
      <c r="C1179" s="196" t="s">
        <v>5047</v>
      </c>
      <c r="D1179" s="145"/>
      <c r="E1179" s="9"/>
      <c r="F1179" s="9"/>
      <c r="G1179" s="9"/>
      <c r="H1179" s="2">
        <f t="shared" si="21"/>
        <v>0</v>
      </c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5.75" x14ac:dyDescent="0.25">
      <c r="A1180" s="10">
        <v>1179</v>
      </c>
      <c r="B1180" s="196" t="s">
        <v>5048</v>
      </c>
      <c r="C1180" s="196" t="s">
        <v>5049</v>
      </c>
      <c r="D1180" s="145"/>
      <c r="E1180" s="9"/>
      <c r="F1180" s="9"/>
      <c r="G1180" s="9"/>
      <c r="H1180" s="2">
        <f t="shared" si="21"/>
        <v>0</v>
      </c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5.75" x14ac:dyDescent="0.25">
      <c r="A1181" s="10">
        <v>1180</v>
      </c>
      <c r="B1181" s="196" t="s">
        <v>5050</v>
      </c>
      <c r="C1181" s="196" t="s">
        <v>5051</v>
      </c>
      <c r="D1181" s="145"/>
      <c r="E1181" s="9"/>
      <c r="F1181" s="9"/>
      <c r="G1181" s="9"/>
      <c r="H1181" s="2">
        <f t="shared" ref="H1181:H1244" si="22">SUM(I1181:AM1181)</f>
        <v>0</v>
      </c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5.75" x14ac:dyDescent="0.25">
      <c r="A1182" s="10">
        <v>1181</v>
      </c>
      <c r="B1182" s="196" t="s">
        <v>5052</v>
      </c>
      <c r="C1182" s="196" t="s">
        <v>5053</v>
      </c>
      <c r="D1182" s="145"/>
      <c r="E1182" s="9"/>
      <c r="F1182" s="9"/>
      <c r="G1182" s="9"/>
      <c r="H1182" s="2">
        <f t="shared" si="22"/>
        <v>0</v>
      </c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5.75" x14ac:dyDescent="0.25">
      <c r="A1183" s="10">
        <v>1182</v>
      </c>
      <c r="B1183" s="196" t="s">
        <v>5054</v>
      </c>
      <c r="C1183" s="196" t="s">
        <v>5055</v>
      </c>
      <c r="D1183" s="9"/>
      <c r="E1183" s="9"/>
      <c r="F1183" s="9"/>
      <c r="G1183" s="9"/>
      <c r="H1183" s="2">
        <f t="shared" si="22"/>
        <v>0</v>
      </c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5.75" x14ac:dyDescent="0.25">
      <c r="A1184" s="10">
        <v>1183</v>
      </c>
      <c r="B1184" s="196" t="s">
        <v>5056</v>
      </c>
      <c r="C1184" s="196" t="s">
        <v>5057</v>
      </c>
      <c r="D1184" s="9"/>
      <c r="E1184" s="9"/>
      <c r="F1184" s="9"/>
      <c r="G1184" s="9"/>
      <c r="H1184" s="2">
        <f t="shared" si="22"/>
        <v>0</v>
      </c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5.75" x14ac:dyDescent="0.25">
      <c r="A1185" s="10">
        <v>1184</v>
      </c>
      <c r="B1185" s="196" t="s">
        <v>5058</v>
      </c>
      <c r="C1185" s="196" t="s">
        <v>5059</v>
      </c>
      <c r="D1185" s="9"/>
      <c r="E1185" s="9"/>
      <c r="F1185" s="9"/>
      <c r="G1185" s="9"/>
      <c r="H1185" s="2">
        <f t="shared" si="22"/>
        <v>0</v>
      </c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5.75" x14ac:dyDescent="0.25">
      <c r="A1186" s="10">
        <v>1185</v>
      </c>
      <c r="B1186" s="196" t="s">
        <v>5060</v>
      </c>
      <c r="C1186" s="196" t="s">
        <v>5061</v>
      </c>
      <c r="D1186" s="9"/>
      <c r="E1186" s="9"/>
      <c r="F1186" s="9"/>
      <c r="G1186" s="9"/>
      <c r="H1186" s="2">
        <f t="shared" si="22"/>
        <v>0</v>
      </c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5.75" x14ac:dyDescent="0.25">
      <c r="A1187" s="10">
        <v>1186</v>
      </c>
      <c r="B1187" s="8"/>
      <c r="C1187" s="9"/>
      <c r="D1187" s="9"/>
      <c r="E1187" s="9"/>
      <c r="F1187" s="9"/>
      <c r="G1187" s="9"/>
      <c r="H1187" s="2">
        <f t="shared" si="22"/>
        <v>0</v>
      </c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5.75" x14ac:dyDescent="0.25">
      <c r="A1188" s="10">
        <v>1187</v>
      </c>
      <c r="B1188" s="8"/>
      <c r="C1188" s="9"/>
      <c r="D1188" s="9"/>
      <c r="E1188" s="9"/>
      <c r="F1188" s="9"/>
      <c r="G1188" s="9"/>
      <c r="H1188" s="2">
        <f t="shared" si="22"/>
        <v>0</v>
      </c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5.75" x14ac:dyDescent="0.25">
      <c r="A1189" s="10">
        <v>1188</v>
      </c>
      <c r="B1189" s="8"/>
      <c r="C1189" s="9"/>
      <c r="D1189" s="9"/>
      <c r="E1189" s="9"/>
      <c r="F1189" s="9"/>
      <c r="G1189" s="9"/>
      <c r="H1189" s="2">
        <f t="shared" si="22"/>
        <v>0</v>
      </c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5.75" x14ac:dyDescent="0.25">
      <c r="A1190" s="10">
        <v>1189</v>
      </c>
      <c r="B1190" s="8"/>
      <c r="C1190" s="9"/>
      <c r="D1190" s="9"/>
      <c r="E1190" s="9"/>
      <c r="F1190" s="9"/>
      <c r="G1190" s="9"/>
      <c r="H1190" s="2">
        <f t="shared" si="22"/>
        <v>0</v>
      </c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5.75" x14ac:dyDescent="0.25">
      <c r="A1191" s="10">
        <v>1190</v>
      </c>
      <c r="B1191" s="8"/>
      <c r="C1191" s="9"/>
      <c r="D1191" s="9"/>
      <c r="E1191" s="9"/>
      <c r="F1191" s="9"/>
      <c r="G1191" s="9"/>
      <c r="H1191" s="2">
        <f t="shared" si="22"/>
        <v>0</v>
      </c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5.75" x14ac:dyDescent="0.25">
      <c r="A1192" s="10">
        <v>1191</v>
      </c>
      <c r="B1192" s="130"/>
      <c r="C1192" s="130"/>
      <c r="D1192" s="130"/>
      <c r="E1192" s="130"/>
      <c r="F1192" s="9"/>
      <c r="G1192" s="9"/>
      <c r="H1192" s="2">
        <f t="shared" si="22"/>
        <v>0</v>
      </c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5.75" x14ac:dyDescent="0.25">
      <c r="A1193" s="10">
        <v>1192</v>
      </c>
      <c r="B1193" s="8"/>
      <c r="C1193" s="9"/>
      <c r="D1193" s="9"/>
      <c r="E1193" s="9"/>
      <c r="F1193" s="9"/>
      <c r="G1193" s="9"/>
      <c r="H1193" s="2">
        <f t="shared" si="22"/>
        <v>0</v>
      </c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5.75" x14ac:dyDescent="0.25">
      <c r="A1194" s="10">
        <v>1193</v>
      </c>
      <c r="B1194" s="8"/>
      <c r="C1194" s="9"/>
      <c r="D1194" s="9"/>
      <c r="E1194" s="9"/>
      <c r="F1194" s="9"/>
      <c r="G1194" s="9"/>
      <c r="H1194" s="2">
        <f t="shared" si="22"/>
        <v>0</v>
      </c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5.75" x14ac:dyDescent="0.25">
      <c r="A1195" s="10">
        <v>1194</v>
      </c>
      <c r="B1195" s="8"/>
      <c r="C1195" s="9"/>
      <c r="D1195" s="9"/>
      <c r="E1195" s="9"/>
      <c r="F1195" s="9"/>
      <c r="G1195" s="9"/>
      <c r="H1195" s="2">
        <f t="shared" si="22"/>
        <v>0</v>
      </c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5.75" x14ac:dyDescent="0.25">
      <c r="A1196" s="10">
        <v>1195</v>
      </c>
      <c r="B1196" s="8"/>
      <c r="C1196" s="9"/>
      <c r="D1196" s="9"/>
      <c r="E1196" s="9"/>
      <c r="F1196" s="9"/>
      <c r="G1196" s="9"/>
      <c r="H1196" s="2">
        <f t="shared" si="22"/>
        <v>0</v>
      </c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5.75" x14ac:dyDescent="0.25">
      <c r="A1197" s="10">
        <v>1196</v>
      </c>
      <c r="B1197" s="8"/>
      <c r="C1197" s="9"/>
      <c r="D1197" s="9"/>
      <c r="E1197" s="9"/>
      <c r="F1197" s="9"/>
      <c r="G1197" s="9"/>
      <c r="H1197" s="2">
        <f t="shared" si="22"/>
        <v>0</v>
      </c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5.75" x14ac:dyDescent="0.25">
      <c r="A1198" s="10">
        <v>1197</v>
      </c>
      <c r="B1198" s="8"/>
      <c r="C1198" s="9"/>
      <c r="D1198" s="9"/>
      <c r="E1198" s="9"/>
      <c r="F1198" s="9"/>
      <c r="G1198" s="9"/>
      <c r="H1198" s="2">
        <f t="shared" si="22"/>
        <v>0</v>
      </c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5.75" x14ac:dyDescent="0.25">
      <c r="A1199" s="10">
        <v>1198</v>
      </c>
      <c r="B1199" s="8"/>
      <c r="C1199" s="9"/>
      <c r="D1199" s="9"/>
      <c r="E1199" s="9"/>
      <c r="F1199" s="9"/>
      <c r="G1199" s="9"/>
      <c r="H1199" s="2">
        <f t="shared" si="22"/>
        <v>0</v>
      </c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5.75" x14ac:dyDescent="0.25">
      <c r="A1200" s="10">
        <v>1199</v>
      </c>
      <c r="B1200" s="8"/>
      <c r="C1200" s="9"/>
      <c r="D1200" s="9"/>
      <c r="E1200" s="9"/>
      <c r="F1200" s="9"/>
      <c r="G1200" s="9"/>
      <c r="H1200" s="2">
        <f t="shared" si="22"/>
        <v>0</v>
      </c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5.75" x14ac:dyDescent="0.25">
      <c r="A1201" s="10">
        <v>1200</v>
      </c>
      <c r="B1201" s="8"/>
      <c r="C1201" s="9"/>
      <c r="D1201" s="9"/>
      <c r="E1201" s="9"/>
      <c r="F1201" s="9"/>
      <c r="G1201" s="9"/>
      <c r="H1201" s="2">
        <f t="shared" si="22"/>
        <v>0</v>
      </c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5.75" x14ac:dyDescent="0.25">
      <c r="A1202" s="10">
        <v>1201</v>
      </c>
      <c r="B1202" s="8"/>
      <c r="C1202" s="9"/>
      <c r="D1202" s="9"/>
      <c r="E1202" s="9"/>
      <c r="F1202" s="9"/>
      <c r="G1202" s="9"/>
      <c r="H1202" s="2">
        <f t="shared" si="22"/>
        <v>0</v>
      </c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5.75" x14ac:dyDescent="0.25">
      <c r="A1203" s="10">
        <v>1202</v>
      </c>
      <c r="B1203" s="8"/>
      <c r="C1203" s="9"/>
      <c r="D1203" s="9"/>
      <c r="E1203" s="9"/>
      <c r="F1203" s="9"/>
      <c r="G1203" s="9"/>
      <c r="H1203" s="2">
        <f t="shared" si="22"/>
        <v>0</v>
      </c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5.75" x14ac:dyDescent="0.25">
      <c r="A1204" s="10">
        <v>1203</v>
      </c>
      <c r="B1204" s="8"/>
      <c r="C1204" s="9"/>
      <c r="D1204" s="9"/>
      <c r="E1204" s="9"/>
      <c r="F1204" s="9"/>
      <c r="G1204" s="9"/>
      <c r="H1204" s="2">
        <f t="shared" si="22"/>
        <v>0</v>
      </c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5.75" x14ac:dyDescent="0.25">
      <c r="A1205" s="10">
        <v>1204</v>
      </c>
      <c r="B1205" s="8"/>
      <c r="C1205" s="9"/>
      <c r="D1205" s="9"/>
      <c r="E1205" s="9"/>
      <c r="F1205" s="9"/>
      <c r="G1205" s="9"/>
      <c r="H1205" s="2">
        <f t="shared" si="22"/>
        <v>0</v>
      </c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5.75" x14ac:dyDescent="0.25">
      <c r="A1206" s="10">
        <v>1205</v>
      </c>
      <c r="B1206" s="8"/>
      <c r="C1206" s="9"/>
      <c r="D1206" s="9"/>
      <c r="E1206" s="9"/>
      <c r="F1206" s="9"/>
      <c r="G1206" s="9"/>
      <c r="H1206" s="2">
        <f t="shared" si="22"/>
        <v>0</v>
      </c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5.75" x14ac:dyDescent="0.25">
      <c r="A1207" s="10">
        <v>1206</v>
      </c>
      <c r="B1207" s="59"/>
      <c r="C1207" s="130"/>
      <c r="D1207" s="162"/>
      <c r="E1207" s="9"/>
      <c r="F1207" s="9"/>
      <c r="G1207" s="9"/>
      <c r="H1207" s="2">
        <f t="shared" si="22"/>
        <v>0</v>
      </c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5.75" x14ac:dyDescent="0.25">
      <c r="A1208" s="10">
        <v>1207</v>
      </c>
      <c r="B1208" s="59"/>
      <c r="C1208" s="130"/>
      <c r="D1208" s="162"/>
      <c r="E1208" s="9"/>
      <c r="F1208" s="9"/>
      <c r="G1208" s="9"/>
      <c r="H1208" s="2">
        <f t="shared" si="22"/>
        <v>0</v>
      </c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5.75" x14ac:dyDescent="0.25">
      <c r="A1209" s="10">
        <v>1208</v>
      </c>
      <c r="B1209" s="59"/>
      <c r="C1209" s="130"/>
      <c r="D1209" s="162"/>
      <c r="E1209" s="9"/>
      <c r="F1209" s="9"/>
      <c r="G1209" s="9"/>
      <c r="H1209" s="2">
        <f t="shared" si="22"/>
        <v>0</v>
      </c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5.75" x14ac:dyDescent="0.25">
      <c r="A1210" s="10">
        <v>1209</v>
      </c>
      <c r="B1210" s="59"/>
      <c r="C1210" s="130"/>
      <c r="D1210" s="162"/>
      <c r="E1210" s="9"/>
      <c r="F1210" s="9"/>
      <c r="G1210" s="9"/>
      <c r="H1210" s="2">
        <f t="shared" si="22"/>
        <v>0</v>
      </c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5.75" x14ac:dyDescent="0.25">
      <c r="A1211" s="10">
        <v>1210</v>
      </c>
      <c r="B1211" s="8"/>
      <c r="C1211" s="9"/>
      <c r="D1211" s="9"/>
      <c r="E1211" s="9"/>
      <c r="F1211" s="9"/>
      <c r="G1211" s="9"/>
      <c r="H1211" s="2">
        <f t="shared" si="22"/>
        <v>0</v>
      </c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5.75" x14ac:dyDescent="0.25">
      <c r="A1212" s="10">
        <v>1211</v>
      </c>
      <c r="B1212" s="8"/>
      <c r="C1212" s="9"/>
      <c r="D1212" s="9"/>
      <c r="E1212" s="9"/>
      <c r="F1212" s="9"/>
      <c r="G1212" s="9"/>
      <c r="H1212" s="2">
        <f t="shared" si="22"/>
        <v>0</v>
      </c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5.75" x14ac:dyDescent="0.25">
      <c r="A1213" s="10">
        <v>1212</v>
      </c>
      <c r="B1213" s="8"/>
      <c r="C1213" s="9"/>
      <c r="D1213" s="9"/>
      <c r="E1213" s="9"/>
      <c r="F1213" s="9"/>
      <c r="G1213" s="9"/>
      <c r="H1213" s="2">
        <f t="shared" si="22"/>
        <v>0</v>
      </c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5.75" x14ac:dyDescent="0.25">
      <c r="A1214" s="10">
        <v>1213</v>
      </c>
      <c r="B1214" s="8"/>
      <c r="C1214" s="9"/>
      <c r="D1214" s="9"/>
      <c r="E1214" s="9"/>
      <c r="F1214" s="9"/>
      <c r="G1214" s="9"/>
      <c r="H1214" s="2">
        <f t="shared" si="22"/>
        <v>0</v>
      </c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5.75" x14ac:dyDescent="0.25">
      <c r="A1215" s="10">
        <v>1214</v>
      </c>
      <c r="B1215" s="8"/>
      <c r="C1215" s="9"/>
      <c r="D1215" s="9"/>
      <c r="E1215" s="9"/>
      <c r="F1215" s="9"/>
      <c r="G1215" s="9"/>
      <c r="H1215" s="2">
        <f t="shared" si="22"/>
        <v>0</v>
      </c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5.75" x14ac:dyDescent="0.25">
      <c r="A1216" s="10">
        <v>1215</v>
      </c>
      <c r="B1216" s="8"/>
      <c r="C1216" s="9"/>
      <c r="D1216" s="9"/>
      <c r="E1216" s="9"/>
      <c r="F1216" s="9"/>
      <c r="G1216" s="9"/>
      <c r="H1216" s="2">
        <f t="shared" si="22"/>
        <v>0</v>
      </c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5.75" x14ac:dyDescent="0.25">
      <c r="A1217" s="10">
        <v>1216</v>
      </c>
      <c r="B1217" s="8"/>
      <c r="C1217" s="9"/>
      <c r="D1217" s="9"/>
      <c r="E1217" s="9"/>
      <c r="F1217" s="9"/>
      <c r="G1217" s="9"/>
      <c r="H1217" s="2">
        <f t="shared" si="22"/>
        <v>0</v>
      </c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5.75" x14ac:dyDescent="0.25">
      <c r="A1218" s="10">
        <v>1217</v>
      </c>
      <c r="B1218" s="8"/>
      <c r="C1218" s="9"/>
      <c r="D1218" s="9"/>
      <c r="E1218" s="9"/>
      <c r="F1218" s="9"/>
      <c r="G1218" s="9"/>
      <c r="H1218" s="2">
        <f t="shared" si="22"/>
        <v>0</v>
      </c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5.75" x14ac:dyDescent="0.25">
      <c r="A1219" s="10">
        <v>1218</v>
      </c>
      <c r="B1219" s="8"/>
      <c r="C1219" s="9"/>
      <c r="D1219" s="9"/>
      <c r="E1219" s="9"/>
      <c r="F1219" s="9"/>
      <c r="G1219" s="9"/>
      <c r="H1219" s="2">
        <f t="shared" si="22"/>
        <v>0</v>
      </c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5.75" x14ac:dyDescent="0.25">
      <c r="A1220" s="10">
        <v>1219</v>
      </c>
      <c r="B1220" s="8"/>
      <c r="C1220" s="9"/>
      <c r="D1220" s="9"/>
      <c r="E1220" s="9"/>
      <c r="F1220" s="9"/>
      <c r="G1220" s="9"/>
      <c r="H1220" s="2">
        <f t="shared" si="22"/>
        <v>0</v>
      </c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5.75" x14ac:dyDescent="0.25">
      <c r="A1221" s="10">
        <v>1220</v>
      </c>
      <c r="B1221" s="8"/>
      <c r="C1221" s="9"/>
      <c r="D1221" s="9"/>
      <c r="E1221" s="9"/>
      <c r="F1221" s="9"/>
      <c r="G1221" s="9"/>
      <c r="H1221" s="2">
        <f t="shared" si="22"/>
        <v>0</v>
      </c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5.75" x14ac:dyDescent="0.25">
      <c r="A1222" s="10">
        <v>1221</v>
      </c>
      <c r="B1222" s="8"/>
      <c r="C1222" s="9"/>
      <c r="D1222" s="9"/>
      <c r="E1222" s="9"/>
      <c r="F1222" s="9"/>
      <c r="G1222" s="9"/>
      <c r="H1222" s="2">
        <f t="shared" si="22"/>
        <v>0</v>
      </c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5.75" x14ac:dyDescent="0.25">
      <c r="A1223" s="10">
        <v>1222</v>
      </c>
      <c r="B1223" s="8"/>
      <c r="C1223" s="9"/>
      <c r="D1223" s="9"/>
      <c r="E1223" s="9"/>
      <c r="F1223" s="9"/>
      <c r="G1223" s="9"/>
      <c r="H1223" s="2">
        <f t="shared" si="22"/>
        <v>0</v>
      </c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5.75" x14ac:dyDescent="0.25">
      <c r="A1224" s="10">
        <v>1223</v>
      </c>
      <c r="B1224" s="8"/>
      <c r="C1224" s="9"/>
      <c r="D1224" s="9"/>
      <c r="E1224" s="9"/>
      <c r="F1224" s="9"/>
      <c r="G1224" s="9"/>
      <c r="H1224" s="2">
        <f t="shared" si="22"/>
        <v>0</v>
      </c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5.75" x14ac:dyDescent="0.25">
      <c r="A1225" s="10">
        <v>1224</v>
      </c>
      <c r="B1225" s="8"/>
      <c r="C1225" s="9"/>
      <c r="D1225" s="9"/>
      <c r="E1225" s="9"/>
      <c r="F1225" s="9"/>
      <c r="G1225" s="9"/>
      <c r="H1225" s="2">
        <f t="shared" si="22"/>
        <v>0</v>
      </c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5.75" x14ac:dyDescent="0.25">
      <c r="A1226" s="10">
        <v>1225</v>
      </c>
      <c r="B1226" s="8"/>
      <c r="C1226" s="9"/>
      <c r="D1226" s="9"/>
      <c r="E1226" s="9"/>
      <c r="F1226" s="9"/>
      <c r="G1226" s="9"/>
      <c r="H1226" s="2">
        <f t="shared" si="22"/>
        <v>0</v>
      </c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5.75" x14ac:dyDescent="0.25">
      <c r="A1227" s="10">
        <v>1226</v>
      </c>
      <c r="B1227" s="8"/>
      <c r="C1227" s="9"/>
      <c r="D1227" s="9"/>
      <c r="E1227" s="9"/>
      <c r="F1227" s="9"/>
      <c r="G1227" s="9"/>
      <c r="H1227" s="2">
        <f t="shared" si="22"/>
        <v>0</v>
      </c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5.75" x14ac:dyDescent="0.25">
      <c r="A1228" s="10">
        <v>1227</v>
      </c>
      <c r="B1228" s="8"/>
      <c r="C1228" s="9"/>
      <c r="D1228" s="9"/>
      <c r="E1228" s="9"/>
      <c r="F1228" s="9"/>
      <c r="G1228" s="9"/>
      <c r="H1228" s="2">
        <f t="shared" si="22"/>
        <v>0</v>
      </c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5.75" x14ac:dyDescent="0.25">
      <c r="A1229" s="10">
        <v>1228</v>
      </c>
      <c r="B1229" s="8"/>
      <c r="C1229" s="9"/>
      <c r="D1229" s="9"/>
      <c r="E1229" s="9"/>
      <c r="F1229" s="9"/>
      <c r="G1229" s="9"/>
      <c r="H1229" s="2">
        <f t="shared" si="22"/>
        <v>0</v>
      </c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5.75" x14ac:dyDescent="0.25">
      <c r="A1230" s="10">
        <v>1229</v>
      </c>
      <c r="B1230" s="8"/>
      <c r="C1230" s="9"/>
      <c r="D1230" s="9"/>
      <c r="E1230" s="9"/>
      <c r="F1230" s="9"/>
      <c r="G1230" s="9"/>
      <c r="H1230" s="2">
        <f t="shared" si="22"/>
        <v>0</v>
      </c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5.75" x14ac:dyDescent="0.25">
      <c r="A1231" s="10">
        <v>1230</v>
      </c>
      <c r="B1231" s="8"/>
      <c r="C1231" s="9"/>
      <c r="D1231" s="9"/>
      <c r="E1231" s="9"/>
      <c r="F1231" s="9"/>
      <c r="G1231" s="9"/>
      <c r="H1231" s="2">
        <f t="shared" si="22"/>
        <v>0</v>
      </c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5.75" x14ac:dyDescent="0.25">
      <c r="A1232" s="10">
        <v>1231</v>
      </c>
      <c r="B1232" s="8"/>
      <c r="C1232" s="9"/>
      <c r="D1232" s="9"/>
      <c r="E1232" s="9"/>
      <c r="F1232" s="9"/>
      <c r="G1232" s="9"/>
      <c r="H1232" s="2">
        <f t="shared" si="22"/>
        <v>0</v>
      </c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5.75" x14ac:dyDescent="0.25">
      <c r="A1233" s="10">
        <v>1232</v>
      </c>
      <c r="B1233" s="8"/>
      <c r="C1233" s="9"/>
      <c r="D1233" s="9"/>
      <c r="E1233" s="9"/>
      <c r="F1233" s="9"/>
      <c r="G1233" s="9"/>
      <c r="H1233" s="2">
        <f t="shared" si="22"/>
        <v>0</v>
      </c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5.75" x14ac:dyDescent="0.25">
      <c r="A1234" s="10">
        <v>1233</v>
      </c>
      <c r="B1234" s="8"/>
      <c r="C1234" s="9"/>
      <c r="D1234" s="9"/>
      <c r="E1234" s="9"/>
      <c r="F1234" s="9"/>
      <c r="G1234" s="9"/>
      <c r="H1234" s="2">
        <f t="shared" si="22"/>
        <v>0</v>
      </c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5.75" x14ac:dyDescent="0.25">
      <c r="A1235" s="10">
        <v>1234</v>
      </c>
      <c r="B1235" s="8"/>
      <c r="C1235" s="9"/>
      <c r="D1235" s="9"/>
      <c r="E1235" s="9"/>
      <c r="F1235" s="9"/>
      <c r="G1235" s="9"/>
      <c r="H1235" s="2">
        <f t="shared" si="22"/>
        <v>0</v>
      </c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5.75" x14ac:dyDescent="0.25">
      <c r="A1236" s="10">
        <v>1235</v>
      </c>
      <c r="B1236" s="8"/>
      <c r="C1236" s="9"/>
      <c r="D1236" s="9"/>
      <c r="E1236" s="9"/>
      <c r="F1236" s="9"/>
      <c r="G1236" s="9"/>
      <c r="H1236" s="2">
        <f t="shared" si="22"/>
        <v>0</v>
      </c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5.75" x14ac:dyDescent="0.25">
      <c r="A1237" s="10">
        <v>1236</v>
      </c>
      <c r="B1237" s="8"/>
      <c r="C1237" s="9"/>
      <c r="D1237" s="9"/>
      <c r="E1237" s="9"/>
      <c r="F1237" s="9"/>
      <c r="G1237" s="9"/>
      <c r="H1237" s="2">
        <f t="shared" si="22"/>
        <v>0</v>
      </c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5.75" x14ac:dyDescent="0.25">
      <c r="A1238" s="10">
        <v>1237</v>
      </c>
      <c r="B1238" s="8"/>
      <c r="C1238" s="9"/>
      <c r="D1238" s="9"/>
      <c r="E1238" s="9"/>
      <c r="F1238" s="9"/>
      <c r="G1238" s="9"/>
      <c r="H1238" s="2">
        <f t="shared" si="22"/>
        <v>0</v>
      </c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5.75" x14ac:dyDescent="0.25">
      <c r="A1239" s="10">
        <v>1238</v>
      </c>
      <c r="B1239" s="8"/>
      <c r="C1239" s="9"/>
      <c r="D1239" s="9"/>
      <c r="E1239" s="9"/>
      <c r="F1239" s="9"/>
      <c r="G1239" s="9"/>
      <c r="H1239" s="2">
        <f t="shared" si="22"/>
        <v>0</v>
      </c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5.75" x14ac:dyDescent="0.25">
      <c r="A1240" s="10">
        <v>1239</v>
      </c>
      <c r="B1240" s="8"/>
      <c r="C1240" s="9"/>
      <c r="D1240" s="9"/>
      <c r="E1240" s="9"/>
      <c r="F1240" s="9"/>
      <c r="G1240" s="9"/>
      <c r="H1240" s="2">
        <f t="shared" si="22"/>
        <v>0</v>
      </c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5.75" x14ac:dyDescent="0.25">
      <c r="A1241" s="10">
        <v>1240</v>
      </c>
      <c r="B1241" s="8"/>
      <c r="C1241" s="9"/>
      <c r="D1241" s="9"/>
      <c r="E1241" s="9"/>
      <c r="F1241" s="9"/>
      <c r="G1241" s="9"/>
      <c r="H1241" s="2">
        <f t="shared" si="22"/>
        <v>0</v>
      </c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5.75" x14ac:dyDescent="0.25">
      <c r="A1242" s="10">
        <v>1241</v>
      </c>
      <c r="B1242" s="8"/>
      <c r="C1242" s="9"/>
      <c r="D1242" s="9"/>
      <c r="E1242" s="9"/>
      <c r="F1242" s="9"/>
      <c r="G1242" s="9"/>
      <c r="H1242" s="2">
        <f t="shared" si="22"/>
        <v>0</v>
      </c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5.75" x14ac:dyDescent="0.25">
      <c r="A1243" s="10">
        <v>1242</v>
      </c>
      <c r="B1243" s="8"/>
      <c r="C1243" s="9"/>
      <c r="D1243" s="9"/>
      <c r="E1243" s="9"/>
      <c r="F1243" s="9"/>
      <c r="G1243" s="9"/>
      <c r="H1243" s="2">
        <f t="shared" si="22"/>
        <v>0</v>
      </c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5.75" x14ac:dyDescent="0.25">
      <c r="A1244" s="10">
        <v>1243</v>
      </c>
      <c r="B1244" s="8"/>
      <c r="C1244" s="9"/>
      <c r="D1244" s="9"/>
      <c r="E1244" s="9"/>
      <c r="F1244" s="9"/>
      <c r="G1244" s="9"/>
      <c r="H1244" s="2">
        <f t="shared" si="22"/>
        <v>0</v>
      </c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5.75" x14ac:dyDescent="0.25">
      <c r="A1245" s="10">
        <v>1244</v>
      </c>
      <c r="B1245" s="8"/>
      <c r="C1245" s="9"/>
      <c r="D1245" s="9"/>
      <c r="E1245" s="9"/>
      <c r="F1245" s="9"/>
      <c r="G1245" s="9"/>
      <c r="H1245" s="2">
        <f t="shared" ref="H1245:H1260" si="23">SUM(I1245:AM1245)</f>
        <v>0</v>
      </c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5.75" x14ac:dyDescent="0.25">
      <c r="A1246" s="10">
        <v>1245</v>
      </c>
      <c r="B1246" s="8"/>
      <c r="C1246" s="9"/>
      <c r="D1246" s="9"/>
      <c r="E1246" s="9"/>
      <c r="F1246" s="9"/>
      <c r="G1246" s="9"/>
      <c r="H1246" s="2">
        <f t="shared" si="23"/>
        <v>0</v>
      </c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5.75" x14ac:dyDescent="0.25">
      <c r="A1247" s="10">
        <v>1246</v>
      </c>
      <c r="B1247" s="8"/>
      <c r="C1247" s="9"/>
      <c r="D1247" s="9"/>
      <c r="E1247" s="9"/>
      <c r="F1247" s="9"/>
      <c r="G1247" s="9"/>
      <c r="H1247" s="2">
        <f t="shared" si="23"/>
        <v>0</v>
      </c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5.75" x14ac:dyDescent="0.25">
      <c r="A1248" s="10">
        <v>1247</v>
      </c>
      <c r="B1248" s="8"/>
      <c r="C1248" s="9"/>
      <c r="D1248" s="9"/>
      <c r="E1248" s="9"/>
      <c r="F1248" s="9"/>
      <c r="G1248" s="9"/>
      <c r="H1248" s="2">
        <f t="shared" si="23"/>
        <v>0</v>
      </c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5.75" x14ac:dyDescent="0.25">
      <c r="A1249" s="10">
        <v>1248</v>
      </c>
      <c r="B1249" s="8"/>
      <c r="C1249" s="9"/>
      <c r="D1249" s="9"/>
      <c r="E1249" s="9"/>
      <c r="F1249" s="9"/>
      <c r="G1249" s="9"/>
      <c r="H1249" s="2">
        <f t="shared" si="23"/>
        <v>0</v>
      </c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5.75" x14ac:dyDescent="0.25">
      <c r="A1250" s="10">
        <v>1249</v>
      </c>
      <c r="B1250" s="8"/>
      <c r="C1250" s="9"/>
      <c r="D1250" s="9"/>
      <c r="E1250" s="9"/>
      <c r="F1250" s="9"/>
      <c r="G1250" s="9"/>
      <c r="H1250" s="2">
        <f t="shared" si="23"/>
        <v>0</v>
      </c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5.75" x14ac:dyDescent="0.25">
      <c r="A1251" s="10">
        <v>1250</v>
      </c>
      <c r="B1251" s="8"/>
      <c r="C1251" s="9"/>
      <c r="D1251" s="9"/>
      <c r="E1251" s="9"/>
      <c r="F1251" s="9"/>
      <c r="G1251" s="9"/>
      <c r="H1251" s="2">
        <f t="shared" si="23"/>
        <v>0</v>
      </c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5.75" x14ac:dyDescent="0.25">
      <c r="A1252" s="10">
        <v>1251</v>
      </c>
      <c r="B1252" s="8"/>
      <c r="C1252" s="9"/>
      <c r="D1252" s="9"/>
      <c r="E1252" s="9"/>
      <c r="F1252" s="9"/>
      <c r="G1252" s="9"/>
      <c r="H1252" s="2">
        <f t="shared" si="23"/>
        <v>0</v>
      </c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5.75" x14ac:dyDescent="0.25">
      <c r="A1253" s="10">
        <v>1252</v>
      </c>
      <c r="B1253" s="8"/>
      <c r="C1253" s="9"/>
      <c r="D1253" s="9"/>
      <c r="E1253" s="9"/>
      <c r="F1253" s="9"/>
      <c r="G1253" s="9"/>
      <c r="H1253" s="2">
        <f t="shared" si="23"/>
        <v>0</v>
      </c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5.75" x14ac:dyDescent="0.25">
      <c r="A1254" s="10">
        <v>1253</v>
      </c>
      <c r="B1254" s="8"/>
      <c r="C1254" s="9"/>
      <c r="D1254" s="9"/>
      <c r="E1254" s="9"/>
      <c r="F1254" s="9"/>
      <c r="G1254" s="9"/>
      <c r="H1254" s="2">
        <f t="shared" si="23"/>
        <v>0</v>
      </c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5.75" x14ac:dyDescent="0.25">
      <c r="A1255" s="10">
        <v>1254</v>
      </c>
      <c r="B1255" s="8"/>
      <c r="C1255" s="9"/>
      <c r="D1255" s="9"/>
      <c r="E1255" s="9"/>
      <c r="F1255" s="9"/>
      <c r="G1255" s="9"/>
      <c r="H1255" s="2">
        <f t="shared" si="23"/>
        <v>0</v>
      </c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5.75" x14ac:dyDescent="0.25">
      <c r="A1256" s="10">
        <v>1255</v>
      </c>
      <c r="B1256" s="8"/>
      <c r="C1256" s="9"/>
      <c r="D1256" s="9"/>
      <c r="E1256" s="9"/>
      <c r="F1256" s="9"/>
      <c r="G1256" s="9"/>
      <c r="H1256" s="2">
        <f t="shared" si="23"/>
        <v>0</v>
      </c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5.75" x14ac:dyDescent="0.25">
      <c r="A1257" s="10">
        <v>1256</v>
      </c>
      <c r="B1257" s="8"/>
      <c r="C1257" s="9"/>
      <c r="D1257" s="9"/>
      <c r="E1257" s="9"/>
      <c r="F1257" s="9"/>
      <c r="G1257" s="9"/>
      <c r="H1257" s="2">
        <f t="shared" si="23"/>
        <v>0</v>
      </c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5.75" x14ac:dyDescent="0.25">
      <c r="A1258" s="10">
        <v>1257</v>
      </c>
      <c r="B1258" s="8"/>
      <c r="C1258" s="9"/>
      <c r="D1258" s="9"/>
      <c r="E1258" s="9"/>
      <c r="F1258" s="9"/>
      <c r="G1258" s="9"/>
      <c r="H1258" s="2">
        <f t="shared" si="23"/>
        <v>0</v>
      </c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5.75" x14ac:dyDescent="0.25">
      <c r="A1259" s="10">
        <v>1258</v>
      </c>
      <c r="B1259" s="8"/>
      <c r="C1259" s="9"/>
      <c r="D1259" s="9"/>
      <c r="E1259" s="9"/>
      <c r="F1259" s="9"/>
      <c r="G1259" s="9"/>
      <c r="H1259" s="2">
        <f t="shared" si="23"/>
        <v>0</v>
      </c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5.75" x14ac:dyDescent="0.25">
      <c r="A1260" s="10">
        <v>1259</v>
      </c>
      <c r="B1260" s="8"/>
      <c r="C1260" s="9"/>
      <c r="D1260" s="9"/>
      <c r="E1260" s="9"/>
      <c r="F1260" s="9"/>
      <c r="G1260" s="9"/>
      <c r="H1260" s="2">
        <f t="shared" si="23"/>
        <v>0</v>
      </c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5.75" x14ac:dyDescent="0.25">
      <c r="A1261" s="10">
        <v>1260</v>
      </c>
      <c r="B1261" s="146"/>
      <c r="C1261" s="147"/>
      <c r="D1261" s="147"/>
      <c r="E1261" s="147"/>
      <c r="F1261" s="147"/>
      <c r="G1261" s="147"/>
      <c r="H1261" s="2">
        <f t="shared" ref="H1261:H1301" si="24">SUM(I1261:AM1261)</f>
        <v>0</v>
      </c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5.75" x14ac:dyDescent="0.25">
      <c r="A1262" s="10">
        <v>1261</v>
      </c>
      <c r="B1262" s="146"/>
      <c r="C1262" s="147"/>
      <c r="D1262" s="147"/>
      <c r="E1262" s="147"/>
      <c r="F1262" s="147"/>
      <c r="G1262" s="147"/>
      <c r="H1262" s="2">
        <f t="shared" si="24"/>
        <v>0</v>
      </c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5.75" x14ac:dyDescent="0.25">
      <c r="A1263" s="10">
        <v>1262</v>
      </c>
      <c r="B1263" s="146"/>
      <c r="C1263" s="147"/>
      <c r="D1263" s="147"/>
      <c r="E1263" s="147"/>
      <c r="F1263" s="147"/>
      <c r="G1263" s="147"/>
      <c r="H1263" s="2">
        <f t="shared" si="24"/>
        <v>0</v>
      </c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5.75" x14ac:dyDescent="0.25">
      <c r="A1264" s="10">
        <v>1263</v>
      </c>
      <c r="B1264" s="146"/>
      <c r="C1264" s="147"/>
      <c r="D1264" s="147"/>
      <c r="E1264" s="147"/>
      <c r="F1264" s="147"/>
      <c r="G1264" s="147"/>
      <c r="H1264" s="2">
        <f t="shared" si="24"/>
        <v>0</v>
      </c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5.75" x14ac:dyDescent="0.25">
      <c r="A1265" s="10">
        <v>1264</v>
      </c>
      <c r="B1265" s="146"/>
      <c r="C1265" s="147"/>
      <c r="D1265" s="147"/>
      <c r="E1265" s="147"/>
      <c r="F1265" s="147"/>
      <c r="G1265" s="147"/>
      <c r="H1265" s="2">
        <f t="shared" si="24"/>
        <v>0</v>
      </c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5.75" x14ac:dyDescent="0.25">
      <c r="A1266" s="10">
        <v>1265</v>
      </c>
      <c r="B1266" s="146"/>
      <c r="C1266" s="147"/>
      <c r="D1266" s="147"/>
      <c r="E1266" s="147"/>
      <c r="F1266" s="147"/>
      <c r="G1266" s="147"/>
      <c r="H1266" s="2">
        <f t="shared" si="24"/>
        <v>0</v>
      </c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5.75" x14ac:dyDescent="0.25">
      <c r="A1267" s="10">
        <v>1266</v>
      </c>
      <c r="B1267" s="146"/>
      <c r="C1267" s="147"/>
      <c r="D1267" s="147"/>
      <c r="E1267" s="147"/>
      <c r="F1267" s="147"/>
      <c r="G1267" s="147"/>
      <c r="H1267" s="2">
        <f t="shared" si="24"/>
        <v>0</v>
      </c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5.75" x14ac:dyDescent="0.25">
      <c r="A1268" s="10">
        <v>1267</v>
      </c>
      <c r="B1268" s="146"/>
      <c r="C1268" s="147"/>
      <c r="D1268" s="147"/>
      <c r="E1268" s="147"/>
      <c r="F1268" s="147"/>
      <c r="G1268" s="147"/>
      <c r="H1268" s="2">
        <f t="shared" si="24"/>
        <v>0</v>
      </c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5.75" x14ac:dyDescent="0.25">
      <c r="A1269" s="10">
        <v>1268</v>
      </c>
      <c r="B1269" s="146"/>
      <c r="C1269" s="147"/>
      <c r="D1269" s="147"/>
      <c r="E1269" s="147"/>
      <c r="F1269" s="147"/>
      <c r="G1269" s="147"/>
      <c r="H1269" s="2">
        <f t="shared" si="24"/>
        <v>0</v>
      </c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5.75" x14ac:dyDescent="0.25">
      <c r="A1270" s="10">
        <v>1269</v>
      </c>
      <c r="B1270" s="146"/>
      <c r="C1270" s="147"/>
      <c r="D1270" s="147"/>
      <c r="E1270" s="147"/>
      <c r="F1270" s="147"/>
      <c r="G1270" s="147"/>
      <c r="H1270" s="2">
        <f t="shared" si="24"/>
        <v>0</v>
      </c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5.75" x14ac:dyDescent="0.25">
      <c r="A1271" s="10">
        <v>1270</v>
      </c>
      <c r="B1271" s="146"/>
      <c r="C1271" s="147"/>
      <c r="D1271" s="147"/>
      <c r="E1271" s="147"/>
      <c r="F1271" s="147"/>
      <c r="G1271" s="147"/>
      <c r="H1271" s="2">
        <f t="shared" si="24"/>
        <v>0</v>
      </c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5.75" x14ac:dyDescent="0.25">
      <c r="A1272" s="10">
        <v>1271</v>
      </c>
      <c r="B1272" s="146"/>
      <c r="C1272" s="147"/>
      <c r="D1272" s="147"/>
      <c r="E1272" s="147"/>
      <c r="F1272" s="147"/>
      <c r="G1272" s="147"/>
      <c r="H1272" s="2">
        <f t="shared" si="24"/>
        <v>0</v>
      </c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5.75" x14ac:dyDescent="0.25">
      <c r="A1273" s="10">
        <v>1272</v>
      </c>
      <c r="B1273" s="146"/>
      <c r="C1273" s="147"/>
      <c r="D1273" s="147"/>
      <c r="E1273" s="147"/>
      <c r="F1273" s="147"/>
      <c r="G1273" s="147"/>
      <c r="H1273" s="2">
        <f t="shared" si="24"/>
        <v>0</v>
      </c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5.75" x14ac:dyDescent="0.25">
      <c r="A1274" s="10">
        <v>1273</v>
      </c>
      <c r="B1274" s="146"/>
      <c r="C1274" s="147"/>
      <c r="D1274" s="147"/>
      <c r="E1274" s="147"/>
      <c r="F1274" s="147"/>
      <c r="G1274" s="147"/>
      <c r="H1274" s="2">
        <f t="shared" si="24"/>
        <v>0</v>
      </c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5.75" x14ac:dyDescent="0.25">
      <c r="A1275" s="10">
        <v>1274</v>
      </c>
      <c r="B1275" s="146"/>
      <c r="C1275" s="147"/>
      <c r="D1275" s="147"/>
      <c r="E1275" s="147"/>
      <c r="F1275" s="147"/>
      <c r="G1275" s="147"/>
      <c r="H1275" s="2">
        <f t="shared" si="24"/>
        <v>0</v>
      </c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5.75" x14ac:dyDescent="0.25">
      <c r="A1276" s="10">
        <v>1275</v>
      </c>
      <c r="B1276" s="146"/>
      <c r="C1276" s="147"/>
      <c r="D1276" s="147"/>
      <c r="E1276" s="147"/>
      <c r="F1276" s="147"/>
      <c r="G1276" s="147"/>
      <c r="H1276" s="2">
        <f t="shared" si="24"/>
        <v>0</v>
      </c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5.75" x14ac:dyDescent="0.25">
      <c r="A1277" s="10">
        <v>1276</v>
      </c>
      <c r="B1277" s="146"/>
      <c r="C1277" s="147"/>
      <c r="D1277" s="147"/>
      <c r="E1277" s="147"/>
      <c r="F1277" s="147"/>
      <c r="G1277" s="147"/>
      <c r="H1277" s="2">
        <f t="shared" si="24"/>
        <v>0</v>
      </c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5.75" x14ac:dyDescent="0.25">
      <c r="A1278" s="10">
        <v>1277</v>
      </c>
      <c r="B1278" s="146"/>
      <c r="C1278" s="147"/>
      <c r="D1278" s="147"/>
      <c r="E1278" s="147"/>
      <c r="F1278" s="147"/>
      <c r="G1278" s="147"/>
      <c r="H1278" s="2">
        <f t="shared" si="24"/>
        <v>0</v>
      </c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5.75" x14ac:dyDescent="0.25">
      <c r="A1279" s="10">
        <v>1278</v>
      </c>
      <c r="B1279" s="146"/>
      <c r="C1279" s="147"/>
      <c r="D1279" s="147"/>
      <c r="E1279" s="147"/>
      <c r="F1279" s="147"/>
      <c r="G1279" s="147"/>
      <c r="H1279" s="2">
        <f t="shared" si="24"/>
        <v>0</v>
      </c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5.75" x14ac:dyDescent="0.25">
      <c r="A1280" s="10">
        <v>1279</v>
      </c>
      <c r="B1280" s="146"/>
      <c r="C1280" s="147"/>
      <c r="D1280" s="147"/>
      <c r="E1280" s="147"/>
      <c r="F1280" s="147"/>
      <c r="G1280" s="147"/>
      <c r="H1280" s="2">
        <f t="shared" si="24"/>
        <v>0</v>
      </c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5.75" x14ac:dyDescent="0.25">
      <c r="A1281" s="10">
        <v>1280</v>
      </c>
      <c r="B1281" s="146"/>
      <c r="C1281" s="147"/>
      <c r="D1281" s="147"/>
      <c r="E1281" s="147"/>
      <c r="F1281" s="147"/>
      <c r="G1281" s="147"/>
      <c r="H1281" s="2">
        <f t="shared" si="24"/>
        <v>0</v>
      </c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5.75" x14ac:dyDescent="0.25">
      <c r="A1282" s="10">
        <v>1281</v>
      </c>
      <c r="B1282" s="146"/>
      <c r="C1282" s="147"/>
      <c r="D1282" s="147"/>
      <c r="E1282" s="147"/>
      <c r="F1282" s="147"/>
      <c r="G1282" s="147"/>
      <c r="H1282" s="2">
        <f t="shared" si="24"/>
        <v>0</v>
      </c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5.75" x14ac:dyDescent="0.25">
      <c r="A1283" s="10">
        <v>1282</v>
      </c>
      <c r="B1283" s="146"/>
      <c r="C1283" s="147"/>
      <c r="D1283" s="147"/>
      <c r="E1283" s="147"/>
      <c r="F1283" s="147"/>
      <c r="G1283" s="147"/>
      <c r="H1283" s="2">
        <f t="shared" si="24"/>
        <v>0</v>
      </c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5.75" x14ac:dyDescent="0.25">
      <c r="A1284" s="10">
        <v>1283</v>
      </c>
      <c r="B1284" s="146"/>
      <c r="C1284" s="147"/>
      <c r="D1284" s="147"/>
      <c r="E1284" s="147"/>
      <c r="F1284" s="147"/>
      <c r="G1284" s="147"/>
      <c r="H1284" s="2">
        <f t="shared" si="24"/>
        <v>0</v>
      </c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5.75" x14ac:dyDescent="0.25">
      <c r="A1285" s="10">
        <v>1284</v>
      </c>
      <c r="B1285" s="146"/>
      <c r="C1285" s="147"/>
      <c r="D1285" s="147"/>
      <c r="E1285" s="147"/>
      <c r="F1285" s="147"/>
      <c r="G1285" s="147"/>
      <c r="H1285" s="2">
        <f t="shared" si="24"/>
        <v>0</v>
      </c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5.75" x14ac:dyDescent="0.25">
      <c r="A1286" s="10">
        <v>1285</v>
      </c>
      <c r="B1286" s="146"/>
      <c r="C1286" s="147"/>
      <c r="D1286" s="147"/>
      <c r="E1286" s="147"/>
      <c r="F1286" s="147"/>
      <c r="G1286" s="147"/>
      <c r="H1286" s="2">
        <f t="shared" si="24"/>
        <v>0</v>
      </c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5.75" x14ac:dyDescent="0.25">
      <c r="A1287" s="10">
        <v>1286</v>
      </c>
      <c r="B1287" s="146"/>
      <c r="C1287" s="147"/>
      <c r="D1287" s="147"/>
      <c r="E1287" s="147"/>
      <c r="F1287" s="147"/>
      <c r="G1287" s="147"/>
      <c r="H1287" s="2">
        <f t="shared" si="24"/>
        <v>0</v>
      </c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5.75" x14ac:dyDescent="0.25">
      <c r="A1288" s="10">
        <v>1287</v>
      </c>
      <c r="B1288" s="146"/>
      <c r="C1288" s="147"/>
      <c r="D1288" s="147"/>
      <c r="E1288" s="147"/>
      <c r="F1288" s="147"/>
      <c r="G1288" s="147"/>
      <c r="H1288" s="2">
        <f t="shared" si="24"/>
        <v>0</v>
      </c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5.75" x14ac:dyDescent="0.25">
      <c r="A1289" s="10">
        <v>1288</v>
      </c>
      <c r="B1289" s="146"/>
      <c r="C1289" s="147"/>
      <c r="D1289" s="147"/>
      <c r="E1289" s="147"/>
      <c r="F1289" s="147"/>
      <c r="G1289" s="147"/>
      <c r="H1289" s="2">
        <f t="shared" si="24"/>
        <v>0</v>
      </c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5.75" x14ac:dyDescent="0.25">
      <c r="A1290" s="10">
        <v>1289</v>
      </c>
      <c r="B1290" s="146"/>
      <c r="C1290" s="147"/>
      <c r="D1290" s="147"/>
      <c r="E1290" s="147"/>
      <c r="F1290" s="147"/>
      <c r="G1290" s="147"/>
      <c r="H1290" s="2">
        <f t="shared" si="24"/>
        <v>0</v>
      </c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5.75" x14ac:dyDescent="0.25">
      <c r="A1291" s="10">
        <v>1290</v>
      </c>
      <c r="B1291" s="146"/>
      <c r="C1291" s="147"/>
      <c r="D1291" s="147"/>
      <c r="E1291" s="147"/>
      <c r="F1291" s="147"/>
      <c r="G1291" s="147"/>
      <c r="H1291" s="2">
        <f t="shared" si="24"/>
        <v>0</v>
      </c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5.75" x14ac:dyDescent="0.25">
      <c r="A1292" s="10">
        <v>1291</v>
      </c>
      <c r="B1292" s="146"/>
      <c r="C1292" s="147"/>
      <c r="D1292" s="147"/>
      <c r="E1292" s="147"/>
      <c r="F1292" s="147"/>
      <c r="G1292" s="147"/>
      <c r="H1292" s="2">
        <f t="shared" si="24"/>
        <v>0</v>
      </c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5.75" x14ac:dyDescent="0.25">
      <c r="A1293" s="10">
        <v>1292</v>
      </c>
      <c r="B1293" s="146"/>
      <c r="C1293" s="147"/>
      <c r="D1293" s="147"/>
      <c r="E1293" s="147"/>
      <c r="F1293" s="147"/>
      <c r="G1293" s="147"/>
      <c r="H1293" s="2">
        <f t="shared" si="24"/>
        <v>0</v>
      </c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5.75" x14ac:dyDescent="0.25">
      <c r="A1294" s="10">
        <v>1293</v>
      </c>
      <c r="B1294" s="146"/>
      <c r="C1294" s="147"/>
      <c r="D1294" s="147"/>
      <c r="E1294" s="147"/>
      <c r="F1294" s="147"/>
      <c r="G1294" s="147"/>
      <c r="H1294" s="2">
        <f t="shared" si="24"/>
        <v>0</v>
      </c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5.75" x14ac:dyDescent="0.25">
      <c r="A1295" s="10">
        <v>1294</v>
      </c>
      <c r="B1295" s="146"/>
      <c r="C1295" s="147"/>
      <c r="D1295" s="147"/>
      <c r="E1295" s="147"/>
      <c r="F1295" s="147"/>
      <c r="G1295" s="147"/>
      <c r="H1295" s="2">
        <f t="shared" si="24"/>
        <v>0</v>
      </c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5.75" x14ac:dyDescent="0.25">
      <c r="A1296" s="10">
        <v>1295</v>
      </c>
      <c r="B1296" s="146"/>
      <c r="C1296" s="147"/>
      <c r="D1296" s="147"/>
      <c r="E1296" s="147"/>
      <c r="F1296" s="147"/>
      <c r="G1296" s="147"/>
      <c r="H1296" s="2">
        <f t="shared" si="24"/>
        <v>0</v>
      </c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5.75" x14ac:dyDescent="0.25">
      <c r="A1297" s="10">
        <v>1296</v>
      </c>
      <c r="B1297" s="146"/>
      <c r="C1297" s="147"/>
      <c r="D1297" s="147"/>
      <c r="E1297" s="147"/>
      <c r="F1297" s="147"/>
      <c r="G1297" s="147"/>
      <c r="H1297" s="2">
        <f t="shared" si="24"/>
        <v>0</v>
      </c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5.75" x14ac:dyDescent="0.25">
      <c r="A1298" s="10">
        <v>1297</v>
      </c>
      <c r="B1298" s="146"/>
      <c r="C1298" s="147"/>
      <c r="D1298" s="147"/>
      <c r="E1298" s="147"/>
      <c r="F1298" s="147"/>
      <c r="G1298" s="147"/>
      <c r="H1298" s="2">
        <f t="shared" si="24"/>
        <v>0</v>
      </c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5.75" x14ac:dyDescent="0.25">
      <c r="A1299" s="10">
        <v>1298</v>
      </c>
      <c r="B1299" s="146"/>
      <c r="C1299" s="147"/>
      <c r="D1299" s="147"/>
      <c r="E1299" s="147"/>
      <c r="F1299" s="147"/>
      <c r="G1299" s="147"/>
      <c r="H1299" s="2">
        <f t="shared" si="24"/>
        <v>0</v>
      </c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5.75" x14ac:dyDescent="0.25">
      <c r="A1300" s="10">
        <v>1299</v>
      </c>
      <c r="B1300" s="146"/>
      <c r="C1300" s="147"/>
      <c r="D1300" s="147"/>
      <c r="E1300" s="147"/>
      <c r="F1300" s="147"/>
      <c r="G1300" s="147"/>
      <c r="H1300" s="2">
        <f t="shared" si="24"/>
        <v>0</v>
      </c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5.75" x14ac:dyDescent="0.25">
      <c r="A1301" s="10">
        <v>1300</v>
      </c>
      <c r="B1301" s="146"/>
      <c r="C1301" s="147"/>
      <c r="D1301" s="147"/>
      <c r="E1301" s="147"/>
      <c r="F1301" s="147"/>
      <c r="G1301" s="147"/>
      <c r="H1301" s="2">
        <f t="shared" si="24"/>
        <v>0</v>
      </c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</sheetData>
  <sheetProtection algorithmName="SHA-512" hashValue="36jXSiI/bDK2D7+VtO+HhXrr/nsu1bJFCo2JvGmlJ/eXIR0ITpOtGE48ZEoZt1V1zmavNU9hsfj/VVHXlwOEEA==" saltValue="3JB8hIFJSQaAsgZr3ahRqg==" spinCount="100000" sheet="1" objects="1" scenarios="1" autoFilter="0" pivotTables="0"/>
  <autoFilter ref="A1:AM1301" xr:uid="{769C7CF5-77F8-47E7-8180-EA0D02BD3019}"/>
  <conditionalFormatting sqref="B1115:B1128 B1133:B1149 B1162:B1166 B1187:B1191 B1193:B1206 B1211:B1301 B1170 B1173:B1174">
    <cfRule type="duplicateValues" dxfId="127" priority="529"/>
  </conditionalFormatting>
  <conditionalFormatting sqref="B1129:B1132">
    <cfRule type="duplicateValues" dxfId="126" priority="86"/>
  </conditionalFormatting>
  <conditionalFormatting sqref="B1150:B1152 B1154:B1157 B1159:B1161">
    <cfRule type="duplicateValues" dxfId="125" priority="81"/>
  </conditionalFormatting>
  <conditionalFormatting sqref="B1171">
    <cfRule type="duplicateValues" dxfId="124" priority="9"/>
  </conditionalFormatting>
  <conditionalFormatting sqref="B1172">
    <cfRule type="duplicateValues" dxfId="123" priority="7"/>
  </conditionalFormatting>
  <conditionalFormatting sqref="B1177">
    <cfRule type="duplicateValues" dxfId="122" priority="70"/>
  </conditionalFormatting>
  <conditionalFormatting sqref="B1207:B1210">
    <cfRule type="duplicateValues" dxfId="121" priority="65"/>
  </conditionalFormatting>
  <conditionalFormatting sqref="B1:C1 B1115:C1128 B1133:C1149 B1162:C1166 F1175:G1176 B1187:G1191 B1193:G1206 F1192:G1192 B1211:G1048576 E1207:G1210 B1173:G1174 B1170 F1169:G1170 E1162:G1168 E1133:G1149 E1115:G1128 E1:G1 D1171:G1172 E1177:G1182 D1183:G1186">
    <cfRule type="duplicateValues" dxfId="120" priority="443"/>
    <cfRule type="duplicateValues" dxfId="119" priority="452"/>
  </conditionalFormatting>
  <conditionalFormatting sqref="B2:C479 B1067:C1096 B481:C1065">
    <cfRule type="duplicateValues" dxfId="118" priority="128"/>
  </conditionalFormatting>
  <conditionalFormatting sqref="B480:C480">
    <cfRule type="duplicateValues" dxfId="117" priority="87"/>
  </conditionalFormatting>
  <conditionalFormatting sqref="B1115:C1128 B1133:C1149 B1162:C1166 F1175:G1176 B1187:G1191 B1193:G1206 F1192:G1192 B1211:G1301 E1207:G1210 B1173:G1174 B1170 F1169:G1170 E1162:G1168 E1133:G1149 E1115:G1128 D1171:G1172 E1177:G1182 D1183:G1186">
    <cfRule type="duplicateValues" dxfId="116" priority="530"/>
  </conditionalFormatting>
  <conditionalFormatting sqref="B1153:C1153">
    <cfRule type="duplicateValues" dxfId="115" priority="77"/>
  </conditionalFormatting>
  <conditionalFormatting sqref="B1158:C1158">
    <cfRule type="duplicateValues" dxfId="114" priority="74"/>
  </conditionalFormatting>
  <conditionalFormatting sqref="B1167:C1167">
    <cfRule type="duplicateValues" dxfId="113" priority="63"/>
  </conditionalFormatting>
  <conditionalFormatting sqref="B1168:C1168">
    <cfRule type="duplicateValues" dxfId="112" priority="62"/>
  </conditionalFormatting>
  <conditionalFormatting sqref="B1169:C1169">
    <cfRule type="duplicateValues" dxfId="111" priority="61"/>
  </conditionalFormatting>
  <conditionalFormatting sqref="B1177:C1177">
    <cfRule type="duplicateValues" dxfId="110" priority="68"/>
  </conditionalFormatting>
  <conditionalFormatting sqref="B1178:C1186">
    <cfRule type="duplicateValues" dxfId="109" priority="1"/>
    <cfRule type="duplicateValues" dxfId="108" priority="2"/>
  </conditionalFormatting>
  <conditionalFormatting sqref="B1175:E1175">
    <cfRule type="duplicateValues" dxfId="107" priority="73"/>
  </conditionalFormatting>
  <conditionalFormatting sqref="B1176:E1176 D1177:D1182">
    <cfRule type="duplicateValues" dxfId="106" priority="72"/>
  </conditionalFormatting>
  <conditionalFormatting sqref="B1192:E1192">
    <cfRule type="duplicateValues" dxfId="105" priority="66"/>
    <cfRule type="duplicateValues" dxfId="104" priority="67"/>
  </conditionalFormatting>
  <conditionalFormatting sqref="C1066">
    <cfRule type="duplicateValues" dxfId="103" priority="119"/>
    <cfRule type="duplicateValues" dxfId="102" priority="120"/>
    <cfRule type="duplicateValues" dxfId="101" priority="121"/>
    <cfRule type="duplicateValues" dxfId="100" priority="122"/>
    <cfRule type="duplicateValues" dxfId="99" priority="123"/>
    <cfRule type="duplicateValues" dxfId="98" priority="124"/>
    <cfRule type="duplicateValues" dxfId="97" priority="125"/>
    <cfRule type="duplicateValues" dxfId="96" priority="126"/>
    <cfRule type="duplicateValues" dxfId="95" priority="127"/>
  </conditionalFormatting>
  <conditionalFormatting sqref="C1097:C1099 E1097:G1099">
    <cfRule type="duplicateValues" dxfId="94" priority="110"/>
    <cfRule type="duplicateValues" dxfId="93" priority="111"/>
    <cfRule type="duplicateValues" dxfId="92" priority="112"/>
    <cfRule type="duplicateValues" dxfId="91" priority="113"/>
    <cfRule type="duplicateValues" dxfId="90" priority="114"/>
    <cfRule type="duplicateValues" dxfId="89" priority="115"/>
    <cfRule type="duplicateValues" dxfId="88" priority="116"/>
    <cfRule type="duplicateValues" dxfId="87" priority="117"/>
    <cfRule type="duplicateValues" dxfId="86" priority="118"/>
  </conditionalFormatting>
  <conditionalFormatting sqref="C1100:C1109 B1110:C1114 E1100:G1114">
    <cfRule type="duplicateValues" dxfId="85" priority="90"/>
    <cfRule type="duplicateValues" dxfId="84" priority="91"/>
    <cfRule type="duplicateValues" dxfId="83" priority="92"/>
    <cfRule type="duplicateValues" dxfId="82" priority="93"/>
    <cfRule type="duplicateValues" dxfId="81" priority="94"/>
    <cfRule type="duplicateValues" dxfId="80" priority="95"/>
    <cfRule type="duplicateValues" dxfId="79" priority="96"/>
    <cfRule type="duplicateValues" dxfId="78" priority="97"/>
    <cfRule type="duplicateValues" dxfId="77" priority="98"/>
  </conditionalFormatting>
  <conditionalFormatting sqref="C1115:C1128 C1133:C1149 C1162:C1166 F1175:G1176 C1187:G1191 C1193:G1206 F1192:G1192 C1211:G1301 E1207:G1210 C1173:G1174 F1169:G1170 E1162:G1168 E1133:G1149 E1115:G1128 D1171:G1172 E1177:G1182 D1183:G1186">
    <cfRule type="duplicateValues" dxfId="76" priority="514"/>
    <cfRule type="duplicateValues" dxfId="75" priority="532"/>
    <cfRule type="duplicateValues" dxfId="74" priority="533"/>
    <cfRule type="duplicateValues" dxfId="73" priority="534"/>
    <cfRule type="duplicateValues" dxfId="72" priority="535"/>
    <cfRule type="duplicateValues" dxfId="71" priority="536"/>
  </conditionalFormatting>
  <conditionalFormatting sqref="C1129:C1132">
    <cfRule type="duplicateValues" dxfId="70" priority="85"/>
  </conditionalFormatting>
  <conditionalFormatting sqref="C1150:C1152 C1154:C1157 C1159:C1161">
    <cfRule type="duplicateValues" dxfId="69" priority="80"/>
  </conditionalFormatting>
  <conditionalFormatting sqref="C1170">
    <cfRule type="duplicateValues" dxfId="68" priority="5"/>
  </conditionalFormatting>
  <conditionalFormatting sqref="C1171">
    <cfRule type="duplicateValues" dxfId="67" priority="8"/>
  </conditionalFormatting>
  <conditionalFormatting sqref="C1172">
    <cfRule type="duplicateValues" dxfId="66" priority="6"/>
  </conditionalFormatting>
  <conditionalFormatting sqref="C1177">
    <cfRule type="duplicateValues" dxfId="65" priority="69"/>
  </conditionalFormatting>
  <conditionalFormatting sqref="C1207:D1210">
    <cfRule type="duplicateValues" dxfId="64" priority="64"/>
  </conditionalFormatting>
  <conditionalFormatting sqref="D1:D1065 D1067:D1096 D1115 D1119:D1128 D1133:D1143 D1145:D1149 D1162:D1167 D1170">
    <cfRule type="duplicateValues" dxfId="63" priority="60"/>
  </conditionalFormatting>
  <conditionalFormatting sqref="D1066">
    <cfRule type="duplicateValues" dxfId="62" priority="51"/>
    <cfRule type="duplicateValues" dxfId="61" priority="52"/>
    <cfRule type="duplicateValues" dxfId="60" priority="53"/>
    <cfRule type="duplicateValues" dxfId="59" priority="54"/>
    <cfRule type="duplicateValues" dxfId="58" priority="55"/>
    <cfRule type="duplicateValues" dxfId="57" priority="56"/>
    <cfRule type="duplicateValues" dxfId="56" priority="57"/>
    <cfRule type="duplicateValues" dxfId="55" priority="58"/>
    <cfRule type="duplicateValues" dxfId="54" priority="59"/>
  </conditionalFormatting>
  <conditionalFormatting sqref="D1097:D1099">
    <cfRule type="duplicateValues" dxfId="53" priority="42"/>
    <cfRule type="duplicateValues" dxfId="52" priority="43"/>
    <cfRule type="duplicateValues" dxfId="51" priority="44"/>
    <cfRule type="duplicateValues" dxfId="50" priority="45"/>
    <cfRule type="duplicateValues" dxfId="49" priority="46"/>
    <cfRule type="duplicateValues" dxfId="48" priority="47"/>
    <cfRule type="duplicateValues" dxfId="47" priority="48"/>
    <cfRule type="duplicateValues" dxfId="46" priority="49"/>
    <cfRule type="duplicateValues" dxfId="45" priority="50"/>
  </conditionalFormatting>
  <conditionalFormatting sqref="D1100:D1114">
    <cfRule type="duplicateValues" dxfId="44" priority="33"/>
    <cfRule type="duplicateValues" dxfId="43" priority="34"/>
    <cfRule type="duplicateValues" dxfId="42" priority="35"/>
    <cfRule type="duplicateValues" dxfId="41" priority="36"/>
    <cfRule type="duplicateValues" dxfId="40" priority="37"/>
    <cfRule type="duplicateValues" dxfId="39" priority="38"/>
    <cfRule type="duplicateValues" dxfId="38" priority="39"/>
    <cfRule type="duplicateValues" dxfId="37" priority="40"/>
    <cfRule type="duplicateValues" dxfId="36" priority="41"/>
  </conditionalFormatting>
  <conditionalFormatting sqref="D1116:D1118">
    <cfRule type="duplicateValues" dxfId="35" priority="24"/>
    <cfRule type="duplicateValues" dxfId="34" priority="25"/>
    <cfRule type="duplicateValues" dxfId="33" priority="26"/>
    <cfRule type="duplicateValues" dxfId="32" priority="27"/>
    <cfRule type="duplicateValues" dxfId="31" priority="28"/>
    <cfRule type="duplicateValues" dxfId="30" priority="29"/>
    <cfRule type="duplicateValues" dxfId="29" priority="30"/>
    <cfRule type="duplicateValues" dxfId="28" priority="31"/>
    <cfRule type="duplicateValues" dxfId="27" priority="32"/>
  </conditionalFormatting>
  <conditionalFormatting sqref="D1129:D1132">
    <cfRule type="duplicateValues" dxfId="26" priority="23"/>
  </conditionalFormatting>
  <conditionalFormatting sqref="D1144">
    <cfRule type="duplicateValues" dxfId="25" priority="22"/>
  </conditionalFormatting>
  <conditionalFormatting sqref="D1150:D1152 D1154:D1157 D1159:D1161">
    <cfRule type="duplicateValues" dxfId="24" priority="21"/>
  </conditionalFormatting>
  <conditionalFormatting sqref="D1153">
    <cfRule type="duplicateValues" dxfId="23" priority="20"/>
  </conditionalFormatting>
  <conditionalFormatting sqref="D1158">
    <cfRule type="duplicateValues" dxfId="22" priority="19"/>
  </conditionalFormatting>
  <conditionalFormatting sqref="D1168">
    <cfRule type="duplicateValues" dxfId="21" priority="10"/>
    <cfRule type="duplicateValues" dxfId="20" priority="11"/>
    <cfRule type="duplicateValues" dxfId="19" priority="12"/>
    <cfRule type="duplicateValues" dxfId="18" priority="13"/>
    <cfRule type="duplicateValues" dxfId="17" priority="14"/>
    <cfRule type="duplicateValues" dxfId="16" priority="15"/>
    <cfRule type="duplicateValues" dxfId="15" priority="16"/>
    <cfRule type="duplicateValues" dxfId="14" priority="17"/>
    <cfRule type="duplicateValues" dxfId="13" priority="18"/>
  </conditionalFormatting>
  <conditionalFormatting sqref="E1176">
    <cfRule type="duplicateValues" dxfId="12" priority="71"/>
  </conditionalFormatting>
  <conditionalFormatting sqref="E480:F480">
    <cfRule type="duplicateValues" dxfId="11" priority="88"/>
    <cfRule type="duplicateValues" dxfId="10" priority="89"/>
  </conditionalFormatting>
  <conditionalFormatting sqref="E2:G479 E590:G1096 E589:F589 E481:G588 G480">
    <cfRule type="duplicateValues" dxfId="9" priority="129"/>
    <cfRule type="duplicateValues" dxfId="8" priority="130"/>
  </conditionalFormatting>
  <conditionalFormatting sqref="E1153:G1153 E1154:E1158">
    <cfRule type="duplicateValues" dxfId="7" priority="78"/>
    <cfRule type="duplicateValues" dxfId="6" priority="79"/>
  </conditionalFormatting>
  <conditionalFormatting sqref="F1158">
    <cfRule type="duplicateValues" dxfId="5" priority="75"/>
    <cfRule type="duplicateValues" dxfId="4" priority="76"/>
  </conditionalFormatting>
  <conditionalFormatting sqref="G589">
    <cfRule type="duplicateValues" dxfId="3" priority="108"/>
    <cfRule type="duplicateValues" dxfId="2" priority="109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0597C-BB37-430E-947E-D334F7E6840F}">
  <sheetPr filterMode="1"/>
  <dimension ref="A3:D145"/>
  <sheetViews>
    <sheetView topLeftCell="A2" workbookViewId="0">
      <selection activeCell="A118" sqref="A118"/>
    </sheetView>
  </sheetViews>
  <sheetFormatPr defaultRowHeight="15" x14ac:dyDescent="0.25"/>
  <cols>
    <col min="1" max="1" width="20.42578125" customWidth="1"/>
    <col min="5" max="5" width="9.140625" bestFit="1" customWidth="1"/>
  </cols>
  <sheetData>
    <row r="3" spans="1:4" x14ac:dyDescent="0.25">
      <c r="A3" s="138" t="s">
        <v>4950</v>
      </c>
      <c r="B3" s="138" t="s">
        <v>4951</v>
      </c>
      <c r="C3" s="138" t="s">
        <v>4952</v>
      </c>
      <c r="D3" s="138" t="s">
        <v>4953</v>
      </c>
    </row>
    <row r="4" spans="1:4" hidden="1" x14ac:dyDescent="0.25">
      <c r="A4" s="138" t="s">
        <v>1413</v>
      </c>
      <c r="B4" s="138">
        <v>10</v>
      </c>
      <c r="C4" s="138" t="e">
        <f>VLOOKUP(A4,'July 2026- Dispatch'!B:AI,33,0)</f>
        <v>#N/A</v>
      </c>
      <c r="D4" s="138" t="e">
        <f>B4=C4</f>
        <v>#N/A</v>
      </c>
    </row>
    <row r="5" spans="1:4" hidden="1" x14ac:dyDescent="0.25">
      <c r="A5" s="138" t="s">
        <v>359</v>
      </c>
      <c r="B5" s="138">
        <v>4</v>
      </c>
      <c r="C5" s="138" t="e">
        <f>VLOOKUP(A5,'July 2026- Dispatch'!B:AI,33,0)</f>
        <v>#N/A</v>
      </c>
      <c r="D5" s="138" t="e">
        <f t="shared" ref="D5:D67" si="0">B5=C5</f>
        <v>#N/A</v>
      </c>
    </row>
    <row r="6" spans="1:4" hidden="1" x14ac:dyDescent="0.25">
      <c r="A6" s="138" t="s">
        <v>2493</v>
      </c>
      <c r="B6" s="138">
        <v>3</v>
      </c>
      <c r="C6" s="138">
        <f>VLOOKUP(A6,'July 2026- Dispatch'!B:AI,33,0)</f>
        <v>0</v>
      </c>
      <c r="D6" s="138" t="b">
        <f t="shared" si="0"/>
        <v>0</v>
      </c>
    </row>
    <row r="7" spans="1:4" hidden="1" x14ac:dyDescent="0.25">
      <c r="A7" s="138" t="s">
        <v>4867</v>
      </c>
      <c r="B7" s="138">
        <v>2</v>
      </c>
      <c r="C7" s="138">
        <f>VLOOKUP(A7,'July 2026- Dispatch'!B:AI,33,0)</f>
        <v>0</v>
      </c>
      <c r="D7" s="138" t="b">
        <f t="shared" si="0"/>
        <v>0</v>
      </c>
    </row>
    <row r="8" spans="1:4" hidden="1" x14ac:dyDescent="0.25">
      <c r="A8" s="138" t="s">
        <v>4943</v>
      </c>
      <c r="B8" s="138">
        <v>202</v>
      </c>
      <c r="C8" s="138">
        <f>VLOOKUP(A8,'July 2026- Dispatch'!B:AI,33,0)</f>
        <v>0</v>
      </c>
      <c r="D8" s="138" t="b">
        <f t="shared" si="0"/>
        <v>0</v>
      </c>
    </row>
    <row r="9" spans="1:4" hidden="1" x14ac:dyDescent="0.25">
      <c r="A9" s="138" t="s">
        <v>3043</v>
      </c>
      <c r="B9" s="138">
        <v>80000</v>
      </c>
      <c r="C9" s="138">
        <f>VLOOKUP(A9,'July 2026- Dispatch'!B:AI,33,0)</f>
        <v>0</v>
      </c>
      <c r="D9" s="138" t="b">
        <f t="shared" si="0"/>
        <v>0</v>
      </c>
    </row>
    <row r="10" spans="1:4" hidden="1" x14ac:dyDescent="0.25">
      <c r="A10" s="138" t="s">
        <v>1845</v>
      </c>
      <c r="B10" s="138">
        <v>3819</v>
      </c>
      <c r="C10" s="138">
        <f>VLOOKUP(A10,'July 2026- Dispatch'!B:AI,33,0)</f>
        <v>0</v>
      </c>
      <c r="D10" s="138" t="b">
        <f t="shared" si="0"/>
        <v>0</v>
      </c>
    </row>
    <row r="11" spans="1:4" hidden="1" x14ac:dyDescent="0.25">
      <c r="A11" s="138" t="s">
        <v>1099</v>
      </c>
      <c r="B11" s="138">
        <v>9000</v>
      </c>
      <c r="C11" s="138">
        <f>VLOOKUP(A11,'July 2026- Dispatch'!B:AI,33,0)</f>
        <v>0</v>
      </c>
      <c r="D11" s="138" t="b">
        <f t="shared" si="0"/>
        <v>0</v>
      </c>
    </row>
    <row r="12" spans="1:4" hidden="1" x14ac:dyDescent="0.25">
      <c r="A12" s="138" t="s">
        <v>3319</v>
      </c>
      <c r="B12" s="138">
        <v>500</v>
      </c>
      <c r="C12" s="138">
        <f>VLOOKUP(A12,'July 2026- Dispatch'!B:AI,33,0)</f>
        <v>0</v>
      </c>
      <c r="D12" s="138" t="b">
        <f t="shared" si="0"/>
        <v>0</v>
      </c>
    </row>
    <row r="13" spans="1:4" hidden="1" x14ac:dyDescent="0.25">
      <c r="A13" s="138" t="s">
        <v>3409</v>
      </c>
      <c r="B13" s="138">
        <v>1000</v>
      </c>
      <c r="C13" s="138">
        <f>VLOOKUP(A13,'July 2026- Dispatch'!B:AI,33,0)</f>
        <v>0</v>
      </c>
      <c r="D13" s="138" t="b">
        <f t="shared" si="0"/>
        <v>0</v>
      </c>
    </row>
    <row r="14" spans="1:4" hidden="1" x14ac:dyDescent="0.25">
      <c r="A14" s="138" t="s">
        <v>3412</v>
      </c>
      <c r="B14" s="138">
        <v>8000</v>
      </c>
      <c r="C14" s="138">
        <f>VLOOKUP(A14,'July 2026- Dispatch'!B:AI,33,0)</f>
        <v>0</v>
      </c>
      <c r="D14" s="138" t="b">
        <f t="shared" si="0"/>
        <v>0</v>
      </c>
    </row>
    <row r="15" spans="1:4" hidden="1" x14ac:dyDescent="0.25">
      <c r="A15" s="138" t="s">
        <v>3415</v>
      </c>
      <c r="B15" s="138">
        <v>500</v>
      </c>
      <c r="C15" s="138">
        <f>VLOOKUP(A15,'July 2026- Dispatch'!B:AI,33,0)</f>
        <v>0</v>
      </c>
      <c r="D15" s="138" t="b">
        <f t="shared" si="0"/>
        <v>0</v>
      </c>
    </row>
    <row r="16" spans="1:4" hidden="1" x14ac:dyDescent="0.25">
      <c r="A16" s="138" t="s">
        <v>3418</v>
      </c>
      <c r="B16" s="138">
        <v>500</v>
      </c>
      <c r="C16" s="138">
        <f>VLOOKUP(A16,'July 2026- Dispatch'!B:AI,33,0)</f>
        <v>0</v>
      </c>
      <c r="D16" s="138" t="b">
        <f t="shared" si="0"/>
        <v>0</v>
      </c>
    </row>
    <row r="17" spans="1:4" hidden="1" x14ac:dyDescent="0.25">
      <c r="A17" s="138" t="s">
        <v>3438</v>
      </c>
      <c r="B17" s="138">
        <v>11000</v>
      </c>
      <c r="C17" s="138">
        <f>VLOOKUP(A17,'July 2026- Dispatch'!B:AI,33,0)</f>
        <v>0</v>
      </c>
      <c r="D17" s="138" t="b">
        <f t="shared" si="0"/>
        <v>0</v>
      </c>
    </row>
    <row r="18" spans="1:4" hidden="1" x14ac:dyDescent="0.25">
      <c r="A18" s="138" t="s">
        <v>3718</v>
      </c>
      <c r="B18" s="138">
        <v>4000</v>
      </c>
      <c r="C18" s="138">
        <f>VLOOKUP(A18,'July 2026- Dispatch'!B:AI,33,0)</f>
        <v>0</v>
      </c>
      <c r="D18" s="138" t="b">
        <f t="shared" si="0"/>
        <v>0</v>
      </c>
    </row>
    <row r="19" spans="1:4" hidden="1" x14ac:dyDescent="0.25">
      <c r="A19" s="138" t="s">
        <v>3751</v>
      </c>
      <c r="B19" s="138">
        <v>5000</v>
      </c>
      <c r="C19" s="138">
        <f>VLOOKUP(A19,'July 2026- Dispatch'!B:AI,33,0)</f>
        <v>0</v>
      </c>
      <c r="D19" s="138" t="b">
        <f t="shared" si="0"/>
        <v>0</v>
      </c>
    </row>
    <row r="20" spans="1:4" hidden="1" x14ac:dyDescent="0.25">
      <c r="A20" s="138" t="s">
        <v>3819</v>
      </c>
      <c r="B20" s="138">
        <v>4000</v>
      </c>
      <c r="C20" s="138">
        <f>VLOOKUP(A20,'July 2026- Dispatch'!B:AI,33,0)</f>
        <v>0</v>
      </c>
      <c r="D20" s="138" t="b">
        <f t="shared" si="0"/>
        <v>0</v>
      </c>
    </row>
    <row r="21" spans="1:4" hidden="1" x14ac:dyDescent="0.25">
      <c r="A21" s="138" t="s">
        <v>4954</v>
      </c>
      <c r="B21" s="138">
        <v>2000</v>
      </c>
      <c r="C21" s="138" t="e">
        <f>VLOOKUP(A21,'July 2026- Dispatch'!B:AI,33,0)</f>
        <v>#N/A</v>
      </c>
      <c r="D21" s="138" t="e">
        <f t="shared" si="0"/>
        <v>#N/A</v>
      </c>
    </row>
    <row r="22" spans="1:4" hidden="1" x14ac:dyDescent="0.25">
      <c r="A22" s="138" t="s">
        <v>3846</v>
      </c>
      <c r="B22" s="138">
        <v>2000</v>
      </c>
      <c r="C22" s="138">
        <f>VLOOKUP(A22,'July 2026- Dispatch'!B:AI,33,0)</f>
        <v>0</v>
      </c>
      <c r="D22" s="138" t="b">
        <f t="shared" si="0"/>
        <v>0</v>
      </c>
    </row>
    <row r="23" spans="1:4" hidden="1" x14ac:dyDescent="0.25">
      <c r="A23" s="138" t="s">
        <v>3849</v>
      </c>
      <c r="B23" s="138">
        <v>2000</v>
      </c>
      <c r="C23" s="138">
        <f>VLOOKUP(A23,'July 2026- Dispatch'!B:AI,33,0)</f>
        <v>0</v>
      </c>
      <c r="D23" s="138" t="b">
        <f t="shared" si="0"/>
        <v>0</v>
      </c>
    </row>
    <row r="24" spans="1:4" hidden="1" x14ac:dyDescent="0.25">
      <c r="A24" s="138" t="s">
        <v>3852</v>
      </c>
      <c r="B24" s="138">
        <v>1000</v>
      </c>
      <c r="C24" s="138">
        <f>VLOOKUP(A24,'July 2026- Dispatch'!B:AI,33,0)</f>
        <v>0</v>
      </c>
      <c r="D24" s="138" t="b">
        <f t="shared" si="0"/>
        <v>0</v>
      </c>
    </row>
    <row r="25" spans="1:4" hidden="1" x14ac:dyDescent="0.25">
      <c r="A25" s="138" t="s">
        <v>3855</v>
      </c>
      <c r="B25" s="138">
        <v>1000</v>
      </c>
      <c r="C25" s="138">
        <f>VLOOKUP(A25,'July 2026- Dispatch'!B:AI,33,0)</f>
        <v>0</v>
      </c>
      <c r="D25" s="138" t="b">
        <f t="shared" si="0"/>
        <v>0</v>
      </c>
    </row>
    <row r="26" spans="1:4" hidden="1" x14ac:dyDescent="0.25">
      <c r="A26" s="138" t="s">
        <v>3858</v>
      </c>
      <c r="B26" s="138">
        <v>2000</v>
      </c>
      <c r="C26" s="138">
        <f>VLOOKUP(A26,'July 2026- Dispatch'!B:AI,33,0)</f>
        <v>0</v>
      </c>
      <c r="D26" s="138" t="b">
        <f t="shared" si="0"/>
        <v>0</v>
      </c>
    </row>
    <row r="27" spans="1:4" hidden="1" x14ac:dyDescent="0.25">
      <c r="A27" s="138" t="s">
        <v>3861</v>
      </c>
      <c r="B27" s="138">
        <v>2000</v>
      </c>
      <c r="C27" s="138">
        <f>VLOOKUP(A27,'July 2026- Dispatch'!B:AI,33,0)</f>
        <v>0</v>
      </c>
      <c r="D27" s="138" t="b">
        <f t="shared" si="0"/>
        <v>0</v>
      </c>
    </row>
    <row r="28" spans="1:4" hidden="1" x14ac:dyDescent="0.25">
      <c r="A28" s="138" t="s">
        <v>3864</v>
      </c>
      <c r="B28" s="138">
        <v>1000</v>
      </c>
      <c r="C28" s="138">
        <f>VLOOKUP(A28,'July 2026- Dispatch'!B:AI,33,0)</f>
        <v>0</v>
      </c>
      <c r="D28" s="138" t="b">
        <f t="shared" si="0"/>
        <v>0</v>
      </c>
    </row>
    <row r="29" spans="1:4" hidden="1" x14ac:dyDescent="0.25">
      <c r="A29" s="138" t="s">
        <v>3930</v>
      </c>
      <c r="B29" s="138">
        <v>4000</v>
      </c>
      <c r="C29" s="138">
        <f>VLOOKUP(A29,'July 2026- Dispatch'!B:AI,33,0)</f>
        <v>0</v>
      </c>
      <c r="D29" s="138" t="b">
        <f t="shared" si="0"/>
        <v>0</v>
      </c>
    </row>
    <row r="30" spans="1:4" hidden="1" x14ac:dyDescent="0.25">
      <c r="A30" s="138" t="s">
        <v>3933</v>
      </c>
      <c r="B30" s="138">
        <v>2000</v>
      </c>
      <c r="C30" s="138">
        <f>VLOOKUP(A30,'July 2026- Dispatch'!B:AI,33,0)</f>
        <v>0</v>
      </c>
      <c r="D30" s="138" t="b">
        <f t="shared" si="0"/>
        <v>0</v>
      </c>
    </row>
    <row r="31" spans="1:4" hidden="1" x14ac:dyDescent="0.25">
      <c r="A31" s="138" t="s">
        <v>3936</v>
      </c>
      <c r="B31" s="138">
        <v>2000</v>
      </c>
      <c r="C31" s="138">
        <f>VLOOKUP(A31,'July 2026- Dispatch'!B:AI,33,0)</f>
        <v>0</v>
      </c>
      <c r="D31" s="138" t="b">
        <f t="shared" si="0"/>
        <v>0</v>
      </c>
    </row>
    <row r="32" spans="1:4" hidden="1" x14ac:dyDescent="0.25">
      <c r="A32" s="138" t="s">
        <v>3939</v>
      </c>
      <c r="B32" s="138">
        <v>9000</v>
      </c>
      <c r="C32" s="138">
        <f>VLOOKUP(A32,'July 2026- Dispatch'!B:AI,33,0)</f>
        <v>0</v>
      </c>
      <c r="D32" s="138" t="b">
        <f t="shared" si="0"/>
        <v>0</v>
      </c>
    </row>
    <row r="33" spans="1:4" hidden="1" x14ac:dyDescent="0.25">
      <c r="A33" s="138" t="s">
        <v>3942</v>
      </c>
      <c r="B33" s="138">
        <v>6000</v>
      </c>
      <c r="C33" s="138">
        <f>VLOOKUP(A33,'July 2026- Dispatch'!B:AI,33,0)</f>
        <v>0</v>
      </c>
      <c r="D33" s="138" t="b">
        <f t="shared" si="0"/>
        <v>0</v>
      </c>
    </row>
    <row r="34" spans="1:4" hidden="1" x14ac:dyDescent="0.25">
      <c r="A34" s="138" t="s">
        <v>3945</v>
      </c>
      <c r="B34" s="138">
        <v>10000</v>
      </c>
      <c r="C34" s="138">
        <f>VLOOKUP(A34,'July 2026- Dispatch'!B:AI,33,0)</f>
        <v>0</v>
      </c>
      <c r="D34" s="138" t="b">
        <f t="shared" si="0"/>
        <v>0</v>
      </c>
    </row>
    <row r="35" spans="1:4" hidden="1" x14ac:dyDescent="0.25">
      <c r="A35" s="138" t="s">
        <v>3972</v>
      </c>
      <c r="B35" s="138">
        <v>19000</v>
      </c>
      <c r="C35" s="138">
        <f>VLOOKUP(A35,'July 2026- Dispatch'!B:AI,33,0)</f>
        <v>0</v>
      </c>
      <c r="D35" s="138" t="b">
        <f t="shared" si="0"/>
        <v>0</v>
      </c>
    </row>
    <row r="36" spans="1:4" hidden="1" x14ac:dyDescent="0.25">
      <c r="A36" s="138" t="s">
        <v>3975</v>
      </c>
      <c r="B36" s="138">
        <v>12000</v>
      </c>
      <c r="C36" s="138">
        <f>VLOOKUP(A36,'July 2026- Dispatch'!B:AI,33,0)</f>
        <v>0</v>
      </c>
      <c r="D36" s="138" t="b">
        <f t="shared" si="0"/>
        <v>0</v>
      </c>
    </row>
    <row r="37" spans="1:4" hidden="1" x14ac:dyDescent="0.25">
      <c r="A37" s="138" t="s">
        <v>3981</v>
      </c>
      <c r="B37" s="138">
        <v>650</v>
      </c>
      <c r="C37" s="138">
        <f>VLOOKUP(A37,'July 2026- Dispatch'!B:AI,33,0)</f>
        <v>0</v>
      </c>
      <c r="D37" s="138" t="b">
        <f t="shared" si="0"/>
        <v>0</v>
      </c>
    </row>
    <row r="38" spans="1:4" hidden="1" x14ac:dyDescent="0.25">
      <c r="A38" s="138" t="s">
        <v>3987</v>
      </c>
      <c r="B38" s="138">
        <v>2500</v>
      </c>
      <c r="C38" s="138">
        <f>VLOOKUP(A38,'July 2026- Dispatch'!B:AI,33,0)</f>
        <v>0</v>
      </c>
      <c r="D38" s="138" t="b">
        <f t="shared" si="0"/>
        <v>0</v>
      </c>
    </row>
    <row r="39" spans="1:4" hidden="1" x14ac:dyDescent="0.25">
      <c r="A39" s="138" t="s">
        <v>1047</v>
      </c>
      <c r="B39" s="138">
        <v>29</v>
      </c>
      <c r="C39" s="138">
        <f>VLOOKUP(A39,'July 2026- Dispatch'!B:AI,33,0)</f>
        <v>0</v>
      </c>
      <c r="D39" s="138" t="b">
        <f t="shared" si="0"/>
        <v>0</v>
      </c>
    </row>
    <row r="40" spans="1:4" hidden="1" x14ac:dyDescent="0.25">
      <c r="A40" s="138" t="s">
        <v>4348</v>
      </c>
      <c r="B40" s="138">
        <v>40</v>
      </c>
      <c r="C40" s="138">
        <f>VLOOKUP(A40,'July 2026- Dispatch'!B:AI,33,0)</f>
        <v>0</v>
      </c>
      <c r="D40" s="138" t="b">
        <f t="shared" si="0"/>
        <v>0</v>
      </c>
    </row>
    <row r="41" spans="1:4" hidden="1" x14ac:dyDescent="0.25">
      <c r="A41" s="138" t="s">
        <v>377</v>
      </c>
      <c r="B41" s="138">
        <v>39</v>
      </c>
      <c r="C41" s="138" t="e">
        <f>VLOOKUP(A41,'July 2026- Dispatch'!B:AI,33,0)</f>
        <v>#N/A</v>
      </c>
      <c r="D41" s="138" t="e">
        <f t="shared" si="0"/>
        <v>#N/A</v>
      </c>
    </row>
    <row r="42" spans="1:4" hidden="1" x14ac:dyDescent="0.25">
      <c r="A42" s="138" t="s">
        <v>1991</v>
      </c>
      <c r="B42" s="138">
        <v>46</v>
      </c>
      <c r="C42" s="138">
        <f>VLOOKUP(A42,'July 2026- Dispatch'!B:AI,33,0)</f>
        <v>0</v>
      </c>
      <c r="D42" s="138" t="b">
        <f t="shared" si="0"/>
        <v>0</v>
      </c>
    </row>
    <row r="43" spans="1:4" hidden="1" x14ac:dyDescent="0.25">
      <c r="A43" s="138"/>
      <c r="B43" s="138"/>
      <c r="C43" s="138" t="e">
        <f>VLOOKUP(A43,'July 2026- Dispatch'!B:AI,33,0)</f>
        <v>#N/A</v>
      </c>
      <c r="D43" s="138" t="e">
        <f t="shared" si="0"/>
        <v>#N/A</v>
      </c>
    </row>
    <row r="44" spans="1:4" hidden="1" x14ac:dyDescent="0.25">
      <c r="A44" s="138"/>
      <c r="B44" s="138"/>
      <c r="C44" s="138" t="e">
        <f>VLOOKUP(A44,'July 2026- Dispatch'!B:AI,33,0)</f>
        <v>#N/A</v>
      </c>
      <c r="D44" s="138" t="e">
        <f t="shared" si="0"/>
        <v>#N/A</v>
      </c>
    </row>
    <row r="45" spans="1:4" hidden="1" x14ac:dyDescent="0.25">
      <c r="A45" s="138"/>
      <c r="B45" s="138"/>
      <c r="C45" s="138" t="e">
        <f>VLOOKUP(A45,'July 2026- Dispatch'!B:AI,33,0)</f>
        <v>#N/A</v>
      </c>
      <c r="D45" s="138" t="e">
        <f t="shared" si="0"/>
        <v>#N/A</v>
      </c>
    </row>
    <row r="46" spans="1:4" x14ac:dyDescent="0.25">
      <c r="A46" s="138"/>
      <c r="B46" s="138"/>
      <c r="C46" s="138" t="e">
        <f>VLOOKUP(A46,'July 2026- Dispatch'!B:AI,33,0)</f>
        <v>#N/A</v>
      </c>
      <c r="D46" s="138" t="e">
        <f t="shared" si="0"/>
        <v>#N/A</v>
      </c>
    </row>
    <row r="47" spans="1:4" hidden="1" x14ac:dyDescent="0.25">
      <c r="A47" s="138"/>
      <c r="B47" s="138"/>
      <c r="C47" s="138" t="e">
        <f>VLOOKUP(A47,'July 2026- Dispatch'!B:AI,33,0)</f>
        <v>#N/A</v>
      </c>
      <c r="D47" s="138" t="e">
        <f t="shared" si="0"/>
        <v>#N/A</v>
      </c>
    </row>
    <row r="48" spans="1:4" hidden="1" x14ac:dyDescent="0.25">
      <c r="A48" s="138"/>
      <c r="B48" s="138"/>
      <c r="C48" s="138" t="e">
        <f>VLOOKUP(A48,'July 2026- Dispatch'!B:AI,33,0)</f>
        <v>#N/A</v>
      </c>
      <c r="D48" s="138" t="e">
        <f t="shared" si="0"/>
        <v>#N/A</v>
      </c>
    </row>
    <row r="49" spans="1:4" hidden="1" x14ac:dyDescent="0.25">
      <c r="A49" s="138"/>
      <c r="B49" s="138"/>
      <c r="C49" s="138" t="e">
        <f>VLOOKUP(A49,'July 2026- Dispatch'!B:AI,33,0)</f>
        <v>#N/A</v>
      </c>
      <c r="D49" s="138" t="e">
        <f t="shared" si="0"/>
        <v>#N/A</v>
      </c>
    </row>
    <row r="50" spans="1:4" hidden="1" x14ac:dyDescent="0.25">
      <c r="A50" s="138"/>
      <c r="B50" s="138"/>
      <c r="C50" s="138" t="e">
        <f>VLOOKUP(A50,'July 2026- Dispatch'!B:AI,33,0)</f>
        <v>#N/A</v>
      </c>
      <c r="D50" s="138" t="e">
        <f t="shared" si="0"/>
        <v>#N/A</v>
      </c>
    </row>
    <row r="51" spans="1:4" hidden="1" x14ac:dyDescent="0.25">
      <c r="A51" s="138"/>
      <c r="B51" s="138"/>
      <c r="C51" s="138" t="e">
        <f>VLOOKUP(A51,'July 2026- Dispatch'!B:AI,33,0)</f>
        <v>#N/A</v>
      </c>
      <c r="D51" s="138" t="e">
        <f t="shared" si="0"/>
        <v>#N/A</v>
      </c>
    </row>
    <row r="52" spans="1:4" hidden="1" x14ac:dyDescent="0.25">
      <c r="A52" s="138"/>
      <c r="B52" s="138"/>
      <c r="C52" s="138" t="e">
        <f>VLOOKUP(A52,'July 2026- Dispatch'!B:AI,33,0)</f>
        <v>#N/A</v>
      </c>
      <c r="D52" s="138" t="e">
        <f t="shared" si="0"/>
        <v>#N/A</v>
      </c>
    </row>
    <row r="53" spans="1:4" hidden="1" x14ac:dyDescent="0.25">
      <c r="A53" s="138"/>
      <c r="B53" s="138"/>
      <c r="C53" s="138" t="e">
        <f>VLOOKUP(A53,'July 2026- Dispatch'!B:AI,33,0)</f>
        <v>#N/A</v>
      </c>
      <c r="D53" s="138" t="e">
        <f t="shared" si="0"/>
        <v>#N/A</v>
      </c>
    </row>
    <row r="54" spans="1:4" hidden="1" x14ac:dyDescent="0.25">
      <c r="A54" s="138"/>
      <c r="B54" s="138"/>
      <c r="C54" s="138" t="e">
        <f>VLOOKUP(A54,'July 2026- Dispatch'!B:AI,33,0)</f>
        <v>#N/A</v>
      </c>
      <c r="D54" s="138" t="e">
        <f t="shared" si="0"/>
        <v>#N/A</v>
      </c>
    </row>
    <row r="55" spans="1:4" hidden="1" x14ac:dyDescent="0.25">
      <c r="A55" s="138"/>
      <c r="B55" s="138"/>
      <c r="C55" s="138" t="e">
        <f>VLOOKUP(A55,'July 2026- Dispatch'!B:AI,33,0)</f>
        <v>#N/A</v>
      </c>
      <c r="D55" s="138" t="e">
        <f t="shared" si="0"/>
        <v>#N/A</v>
      </c>
    </row>
    <row r="56" spans="1:4" hidden="1" x14ac:dyDescent="0.25">
      <c r="A56" s="138"/>
      <c r="B56" s="138"/>
      <c r="C56" s="138" t="e">
        <f>VLOOKUP(A56,'July 2026- Dispatch'!B:AI,33,0)</f>
        <v>#N/A</v>
      </c>
      <c r="D56" s="138" t="e">
        <f t="shared" si="0"/>
        <v>#N/A</v>
      </c>
    </row>
    <row r="57" spans="1:4" hidden="1" x14ac:dyDescent="0.25">
      <c r="A57" s="138"/>
      <c r="B57" s="138"/>
      <c r="C57" s="138" t="e">
        <f>VLOOKUP(A57,'July 2026- Dispatch'!B:AI,33,0)</f>
        <v>#N/A</v>
      </c>
      <c r="D57" s="138" t="e">
        <f t="shared" si="0"/>
        <v>#N/A</v>
      </c>
    </row>
    <row r="58" spans="1:4" hidden="1" x14ac:dyDescent="0.25">
      <c r="A58" s="138"/>
      <c r="B58" s="138"/>
      <c r="C58" s="138" t="e">
        <f>VLOOKUP(A58,'July 2026- Dispatch'!B:AI,33,0)</f>
        <v>#N/A</v>
      </c>
      <c r="D58" s="138" t="e">
        <f t="shared" si="0"/>
        <v>#N/A</v>
      </c>
    </row>
    <row r="59" spans="1:4" hidden="1" x14ac:dyDescent="0.25">
      <c r="A59" s="138"/>
      <c r="B59" s="138"/>
      <c r="C59" s="138" t="e">
        <f>VLOOKUP(A59,'July 2026- Dispatch'!B:AI,33,0)</f>
        <v>#N/A</v>
      </c>
      <c r="D59" s="138" t="e">
        <f t="shared" si="0"/>
        <v>#N/A</v>
      </c>
    </row>
    <row r="60" spans="1:4" hidden="1" x14ac:dyDescent="0.25">
      <c r="A60" s="138"/>
      <c r="B60" s="138"/>
      <c r="C60" s="138" t="e">
        <f>VLOOKUP(A60,'July 2026- Dispatch'!B:AI,33,0)</f>
        <v>#N/A</v>
      </c>
      <c r="D60" s="138" t="e">
        <f t="shared" si="0"/>
        <v>#N/A</v>
      </c>
    </row>
    <row r="61" spans="1:4" hidden="1" x14ac:dyDescent="0.25">
      <c r="A61" s="138"/>
      <c r="B61" s="138"/>
      <c r="C61" s="138" t="e">
        <f>VLOOKUP(A61,'July 2026- Dispatch'!B:AI,33,0)</f>
        <v>#N/A</v>
      </c>
      <c r="D61" s="138" t="e">
        <f t="shared" si="0"/>
        <v>#N/A</v>
      </c>
    </row>
    <row r="62" spans="1:4" hidden="1" x14ac:dyDescent="0.25">
      <c r="A62" s="138"/>
      <c r="B62" s="138"/>
      <c r="C62" s="138" t="e">
        <f>VLOOKUP(A62,'July 2026- Dispatch'!B:AI,33,0)</f>
        <v>#N/A</v>
      </c>
      <c r="D62" s="138" t="e">
        <f t="shared" si="0"/>
        <v>#N/A</v>
      </c>
    </row>
    <row r="63" spans="1:4" hidden="1" x14ac:dyDescent="0.25">
      <c r="A63" s="138"/>
      <c r="B63" s="138"/>
      <c r="C63" s="138" t="e">
        <f>VLOOKUP(A63,'July 2026- Dispatch'!B:AI,33,0)</f>
        <v>#N/A</v>
      </c>
      <c r="D63" s="138" t="e">
        <f t="shared" si="0"/>
        <v>#N/A</v>
      </c>
    </row>
    <row r="64" spans="1:4" hidden="1" x14ac:dyDescent="0.25">
      <c r="A64" s="138"/>
      <c r="B64" s="138"/>
      <c r="C64" s="138" t="e">
        <f>VLOOKUP(A64,'July 2026- Dispatch'!B:AI,33,0)</f>
        <v>#N/A</v>
      </c>
      <c r="D64" s="138" t="e">
        <f t="shared" si="0"/>
        <v>#N/A</v>
      </c>
    </row>
    <row r="65" spans="1:4" hidden="1" x14ac:dyDescent="0.25">
      <c r="A65" s="138"/>
      <c r="B65" s="138"/>
      <c r="C65" s="138" t="e">
        <f>VLOOKUP(A65,'July 2026- Dispatch'!B:AI,33,0)</f>
        <v>#N/A</v>
      </c>
      <c r="D65" s="138" t="e">
        <f t="shared" si="0"/>
        <v>#N/A</v>
      </c>
    </row>
    <row r="66" spans="1:4" hidden="1" x14ac:dyDescent="0.25">
      <c r="A66" s="138"/>
      <c r="B66" s="138"/>
      <c r="C66" s="138" t="e">
        <f>VLOOKUP(A66,'July 2026- Dispatch'!B:AI,33,0)</f>
        <v>#N/A</v>
      </c>
      <c r="D66" s="138" t="e">
        <f t="shared" si="0"/>
        <v>#N/A</v>
      </c>
    </row>
    <row r="67" spans="1:4" hidden="1" x14ac:dyDescent="0.25">
      <c r="A67" s="138"/>
      <c r="B67" s="138"/>
      <c r="C67" s="138" t="e">
        <f>VLOOKUP(A67,'July 2026- Dispatch'!B:AI,33,0)</f>
        <v>#N/A</v>
      </c>
      <c r="D67" s="138" t="e">
        <f t="shared" si="0"/>
        <v>#N/A</v>
      </c>
    </row>
    <row r="68" spans="1:4" hidden="1" x14ac:dyDescent="0.25">
      <c r="A68" s="138"/>
      <c r="B68" s="138"/>
      <c r="C68" s="138" t="e">
        <f>VLOOKUP(A68,'July 2026- Dispatch'!B:AI,33,0)</f>
        <v>#N/A</v>
      </c>
      <c r="D68" s="138" t="e">
        <f t="shared" ref="D68:D87" si="1">B68=C68</f>
        <v>#N/A</v>
      </c>
    </row>
    <row r="69" spans="1:4" hidden="1" x14ac:dyDescent="0.25">
      <c r="A69" s="138"/>
      <c r="B69" s="138"/>
      <c r="C69" s="138" t="e">
        <f>VLOOKUP(A69,'July 2026- Dispatch'!B:AI,33,0)</f>
        <v>#N/A</v>
      </c>
      <c r="D69" s="138" t="e">
        <f t="shared" si="1"/>
        <v>#N/A</v>
      </c>
    </row>
    <row r="70" spans="1:4" hidden="1" x14ac:dyDescent="0.25">
      <c r="A70" s="138"/>
      <c r="B70" s="138"/>
      <c r="C70" s="138" t="e">
        <f>VLOOKUP(A70,'July 2026- Dispatch'!B:AI,33,0)</f>
        <v>#N/A</v>
      </c>
      <c r="D70" s="138" t="e">
        <f t="shared" si="1"/>
        <v>#N/A</v>
      </c>
    </row>
    <row r="71" spans="1:4" hidden="1" x14ac:dyDescent="0.25">
      <c r="A71" s="138"/>
      <c r="B71" s="138"/>
      <c r="C71" s="138" t="e">
        <f>VLOOKUP(A71,'July 2026- Dispatch'!B:AI,33,0)</f>
        <v>#N/A</v>
      </c>
      <c r="D71" s="138" t="e">
        <f t="shared" si="1"/>
        <v>#N/A</v>
      </c>
    </row>
    <row r="72" spans="1:4" hidden="1" x14ac:dyDescent="0.25">
      <c r="A72" s="138"/>
      <c r="B72" s="138"/>
      <c r="C72" s="138" t="e">
        <f>VLOOKUP(A72,'July 2026- Dispatch'!B:AI,33,0)</f>
        <v>#N/A</v>
      </c>
      <c r="D72" s="138" t="e">
        <f t="shared" si="1"/>
        <v>#N/A</v>
      </c>
    </row>
    <row r="73" spans="1:4" hidden="1" x14ac:dyDescent="0.25">
      <c r="A73" s="138"/>
      <c r="B73" s="138"/>
      <c r="C73" s="138" t="e">
        <f>VLOOKUP(A73,'July 2026- Dispatch'!B:AI,33,0)</f>
        <v>#N/A</v>
      </c>
      <c r="D73" s="138" t="e">
        <f t="shared" si="1"/>
        <v>#N/A</v>
      </c>
    </row>
    <row r="74" spans="1:4" hidden="1" x14ac:dyDescent="0.25">
      <c r="A74" s="138"/>
      <c r="B74" s="138"/>
      <c r="C74" s="138" t="e">
        <f>VLOOKUP(A74,'July 2026- Dispatch'!B:AI,33,0)</f>
        <v>#N/A</v>
      </c>
      <c r="D74" s="138" t="e">
        <f t="shared" si="1"/>
        <v>#N/A</v>
      </c>
    </row>
    <row r="75" spans="1:4" hidden="1" x14ac:dyDescent="0.25">
      <c r="A75" s="138"/>
      <c r="B75" s="138"/>
      <c r="C75" s="138" t="e">
        <f>VLOOKUP(A75,'July 2026- Dispatch'!B:AI,33,0)</f>
        <v>#N/A</v>
      </c>
      <c r="D75" s="138" t="e">
        <f t="shared" si="1"/>
        <v>#N/A</v>
      </c>
    </row>
    <row r="76" spans="1:4" hidden="1" x14ac:dyDescent="0.25">
      <c r="A76" s="138"/>
      <c r="B76" s="138"/>
      <c r="C76" s="138" t="e">
        <f>VLOOKUP(A76,'July 2026- Dispatch'!B:AI,33,0)</f>
        <v>#N/A</v>
      </c>
      <c r="D76" s="138" t="e">
        <f t="shared" si="1"/>
        <v>#N/A</v>
      </c>
    </row>
    <row r="77" spans="1:4" hidden="1" x14ac:dyDescent="0.25">
      <c r="A77" s="138"/>
      <c r="B77" s="138"/>
      <c r="C77" s="138" t="e">
        <f>VLOOKUP(A77,'July 2026- Dispatch'!B:AI,33,0)</f>
        <v>#N/A</v>
      </c>
      <c r="D77" s="138" t="e">
        <f t="shared" si="1"/>
        <v>#N/A</v>
      </c>
    </row>
    <row r="78" spans="1:4" hidden="1" x14ac:dyDescent="0.25">
      <c r="A78" s="138"/>
      <c r="B78" s="138"/>
      <c r="C78" s="138" t="e">
        <f>VLOOKUP(A78,'July 2026- Dispatch'!B:AI,33,0)</f>
        <v>#N/A</v>
      </c>
      <c r="D78" s="138" t="e">
        <f t="shared" si="1"/>
        <v>#N/A</v>
      </c>
    </row>
    <row r="79" spans="1:4" hidden="1" x14ac:dyDescent="0.25">
      <c r="A79" s="138"/>
      <c r="B79" s="138"/>
      <c r="C79" s="138" t="e">
        <f>VLOOKUP(A79,'July 2026- Dispatch'!B:AI,33,0)</f>
        <v>#N/A</v>
      </c>
      <c r="D79" s="138" t="e">
        <f t="shared" si="1"/>
        <v>#N/A</v>
      </c>
    </row>
    <row r="80" spans="1:4" hidden="1" x14ac:dyDescent="0.25">
      <c r="A80" s="138"/>
      <c r="B80" s="138"/>
      <c r="C80" s="138" t="e">
        <f>VLOOKUP(A80,'July 2026- Dispatch'!B:AI,33,0)</f>
        <v>#N/A</v>
      </c>
      <c r="D80" s="138" t="e">
        <f t="shared" si="1"/>
        <v>#N/A</v>
      </c>
    </row>
    <row r="81" spans="1:4" hidden="1" x14ac:dyDescent="0.25">
      <c r="A81" s="138"/>
      <c r="B81" s="138"/>
      <c r="C81" s="138" t="e">
        <f>VLOOKUP(A81,'July 2026- Dispatch'!B:AI,33,0)</f>
        <v>#N/A</v>
      </c>
      <c r="D81" s="138" t="e">
        <f t="shared" si="1"/>
        <v>#N/A</v>
      </c>
    </row>
    <row r="82" spans="1:4" hidden="1" x14ac:dyDescent="0.25">
      <c r="A82" s="138"/>
      <c r="B82" s="138"/>
      <c r="C82" s="138" t="e">
        <f>VLOOKUP(A82,'July 2026- Dispatch'!B:AI,33,0)</f>
        <v>#N/A</v>
      </c>
      <c r="D82" s="138" t="e">
        <f t="shared" si="1"/>
        <v>#N/A</v>
      </c>
    </row>
    <row r="83" spans="1:4" hidden="1" x14ac:dyDescent="0.25">
      <c r="A83" s="138"/>
      <c r="B83" s="138"/>
      <c r="C83" s="138" t="e">
        <f>VLOOKUP(A83,'July 2026- Dispatch'!B:AI,33,0)</f>
        <v>#N/A</v>
      </c>
      <c r="D83" s="138" t="e">
        <f t="shared" si="1"/>
        <v>#N/A</v>
      </c>
    </row>
    <row r="84" spans="1:4" hidden="1" x14ac:dyDescent="0.25">
      <c r="A84" s="138"/>
      <c r="B84" s="138"/>
      <c r="C84" s="138" t="e">
        <f>VLOOKUP(A84,'July 2026- Dispatch'!B:AI,33,0)</f>
        <v>#N/A</v>
      </c>
      <c r="D84" s="138" t="e">
        <f t="shared" si="1"/>
        <v>#N/A</v>
      </c>
    </row>
    <row r="85" spans="1:4" hidden="1" x14ac:dyDescent="0.25">
      <c r="A85" s="138"/>
      <c r="B85" s="138"/>
      <c r="C85" s="138" t="e">
        <f>VLOOKUP(A85,'July 2026- Dispatch'!B:AI,33,0)</f>
        <v>#N/A</v>
      </c>
      <c r="D85" s="138" t="e">
        <f t="shared" si="1"/>
        <v>#N/A</v>
      </c>
    </row>
    <row r="86" spans="1:4" hidden="1" x14ac:dyDescent="0.25">
      <c r="A86" s="138"/>
      <c r="B86" s="138"/>
      <c r="C86" s="138" t="e">
        <f>VLOOKUP(A86,'July 2026- Dispatch'!B:AI,33,0)</f>
        <v>#N/A</v>
      </c>
      <c r="D86" s="138" t="e">
        <f t="shared" si="1"/>
        <v>#N/A</v>
      </c>
    </row>
    <row r="87" spans="1:4" hidden="1" x14ac:dyDescent="0.25">
      <c r="A87" s="138"/>
      <c r="B87" s="138"/>
      <c r="C87" s="138" t="e">
        <f>VLOOKUP(A87,'July 2026- Dispatch'!B:AI,33,0)</f>
        <v>#N/A</v>
      </c>
      <c r="D87" s="138" t="e">
        <f t="shared" si="1"/>
        <v>#N/A</v>
      </c>
    </row>
    <row r="88" spans="1:4" hidden="1" x14ac:dyDescent="0.25">
      <c r="C88" s="138" t="e">
        <f>VLOOKUP(A88,'July 2026- Dispatch'!B:AI,33,0)</f>
        <v>#N/A</v>
      </c>
      <c r="D88" s="138" t="e">
        <f t="shared" ref="D88:D107" si="2">B88=C88</f>
        <v>#N/A</v>
      </c>
    </row>
    <row r="89" spans="1:4" hidden="1" x14ac:dyDescent="0.25">
      <c r="C89" s="138" t="e">
        <f>VLOOKUP(A89,'July 2026- Dispatch'!B:AI,33,0)</f>
        <v>#N/A</v>
      </c>
      <c r="D89" s="138" t="e">
        <f t="shared" si="2"/>
        <v>#N/A</v>
      </c>
    </row>
    <row r="90" spans="1:4" hidden="1" x14ac:dyDescent="0.25">
      <c r="C90" s="138" t="e">
        <f>VLOOKUP(A90,'July 2026- Dispatch'!B:AI,33,0)</f>
        <v>#N/A</v>
      </c>
      <c r="D90" s="138" t="e">
        <f t="shared" si="2"/>
        <v>#N/A</v>
      </c>
    </row>
    <row r="91" spans="1:4" hidden="1" x14ac:dyDescent="0.25">
      <c r="C91" s="138" t="e">
        <f>VLOOKUP(A91,'July 2026- Dispatch'!B:AI,33,0)</f>
        <v>#N/A</v>
      </c>
      <c r="D91" s="138" t="e">
        <f t="shared" si="2"/>
        <v>#N/A</v>
      </c>
    </row>
    <row r="92" spans="1:4" hidden="1" x14ac:dyDescent="0.25">
      <c r="C92" s="138" t="e">
        <f>VLOOKUP(A92,'July 2026- Dispatch'!B:AI,33,0)</f>
        <v>#N/A</v>
      </c>
      <c r="D92" s="138" t="e">
        <f t="shared" si="2"/>
        <v>#N/A</v>
      </c>
    </row>
    <row r="93" spans="1:4" hidden="1" x14ac:dyDescent="0.25">
      <c r="C93" s="138" t="e">
        <f>VLOOKUP(A93,'July 2026- Dispatch'!B:AI,33,0)</f>
        <v>#N/A</v>
      </c>
      <c r="D93" s="138" t="e">
        <f t="shared" si="2"/>
        <v>#N/A</v>
      </c>
    </row>
    <row r="94" spans="1:4" hidden="1" x14ac:dyDescent="0.25">
      <c r="C94" s="138" t="e">
        <f>VLOOKUP(A94,'July 2026- Dispatch'!B:AI,33,0)</f>
        <v>#N/A</v>
      </c>
      <c r="D94" s="138" t="e">
        <f t="shared" si="2"/>
        <v>#N/A</v>
      </c>
    </row>
    <row r="95" spans="1:4" hidden="1" x14ac:dyDescent="0.25">
      <c r="C95" s="138" t="e">
        <f>VLOOKUP(A95,'July 2026- Dispatch'!B:AI,33,0)</f>
        <v>#N/A</v>
      </c>
      <c r="D95" s="138" t="e">
        <f t="shared" si="2"/>
        <v>#N/A</v>
      </c>
    </row>
    <row r="96" spans="1:4" hidden="1" x14ac:dyDescent="0.25">
      <c r="C96" s="138" t="e">
        <f>VLOOKUP(A96,'July 2026- Dispatch'!B:AI,33,0)</f>
        <v>#N/A</v>
      </c>
      <c r="D96" s="138" t="e">
        <f t="shared" si="2"/>
        <v>#N/A</v>
      </c>
    </row>
    <row r="97" spans="3:4" hidden="1" x14ac:dyDescent="0.25">
      <c r="C97" s="138" t="e">
        <f>VLOOKUP(A97,'July 2026- Dispatch'!B:AI,33,0)</f>
        <v>#N/A</v>
      </c>
      <c r="D97" s="138" t="e">
        <f t="shared" si="2"/>
        <v>#N/A</v>
      </c>
    </row>
    <row r="98" spans="3:4" hidden="1" x14ac:dyDescent="0.25">
      <c r="C98" s="138" t="e">
        <f>VLOOKUP(A98,'July 2026- Dispatch'!B:AI,33,0)</f>
        <v>#N/A</v>
      </c>
      <c r="D98" s="138" t="e">
        <f t="shared" si="2"/>
        <v>#N/A</v>
      </c>
    </row>
    <row r="99" spans="3:4" hidden="1" x14ac:dyDescent="0.25">
      <c r="C99" s="138" t="e">
        <f>VLOOKUP(A99,'July 2026- Dispatch'!B:AI,33,0)</f>
        <v>#N/A</v>
      </c>
      <c r="D99" s="138" t="e">
        <f t="shared" si="2"/>
        <v>#N/A</v>
      </c>
    </row>
    <row r="100" spans="3:4" hidden="1" x14ac:dyDescent="0.25">
      <c r="C100" s="138" t="e">
        <f>VLOOKUP(A100,'July 2026- Dispatch'!B:AI,33,0)</f>
        <v>#N/A</v>
      </c>
      <c r="D100" s="138" t="e">
        <f t="shared" si="2"/>
        <v>#N/A</v>
      </c>
    </row>
    <row r="101" spans="3:4" hidden="1" x14ac:dyDescent="0.25">
      <c r="C101" s="138" t="e">
        <f>VLOOKUP(A101,'July 2026- Dispatch'!B:AI,33,0)</f>
        <v>#N/A</v>
      </c>
      <c r="D101" s="138" t="e">
        <f t="shared" si="2"/>
        <v>#N/A</v>
      </c>
    </row>
    <row r="102" spans="3:4" hidden="1" x14ac:dyDescent="0.25">
      <c r="C102" s="138" t="e">
        <f>VLOOKUP(A102,'July 2026- Dispatch'!B:AI,33,0)</f>
        <v>#N/A</v>
      </c>
      <c r="D102" s="138" t="e">
        <f t="shared" si="2"/>
        <v>#N/A</v>
      </c>
    </row>
    <row r="103" spans="3:4" hidden="1" x14ac:dyDescent="0.25">
      <c r="C103" s="138" t="e">
        <f>VLOOKUP(A103,'July 2026- Dispatch'!B:AI,33,0)</f>
        <v>#N/A</v>
      </c>
      <c r="D103" s="138" t="e">
        <f t="shared" si="2"/>
        <v>#N/A</v>
      </c>
    </row>
    <row r="104" spans="3:4" hidden="1" x14ac:dyDescent="0.25">
      <c r="C104" s="138" t="e">
        <f>VLOOKUP(A104,'July 2026- Dispatch'!B:AI,33,0)</f>
        <v>#N/A</v>
      </c>
      <c r="D104" s="138" t="e">
        <f t="shared" si="2"/>
        <v>#N/A</v>
      </c>
    </row>
    <row r="105" spans="3:4" hidden="1" x14ac:dyDescent="0.25">
      <c r="C105" s="138" t="e">
        <f>VLOOKUP(A105,'July 2026- Dispatch'!B:AI,33,0)</f>
        <v>#N/A</v>
      </c>
      <c r="D105" s="138" t="e">
        <f t="shared" si="2"/>
        <v>#N/A</v>
      </c>
    </row>
    <row r="106" spans="3:4" hidden="1" x14ac:dyDescent="0.25">
      <c r="C106" s="138" t="e">
        <f>VLOOKUP(A106,'July 2026- Dispatch'!B:AI,33,0)</f>
        <v>#N/A</v>
      </c>
      <c r="D106" s="138" t="e">
        <f t="shared" si="2"/>
        <v>#N/A</v>
      </c>
    </row>
    <row r="107" spans="3:4" hidden="1" x14ac:dyDescent="0.25">
      <c r="C107" s="138" t="e">
        <f>VLOOKUP(A107,'July 2026- Dispatch'!B:AI,33,0)</f>
        <v>#N/A</v>
      </c>
      <c r="D107" s="138" t="e">
        <f t="shared" si="2"/>
        <v>#N/A</v>
      </c>
    </row>
    <row r="108" spans="3:4" x14ac:dyDescent="0.25">
      <c r="C108" s="138" t="e">
        <f>VLOOKUP(A108,'July 2026- Dispatch'!B:AI,33,0)</f>
        <v>#N/A</v>
      </c>
      <c r="D108" s="138" t="e">
        <f t="shared" ref="D108:D145" si="3">B108=C108</f>
        <v>#N/A</v>
      </c>
    </row>
    <row r="109" spans="3:4" x14ac:dyDescent="0.25">
      <c r="C109" s="138" t="e">
        <f>VLOOKUP(A109,'July 2026- Dispatch'!B:AI,33,0)</f>
        <v>#N/A</v>
      </c>
      <c r="D109" s="138" t="e">
        <f t="shared" si="3"/>
        <v>#N/A</v>
      </c>
    </row>
    <row r="110" spans="3:4" x14ac:dyDescent="0.25">
      <c r="C110" s="138" t="e">
        <f>VLOOKUP(A110,'July 2026- Dispatch'!B:AI,33,0)</f>
        <v>#N/A</v>
      </c>
      <c r="D110" s="138" t="e">
        <f t="shared" si="3"/>
        <v>#N/A</v>
      </c>
    </row>
    <row r="111" spans="3:4" x14ac:dyDescent="0.25">
      <c r="C111" s="138" t="e">
        <f>VLOOKUP(A111,'July 2026- Dispatch'!B:AI,33,0)</f>
        <v>#N/A</v>
      </c>
      <c r="D111" s="138" t="e">
        <f t="shared" si="3"/>
        <v>#N/A</v>
      </c>
    </row>
    <row r="112" spans="3:4" x14ac:dyDescent="0.25">
      <c r="C112" s="138" t="e">
        <f>VLOOKUP(A112,'July 2026- Dispatch'!B:AI,33,0)</f>
        <v>#N/A</v>
      </c>
      <c r="D112" s="138" t="e">
        <f t="shared" si="3"/>
        <v>#N/A</v>
      </c>
    </row>
    <row r="113" spans="3:4" x14ac:dyDescent="0.25">
      <c r="C113" s="138" t="e">
        <f>VLOOKUP(A113,'July 2026- Dispatch'!B:AI,33,0)</f>
        <v>#N/A</v>
      </c>
      <c r="D113" s="138" t="e">
        <f t="shared" si="3"/>
        <v>#N/A</v>
      </c>
    </row>
    <row r="114" spans="3:4" x14ac:dyDescent="0.25">
      <c r="C114" s="138" t="e">
        <f>VLOOKUP(A114,'July 2026- Dispatch'!B:AI,33,0)</f>
        <v>#N/A</v>
      </c>
      <c r="D114" s="138" t="e">
        <f t="shared" si="3"/>
        <v>#N/A</v>
      </c>
    </row>
    <row r="115" spans="3:4" x14ac:dyDescent="0.25">
      <c r="C115" s="138" t="e">
        <f>VLOOKUP(A115,'July 2026- Dispatch'!B:AI,33,0)</f>
        <v>#N/A</v>
      </c>
      <c r="D115" s="138" t="e">
        <f t="shared" si="3"/>
        <v>#N/A</v>
      </c>
    </row>
    <row r="116" spans="3:4" x14ac:dyDescent="0.25">
      <c r="C116" s="138" t="e">
        <f>VLOOKUP(A116,'July 2026- Dispatch'!B:AI,33,0)</f>
        <v>#N/A</v>
      </c>
      <c r="D116" s="138" t="e">
        <f t="shared" si="3"/>
        <v>#N/A</v>
      </c>
    </row>
    <row r="117" spans="3:4" x14ac:dyDescent="0.25">
      <c r="C117" s="138" t="e">
        <f>VLOOKUP(A117,'July 2026- Dispatch'!B:AI,33,0)</f>
        <v>#N/A</v>
      </c>
      <c r="D117" s="138" t="e">
        <f t="shared" si="3"/>
        <v>#N/A</v>
      </c>
    </row>
    <row r="118" spans="3:4" x14ac:dyDescent="0.25">
      <c r="C118" s="138" t="e">
        <f>VLOOKUP(A118,'July 2026- Dispatch'!B:AI,33,0)</f>
        <v>#N/A</v>
      </c>
      <c r="D118" s="138" t="e">
        <f t="shared" si="3"/>
        <v>#N/A</v>
      </c>
    </row>
    <row r="119" spans="3:4" x14ac:dyDescent="0.25">
      <c r="C119" s="138" t="e">
        <f>VLOOKUP(A119,'July 2026- Dispatch'!B:AI,33,0)</f>
        <v>#N/A</v>
      </c>
      <c r="D119" s="138" t="e">
        <f t="shared" si="3"/>
        <v>#N/A</v>
      </c>
    </row>
    <row r="120" spans="3:4" x14ac:dyDescent="0.25">
      <c r="C120" s="138" t="e">
        <f>VLOOKUP(A120,'July 2026- Dispatch'!B:AI,33,0)</f>
        <v>#N/A</v>
      </c>
      <c r="D120" s="138" t="e">
        <f t="shared" si="3"/>
        <v>#N/A</v>
      </c>
    </row>
    <row r="121" spans="3:4" x14ac:dyDescent="0.25">
      <c r="C121" s="138" t="e">
        <f>VLOOKUP(A121,'July 2026- Dispatch'!B:AI,33,0)</f>
        <v>#N/A</v>
      </c>
      <c r="D121" s="138" t="e">
        <f t="shared" si="3"/>
        <v>#N/A</v>
      </c>
    </row>
    <row r="122" spans="3:4" x14ac:dyDescent="0.25">
      <c r="C122" s="138" t="e">
        <f>VLOOKUP(A122,'July 2026- Dispatch'!B:AI,33,0)</f>
        <v>#N/A</v>
      </c>
      <c r="D122" s="138" t="e">
        <f t="shared" si="3"/>
        <v>#N/A</v>
      </c>
    </row>
    <row r="123" spans="3:4" x14ac:dyDescent="0.25">
      <c r="C123" s="138" t="e">
        <f>VLOOKUP(A123,'July 2026- Dispatch'!B:AI,33,0)</f>
        <v>#N/A</v>
      </c>
      <c r="D123" s="138" t="e">
        <f t="shared" si="3"/>
        <v>#N/A</v>
      </c>
    </row>
    <row r="124" spans="3:4" x14ac:dyDescent="0.25">
      <c r="C124" s="138" t="e">
        <f>VLOOKUP(A124,'July 2026- Dispatch'!B:AI,33,0)</f>
        <v>#N/A</v>
      </c>
      <c r="D124" s="138" t="e">
        <f t="shared" si="3"/>
        <v>#N/A</v>
      </c>
    </row>
    <row r="125" spans="3:4" x14ac:dyDescent="0.25">
      <c r="C125" s="138" t="e">
        <f>VLOOKUP(A125,'July 2026- Dispatch'!B:AI,33,0)</f>
        <v>#N/A</v>
      </c>
      <c r="D125" s="138" t="e">
        <f t="shared" si="3"/>
        <v>#N/A</v>
      </c>
    </row>
    <row r="126" spans="3:4" x14ac:dyDescent="0.25">
      <c r="C126" s="138" t="e">
        <f>VLOOKUP(A126,'July 2026- Dispatch'!B:AI,33,0)</f>
        <v>#N/A</v>
      </c>
      <c r="D126" s="138" t="e">
        <f t="shared" si="3"/>
        <v>#N/A</v>
      </c>
    </row>
    <row r="127" spans="3:4" x14ac:dyDescent="0.25">
      <c r="C127" s="138" t="e">
        <f>VLOOKUP(A127,'July 2026- Dispatch'!B:AI,33,0)</f>
        <v>#N/A</v>
      </c>
      <c r="D127" s="138" t="e">
        <f t="shared" si="3"/>
        <v>#N/A</v>
      </c>
    </row>
    <row r="128" spans="3:4" x14ac:dyDescent="0.25">
      <c r="C128" s="138" t="e">
        <f>VLOOKUP(A128,'July 2026- Dispatch'!B:AI,33,0)</f>
        <v>#N/A</v>
      </c>
      <c r="D128" s="138" t="e">
        <f t="shared" si="3"/>
        <v>#N/A</v>
      </c>
    </row>
    <row r="129" spans="3:4" x14ac:dyDescent="0.25">
      <c r="C129" s="138" t="e">
        <f>VLOOKUP(A129,'July 2026- Dispatch'!B:AI,33,0)</f>
        <v>#N/A</v>
      </c>
      <c r="D129" s="138" t="e">
        <f t="shared" si="3"/>
        <v>#N/A</v>
      </c>
    </row>
    <row r="130" spans="3:4" x14ac:dyDescent="0.25">
      <c r="C130" s="138" t="e">
        <f>VLOOKUP(A130,'July 2026- Dispatch'!B:AI,33,0)</f>
        <v>#N/A</v>
      </c>
      <c r="D130" s="138" t="e">
        <f t="shared" si="3"/>
        <v>#N/A</v>
      </c>
    </row>
    <row r="131" spans="3:4" x14ac:dyDescent="0.25">
      <c r="C131" s="138" t="e">
        <f>VLOOKUP(A131,'July 2026- Dispatch'!B:AI,33,0)</f>
        <v>#N/A</v>
      </c>
      <c r="D131" s="138" t="e">
        <f t="shared" si="3"/>
        <v>#N/A</v>
      </c>
    </row>
    <row r="132" spans="3:4" x14ac:dyDescent="0.25">
      <c r="C132" s="138" t="e">
        <f>VLOOKUP(A132,'July 2026- Dispatch'!B:AI,33,0)</f>
        <v>#N/A</v>
      </c>
      <c r="D132" s="138" t="e">
        <f t="shared" si="3"/>
        <v>#N/A</v>
      </c>
    </row>
    <row r="133" spans="3:4" x14ac:dyDescent="0.25">
      <c r="C133" s="138" t="e">
        <f>VLOOKUP(A133,'July 2026- Dispatch'!B:AI,33,0)</f>
        <v>#N/A</v>
      </c>
      <c r="D133" s="138" t="e">
        <f t="shared" si="3"/>
        <v>#N/A</v>
      </c>
    </row>
    <row r="134" spans="3:4" x14ac:dyDescent="0.25">
      <c r="C134" s="138" t="e">
        <f>VLOOKUP(A134,'July 2026- Dispatch'!B:AI,33,0)</f>
        <v>#N/A</v>
      </c>
      <c r="D134" s="138" t="e">
        <f t="shared" si="3"/>
        <v>#N/A</v>
      </c>
    </row>
    <row r="135" spans="3:4" x14ac:dyDescent="0.25">
      <c r="C135" s="138" t="e">
        <f>VLOOKUP(A135,'July 2026- Dispatch'!B:AI,33,0)</f>
        <v>#N/A</v>
      </c>
      <c r="D135" s="138" t="e">
        <f t="shared" si="3"/>
        <v>#N/A</v>
      </c>
    </row>
    <row r="136" spans="3:4" x14ac:dyDescent="0.25">
      <c r="C136" s="138" t="e">
        <f>VLOOKUP(A136,'July 2026- Dispatch'!B:AI,33,0)</f>
        <v>#N/A</v>
      </c>
      <c r="D136" s="138" t="e">
        <f t="shared" si="3"/>
        <v>#N/A</v>
      </c>
    </row>
    <row r="137" spans="3:4" x14ac:dyDescent="0.25">
      <c r="C137" s="138" t="e">
        <f>VLOOKUP(A137,'July 2026- Dispatch'!B:AI,33,0)</f>
        <v>#N/A</v>
      </c>
      <c r="D137" s="138" t="e">
        <f t="shared" si="3"/>
        <v>#N/A</v>
      </c>
    </row>
    <row r="138" spans="3:4" x14ac:dyDescent="0.25">
      <c r="C138" s="138" t="e">
        <f>VLOOKUP(A138,'July 2026- Dispatch'!B:AI,33,0)</f>
        <v>#N/A</v>
      </c>
      <c r="D138" s="138" t="e">
        <f t="shared" si="3"/>
        <v>#N/A</v>
      </c>
    </row>
    <row r="139" spans="3:4" x14ac:dyDescent="0.25">
      <c r="C139" s="138" t="e">
        <f>VLOOKUP(A139,'July 2026- Dispatch'!B:AI,33,0)</f>
        <v>#N/A</v>
      </c>
      <c r="D139" s="138" t="e">
        <f t="shared" si="3"/>
        <v>#N/A</v>
      </c>
    </row>
    <row r="140" spans="3:4" x14ac:dyDescent="0.25">
      <c r="C140" s="138" t="e">
        <f>VLOOKUP(A140,'July 2026- Dispatch'!B:AI,33,0)</f>
        <v>#N/A</v>
      </c>
      <c r="D140" s="138" t="e">
        <f t="shared" si="3"/>
        <v>#N/A</v>
      </c>
    </row>
    <row r="141" spans="3:4" x14ac:dyDescent="0.25">
      <c r="C141" s="138" t="e">
        <f>VLOOKUP(A141,'July 2026- Dispatch'!B:AI,33,0)</f>
        <v>#N/A</v>
      </c>
      <c r="D141" s="138" t="e">
        <f t="shared" si="3"/>
        <v>#N/A</v>
      </c>
    </row>
    <row r="142" spans="3:4" x14ac:dyDescent="0.25">
      <c r="C142" s="138" t="e">
        <f>VLOOKUP(A142,'July 2026- Dispatch'!B:AI,33,0)</f>
        <v>#N/A</v>
      </c>
      <c r="D142" s="138" t="e">
        <f t="shared" si="3"/>
        <v>#N/A</v>
      </c>
    </row>
    <row r="143" spans="3:4" x14ac:dyDescent="0.25">
      <c r="C143" s="138" t="e">
        <f>VLOOKUP(A143,'July 2026- Dispatch'!B:AI,33,0)</f>
        <v>#N/A</v>
      </c>
      <c r="D143" s="138" t="e">
        <f t="shared" si="3"/>
        <v>#N/A</v>
      </c>
    </row>
    <row r="144" spans="3:4" x14ac:dyDescent="0.25">
      <c r="C144" s="138" t="e">
        <f>VLOOKUP(A144,'July 2026- Dispatch'!B:AI,33,0)</f>
        <v>#N/A</v>
      </c>
      <c r="D144" s="138" t="e">
        <f t="shared" si="3"/>
        <v>#N/A</v>
      </c>
    </row>
    <row r="145" spans="3:4" x14ac:dyDescent="0.25">
      <c r="C145" s="138" t="e">
        <f>VLOOKUP(A145,'July 2026- Dispatch'!B:AI,33,0)</f>
        <v>#N/A</v>
      </c>
      <c r="D145" s="138" t="e">
        <f t="shared" si="3"/>
        <v>#N/A</v>
      </c>
    </row>
  </sheetData>
  <autoFilter ref="A3:D107" xr:uid="{D540597C-BB37-430E-947E-D334F7E6840F}">
    <filterColumn colId="3">
      <filters>
        <filter val="FALSE"/>
      </filters>
    </filterColumn>
  </autoFilter>
  <conditionalFormatting sqref="A1:A1048576">
    <cfRule type="duplicateValues" dxfId="1" priority="3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4AE9-2C84-498C-9100-95D50466C9E4}">
  <sheetPr filterMode="1"/>
  <dimension ref="A1:Y1170"/>
  <sheetViews>
    <sheetView workbookViewId="0">
      <selection activeCell="V25" sqref="V25"/>
    </sheetView>
  </sheetViews>
  <sheetFormatPr defaultRowHeight="15" x14ac:dyDescent="0.25"/>
  <cols>
    <col min="2" max="2" width="9.5703125" bestFit="1" customWidth="1"/>
    <col min="3" max="3" width="41.7109375" customWidth="1"/>
    <col min="4" max="4" width="37.85546875" customWidth="1"/>
    <col min="5" max="6" width="14" bestFit="1" customWidth="1"/>
    <col min="15" max="15" width="13.140625" customWidth="1"/>
    <col min="18" max="18" width="12.140625" customWidth="1"/>
    <col min="24" max="24" width="12.7109375" customWidth="1"/>
  </cols>
  <sheetData>
    <row r="1" spans="1:25" x14ac:dyDescent="0.25">
      <c r="A1" t="s">
        <v>4955</v>
      </c>
      <c r="I1" t="s">
        <v>3926</v>
      </c>
      <c r="O1" s="164" t="s">
        <v>4956</v>
      </c>
      <c r="U1" t="s">
        <v>4957</v>
      </c>
    </row>
    <row r="3" spans="1:25" x14ac:dyDescent="0.25">
      <c r="B3" s="150" t="s">
        <v>4958</v>
      </c>
      <c r="C3" s="151" t="s">
        <v>4959</v>
      </c>
      <c r="D3" s="151" t="s">
        <v>4960</v>
      </c>
      <c r="E3" s="151" t="s">
        <v>4961</v>
      </c>
      <c r="F3" s="151" t="s">
        <v>4951</v>
      </c>
      <c r="I3" s="150" t="s">
        <v>4958</v>
      </c>
      <c r="J3" s="150" t="s">
        <v>4951</v>
      </c>
      <c r="K3" s="150" t="s">
        <v>4961</v>
      </c>
      <c r="L3" s="150" t="s">
        <v>4962</v>
      </c>
      <c r="M3" s="150" t="s">
        <v>4953</v>
      </c>
      <c r="O3" s="150" t="s">
        <v>4958</v>
      </c>
      <c r="P3" s="150" t="s">
        <v>4951</v>
      </c>
      <c r="Q3" s="150" t="s">
        <v>4961</v>
      </c>
      <c r="R3" s="150" t="s">
        <v>4962</v>
      </c>
      <c r="S3" s="150" t="s">
        <v>4953</v>
      </c>
      <c r="U3" s="150" t="s">
        <v>4958</v>
      </c>
      <c r="V3" s="150" t="s">
        <v>4951</v>
      </c>
      <c r="W3" s="150" t="s">
        <v>4961</v>
      </c>
      <c r="X3" s="150" t="s">
        <v>4962</v>
      </c>
      <c r="Y3" s="150" t="s">
        <v>4953</v>
      </c>
    </row>
    <row r="4" spans="1:25" hidden="1" x14ac:dyDescent="0.25">
      <c r="B4" s="152" t="s">
        <v>323</v>
      </c>
      <c r="C4" s="153" t="s">
        <v>2081</v>
      </c>
      <c r="D4" s="153" t="s">
        <v>2082</v>
      </c>
      <c r="E4" s="161" t="s">
        <v>2083</v>
      </c>
      <c r="F4" s="153">
        <v>0</v>
      </c>
      <c r="I4" t="s">
        <v>2065</v>
      </c>
      <c r="J4">
        <v>60000</v>
      </c>
      <c r="K4" t="s">
        <v>4963</v>
      </c>
      <c r="L4">
        <f>VLOOKUP(I4,'July 2026-Recived'!B:I,7,0)</f>
        <v>60000</v>
      </c>
      <c r="M4" t="b">
        <f t="shared" ref="M4:M35" si="0">L4=J4</f>
        <v>1</v>
      </c>
      <c r="O4" t="s">
        <v>857</v>
      </c>
      <c r="P4">
        <v>294</v>
      </c>
      <c r="R4">
        <f>VLOOKUP(O4,'July 2026- Dispatch'!B:T,19,0)</f>
        <v>294</v>
      </c>
      <c r="S4" t="b">
        <f t="shared" ref="S4:S67" si="1">P4=R4</f>
        <v>1</v>
      </c>
      <c r="U4" s="189" t="s">
        <v>1030</v>
      </c>
      <c r="V4" s="189">
        <v>20</v>
      </c>
      <c r="X4">
        <f>VLOOKUP(U4,'July 2026- Dispatch'!B:J,9,0)</f>
        <v>20</v>
      </c>
      <c r="Y4" t="b">
        <f>X4=V4</f>
        <v>1</v>
      </c>
    </row>
    <row r="5" spans="1:25" hidden="1" x14ac:dyDescent="0.25">
      <c r="B5" s="152" t="s">
        <v>822</v>
      </c>
      <c r="C5" s="153" t="s">
        <v>2084</v>
      </c>
      <c r="D5" s="153" t="s">
        <v>2085</v>
      </c>
      <c r="E5" s="152" t="s">
        <v>2086</v>
      </c>
      <c r="F5" s="153">
        <v>17</v>
      </c>
      <c r="I5" t="s">
        <v>86</v>
      </c>
      <c r="J5">
        <v>1500</v>
      </c>
      <c r="K5" t="s">
        <v>493</v>
      </c>
      <c r="L5">
        <f>VLOOKUP(I5,'July 2026-Recived'!B:I,7,0)</f>
        <v>1500</v>
      </c>
      <c r="M5" t="b">
        <f t="shared" si="0"/>
        <v>1</v>
      </c>
      <c r="O5" t="s">
        <v>1070</v>
      </c>
      <c r="P5">
        <v>3</v>
      </c>
      <c r="R5">
        <f>VLOOKUP(O5,'July 2026- Dispatch'!B:T,19,0)</f>
        <v>3</v>
      </c>
      <c r="S5" t="b">
        <f t="shared" si="1"/>
        <v>1</v>
      </c>
      <c r="U5" s="189" t="s">
        <v>1193</v>
      </c>
      <c r="V5" s="189">
        <v>150</v>
      </c>
      <c r="X5">
        <f>VLOOKUP(U5,'July 2026- Dispatch'!B:J,9,0)</f>
        <v>150</v>
      </c>
      <c r="Y5" t="b">
        <f t="shared" ref="Y5:Y68" si="2">X5=V5</f>
        <v>1</v>
      </c>
    </row>
    <row r="6" spans="1:25" hidden="1" x14ac:dyDescent="0.25">
      <c r="B6" s="152" t="s">
        <v>317</v>
      </c>
      <c r="C6" s="153" t="s">
        <v>2087</v>
      </c>
      <c r="D6" s="153" t="s">
        <v>2088</v>
      </c>
      <c r="E6" s="152" t="s">
        <v>2083</v>
      </c>
      <c r="F6" s="153">
        <v>0</v>
      </c>
      <c r="I6" t="s">
        <v>111</v>
      </c>
      <c r="J6">
        <v>1200</v>
      </c>
      <c r="K6" t="s">
        <v>4963</v>
      </c>
      <c r="L6">
        <f>VLOOKUP(I6,'July 2026-Recived'!B:I,7,0)</f>
        <v>1200</v>
      </c>
      <c r="M6" t="b">
        <f t="shared" si="0"/>
        <v>1</v>
      </c>
      <c r="O6" t="s">
        <v>757</v>
      </c>
      <c r="P6">
        <v>5</v>
      </c>
      <c r="R6">
        <f>VLOOKUP(O6,'July 2026- Dispatch'!B:T,19,0)</f>
        <v>5</v>
      </c>
      <c r="S6" t="b">
        <f t="shared" si="1"/>
        <v>1</v>
      </c>
      <c r="U6" s="189" t="s">
        <v>860</v>
      </c>
      <c r="V6" s="189">
        <v>4</v>
      </c>
      <c r="X6">
        <f>VLOOKUP(U6,'July 2026- Dispatch'!B:J,9,0)</f>
        <v>0</v>
      </c>
      <c r="Y6" t="b">
        <f t="shared" si="2"/>
        <v>0</v>
      </c>
    </row>
    <row r="7" spans="1:25" hidden="1" x14ac:dyDescent="0.25">
      <c r="B7" s="152" t="s">
        <v>311</v>
      </c>
      <c r="C7" s="153" t="s">
        <v>2089</v>
      </c>
      <c r="D7" s="153" t="s">
        <v>2090</v>
      </c>
      <c r="E7" s="152" t="s">
        <v>2083</v>
      </c>
      <c r="F7" s="153">
        <v>0</v>
      </c>
      <c r="I7" t="s">
        <v>1778</v>
      </c>
      <c r="J7">
        <v>300</v>
      </c>
      <c r="K7" t="s">
        <v>493</v>
      </c>
      <c r="L7">
        <f>VLOOKUP(I7,'July 2026-Recived'!B:I,7,0)</f>
        <v>300</v>
      </c>
      <c r="M7" t="b">
        <f t="shared" si="0"/>
        <v>1</v>
      </c>
      <c r="O7" t="s">
        <v>765</v>
      </c>
      <c r="P7">
        <v>11</v>
      </c>
      <c r="R7">
        <f>VLOOKUP(O7,'July 2026- Dispatch'!B:T,19,0)</f>
        <v>11</v>
      </c>
      <c r="S7" t="b">
        <f t="shared" si="1"/>
        <v>1</v>
      </c>
      <c r="U7" s="189" t="s">
        <v>791</v>
      </c>
      <c r="V7" s="189">
        <v>375</v>
      </c>
      <c r="X7">
        <f>VLOOKUP(U7,'July 2026- Dispatch'!B:J,9,0)</f>
        <v>375</v>
      </c>
      <c r="Y7" t="b">
        <f t="shared" si="2"/>
        <v>1</v>
      </c>
    </row>
    <row r="8" spans="1:25" hidden="1" x14ac:dyDescent="0.25">
      <c r="B8" s="152" t="s">
        <v>325</v>
      </c>
      <c r="C8" s="153" t="s">
        <v>2091</v>
      </c>
      <c r="D8" s="153" t="s">
        <v>2092</v>
      </c>
      <c r="E8" s="152" t="s">
        <v>2083</v>
      </c>
      <c r="F8" s="153">
        <v>0</v>
      </c>
      <c r="I8" t="s">
        <v>1727</v>
      </c>
      <c r="J8">
        <v>100</v>
      </c>
      <c r="K8" t="s">
        <v>493</v>
      </c>
      <c r="L8">
        <f>VLOOKUP(I8,'July 2026-Recived'!B:I,7,0)</f>
        <v>100</v>
      </c>
      <c r="M8" t="b">
        <f t="shared" si="0"/>
        <v>1</v>
      </c>
      <c r="O8" t="s">
        <v>711</v>
      </c>
      <c r="P8">
        <v>2</v>
      </c>
      <c r="R8">
        <f>VLOOKUP(O8,'July 2026- Dispatch'!B:T,19,0)</f>
        <v>2</v>
      </c>
      <c r="S8" t="b">
        <f t="shared" si="1"/>
        <v>1</v>
      </c>
      <c r="U8" s="189" t="s">
        <v>1039</v>
      </c>
      <c r="V8" s="189">
        <v>500</v>
      </c>
      <c r="X8">
        <f>VLOOKUP(U8,'July 2026- Dispatch'!B:J,9,0)</f>
        <v>50</v>
      </c>
      <c r="Y8" t="b">
        <f t="shared" si="2"/>
        <v>0</v>
      </c>
    </row>
    <row r="9" spans="1:25" hidden="1" x14ac:dyDescent="0.25">
      <c r="B9" s="152" t="s">
        <v>309</v>
      </c>
      <c r="C9" s="153" t="s">
        <v>2093</v>
      </c>
      <c r="D9" s="153" t="s">
        <v>2094</v>
      </c>
      <c r="E9" s="152" t="s">
        <v>2083</v>
      </c>
      <c r="F9" s="153">
        <v>0</v>
      </c>
      <c r="I9" t="s">
        <v>470</v>
      </c>
      <c r="J9">
        <v>750</v>
      </c>
      <c r="K9" t="s">
        <v>493</v>
      </c>
      <c r="L9">
        <f>VLOOKUP(I9,'July 2026-Recived'!B:I,7,0)</f>
        <v>2850</v>
      </c>
      <c r="M9" t="b">
        <f t="shared" si="0"/>
        <v>0</v>
      </c>
      <c r="O9" t="s">
        <v>1509</v>
      </c>
      <c r="P9">
        <v>1</v>
      </c>
      <c r="R9">
        <f>VLOOKUP(O9,'July 2026- Dispatch'!B:T,19,0)</f>
        <v>1</v>
      </c>
      <c r="S9" t="b">
        <f t="shared" si="1"/>
        <v>1</v>
      </c>
      <c r="U9" s="189" t="s">
        <v>767</v>
      </c>
      <c r="V9" s="189">
        <v>1000</v>
      </c>
      <c r="X9">
        <f>VLOOKUP(U9,'July 2026- Dispatch'!B:J,9,0)</f>
        <v>1000</v>
      </c>
      <c r="Y9" t="b">
        <f t="shared" si="2"/>
        <v>1</v>
      </c>
    </row>
    <row r="10" spans="1:25" hidden="1" x14ac:dyDescent="0.25">
      <c r="B10" s="152" t="s">
        <v>315</v>
      </c>
      <c r="C10" s="153" t="s">
        <v>2095</v>
      </c>
      <c r="D10" s="153" t="s">
        <v>2096</v>
      </c>
      <c r="E10" s="152" t="s">
        <v>2086</v>
      </c>
      <c r="F10" s="153">
        <v>18</v>
      </c>
      <c r="I10" t="s">
        <v>807</v>
      </c>
      <c r="J10">
        <v>900</v>
      </c>
      <c r="K10" t="s">
        <v>493</v>
      </c>
      <c r="L10">
        <f>VLOOKUP(I10,'July 2026-Recived'!B:I,7,0)</f>
        <v>900</v>
      </c>
      <c r="M10" t="b">
        <f t="shared" si="0"/>
        <v>1</v>
      </c>
      <c r="O10" t="s">
        <v>124</v>
      </c>
      <c r="P10">
        <v>2</v>
      </c>
      <c r="R10">
        <f>VLOOKUP(O10,'July 2026- Dispatch'!B:T,19,0)</f>
        <v>2</v>
      </c>
      <c r="S10" t="b">
        <f t="shared" si="1"/>
        <v>1</v>
      </c>
      <c r="U10" s="189" t="s">
        <v>1280</v>
      </c>
      <c r="V10" s="189">
        <v>50</v>
      </c>
      <c r="X10">
        <f>VLOOKUP(U10,'July 2026- Dispatch'!B:J,9,0)</f>
        <v>50</v>
      </c>
      <c r="Y10" t="b">
        <f t="shared" si="2"/>
        <v>1</v>
      </c>
    </row>
    <row r="11" spans="1:25" hidden="1" x14ac:dyDescent="0.25">
      <c r="B11" s="152" t="s">
        <v>327</v>
      </c>
      <c r="C11" s="153" t="s">
        <v>2097</v>
      </c>
      <c r="D11" s="153" t="s">
        <v>2098</v>
      </c>
      <c r="E11" s="152" t="s">
        <v>2083</v>
      </c>
      <c r="F11" s="153">
        <v>0</v>
      </c>
      <c r="I11" t="s">
        <v>1175</v>
      </c>
      <c r="J11">
        <v>2250</v>
      </c>
      <c r="K11" t="s">
        <v>493</v>
      </c>
      <c r="L11">
        <f>VLOOKUP(I11,'July 2026-Recived'!B:I,7,0)</f>
        <v>2250</v>
      </c>
      <c r="M11" t="b">
        <f t="shared" si="0"/>
        <v>1</v>
      </c>
      <c r="O11" t="s">
        <v>1193</v>
      </c>
      <c r="P11">
        <v>60</v>
      </c>
      <c r="R11">
        <f>VLOOKUP(O11,'July 2026- Dispatch'!B:T,19,0)</f>
        <v>60</v>
      </c>
      <c r="S11" t="b">
        <f t="shared" si="1"/>
        <v>1</v>
      </c>
      <c r="U11" s="189" t="s">
        <v>2195</v>
      </c>
      <c r="V11" s="189">
        <v>5</v>
      </c>
      <c r="X11">
        <f>VLOOKUP(U11,'July 2026- Dispatch'!B:J,9,0)</f>
        <v>0</v>
      </c>
      <c r="Y11" t="b">
        <f t="shared" si="2"/>
        <v>0</v>
      </c>
    </row>
    <row r="12" spans="1:25" hidden="1" x14ac:dyDescent="0.25">
      <c r="B12" s="152" t="s">
        <v>2099</v>
      </c>
      <c r="C12" s="153" t="s">
        <v>2100</v>
      </c>
      <c r="D12" s="153" t="s">
        <v>2101</v>
      </c>
      <c r="E12" s="152" t="s">
        <v>2083</v>
      </c>
      <c r="F12" s="153">
        <v>0</v>
      </c>
      <c r="I12" t="s">
        <v>1381</v>
      </c>
      <c r="J12">
        <v>3500</v>
      </c>
      <c r="K12" t="s">
        <v>493</v>
      </c>
      <c r="L12">
        <f>VLOOKUP(I12,'July 2026-Recived'!B:I,7,0)</f>
        <v>3500</v>
      </c>
      <c r="M12" t="b">
        <f t="shared" si="0"/>
        <v>1</v>
      </c>
      <c r="O12" t="s">
        <v>782</v>
      </c>
      <c r="P12">
        <v>5</v>
      </c>
      <c r="R12">
        <f>VLOOKUP(O12,'July 2026- Dispatch'!B:T,19,0)</f>
        <v>5</v>
      </c>
      <c r="S12" t="b">
        <f t="shared" si="1"/>
        <v>1</v>
      </c>
      <c r="U12" s="189" t="s">
        <v>877</v>
      </c>
      <c r="V12" s="189">
        <v>10</v>
      </c>
      <c r="X12">
        <f>VLOOKUP(U12,'July 2026- Dispatch'!B:J,9,0)</f>
        <v>10</v>
      </c>
      <c r="Y12" t="b">
        <f t="shared" si="2"/>
        <v>1</v>
      </c>
    </row>
    <row r="13" spans="1:25" hidden="1" x14ac:dyDescent="0.25">
      <c r="B13" s="152" t="s">
        <v>337</v>
      </c>
      <c r="C13" s="153" t="s">
        <v>2102</v>
      </c>
      <c r="D13" s="153" t="s">
        <v>2103</v>
      </c>
      <c r="E13" s="152" t="s">
        <v>2083</v>
      </c>
      <c r="F13" s="153">
        <v>0</v>
      </c>
      <c r="I13" t="s">
        <v>1218</v>
      </c>
      <c r="J13">
        <v>360</v>
      </c>
      <c r="K13" t="s">
        <v>4964</v>
      </c>
      <c r="L13">
        <f>VLOOKUP(I13,'July 2026-Recived'!B:I,7,0)</f>
        <v>360</v>
      </c>
      <c r="M13" t="b">
        <f t="shared" si="0"/>
        <v>1</v>
      </c>
      <c r="O13" t="s">
        <v>879</v>
      </c>
      <c r="P13">
        <v>2</v>
      </c>
      <c r="R13">
        <f>VLOOKUP(O13,'July 2026- Dispatch'!B:T,19,0)</f>
        <v>2</v>
      </c>
      <c r="S13" t="b">
        <f t="shared" si="1"/>
        <v>1</v>
      </c>
      <c r="U13" s="189" t="s">
        <v>2589</v>
      </c>
      <c r="V13" s="189">
        <v>15</v>
      </c>
      <c r="X13">
        <f>VLOOKUP(U13,'July 2026- Dispatch'!B:J,9,0)</f>
        <v>15</v>
      </c>
      <c r="Y13" t="b">
        <f t="shared" si="2"/>
        <v>1</v>
      </c>
    </row>
    <row r="14" spans="1:25" hidden="1" x14ac:dyDescent="0.25">
      <c r="B14" s="152" t="s">
        <v>2104</v>
      </c>
      <c r="C14" s="153" t="s">
        <v>2105</v>
      </c>
      <c r="D14" s="153" t="s">
        <v>2106</v>
      </c>
      <c r="E14" s="152" t="s">
        <v>2083</v>
      </c>
      <c r="F14" s="153">
        <v>0</v>
      </c>
      <c r="I14" t="s">
        <v>1143</v>
      </c>
      <c r="J14">
        <v>402</v>
      </c>
      <c r="K14" t="s">
        <v>4964</v>
      </c>
      <c r="L14">
        <f>VLOOKUP(I14,'July 2026-Recived'!B:I,7,0)</f>
        <v>402</v>
      </c>
      <c r="M14" t="b">
        <f t="shared" si="0"/>
        <v>1</v>
      </c>
      <c r="O14" t="s">
        <v>791</v>
      </c>
      <c r="P14">
        <v>1</v>
      </c>
      <c r="R14">
        <f>VLOOKUP(O14,'July 2026- Dispatch'!B:T,19,0)</f>
        <v>1</v>
      </c>
      <c r="S14" t="b">
        <f t="shared" si="1"/>
        <v>1</v>
      </c>
      <c r="U14" s="189" t="s">
        <v>2619</v>
      </c>
      <c r="V14" s="189">
        <v>34</v>
      </c>
      <c r="X14">
        <f>VLOOKUP(U14,'July 2026- Dispatch'!B:J,9,0)</f>
        <v>34</v>
      </c>
      <c r="Y14" t="b">
        <f t="shared" si="2"/>
        <v>1</v>
      </c>
    </row>
    <row r="15" spans="1:25" hidden="1" x14ac:dyDescent="0.25">
      <c r="B15" s="152" t="s">
        <v>857</v>
      </c>
      <c r="C15" s="153" t="s">
        <v>2107</v>
      </c>
      <c r="D15" s="153" t="s">
        <v>2108</v>
      </c>
      <c r="E15" s="152" t="s">
        <v>2086</v>
      </c>
      <c r="F15" s="154">
        <v>7332</v>
      </c>
      <c r="I15" t="s">
        <v>743</v>
      </c>
      <c r="J15">
        <v>9040</v>
      </c>
      <c r="K15" t="s">
        <v>4964</v>
      </c>
      <c r="L15">
        <f>VLOOKUP(I15,'July 2026-Recived'!B:I,7,0)</f>
        <v>18540</v>
      </c>
      <c r="M15" t="b">
        <f t="shared" si="0"/>
        <v>0</v>
      </c>
      <c r="O15" t="s">
        <v>1055</v>
      </c>
      <c r="P15">
        <v>2</v>
      </c>
      <c r="R15">
        <f>VLOOKUP(O15,'July 2026- Dispatch'!B:T,19,0)</f>
        <v>2</v>
      </c>
      <c r="S15" t="b">
        <f t="shared" si="1"/>
        <v>1</v>
      </c>
      <c r="U15" s="189" t="s">
        <v>695</v>
      </c>
      <c r="V15" s="189">
        <v>50000</v>
      </c>
      <c r="X15">
        <f>VLOOKUP(U15,'July 2026- Dispatch'!B:J,9,0)</f>
        <v>500</v>
      </c>
      <c r="Y15" t="b">
        <f t="shared" si="2"/>
        <v>0</v>
      </c>
    </row>
    <row r="16" spans="1:25" hidden="1" x14ac:dyDescent="0.25">
      <c r="B16" s="152" t="s">
        <v>1070</v>
      </c>
      <c r="C16" s="153" t="s">
        <v>2109</v>
      </c>
      <c r="D16" s="153" t="s">
        <v>2110</v>
      </c>
      <c r="E16" s="152" t="s">
        <v>2111</v>
      </c>
      <c r="F16" s="153">
        <v>290</v>
      </c>
      <c r="I16" t="s">
        <v>2504</v>
      </c>
      <c r="J16">
        <v>163</v>
      </c>
      <c r="K16" t="s">
        <v>4963</v>
      </c>
      <c r="L16">
        <f>VLOOKUP(I16,'July 2026-Recived'!B:I,7,0)</f>
        <v>163</v>
      </c>
      <c r="M16" t="b">
        <f t="shared" si="0"/>
        <v>1</v>
      </c>
      <c r="O16" t="s">
        <v>780</v>
      </c>
      <c r="P16">
        <v>5</v>
      </c>
      <c r="R16">
        <f>VLOOKUP(O16,'July 2026- Dispatch'!B:T,19,0)</f>
        <v>5</v>
      </c>
      <c r="S16" t="b">
        <f t="shared" si="1"/>
        <v>1</v>
      </c>
      <c r="U16" s="189" t="s">
        <v>956</v>
      </c>
      <c r="V16" s="189">
        <v>5000</v>
      </c>
      <c r="X16">
        <f>VLOOKUP(U16,'July 2026- Dispatch'!B:J,9,0)</f>
        <v>5000</v>
      </c>
      <c r="Y16" t="b">
        <f t="shared" si="2"/>
        <v>1</v>
      </c>
    </row>
    <row r="17" spans="2:25" hidden="1" x14ac:dyDescent="0.25">
      <c r="B17" s="152" t="s">
        <v>752</v>
      </c>
      <c r="C17" s="153" t="s">
        <v>2112</v>
      </c>
      <c r="D17" s="153" t="s">
        <v>2113</v>
      </c>
      <c r="E17" s="152" t="s">
        <v>2111</v>
      </c>
      <c r="F17" s="153">
        <v>207</v>
      </c>
      <c r="I17" t="s">
        <v>3981</v>
      </c>
      <c r="J17">
        <v>16000</v>
      </c>
      <c r="K17" t="s">
        <v>4963</v>
      </c>
      <c r="L17">
        <f>VLOOKUP(I17,'July 2026-Recived'!B:I,7,0)</f>
        <v>16000</v>
      </c>
      <c r="M17" t="b">
        <f t="shared" si="0"/>
        <v>1</v>
      </c>
      <c r="O17" t="s">
        <v>1044</v>
      </c>
      <c r="P17">
        <v>1000</v>
      </c>
      <c r="R17">
        <f>VLOOKUP(O17,'July 2026- Dispatch'!B:T,19,0)</f>
        <v>10</v>
      </c>
      <c r="S17" t="b">
        <f t="shared" si="1"/>
        <v>0</v>
      </c>
      <c r="U17" s="189" t="s">
        <v>1117</v>
      </c>
      <c r="V17" s="189">
        <v>30400</v>
      </c>
      <c r="X17">
        <f>VLOOKUP(U17,'July 2026- Dispatch'!B:J,9,0)</f>
        <v>30400</v>
      </c>
      <c r="Y17" t="b">
        <f t="shared" si="2"/>
        <v>1</v>
      </c>
    </row>
    <row r="18" spans="2:25" hidden="1" x14ac:dyDescent="0.25">
      <c r="B18" s="152" t="s">
        <v>1089</v>
      </c>
      <c r="C18" s="153" t="s">
        <v>2114</v>
      </c>
      <c r="D18" s="153" t="s">
        <v>2115</v>
      </c>
      <c r="E18" s="152" t="s">
        <v>2111</v>
      </c>
      <c r="F18" s="153">
        <v>64</v>
      </c>
      <c r="I18" t="s">
        <v>2289</v>
      </c>
      <c r="J18">
        <v>300000</v>
      </c>
      <c r="K18" t="s">
        <v>4963</v>
      </c>
      <c r="L18">
        <f>VLOOKUP(I18,'July 2026-Recived'!B:I,7,0)</f>
        <v>300000</v>
      </c>
      <c r="M18" t="b">
        <f t="shared" si="0"/>
        <v>1</v>
      </c>
      <c r="O18" t="s">
        <v>846</v>
      </c>
      <c r="P18">
        <v>2</v>
      </c>
      <c r="R18">
        <f>VLOOKUP(O18,'July 2026- Dispatch'!B:T,19,0)</f>
        <v>2</v>
      </c>
      <c r="S18" t="b">
        <f t="shared" si="1"/>
        <v>1</v>
      </c>
      <c r="U18" s="189" t="s">
        <v>1405</v>
      </c>
      <c r="V18" s="189">
        <v>5000</v>
      </c>
      <c r="X18" t="e">
        <f>VLOOKUP(U18,'July 2026- Dispatch'!B:J,9,0)</f>
        <v>#N/A</v>
      </c>
      <c r="Y18" t="e">
        <f t="shared" si="2"/>
        <v>#N/A</v>
      </c>
    </row>
    <row r="19" spans="2:25" hidden="1" x14ac:dyDescent="0.25">
      <c r="B19" s="152" t="s">
        <v>757</v>
      </c>
      <c r="C19" s="153" t="s">
        <v>2116</v>
      </c>
      <c r="D19" s="153" t="s">
        <v>2117</v>
      </c>
      <c r="E19" s="152" t="s">
        <v>2111</v>
      </c>
      <c r="F19" s="153">
        <v>276</v>
      </c>
      <c r="I19" t="s">
        <v>709</v>
      </c>
      <c r="J19">
        <v>200</v>
      </c>
      <c r="K19" t="s">
        <v>2135</v>
      </c>
      <c r="L19">
        <f>VLOOKUP(I19,'July 2026-Recived'!B:I,7,0)</f>
        <v>200</v>
      </c>
      <c r="M19" t="b">
        <f t="shared" si="0"/>
        <v>1</v>
      </c>
      <c r="O19" t="s">
        <v>767</v>
      </c>
      <c r="P19">
        <v>170</v>
      </c>
      <c r="R19">
        <f>VLOOKUP(O19,'July 2026- Dispatch'!B:T,19,0)</f>
        <v>170</v>
      </c>
      <c r="S19" t="b">
        <f t="shared" si="1"/>
        <v>1</v>
      </c>
      <c r="U19" s="189" t="s">
        <v>3185</v>
      </c>
      <c r="V19" s="189">
        <v>5000</v>
      </c>
      <c r="X19">
        <f>VLOOKUP(U19,'July 2026- Dispatch'!B:J,9,0)</f>
        <v>0</v>
      </c>
      <c r="Y19" t="b">
        <f t="shared" si="2"/>
        <v>0</v>
      </c>
    </row>
    <row r="20" spans="2:25" hidden="1" x14ac:dyDescent="0.25">
      <c r="B20" s="152" t="s">
        <v>765</v>
      </c>
      <c r="C20" s="153" t="s">
        <v>2118</v>
      </c>
      <c r="D20" s="153" t="s">
        <v>2119</v>
      </c>
      <c r="E20" s="152" t="s">
        <v>2111</v>
      </c>
      <c r="F20" s="154">
        <v>2295</v>
      </c>
      <c r="I20" t="s">
        <v>695</v>
      </c>
      <c r="J20">
        <v>750</v>
      </c>
      <c r="K20" t="s">
        <v>2135</v>
      </c>
      <c r="L20">
        <f>VLOOKUP(I20,'July 2026-Recived'!B:I,7,0)</f>
        <v>750</v>
      </c>
      <c r="M20" t="b">
        <f t="shared" si="0"/>
        <v>1</v>
      </c>
      <c r="O20" t="s">
        <v>721</v>
      </c>
      <c r="P20">
        <v>8</v>
      </c>
      <c r="R20">
        <f>VLOOKUP(O20,'July 2026- Dispatch'!B:T,19,0)</f>
        <v>8</v>
      </c>
      <c r="S20" t="b">
        <f t="shared" si="1"/>
        <v>1</v>
      </c>
      <c r="U20" s="189" t="s">
        <v>774</v>
      </c>
      <c r="V20" s="189">
        <v>8000</v>
      </c>
      <c r="X20">
        <f>VLOOKUP(U20,'July 2026- Dispatch'!B:J,9,0)</f>
        <v>8000</v>
      </c>
      <c r="Y20" t="b">
        <f t="shared" si="2"/>
        <v>1</v>
      </c>
    </row>
    <row r="21" spans="2:25" hidden="1" x14ac:dyDescent="0.25">
      <c r="B21" s="152" t="s">
        <v>711</v>
      </c>
      <c r="C21" s="153" t="s">
        <v>2120</v>
      </c>
      <c r="D21" s="153" t="s">
        <v>2121</v>
      </c>
      <c r="E21" s="152" t="s">
        <v>2111</v>
      </c>
      <c r="F21" s="153">
        <v>135</v>
      </c>
      <c r="I21" t="s">
        <v>93</v>
      </c>
      <c r="J21">
        <v>88000</v>
      </c>
      <c r="K21" t="s">
        <v>4963</v>
      </c>
      <c r="L21">
        <f>VLOOKUP(I21,'July 2026-Recived'!B:I,7,0)</f>
        <v>88000</v>
      </c>
      <c r="M21" t="b">
        <f t="shared" si="0"/>
        <v>1</v>
      </c>
      <c r="O21" t="s">
        <v>704</v>
      </c>
      <c r="P21">
        <v>6</v>
      </c>
      <c r="R21">
        <f>VLOOKUP(O21,'July 2026- Dispatch'!B:T,19,0)</f>
        <v>6</v>
      </c>
      <c r="S21" t="b">
        <f t="shared" si="1"/>
        <v>1</v>
      </c>
      <c r="U21" s="189" t="s">
        <v>4925</v>
      </c>
      <c r="V21" s="189">
        <v>28500</v>
      </c>
      <c r="X21">
        <f>VLOOKUP(U21,'July 2026- Dispatch'!B:J,9,0)</f>
        <v>28500</v>
      </c>
      <c r="Y21" t="b">
        <f t="shared" si="2"/>
        <v>1</v>
      </c>
    </row>
    <row r="22" spans="2:25" hidden="1" x14ac:dyDescent="0.25">
      <c r="B22" s="152" t="s">
        <v>1509</v>
      </c>
      <c r="C22" s="153" t="s">
        <v>2122</v>
      </c>
      <c r="D22" s="153" t="s">
        <v>2123</v>
      </c>
      <c r="E22" s="152" t="s">
        <v>2111</v>
      </c>
      <c r="F22" s="153">
        <v>575</v>
      </c>
      <c r="I22" t="s">
        <v>1263</v>
      </c>
      <c r="J22">
        <v>250000</v>
      </c>
      <c r="K22" t="s">
        <v>4963</v>
      </c>
      <c r="L22">
        <f>VLOOKUP(I22,'July 2026-Recived'!B:I,7,0)</f>
        <v>250000</v>
      </c>
      <c r="M22" t="b">
        <f t="shared" si="0"/>
        <v>1</v>
      </c>
      <c r="O22" t="s">
        <v>841</v>
      </c>
      <c r="P22">
        <v>1</v>
      </c>
      <c r="R22">
        <f>VLOOKUP(O22,'July 2026- Dispatch'!B:T,19,0)</f>
        <v>0</v>
      </c>
      <c r="S22" t="b">
        <f t="shared" si="1"/>
        <v>0</v>
      </c>
      <c r="U22" s="189" t="s">
        <v>1474</v>
      </c>
      <c r="V22" s="189">
        <v>5000</v>
      </c>
      <c r="X22">
        <f>VLOOKUP(U22,'July 2026- Dispatch'!B:J,9,0)</f>
        <v>5000</v>
      </c>
      <c r="Y22" t="b">
        <f t="shared" si="2"/>
        <v>1</v>
      </c>
    </row>
    <row r="23" spans="2:25" hidden="1" x14ac:dyDescent="0.25">
      <c r="B23" s="152" t="s">
        <v>733</v>
      </c>
      <c r="C23" s="153" t="s">
        <v>2124</v>
      </c>
      <c r="D23" s="153" t="s">
        <v>2125</v>
      </c>
      <c r="E23" s="152" t="s">
        <v>2126</v>
      </c>
      <c r="F23" s="153">
        <v>0</v>
      </c>
      <c r="I23" t="s">
        <v>4925</v>
      </c>
      <c r="J23">
        <v>52820</v>
      </c>
      <c r="K23" t="s">
        <v>4963</v>
      </c>
      <c r="L23">
        <f>VLOOKUP(I23,'July 2026-Recived'!B:I,7,0)</f>
        <v>52820</v>
      </c>
      <c r="M23" t="b">
        <f t="shared" si="0"/>
        <v>1</v>
      </c>
      <c r="O23" t="s">
        <v>881</v>
      </c>
      <c r="P23">
        <v>225</v>
      </c>
      <c r="R23">
        <f>VLOOKUP(O23,'July 2026- Dispatch'!B:T,19,0)</f>
        <v>225</v>
      </c>
      <c r="S23" t="b">
        <f t="shared" si="1"/>
        <v>1</v>
      </c>
      <c r="U23" s="189" t="s">
        <v>1423</v>
      </c>
      <c r="V23" s="189">
        <v>1190</v>
      </c>
      <c r="X23">
        <f>VLOOKUP(U23,'July 2026- Dispatch'!B:J,9,0)</f>
        <v>1190</v>
      </c>
      <c r="Y23" t="b">
        <f t="shared" si="2"/>
        <v>1</v>
      </c>
    </row>
    <row r="24" spans="2:25" hidden="1" x14ac:dyDescent="0.25">
      <c r="B24" s="152" t="s">
        <v>969</v>
      </c>
      <c r="C24" s="153" t="s">
        <v>2127</v>
      </c>
      <c r="D24" s="153" t="s">
        <v>2128</v>
      </c>
      <c r="E24" s="152" t="s">
        <v>2086</v>
      </c>
      <c r="F24" s="154">
        <v>1260</v>
      </c>
      <c r="I24" t="s">
        <v>802</v>
      </c>
      <c r="J24">
        <v>22500</v>
      </c>
      <c r="K24" t="s">
        <v>4963</v>
      </c>
      <c r="L24">
        <f>VLOOKUP(I24,'July 2026-Recived'!B:I,7,0)</f>
        <v>44460</v>
      </c>
      <c r="M24" t="b">
        <f t="shared" si="0"/>
        <v>0</v>
      </c>
      <c r="O24" t="s">
        <v>1011</v>
      </c>
      <c r="P24">
        <v>1</v>
      </c>
      <c r="R24">
        <f>VLOOKUP(O24,'July 2026- Dispatch'!B:T,19,0)</f>
        <v>1</v>
      </c>
      <c r="S24" t="b">
        <f t="shared" si="1"/>
        <v>1</v>
      </c>
      <c r="U24" s="189" t="s">
        <v>1173</v>
      </c>
      <c r="V24" s="189">
        <v>2100</v>
      </c>
      <c r="X24">
        <f>VLOOKUP(U24,'July 2026- Dispatch'!B:J,9,0)</f>
        <v>2100</v>
      </c>
      <c r="Y24" t="b">
        <f t="shared" si="2"/>
        <v>1</v>
      </c>
    </row>
    <row r="25" spans="2:25" hidden="1" x14ac:dyDescent="0.25">
      <c r="B25" s="152" t="s">
        <v>124</v>
      </c>
      <c r="C25" s="153" t="s">
        <v>2129</v>
      </c>
      <c r="D25" s="153" t="s">
        <v>2130</v>
      </c>
      <c r="E25" s="152" t="s">
        <v>2111</v>
      </c>
      <c r="F25" s="153">
        <v>43</v>
      </c>
      <c r="I25" t="s">
        <v>953</v>
      </c>
      <c r="J25">
        <v>80000</v>
      </c>
      <c r="K25" t="s">
        <v>4963</v>
      </c>
      <c r="L25">
        <f>VLOOKUP(I25,'July 2026-Recived'!B:I,7,0)</f>
        <v>97835</v>
      </c>
      <c r="M25" t="b">
        <f t="shared" si="0"/>
        <v>0</v>
      </c>
      <c r="O25" t="s">
        <v>831</v>
      </c>
      <c r="P25">
        <v>1</v>
      </c>
      <c r="R25">
        <f>VLOOKUP(O25,'July 2026- Dispatch'!B:T,19,0)</f>
        <v>1</v>
      </c>
      <c r="S25" t="b">
        <f t="shared" si="1"/>
        <v>1</v>
      </c>
      <c r="U25" s="189" t="s">
        <v>1140</v>
      </c>
      <c r="V25" s="189">
        <f>10000+5000</f>
        <v>15000</v>
      </c>
      <c r="X25">
        <f>VLOOKUP(U25,'July 2026- Dispatch'!B:J,9,0)</f>
        <v>15000</v>
      </c>
      <c r="Y25" t="b">
        <f t="shared" si="2"/>
        <v>1</v>
      </c>
    </row>
    <row r="26" spans="2:25" hidden="1" x14ac:dyDescent="0.25">
      <c r="B26" s="152" t="s">
        <v>1030</v>
      </c>
      <c r="C26" s="153" t="s">
        <v>2131</v>
      </c>
      <c r="D26" s="153" t="s">
        <v>2132</v>
      </c>
      <c r="E26" s="152" t="s">
        <v>2111</v>
      </c>
      <c r="F26" s="153">
        <v>298</v>
      </c>
      <c r="I26" t="s">
        <v>3151</v>
      </c>
      <c r="J26">
        <v>50</v>
      </c>
      <c r="K26" t="s">
        <v>4963</v>
      </c>
      <c r="L26">
        <f>VLOOKUP(I26,'July 2026-Recived'!B:I,7,0)</f>
        <v>800</v>
      </c>
      <c r="M26" t="b">
        <f t="shared" si="0"/>
        <v>0</v>
      </c>
      <c r="O26" t="s">
        <v>1154</v>
      </c>
      <c r="P26">
        <v>2</v>
      </c>
      <c r="R26">
        <f>VLOOKUP(O26,'July 2026- Dispatch'!B:T,19,0)</f>
        <v>2</v>
      </c>
      <c r="S26" t="b">
        <f t="shared" si="1"/>
        <v>1</v>
      </c>
      <c r="U26" s="189" t="s">
        <v>93</v>
      </c>
      <c r="V26" s="189">
        <v>40000</v>
      </c>
      <c r="X26">
        <f>VLOOKUP(U26,'July 2026- Dispatch'!B:J,9,0)</f>
        <v>40000</v>
      </c>
      <c r="Y26" t="b">
        <f t="shared" si="2"/>
        <v>1</v>
      </c>
    </row>
    <row r="27" spans="2:25" hidden="1" x14ac:dyDescent="0.25">
      <c r="B27" s="152" t="s">
        <v>709</v>
      </c>
      <c r="C27" s="153" t="s">
        <v>2133</v>
      </c>
      <c r="D27" s="153" t="s">
        <v>2134</v>
      </c>
      <c r="E27" s="152" t="s">
        <v>2135</v>
      </c>
      <c r="F27" s="154">
        <v>1110</v>
      </c>
      <c r="I27" t="s">
        <v>430</v>
      </c>
      <c r="J27">
        <v>1250</v>
      </c>
      <c r="K27" t="s">
        <v>493</v>
      </c>
      <c r="L27">
        <f>VLOOKUP(I27,'July 2026-Recived'!B:I,7,0)</f>
        <v>1250</v>
      </c>
      <c r="M27" t="b">
        <f t="shared" si="0"/>
        <v>1</v>
      </c>
      <c r="O27" t="s">
        <v>1418</v>
      </c>
      <c r="P27">
        <v>3</v>
      </c>
      <c r="R27">
        <f>VLOOKUP(O27,'July 2026- Dispatch'!B:T,19,0)</f>
        <v>3</v>
      </c>
      <c r="S27" t="b">
        <f t="shared" si="1"/>
        <v>1</v>
      </c>
      <c r="U27" s="189" t="s">
        <v>1482</v>
      </c>
      <c r="V27" s="189">
        <v>80</v>
      </c>
      <c r="X27">
        <f>VLOOKUP(U27,'July 2026- Dispatch'!B:J,9,0)</f>
        <v>80</v>
      </c>
      <c r="Y27" t="b">
        <f t="shared" si="2"/>
        <v>1</v>
      </c>
    </row>
    <row r="28" spans="2:25" hidden="1" x14ac:dyDescent="0.25">
      <c r="B28" s="152" t="s">
        <v>1318</v>
      </c>
      <c r="C28" s="153" t="s">
        <v>2136</v>
      </c>
      <c r="D28" s="153" t="s">
        <v>2137</v>
      </c>
      <c r="E28" s="152" t="s">
        <v>2086</v>
      </c>
      <c r="F28" s="154">
        <v>1980</v>
      </c>
      <c r="I28" t="s">
        <v>1156</v>
      </c>
      <c r="J28">
        <v>23.88</v>
      </c>
      <c r="K28" t="s">
        <v>493</v>
      </c>
      <c r="L28">
        <f>VLOOKUP(I28,'July 2026-Recived'!B:I,7,0)</f>
        <v>23.88</v>
      </c>
      <c r="M28" t="b">
        <f t="shared" si="0"/>
        <v>1</v>
      </c>
      <c r="O28" t="s">
        <v>1199</v>
      </c>
      <c r="P28">
        <v>4</v>
      </c>
      <c r="R28">
        <f>VLOOKUP(O28,'July 2026- Dispatch'!B:T,19,0)</f>
        <v>4</v>
      </c>
      <c r="S28" t="b">
        <f t="shared" si="1"/>
        <v>1</v>
      </c>
      <c r="U28" s="189" t="s">
        <v>959</v>
      </c>
      <c r="V28" s="189">
        <v>50</v>
      </c>
      <c r="X28">
        <f>VLOOKUP(U28,'July 2026- Dispatch'!B:J,9,0)</f>
        <v>50</v>
      </c>
      <c r="Y28" t="b">
        <f t="shared" si="2"/>
        <v>1</v>
      </c>
    </row>
    <row r="29" spans="2:25" hidden="1" x14ac:dyDescent="0.25">
      <c r="B29" s="152" t="s">
        <v>1193</v>
      </c>
      <c r="C29" s="153" t="s">
        <v>2138</v>
      </c>
      <c r="D29" s="153" t="s">
        <v>2139</v>
      </c>
      <c r="E29" s="152" t="s">
        <v>22</v>
      </c>
      <c r="F29" s="154">
        <v>5000</v>
      </c>
      <c r="I29" t="s">
        <v>985</v>
      </c>
      <c r="J29">
        <v>9.93</v>
      </c>
      <c r="K29" t="s">
        <v>493</v>
      </c>
      <c r="L29">
        <f>VLOOKUP(I29,'July 2026-Recived'!B:I,7,0)</f>
        <v>9.93</v>
      </c>
      <c r="M29" t="b">
        <f t="shared" si="0"/>
        <v>1</v>
      </c>
      <c r="O29" t="s">
        <v>964</v>
      </c>
      <c r="P29">
        <v>170</v>
      </c>
      <c r="R29">
        <f>VLOOKUP(O29,'July 2026- Dispatch'!B:T,19,0)</f>
        <v>170</v>
      </c>
      <c r="S29" t="b">
        <f t="shared" si="1"/>
        <v>1</v>
      </c>
      <c r="U29" s="189" t="s">
        <v>1060</v>
      </c>
      <c r="V29" s="189">
        <v>20000</v>
      </c>
      <c r="X29">
        <f>VLOOKUP(U29,'July 2026- Dispatch'!B:J,9,0)</f>
        <v>20000</v>
      </c>
      <c r="Y29" t="b">
        <f t="shared" si="2"/>
        <v>1</v>
      </c>
    </row>
    <row r="30" spans="2:25" hidden="1" x14ac:dyDescent="0.25">
      <c r="B30" s="152" t="s">
        <v>782</v>
      </c>
      <c r="C30" s="153" t="s">
        <v>2140</v>
      </c>
      <c r="D30" s="153" t="s">
        <v>2141</v>
      </c>
      <c r="E30" s="152" t="s">
        <v>2111</v>
      </c>
      <c r="F30" s="153">
        <v>201</v>
      </c>
      <c r="I30" t="s">
        <v>1151</v>
      </c>
      <c r="J30">
        <v>9000</v>
      </c>
      <c r="K30" t="s">
        <v>493</v>
      </c>
      <c r="L30">
        <f>VLOOKUP(I30,'July 2026-Recived'!B:I,7,0)</f>
        <v>12240</v>
      </c>
      <c r="M30" t="b">
        <f t="shared" si="0"/>
        <v>0</v>
      </c>
      <c r="O30" t="s">
        <v>678</v>
      </c>
      <c r="P30">
        <v>2</v>
      </c>
      <c r="R30">
        <f>VLOOKUP(O30,'July 2026- Dispatch'!B:T,19,0)</f>
        <v>2</v>
      </c>
      <c r="S30" t="b">
        <f t="shared" si="1"/>
        <v>1</v>
      </c>
      <c r="U30" s="189" t="s">
        <v>795</v>
      </c>
      <c r="V30" s="189">
        <v>2850</v>
      </c>
      <c r="X30">
        <f>VLOOKUP(U30,'July 2026- Dispatch'!B:J,9,0)</f>
        <v>1500</v>
      </c>
      <c r="Y30" t="b">
        <f t="shared" si="2"/>
        <v>0</v>
      </c>
    </row>
    <row r="31" spans="2:25" hidden="1" x14ac:dyDescent="0.25">
      <c r="B31" s="152" t="s">
        <v>860</v>
      </c>
      <c r="C31" s="153" t="s">
        <v>2142</v>
      </c>
      <c r="D31" s="153" t="s">
        <v>2143</v>
      </c>
      <c r="E31" s="152" t="s">
        <v>2083</v>
      </c>
      <c r="F31" s="153">
        <v>0</v>
      </c>
      <c r="I31" t="s">
        <v>1208</v>
      </c>
      <c r="J31">
        <v>64.8</v>
      </c>
      <c r="K31" t="s">
        <v>493</v>
      </c>
      <c r="L31">
        <f>VLOOKUP(I31,'July 2026-Recived'!B:I,7,0)</f>
        <v>64.8</v>
      </c>
      <c r="M31" t="b">
        <f t="shared" si="0"/>
        <v>1</v>
      </c>
      <c r="O31" t="s">
        <v>1384</v>
      </c>
      <c r="P31">
        <v>5</v>
      </c>
      <c r="R31">
        <f>VLOOKUP(O31,'July 2026- Dispatch'!B:T,19,0)</f>
        <v>5</v>
      </c>
      <c r="S31" t="b">
        <f t="shared" si="1"/>
        <v>1</v>
      </c>
      <c r="U31" s="189" t="s">
        <v>1303</v>
      </c>
      <c r="V31" s="189">
        <v>6000</v>
      </c>
      <c r="X31">
        <f>VLOOKUP(U31,'July 2026- Dispatch'!B:J,9,0)</f>
        <v>6000</v>
      </c>
      <c r="Y31" t="b">
        <f t="shared" si="2"/>
        <v>1</v>
      </c>
    </row>
    <row r="32" spans="2:25" hidden="1" x14ac:dyDescent="0.25">
      <c r="B32" s="152" t="s">
        <v>1301</v>
      </c>
      <c r="C32" s="153" t="s">
        <v>2144</v>
      </c>
      <c r="D32" s="153" t="s">
        <v>2145</v>
      </c>
      <c r="E32" s="152" t="s">
        <v>2083</v>
      </c>
      <c r="F32" s="153">
        <v>0</v>
      </c>
      <c r="I32" t="s">
        <v>1555</v>
      </c>
      <c r="J32">
        <v>20</v>
      </c>
      <c r="K32" t="s">
        <v>493</v>
      </c>
      <c r="L32">
        <f>VLOOKUP(I32,'July 2026-Recived'!B:I,7,0)</f>
        <v>20</v>
      </c>
      <c r="M32" t="b">
        <f t="shared" si="0"/>
        <v>1</v>
      </c>
      <c r="O32" t="s">
        <v>1734</v>
      </c>
      <c r="P32">
        <v>5</v>
      </c>
      <c r="R32">
        <f>VLOOKUP(O32,'July 2026- Dispatch'!B:T,19,0)</f>
        <v>5</v>
      </c>
      <c r="S32" t="b">
        <f t="shared" si="1"/>
        <v>1</v>
      </c>
      <c r="U32" s="189" t="s">
        <v>2024</v>
      </c>
      <c r="V32" s="189">
        <v>15000</v>
      </c>
      <c r="X32">
        <f>VLOOKUP(U32,'July 2026- Dispatch'!B:J,9,0)</f>
        <v>15000</v>
      </c>
      <c r="Y32" t="b">
        <f t="shared" si="2"/>
        <v>1</v>
      </c>
    </row>
    <row r="33" spans="2:25" x14ac:dyDescent="0.25">
      <c r="B33" s="152" t="s">
        <v>261</v>
      </c>
      <c r="C33" s="153" t="s">
        <v>2146</v>
      </c>
      <c r="D33" s="153" t="s">
        <v>2147</v>
      </c>
      <c r="E33" s="152" t="s">
        <v>2126</v>
      </c>
      <c r="F33" s="153">
        <v>0</v>
      </c>
      <c r="I33" t="s">
        <v>1165</v>
      </c>
      <c r="J33">
        <v>576</v>
      </c>
      <c r="K33" t="s">
        <v>493</v>
      </c>
      <c r="L33">
        <f>VLOOKUP(I33,'July 2026-Recived'!B:I,7,0)</f>
        <v>576</v>
      </c>
      <c r="M33" t="b">
        <f t="shared" si="0"/>
        <v>1</v>
      </c>
      <c r="O33" t="s">
        <v>4931</v>
      </c>
      <c r="P33">
        <v>1</v>
      </c>
      <c r="R33">
        <f>VLOOKUP(O33,'July 2026- Dispatch'!B:T,19,0)</f>
        <v>1</v>
      </c>
      <c r="S33" t="b">
        <f>P33=R33</f>
        <v>1</v>
      </c>
      <c r="U33" s="189" t="s">
        <v>1531</v>
      </c>
      <c r="V33" s="189">
        <v>1500</v>
      </c>
      <c r="X33">
        <f>VLOOKUP(U33,'July 2026- Dispatch'!B:J,9,0)</f>
        <v>1500</v>
      </c>
      <c r="Y33" t="b">
        <f t="shared" si="2"/>
        <v>1</v>
      </c>
    </row>
    <row r="34" spans="2:25" hidden="1" x14ac:dyDescent="0.25">
      <c r="B34" s="152" t="s">
        <v>2148</v>
      </c>
      <c r="C34" s="153" t="s">
        <v>2149</v>
      </c>
      <c r="D34" s="153" t="s">
        <v>2150</v>
      </c>
      <c r="E34" s="152" t="s">
        <v>2086</v>
      </c>
      <c r="F34" s="153">
        <v>8</v>
      </c>
      <c r="I34" t="s">
        <v>58</v>
      </c>
      <c r="J34">
        <v>45.6</v>
      </c>
      <c r="K34" t="s">
        <v>493</v>
      </c>
      <c r="L34">
        <f>VLOOKUP(I34,'July 2026-Recived'!B:I,7,0)</f>
        <v>45.6</v>
      </c>
      <c r="M34" t="b">
        <f t="shared" si="0"/>
        <v>1</v>
      </c>
      <c r="O34" t="s">
        <v>2636</v>
      </c>
      <c r="P34">
        <v>1</v>
      </c>
      <c r="R34">
        <f>VLOOKUP(O34,'July 2026- Dispatch'!B:T,19,0)</f>
        <v>1</v>
      </c>
      <c r="S34" t="b">
        <f t="shared" si="1"/>
        <v>1</v>
      </c>
      <c r="U34" s="189" t="s">
        <v>1178</v>
      </c>
      <c r="V34" s="189">
        <v>18000</v>
      </c>
      <c r="X34">
        <f>VLOOKUP(U34,'July 2026- Dispatch'!B:J,9,0)</f>
        <v>9000</v>
      </c>
      <c r="Y34" t="b">
        <f t="shared" si="2"/>
        <v>0</v>
      </c>
    </row>
    <row r="35" spans="2:25" hidden="1" x14ac:dyDescent="0.25">
      <c r="B35" s="152" t="s">
        <v>932</v>
      </c>
      <c r="C35" s="153" t="s">
        <v>2151</v>
      </c>
      <c r="D35" s="153" t="s">
        <v>2152</v>
      </c>
      <c r="E35" s="152" t="s">
        <v>2086</v>
      </c>
      <c r="F35" s="153">
        <v>40</v>
      </c>
      <c r="I35" t="s">
        <v>1526</v>
      </c>
      <c r="J35">
        <v>5</v>
      </c>
      <c r="K35" t="s">
        <v>493</v>
      </c>
      <c r="L35">
        <f>VLOOKUP(I35,'July 2026-Recived'!B:I,7,0)</f>
        <v>5</v>
      </c>
      <c r="M35" t="b">
        <f t="shared" si="0"/>
        <v>1</v>
      </c>
      <c r="O35" t="s">
        <v>2639</v>
      </c>
      <c r="P35">
        <v>1</v>
      </c>
      <c r="R35">
        <f>VLOOKUP(O35,'July 2026- Dispatch'!B:T,19,0)</f>
        <v>1</v>
      </c>
      <c r="S35" t="b">
        <f t="shared" si="1"/>
        <v>1</v>
      </c>
      <c r="U35" s="189" t="s">
        <v>2067</v>
      </c>
      <c r="V35" s="189">
        <v>10000</v>
      </c>
      <c r="X35">
        <f>VLOOKUP(U35,'July 2026- Dispatch'!B:J,9,0)</f>
        <v>9000</v>
      </c>
      <c r="Y35" t="b">
        <f t="shared" si="2"/>
        <v>0</v>
      </c>
    </row>
    <row r="36" spans="2:25" x14ac:dyDescent="0.25">
      <c r="B36" s="152" t="s">
        <v>879</v>
      </c>
      <c r="C36" s="153" t="s">
        <v>2153</v>
      </c>
      <c r="D36" s="153" t="s">
        <v>2154</v>
      </c>
      <c r="E36" s="152" t="s">
        <v>2111</v>
      </c>
      <c r="F36" s="153">
        <v>254</v>
      </c>
      <c r="I36" t="s">
        <v>691</v>
      </c>
      <c r="J36">
        <v>10</v>
      </c>
      <c r="K36" t="s">
        <v>493</v>
      </c>
      <c r="L36">
        <f>VLOOKUP(I36,'July 2026-Recived'!B:I,7,0)</f>
        <v>10</v>
      </c>
      <c r="M36" t="b">
        <f t="shared" ref="M36:M67" si="3">L36=J36</f>
        <v>1</v>
      </c>
      <c r="O36" t="s">
        <v>2642</v>
      </c>
      <c r="P36">
        <v>1</v>
      </c>
      <c r="R36">
        <f>VLOOKUP(O36,'July 2026- Dispatch'!B:T,19,0)</f>
        <v>1</v>
      </c>
      <c r="S36" t="b">
        <f>P36=R36</f>
        <v>1</v>
      </c>
      <c r="U36" s="189" t="s">
        <v>3748</v>
      </c>
      <c r="V36" s="189">
        <v>10000</v>
      </c>
      <c r="X36">
        <f>VLOOKUP(U36,'July 2026- Dispatch'!B:J,9,0)</f>
        <v>10000</v>
      </c>
      <c r="Y36" t="b">
        <f t="shared" si="2"/>
        <v>1</v>
      </c>
    </row>
    <row r="37" spans="2:25" hidden="1" x14ac:dyDescent="0.25">
      <c r="B37" s="152" t="s">
        <v>791</v>
      </c>
      <c r="C37" s="153" t="s">
        <v>2155</v>
      </c>
      <c r="D37" s="153" t="s">
        <v>2156</v>
      </c>
      <c r="E37" s="152" t="s">
        <v>2111</v>
      </c>
      <c r="F37" s="154">
        <v>2950</v>
      </c>
      <c r="I37" t="s">
        <v>480</v>
      </c>
      <c r="J37">
        <v>30</v>
      </c>
      <c r="K37" t="s">
        <v>493</v>
      </c>
      <c r="L37">
        <f>VLOOKUP(I37,'July 2026-Recived'!B:I,7,0)</f>
        <v>30</v>
      </c>
      <c r="M37" t="b">
        <f t="shared" si="3"/>
        <v>1</v>
      </c>
      <c r="O37" t="s">
        <v>4907</v>
      </c>
      <c r="P37">
        <v>40</v>
      </c>
      <c r="R37">
        <f>VLOOKUP(O37,'July 2026- Dispatch'!B:T,19,0)</f>
        <v>0</v>
      </c>
      <c r="S37" t="b">
        <f t="shared" si="1"/>
        <v>0</v>
      </c>
      <c r="U37" s="189" t="s">
        <v>3792</v>
      </c>
      <c r="V37" s="189">
        <v>13</v>
      </c>
      <c r="X37">
        <f>VLOOKUP(U37,'July 2026- Dispatch'!B:J,9,0)</f>
        <v>13</v>
      </c>
      <c r="Y37" t="b">
        <f t="shared" si="2"/>
        <v>1</v>
      </c>
    </row>
    <row r="38" spans="2:25" hidden="1" x14ac:dyDescent="0.25">
      <c r="B38" s="152" t="s">
        <v>2157</v>
      </c>
      <c r="C38" s="153" t="s">
        <v>2158</v>
      </c>
      <c r="D38" s="153" t="s">
        <v>2159</v>
      </c>
      <c r="E38" s="152" t="s">
        <v>2160</v>
      </c>
      <c r="F38" s="153">
        <v>0</v>
      </c>
      <c r="I38" t="s">
        <v>1094</v>
      </c>
      <c r="J38">
        <v>20</v>
      </c>
      <c r="K38" t="s">
        <v>493</v>
      </c>
      <c r="L38">
        <f>VLOOKUP(I38,'July 2026-Recived'!B:I,7,0)</f>
        <v>20</v>
      </c>
      <c r="M38" t="b">
        <f t="shared" si="3"/>
        <v>1</v>
      </c>
      <c r="O38" t="s">
        <v>4909</v>
      </c>
      <c r="P38">
        <v>15</v>
      </c>
      <c r="R38">
        <f>VLOOKUP(O38,'July 2026- Dispatch'!B:T,19,0)</f>
        <v>15</v>
      </c>
      <c r="S38" t="b">
        <f t="shared" si="1"/>
        <v>1</v>
      </c>
      <c r="U38" s="189" t="s">
        <v>4935</v>
      </c>
      <c r="V38" s="189">
        <v>5700</v>
      </c>
      <c r="X38">
        <f>VLOOKUP(U38,'July 2026- Dispatch'!B:J,9,0)</f>
        <v>5700</v>
      </c>
      <c r="Y38" t="b">
        <f t="shared" si="2"/>
        <v>1</v>
      </c>
    </row>
    <row r="39" spans="2:25" x14ac:dyDescent="0.25">
      <c r="B39" s="152" t="s">
        <v>1055</v>
      </c>
      <c r="C39" s="153" t="s">
        <v>2161</v>
      </c>
      <c r="D39" s="153" t="s">
        <v>2162</v>
      </c>
      <c r="E39" s="152" t="s">
        <v>2111</v>
      </c>
      <c r="F39" s="153">
        <v>690</v>
      </c>
      <c r="I39" t="s">
        <v>1110</v>
      </c>
      <c r="J39">
        <v>270</v>
      </c>
      <c r="K39" t="s">
        <v>493</v>
      </c>
      <c r="L39">
        <f>VLOOKUP(I39,'July 2026-Recived'!B:I,7,0)</f>
        <v>270</v>
      </c>
      <c r="M39" t="b">
        <f t="shared" si="3"/>
        <v>1</v>
      </c>
      <c r="O39" t="s">
        <v>4913</v>
      </c>
      <c r="P39">
        <v>75</v>
      </c>
      <c r="R39">
        <f>VLOOKUP(O39,'July 2026- Dispatch'!B:T,19,0)</f>
        <v>75</v>
      </c>
      <c r="S39" t="b">
        <f>P39=R39</f>
        <v>1</v>
      </c>
      <c r="U39" s="189" t="s">
        <v>897</v>
      </c>
      <c r="V39" s="189">
        <v>3320</v>
      </c>
      <c r="X39">
        <f>VLOOKUP(U39,'July 2026- Dispatch'!B:J,9,0)</f>
        <v>3320</v>
      </c>
      <c r="Y39" t="b">
        <f t="shared" si="2"/>
        <v>1</v>
      </c>
    </row>
    <row r="40" spans="2:25" hidden="1" x14ac:dyDescent="0.25">
      <c r="B40" s="152" t="s">
        <v>780</v>
      </c>
      <c r="C40" s="153" t="s">
        <v>2163</v>
      </c>
      <c r="D40" s="153" t="s">
        <v>2164</v>
      </c>
      <c r="E40" s="152" t="s">
        <v>2111</v>
      </c>
      <c r="F40" s="153">
        <v>645</v>
      </c>
      <c r="I40" t="s">
        <v>819</v>
      </c>
      <c r="J40">
        <v>9800</v>
      </c>
      <c r="K40" t="s">
        <v>493</v>
      </c>
      <c r="L40">
        <f>VLOOKUP(I40,'July 2026-Recived'!B:I,7,0)</f>
        <v>9800</v>
      </c>
      <c r="M40" t="b">
        <f t="shared" si="3"/>
        <v>1</v>
      </c>
      <c r="O40" t="s">
        <v>4939</v>
      </c>
      <c r="P40">
        <v>120</v>
      </c>
      <c r="R40">
        <f>VLOOKUP(O40,'July 2026- Dispatch'!B:T,19,0)</f>
        <v>0</v>
      </c>
      <c r="S40" t="b">
        <f t="shared" si="1"/>
        <v>0</v>
      </c>
      <c r="U40" s="189" t="s">
        <v>430</v>
      </c>
      <c r="V40" s="189">
        <v>600</v>
      </c>
      <c r="X40">
        <f>VLOOKUP(U40,'July 2026- Dispatch'!B:J,9,0)</f>
        <v>600</v>
      </c>
      <c r="Y40" t="b">
        <f t="shared" si="2"/>
        <v>1</v>
      </c>
    </row>
    <row r="41" spans="2:25" hidden="1" x14ac:dyDescent="0.25">
      <c r="B41" s="152" t="s">
        <v>357</v>
      </c>
      <c r="C41" s="153" t="s">
        <v>2165</v>
      </c>
      <c r="D41" s="153" t="s">
        <v>2166</v>
      </c>
      <c r="E41" s="152" t="s">
        <v>2083</v>
      </c>
      <c r="F41" s="153">
        <v>0</v>
      </c>
      <c r="I41" t="s">
        <v>1538</v>
      </c>
      <c r="J41">
        <v>168</v>
      </c>
      <c r="K41" t="s">
        <v>493</v>
      </c>
      <c r="L41">
        <f>VLOOKUP(I41,'July 2026-Recived'!B:I,7,0)</f>
        <v>168</v>
      </c>
      <c r="M41" t="b">
        <f t="shared" si="3"/>
        <v>1</v>
      </c>
      <c r="O41" t="s">
        <v>4915</v>
      </c>
      <c r="P41">
        <v>480</v>
      </c>
      <c r="R41">
        <f>VLOOKUP(O41,'July 2026- Dispatch'!B:T,19,0)</f>
        <v>0</v>
      </c>
      <c r="S41" t="b">
        <f t="shared" si="1"/>
        <v>0</v>
      </c>
      <c r="U41" s="189" t="s">
        <v>470</v>
      </c>
      <c r="V41" s="189">
        <v>750</v>
      </c>
      <c r="X41">
        <f>VLOOKUP(U41,'July 2026- Dispatch'!B:J,9,0)</f>
        <v>750</v>
      </c>
      <c r="Y41" t="b">
        <f t="shared" si="2"/>
        <v>1</v>
      </c>
    </row>
    <row r="42" spans="2:25" x14ac:dyDescent="0.25">
      <c r="B42" s="152" t="s">
        <v>247</v>
      </c>
      <c r="C42" s="153" t="s">
        <v>2167</v>
      </c>
      <c r="D42" s="153" t="s">
        <v>2168</v>
      </c>
      <c r="E42" s="152" t="s">
        <v>2126</v>
      </c>
      <c r="F42" s="153">
        <v>0</v>
      </c>
      <c r="I42" s="164" t="s">
        <v>865</v>
      </c>
      <c r="J42">
        <v>240</v>
      </c>
      <c r="K42" t="s">
        <v>4964</v>
      </c>
      <c r="L42">
        <f>VLOOKUP(I42,'July 2026-Recived'!B:I,7,0)</f>
        <v>1584</v>
      </c>
      <c r="M42" t="b">
        <f t="shared" si="3"/>
        <v>0</v>
      </c>
      <c r="O42" t="s">
        <v>4922</v>
      </c>
      <c r="P42">
        <v>60</v>
      </c>
      <c r="R42">
        <f>VLOOKUP(O42,'July 2026- Dispatch'!B:T,19,0)</f>
        <v>60</v>
      </c>
      <c r="S42" t="b">
        <f>P42=R42</f>
        <v>1</v>
      </c>
      <c r="U42" s="189" t="s">
        <v>1052</v>
      </c>
      <c r="V42" s="189">
        <v>928.8</v>
      </c>
      <c r="X42">
        <f>VLOOKUP(U42,'July 2026- Dispatch'!B:J,9,0)</f>
        <v>913</v>
      </c>
      <c r="Y42" t="b">
        <f t="shared" si="2"/>
        <v>0</v>
      </c>
    </row>
    <row r="43" spans="2:25" x14ac:dyDescent="0.25">
      <c r="B43" s="152" t="s">
        <v>2058</v>
      </c>
      <c r="C43" s="153" t="s">
        <v>2169</v>
      </c>
      <c r="D43" s="153" t="s">
        <v>2170</v>
      </c>
      <c r="E43" s="152" t="s">
        <v>2135</v>
      </c>
      <c r="F43" s="154">
        <v>2000</v>
      </c>
      <c r="I43" t="s">
        <v>702</v>
      </c>
      <c r="J43">
        <v>1600</v>
      </c>
      <c r="K43" t="s">
        <v>493</v>
      </c>
      <c r="L43">
        <f>VLOOKUP(I43,'July 2026-Recived'!B:I,7,0)</f>
        <v>1600</v>
      </c>
      <c r="M43" t="b">
        <f t="shared" si="3"/>
        <v>1</v>
      </c>
      <c r="O43" t="s">
        <v>4917</v>
      </c>
      <c r="P43">
        <v>520</v>
      </c>
      <c r="R43">
        <f>VLOOKUP(O43,'July 2026- Dispatch'!B:T,19,0)</f>
        <v>0</v>
      </c>
      <c r="S43" t="b">
        <f>P43=R43</f>
        <v>0</v>
      </c>
      <c r="U43" s="189" t="s">
        <v>807</v>
      </c>
      <c r="V43" s="189">
        <v>90</v>
      </c>
      <c r="X43">
        <f>VLOOKUP(U43,'July 2026- Dispatch'!B:J,9,0)</f>
        <v>90</v>
      </c>
      <c r="Y43" t="b">
        <f t="shared" si="2"/>
        <v>1</v>
      </c>
    </row>
    <row r="44" spans="2:25" hidden="1" x14ac:dyDescent="0.25">
      <c r="B44" s="152" t="s">
        <v>929</v>
      </c>
      <c r="C44" s="153" t="s">
        <v>2171</v>
      </c>
      <c r="D44" s="153" t="s">
        <v>2172</v>
      </c>
      <c r="E44" s="152" t="s">
        <v>2160</v>
      </c>
      <c r="F44" s="153">
        <v>0</v>
      </c>
      <c r="I44" t="s">
        <v>534</v>
      </c>
      <c r="J44">
        <v>16</v>
      </c>
      <c r="K44" t="s">
        <v>493</v>
      </c>
      <c r="L44">
        <f>VLOOKUP(I44,'July 2026-Recived'!B:I,7,0)</f>
        <v>16</v>
      </c>
      <c r="M44" t="b">
        <f t="shared" si="3"/>
        <v>1</v>
      </c>
      <c r="O44" t="s">
        <v>4919</v>
      </c>
      <c r="P44">
        <v>220</v>
      </c>
      <c r="R44">
        <f>VLOOKUP(O44,'July 2026- Dispatch'!B:T,19,0)</f>
        <v>220</v>
      </c>
      <c r="S44" t="b">
        <f t="shared" si="1"/>
        <v>1</v>
      </c>
      <c r="U44" s="189" t="s">
        <v>743</v>
      </c>
      <c r="V44" s="189">
        <v>2400</v>
      </c>
      <c r="X44">
        <f>VLOOKUP(U44,'July 2026- Dispatch'!B:J,9,0)</f>
        <v>2400</v>
      </c>
      <c r="Y44" t="b">
        <f t="shared" si="2"/>
        <v>1</v>
      </c>
    </row>
    <row r="45" spans="2:25" hidden="1" x14ac:dyDescent="0.25">
      <c r="B45" s="152" t="s">
        <v>1044</v>
      </c>
      <c r="C45" s="153" t="s">
        <v>2173</v>
      </c>
      <c r="D45" s="153" t="s">
        <v>2174</v>
      </c>
      <c r="E45" s="152" t="s">
        <v>2135</v>
      </c>
      <c r="F45" s="153">
        <v>490</v>
      </c>
      <c r="I45" t="s">
        <v>857</v>
      </c>
      <c r="J45">
        <v>1800</v>
      </c>
      <c r="K45" t="s">
        <v>4963</v>
      </c>
      <c r="L45">
        <f>VLOOKUP(I45,'July 2026-Recived'!B:I,7,0)</f>
        <v>1800</v>
      </c>
      <c r="M45" t="b">
        <f t="shared" si="3"/>
        <v>1</v>
      </c>
      <c r="O45" t="s">
        <v>4943</v>
      </c>
      <c r="P45">
        <v>216</v>
      </c>
      <c r="R45">
        <f>VLOOKUP(O45,'July 2026- Dispatch'!B:T,19,0)</f>
        <v>0</v>
      </c>
      <c r="S45" t="b">
        <f t="shared" si="1"/>
        <v>0</v>
      </c>
      <c r="U45" s="189" t="s">
        <v>1151</v>
      </c>
      <c r="V45" s="189">
        <v>4750</v>
      </c>
      <c r="X45">
        <f>VLOOKUP(U45,'July 2026- Dispatch'!B:J,9,0)</f>
        <v>4750</v>
      </c>
      <c r="Y45" t="b">
        <f t="shared" si="2"/>
        <v>1</v>
      </c>
    </row>
    <row r="46" spans="2:25" hidden="1" x14ac:dyDescent="0.25">
      <c r="B46" s="152" t="s">
        <v>1039</v>
      </c>
      <c r="C46" s="153" t="s">
        <v>2175</v>
      </c>
      <c r="D46" s="153" t="s">
        <v>2176</v>
      </c>
      <c r="E46" s="152" t="s">
        <v>2135</v>
      </c>
      <c r="F46" s="153">
        <v>580</v>
      </c>
      <c r="I46" t="s">
        <v>900</v>
      </c>
      <c r="J46">
        <v>150000</v>
      </c>
      <c r="K46" t="s">
        <v>4963</v>
      </c>
      <c r="L46">
        <f>VLOOKUP(I46,'July 2026-Recived'!B:I,7,0)</f>
        <v>150000</v>
      </c>
      <c r="M46" t="b">
        <f t="shared" si="3"/>
        <v>1</v>
      </c>
      <c r="O46" t="s">
        <v>4920</v>
      </c>
      <c r="P46">
        <v>5</v>
      </c>
      <c r="R46">
        <f>VLOOKUP(O46,'July 2026- Dispatch'!B:T,19,0)</f>
        <v>5</v>
      </c>
      <c r="S46" t="b">
        <f t="shared" si="1"/>
        <v>1</v>
      </c>
      <c r="U46" s="189" t="s">
        <v>1502</v>
      </c>
      <c r="V46" s="189">
        <v>25</v>
      </c>
      <c r="X46">
        <f>VLOOKUP(U46,'July 2026- Dispatch'!B:J,9,0)</f>
        <v>0</v>
      </c>
      <c r="Y46" t="b">
        <f t="shared" si="2"/>
        <v>0</v>
      </c>
    </row>
    <row r="47" spans="2:25" hidden="1" x14ac:dyDescent="0.25">
      <c r="B47" s="152" t="s">
        <v>846</v>
      </c>
      <c r="C47" s="153" t="s">
        <v>2177</v>
      </c>
      <c r="D47" s="153" t="s">
        <v>2178</v>
      </c>
      <c r="E47" s="152" t="s">
        <v>2086</v>
      </c>
      <c r="F47" s="153">
        <v>656</v>
      </c>
      <c r="I47" t="s">
        <v>1099</v>
      </c>
      <c r="J47">
        <v>300000</v>
      </c>
      <c r="K47" t="s">
        <v>4963</v>
      </c>
      <c r="L47">
        <f>VLOOKUP(I47,'July 2026-Recived'!B:I,7,0)</f>
        <v>300000</v>
      </c>
      <c r="M47" t="b">
        <f t="shared" si="3"/>
        <v>1</v>
      </c>
      <c r="O47" t="s">
        <v>695</v>
      </c>
      <c r="P47">
        <v>4</v>
      </c>
      <c r="R47">
        <f>VLOOKUP(O47,'July 2026- Dispatch'!B:T,19,0)</f>
        <v>4</v>
      </c>
      <c r="S47" t="b">
        <f t="shared" si="1"/>
        <v>1</v>
      </c>
      <c r="U47" s="189" t="s">
        <v>1440</v>
      </c>
      <c r="V47" s="189">
        <v>85.2</v>
      </c>
      <c r="X47">
        <f>VLOOKUP(U47,'July 2026- Dispatch'!B:J,9,0)</f>
        <v>153.36000000000001</v>
      </c>
      <c r="Y47" t="b">
        <f t="shared" si="2"/>
        <v>0</v>
      </c>
    </row>
    <row r="48" spans="2:25" hidden="1" x14ac:dyDescent="0.25">
      <c r="B48" s="152" t="s">
        <v>669</v>
      </c>
      <c r="C48" s="153" t="s">
        <v>2179</v>
      </c>
      <c r="D48" s="153" t="s">
        <v>2180</v>
      </c>
      <c r="E48" s="152" t="s">
        <v>2160</v>
      </c>
      <c r="F48" s="153">
        <v>0</v>
      </c>
      <c r="I48" s="164" t="s">
        <v>3975</v>
      </c>
      <c r="J48">
        <v>50000</v>
      </c>
      <c r="K48" t="s">
        <v>4963</v>
      </c>
      <c r="L48">
        <f>VLOOKUP(I48,'July 2026-Recived'!B:I,7,0)</f>
        <v>315000</v>
      </c>
      <c r="M48" t="b">
        <f t="shared" si="3"/>
        <v>0</v>
      </c>
      <c r="O48" t="s">
        <v>1266</v>
      </c>
      <c r="P48">
        <v>200</v>
      </c>
      <c r="R48">
        <f>VLOOKUP(O48,'July 2026- Dispatch'!B:T,19,0)</f>
        <v>200</v>
      </c>
      <c r="S48" t="b">
        <f t="shared" si="1"/>
        <v>1</v>
      </c>
      <c r="U48" s="189" t="s">
        <v>1582</v>
      </c>
      <c r="V48" s="189">
        <v>25</v>
      </c>
      <c r="X48">
        <f>VLOOKUP(U48,'July 2026- Dispatch'!B:J,9,0)</f>
        <v>6</v>
      </c>
      <c r="Y48" t="b">
        <f t="shared" si="2"/>
        <v>0</v>
      </c>
    </row>
    <row r="49" spans="2:25" hidden="1" x14ac:dyDescent="0.25">
      <c r="B49" s="152" t="s">
        <v>1574</v>
      </c>
      <c r="C49" s="153" t="s">
        <v>2181</v>
      </c>
      <c r="D49" s="153" t="s">
        <v>2182</v>
      </c>
      <c r="E49" s="152" t="s">
        <v>2086</v>
      </c>
      <c r="F49" s="154">
        <v>21600</v>
      </c>
      <c r="I49" t="s">
        <v>964</v>
      </c>
      <c r="J49">
        <v>2500</v>
      </c>
      <c r="K49" t="s">
        <v>493</v>
      </c>
      <c r="L49">
        <f>VLOOKUP(I49,'July 2026-Recived'!B:I,7,0)</f>
        <v>2500</v>
      </c>
      <c r="M49" t="b">
        <f t="shared" si="3"/>
        <v>1</v>
      </c>
      <c r="O49" t="s">
        <v>1205</v>
      </c>
      <c r="P49">
        <v>250</v>
      </c>
      <c r="R49">
        <f>VLOOKUP(O49,'July 2026- Dispatch'!B:T,19,0)</f>
        <v>250</v>
      </c>
      <c r="S49" t="b">
        <f t="shared" si="1"/>
        <v>1</v>
      </c>
      <c r="U49" s="189" t="s">
        <v>1269</v>
      </c>
      <c r="V49" s="189">
        <v>7.02</v>
      </c>
      <c r="X49">
        <f>VLOOKUP(U49,'July 2026- Dispatch'!B:J,9,0)</f>
        <v>7.02</v>
      </c>
      <c r="Y49" t="b">
        <f t="shared" si="2"/>
        <v>1</v>
      </c>
    </row>
    <row r="50" spans="2:25" hidden="1" x14ac:dyDescent="0.25">
      <c r="B50" s="152" t="s">
        <v>1578</v>
      </c>
      <c r="C50" s="153" t="s">
        <v>2183</v>
      </c>
      <c r="D50" s="153" t="s">
        <v>2184</v>
      </c>
      <c r="E50" s="152" t="s">
        <v>2086</v>
      </c>
      <c r="F50" s="154">
        <v>19200</v>
      </c>
      <c r="I50" s="164" t="s">
        <v>1188</v>
      </c>
      <c r="J50">
        <v>25600</v>
      </c>
      <c r="K50" t="s">
        <v>4963</v>
      </c>
      <c r="L50">
        <f>VLOOKUP(I50,'July 2026-Recived'!B:I,7,0)</f>
        <v>25600</v>
      </c>
      <c r="M50" t="b">
        <f t="shared" si="3"/>
        <v>1</v>
      </c>
      <c r="O50" t="s">
        <v>802</v>
      </c>
      <c r="P50">
        <v>8280</v>
      </c>
      <c r="R50">
        <f>VLOOKUP(O50,'July 2026- Dispatch'!B:T,19,0)</f>
        <v>8280</v>
      </c>
      <c r="S50" t="b">
        <f t="shared" si="1"/>
        <v>1</v>
      </c>
      <c r="U50" s="189" t="s">
        <v>1552</v>
      </c>
      <c r="V50" s="189">
        <v>30</v>
      </c>
      <c r="X50">
        <f>VLOOKUP(U50,'July 2026- Dispatch'!B:J,9,0)</f>
        <v>30</v>
      </c>
      <c r="Y50" t="b">
        <f t="shared" si="2"/>
        <v>1</v>
      </c>
    </row>
    <row r="51" spans="2:25" hidden="1" x14ac:dyDescent="0.25">
      <c r="B51" s="152" t="s">
        <v>767</v>
      </c>
      <c r="C51" s="153" t="s">
        <v>2185</v>
      </c>
      <c r="D51" s="153" t="s">
        <v>2186</v>
      </c>
      <c r="E51" s="152" t="s">
        <v>2135</v>
      </c>
      <c r="F51" s="154">
        <v>5360</v>
      </c>
      <c r="I51" t="s">
        <v>1365</v>
      </c>
      <c r="J51">
        <v>40000</v>
      </c>
      <c r="K51" t="s">
        <v>4963</v>
      </c>
      <c r="L51">
        <f>VLOOKUP(I51,'July 2026-Recived'!B:I,7,0)</f>
        <v>40000</v>
      </c>
      <c r="M51" t="b">
        <f t="shared" si="3"/>
        <v>1</v>
      </c>
      <c r="O51" t="s">
        <v>848</v>
      </c>
      <c r="P51">
        <v>210</v>
      </c>
      <c r="R51">
        <f>VLOOKUP(O51,'July 2026- Dispatch'!B:T,19,0)</f>
        <v>210</v>
      </c>
      <c r="S51" t="b">
        <f t="shared" si="1"/>
        <v>1</v>
      </c>
      <c r="U51" s="189" t="s">
        <v>58</v>
      </c>
      <c r="V51" s="189">
        <v>17.100000000000001</v>
      </c>
      <c r="X51">
        <f>VLOOKUP(U51,'July 2026- Dispatch'!B:J,9,0)</f>
        <v>17.100000000000001</v>
      </c>
      <c r="Y51" t="b">
        <f t="shared" si="2"/>
        <v>1</v>
      </c>
    </row>
    <row r="52" spans="2:25" hidden="1" x14ac:dyDescent="0.25">
      <c r="B52" s="152" t="s">
        <v>1280</v>
      </c>
      <c r="C52" s="153" t="s">
        <v>2187</v>
      </c>
      <c r="D52" s="153" t="s">
        <v>2188</v>
      </c>
      <c r="E52" s="152" t="s">
        <v>2111</v>
      </c>
      <c r="F52" s="154">
        <v>1240</v>
      </c>
      <c r="I52" t="s">
        <v>1266</v>
      </c>
      <c r="J52">
        <v>30000</v>
      </c>
      <c r="K52" t="s">
        <v>4963</v>
      </c>
      <c r="L52">
        <f>VLOOKUP(I52,'July 2026-Recived'!B:I,7,0)</f>
        <v>30000</v>
      </c>
      <c r="M52" t="b">
        <f t="shared" si="3"/>
        <v>1</v>
      </c>
      <c r="O52" t="s">
        <v>953</v>
      </c>
      <c r="P52">
        <v>10455</v>
      </c>
      <c r="R52">
        <f>VLOOKUP(O52,'July 2026- Dispatch'!B:T,19,0)</f>
        <v>10455</v>
      </c>
      <c r="S52" t="b">
        <f t="shared" si="1"/>
        <v>1</v>
      </c>
      <c r="U52" s="189" t="s">
        <v>1526</v>
      </c>
      <c r="V52" s="189">
        <v>467.62</v>
      </c>
      <c r="X52">
        <f>VLOOKUP(U52,'July 2026- Dispatch'!B:J,9,0)</f>
        <v>0.46700000000000003</v>
      </c>
      <c r="Y52" t="b">
        <f t="shared" si="2"/>
        <v>0</v>
      </c>
    </row>
    <row r="53" spans="2:25" hidden="1" x14ac:dyDescent="0.25">
      <c r="B53" s="152" t="s">
        <v>347</v>
      </c>
      <c r="C53" s="153" t="s">
        <v>2189</v>
      </c>
      <c r="D53" s="153" t="s">
        <v>2190</v>
      </c>
      <c r="E53" s="152" t="s">
        <v>2086</v>
      </c>
      <c r="F53" s="154">
        <v>7727</v>
      </c>
      <c r="I53" t="s">
        <v>1368</v>
      </c>
      <c r="J53">
        <v>20700</v>
      </c>
      <c r="K53" t="s">
        <v>4963</v>
      </c>
      <c r="L53">
        <f>VLOOKUP(I53,'July 2026-Recived'!B:I,7,0)</f>
        <v>20700</v>
      </c>
      <c r="M53" t="b">
        <f t="shared" si="3"/>
        <v>1</v>
      </c>
      <c r="O53" t="s">
        <v>1240</v>
      </c>
      <c r="P53">
        <v>8000</v>
      </c>
      <c r="R53">
        <f>VLOOKUP(O53,'July 2026- Dispatch'!B:T,19,0)</f>
        <v>16500</v>
      </c>
      <c r="S53" t="b">
        <f t="shared" si="1"/>
        <v>0</v>
      </c>
      <c r="U53" s="189" t="s">
        <v>1287</v>
      </c>
      <c r="V53" s="189">
        <v>2</v>
      </c>
      <c r="X53">
        <f>VLOOKUP(U53,'July 2026- Dispatch'!B:J,9,0)</f>
        <v>2</v>
      </c>
      <c r="Y53" t="b">
        <f t="shared" si="2"/>
        <v>1</v>
      </c>
    </row>
    <row r="54" spans="2:25" hidden="1" x14ac:dyDescent="0.25">
      <c r="B54" s="152" t="s">
        <v>1065</v>
      </c>
      <c r="C54" s="153" t="s">
        <v>2191</v>
      </c>
      <c r="D54" s="153" t="s">
        <v>2192</v>
      </c>
      <c r="E54" s="152" t="s">
        <v>2086</v>
      </c>
      <c r="F54" s="153">
        <v>420</v>
      </c>
      <c r="I54" t="s">
        <v>922</v>
      </c>
      <c r="J54">
        <v>120000</v>
      </c>
      <c r="K54" t="s">
        <v>4963</v>
      </c>
      <c r="L54">
        <f>VLOOKUP(I54,'July 2026-Recived'!B:I,7,0)</f>
        <v>480000</v>
      </c>
      <c r="M54" t="b">
        <f t="shared" si="3"/>
        <v>0</v>
      </c>
      <c r="O54" t="s">
        <v>1183</v>
      </c>
      <c r="P54">
        <v>600</v>
      </c>
      <c r="R54">
        <f>VLOOKUP(O54,'July 2026- Dispatch'!B:T,19,0)</f>
        <v>600</v>
      </c>
      <c r="S54" t="b">
        <f t="shared" si="1"/>
        <v>1</v>
      </c>
      <c r="U54" s="189" t="s">
        <v>1202</v>
      </c>
      <c r="V54" s="189">
        <v>22.8</v>
      </c>
      <c r="X54">
        <f>VLOOKUP(U54,'July 2026- Dispatch'!B:J,9,0)</f>
        <v>22.8</v>
      </c>
      <c r="Y54" t="b">
        <f t="shared" si="2"/>
        <v>1</v>
      </c>
    </row>
    <row r="55" spans="2:25" hidden="1" x14ac:dyDescent="0.25">
      <c r="B55" s="152" t="s">
        <v>250</v>
      </c>
      <c r="C55" s="153" t="s">
        <v>2193</v>
      </c>
      <c r="D55" s="153" t="s">
        <v>2194</v>
      </c>
      <c r="E55" s="152" t="s">
        <v>2083</v>
      </c>
      <c r="F55" s="153">
        <v>0</v>
      </c>
      <c r="I55" t="s">
        <v>1873</v>
      </c>
      <c r="J55">
        <v>4000</v>
      </c>
      <c r="K55" t="s">
        <v>4963</v>
      </c>
      <c r="L55">
        <f>VLOOKUP(I55,'July 2026-Recived'!B:I,7,0)</f>
        <v>4000</v>
      </c>
      <c r="M55" t="b">
        <f t="shared" si="3"/>
        <v>1</v>
      </c>
      <c r="O55" t="s">
        <v>1347</v>
      </c>
      <c r="P55">
        <v>2000</v>
      </c>
      <c r="R55">
        <f>VLOOKUP(O55,'July 2026- Dispatch'!B:T,19,0)</f>
        <v>2000</v>
      </c>
      <c r="S55" t="b">
        <f t="shared" si="1"/>
        <v>1</v>
      </c>
      <c r="U55" s="189" t="s">
        <v>1521</v>
      </c>
      <c r="V55" s="189">
        <v>42.6</v>
      </c>
      <c r="X55">
        <f>VLOOKUP(U55,'July 2026- Dispatch'!B:J,9,0)</f>
        <v>42.6</v>
      </c>
      <c r="Y55" t="b">
        <f t="shared" si="2"/>
        <v>1</v>
      </c>
    </row>
    <row r="56" spans="2:25" hidden="1" x14ac:dyDescent="0.25">
      <c r="B56" s="152" t="s">
        <v>2195</v>
      </c>
      <c r="C56" s="153" t="s">
        <v>2196</v>
      </c>
      <c r="D56" s="153" t="s">
        <v>2197</v>
      </c>
      <c r="E56" s="152" t="s">
        <v>2083</v>
      </c>
      <c r="F56" s="153">
        <v>0</v>
      </c>
      <c r="I56" s="164" t="s">
        <v>762</v>
      </c>
      <c r="J56">
        <v>99000</v>
      </c>
      <c r="K56" t="s">
        <v>4963</v>
      </c>
      <c r="L56">
        <f>VLOOKUP(I56,'July 2026-Recived'!B:I,7,0)</f>
        <v>211000</v>
      </c>
      <c r="M56" t="b">
        <f t="shared" si="3"/>
        <v>0</v>
      </c>
      <c r="O56" t="s">
        <v>1140</v>
      </c>
      <c r="P56">
        <v>1000</v>
      </c>
      <c r="R56">
        <f>VLOOKUP(O56,'July 2026- Dispatch'!B:T,19,0)</f>
        <v>1000</v>
      </c>
      <c r="S56" t="b">
        <f t="shared" si="1"/>
        <v>1</v>
      </c>
      <c r="U56" s="189" t="s">
        <v>1175</v>
      </c>
      <c r="V56" s="189">
        <v>570</v>
      </c>
      <c r="X56">
        <f>VLOOKUP(U56,'July 2026- Dispatch'!B:J,9,0)</f>
        <v>570</v>
      </c>
      <c r="Y56" t="b">
        <f t="shared" si="2"/>
        <v>1</v>
      </c>
    </row>
    <row r="57" spans="2:25" hidden="1" x14ac:dyDescent="0.25">
      <c r="B57" s="152" t="s">
        <v>1746</v>
      </c>
      <c r="C57" s="153" t="s">
        <v>2198</v>
      </c>
      <c r="D57" s="153" t="s">
        <v>2199</v>
      </c>
      <c r="E57" s="152" t="s">
        <v>2126</v>
      </c>
      <c r="F57" s="153">
        <v>0</v>
      </c>
      <c r="I57" t="s">
        <v>3361</v>
      </c>
      <c r="J57">
        <v>5700</v>
      </c>
      <c r="K57" t="s">
        <v>4963</v>
      </c>
      <c r="L57">
        <f>VLOOKUP(I57,'July 2026-Recived'!B:I,7,0)</f>
        <v>5700</v>
      </c>
      <c r="M57" t="b">
        <f t="shared" si="3"/>
        <v>1</v>
      </c>
      <c r="O57" t="s">
        <v>1145</v>
      </c>
      <c r="P57">
        <v>43000</v>
      </c>
      <c r="R57">
        <f>VLOOKUP(O57,'July 2026- Dispatch'!B:T,19,0)</f>
        <v>43000</v>
      </c>
      <c r="S57" t="b">
        <f t="shared" si="1"/>
        <v>1</v>
      </c>
      <c r="U57" s="189" t="s">
        <v>74</v>
      </c>
      <c r="V57" s="189">
        <v>20</v>
      </c>
      <c r="X57">
        <f>VLOOKUP(U57,'July 2026- Dispatch'!B:J,9,0)</f>
        <v>20</v>
      </c>
      <c r="Y57" t="b">
        <f t="shared" si="2"/>
        <v>1</v>
      </c>
    </row>
    <row r="58" spans="2:25" hidden="1" x14ac:dyDescent="0.25">
      <c r="B58" s="152" t="s">
        <v>721</v>
      </c>
      <c r="C58" s="153" t="s">
        <v>2200</v>
      </c>
      <c r="D58" s="153" t="s">
        <v>2201</v>
      </c>
      <c r="E58" s="152" t="s">
        <v>64</v>
      </c>
      <c r="F58" s="153">
        <v>405</v>
      </c>
      <c r="I58" t="s">
        <v>1587</v>
      </c>
      <c r="J58">
        <v>5000</v>
      </c>
      <c r="K58" t="s">
        <v>4963</v>
      </c>
      <c r="L58">
        <f>VLOOKUP(I58,'July 2026-Recived'!B:I,7,0)</f>
        <v>5000</v>
      </c>
      <c r="M58" t="b">
        <f t="shared" si="3"/>
        <v>1</v>
      </c>
      <c r="O58" t="s">
        <v>176</v>
      </c>
      <c r="P58">
        <v>500</v>
      </c>
      <c r="R58">
        <f>VLOOKUP(O58,'July 2026- Dispatch'!B:T,19,0)</f>
        <v>500</v>
      </c>
      <c r="S58" t="b">
        <f t="shared" si="1"/>
        <v>1</v>
      </c>
      <c r="U58" s="189" t="s">
        <v>1360</v>
      </c>
      <c r="V58" s="189">
        <v>450</v>
      </c>
      <c r="X58">
        <f>VLOOKUP(U58,'July 2026- Dispatch'!B:J,9,0)</f>
        <v>0</v>
      </c>
      <c r="Y58" t="b">
        <f t="shared" si="2"/>
        <v>0</v>
      </c>
    </row>
    <row r="59" spans="2:25" hidden="1" x14ac:dyDescent="0.25">
      <c r="B59" s="152" t="s">
        <v>704</v>
      </c>
      <c r="C59" s="153" t="s">
        <v>2202</v>
      </c>
      <c r="D59" s="153" t="s">
        <v>2203</v>
      </c>
      <c r="E59" s="152" t="s">
        <v>2111</v>
      </c>
      <c r="F59" s="153">
        <v>355</v>
      </c>
      <c r="I59" t="s">
        <v>3671</v>
      </c>
      <c r="J59">
        <v>7000</v>
      </c>
      <c r="K59" t="s">
        <v>4963</v>
      </c>
      <c r="L59">
        <f>VLOOKUP(I59,'July 2026-Recived'!B:I,7,0)</f>
        <v>7000</v>
      </c>
      <c r="M59" t="b">
        <f t="shared" si="3"/>
        <v>1</v>
      </c>
      <c r="O59" t="s">
        <v>23</v>
      </c>
      <c r="P59">
        <v>6500</v>
      </c>
      <c r="R59">
        <f>VLOOKUP(O59,'July 2026- Dispatch'!B:T,19,0)</f>
        <v>6500</v>
      </c>
      <c r="S59" t="b">
        <f t="shared" si="1"/>
        <v>1</v>
      </c>
      <c r="U59" s="189" t="s">
        <v>111</v>
      </c>
      <c r="V59" s="189">
        <v>600</v>
      </c>
      <c r="X59">
        <f>VLOOKUP(U59,'July 2026- Dispatch'!B:J,9,0)</f>
        <v>1050</v>
      </c>
      <c r="Y59" t="b">
        <f t="shared" si="2"/>
        <v>0</v>
      </c>
    </row>
    <row r="60" spans="2:25" hidden="1" x14ac:dyDescent="0.25">
      <c r="B60" s="152" t="s">
        <v>841</v>
      </c>
      <c r="C60" s="153" t="s">
        <v>2204</v>
      </c>
      <c r="D60" s="153" t="s">
        <v>2205</v>
      </c>
      <c r="E60" s="152" t="s">
        <v>2160</v>
      </c>
      <c r="F60" s="153">
        <v>0</v>
      </c>
      <c r="I60" t="s">
        <v>3674</v>
      </c>
      <c r="J60">
        <v>6000</v>
      </c>
      <c r="K60" t="s">
        <v>4963</v>
      </c>
      <c r="L60">
        <f>VLOOKUP(I60,'July 2026-Recived'!B:I,7,0)</f>
        <v>6000</v>
      </c>
      <c r="M60" t="b">
        <f t="shared" si="3"/>
        <v>1</v>
      </c>
      <c r="O60" t="s">
        <v>1536</v>
      </c>
      <c r="P60">
        <v>1000</v>
      </c>
      <c r="R60">
        <f>VLOOKUP(O60,'July 2026- Dispatch'!B:T,19,0)</f>
        <v>1000</v>
      </c>
      <c r="S60" t="b">
        <f t="shared" si="1"/>
        <v>1</v>
      </c>
      <c r="U60" s="189" t="s">
        <v>1185</v>
      </c>
      <c r="V60" s="189">
        <v>480</v>
      </c>
      <c r="X60">
        <f>VLOOKUP(U60,'July 2026- Dispatch'!B:J,9,0)</f>
        <v>480</v>
      </c>
      <c r="Y60" t="b">
        <f t="shared" si="2"/>
        <v>1</v>
      </c>
    </row>
    <row r="61" spans="2:25" hidden="1" x14ac:dyDescent="0.25">
      <c r="B61" s="152" t="s">
        <v>2206</v>
      </c>
      <c r="C61" s="153" t="s">
        <v>2207</v>
      </c>
      <c r="D61" s="153" t="s">
        <v>2208</v>
      </c>
      <c r="E61" s="152" t="s">
        <v>2086</v>
      </c>
      <c r="F61" s="153">
        <v>19</v>
      </c>
      <c r="I61" t="s">
        <v>3677</v>
      </c>
      <c r="J61">
        <v>5000</v>
      </c>
      <c r="K61" t="s">
        <v>4963</v>
      </c>
      <c r="L61">
        <f>VLOOKUP(I61,'July 2026-Recived'!B:I,7,0)</f>
        <v>5000</v>
      </c>
      <c r="M61" t="b">
        <f t="shared" si="3"/>
        <v>1</v>
      </c>
      <c r="O61" t="s">
        <v>777</v>
      </c>
      <c r="P61">
        <v>300</v>
      </c>
      <c r="R61">
        <f>VLOOKUP(O61,'July 2026- Dispatch'!B:T,19,0)</f>
        <v>300</v>
      </c>
      <c r="S61" t="b">
        <f t="shared" si="1"/>
        <v>1</v>
      </c>
      <c r="U61" s="189" t="s">
        <v>1149</v>
      </c>
      <c r="V61" s="189">
        <v>300</v>
      </c>
      <c r="X61">
        <f>VLOOKUP(U61,'July 2026- Dispatch'!B:J,9,0)</f>
        <v>300</v>
      </c>
      <c r="Y61" t="b">
        <f t="shared" si="2"/>
        <v>1</v>
      </c>
    </row>
    <row r="62" spans="2:25" hidden="1" x14ac:dyDescent="0.25">
      <c r="B62" s="152" t="s">
        <v>1900</v>
      </c>
      <c r="C62" s="153" t="s">
        <v>2209</v>
      </c>
      <c r="D62" s="153" t="s">
        <v>2210</v>
      </c>
      <c r="E62" s="152" t="s">
        <v>2083</v>
      </c>
      <c r="F62" s="153">
        <v>0</v>
      </c>
      <c r="I62" t="s">
        <v>3680</v>
      </c>
      <c r="J62">
        <v>6500</v>
      </c>
      <c r="K62" t="s">
        <v>4963</v>
      </c>
      <c r="L62">
        <f>VLOOKUP(I62,'July 2026-Recived'!B:I,7,0)</f>
        <v>6500</v>
      </c>
      <c r="M62" t="b">
        <f t="shared" si="3"/>
        <v>1</v>
      </c>
      <c r="O62" t="s">
        <v>943</v>
      </c>
      <c r="P62">
        <v>7000</v>
      </c>
      <c r="R62">
        <f>VLOOKUP(O62,'July 2026- Dispatch'!B:T,19,0)</f>
        <v>7000</v>
      </c>
      <c r="S62" t="b">
        <f t="shared" si="1"/>
        <v>1</v>
      </c>
      <c r="U62" s="189" t="s">
        <v>819</v>
      </c>
      <c r="V62" s="189">
        <f>5000+1000</f>
        <v>6000</v>
      </c>
      <c r="X62">
        <f>VLOOKUP(U62,'July 2026- Dispatch'!B:J,9,0)</f>
        <v>6000</v>
      </c>
      <c r="Y62" t="b">
        <f t="shared" si="2"/>
        <v>1</v>
      </c>
    </row>
    <row r="63" spans="2:25" hidden="1" x14ac:dyDescent="0.25">
      <c r="B63" s="152" t="s">
        <v>307</v>
      </c>
      <c r="C63" s="153" t="s">
        <v>2211</v>
      </c>
      <c r="D63" s="153" t="s">
        <v>2212</v>
      </c>
      <c r="E63" s="152" t="s">
        <v>2083</v>
      </c>
      <c r="F63" s="153">
        <v>0</v>
      </c>
      <c r="I63" t="s">
        <v>3708</v>
      </c>
      <c r="J63">
        <v>1700</v>
      </c>
      <c r="K63" t="s">
        <v>4963</v>
      </c>
      <c r="L63">
        <f>VLOOKUP(I63,'July 2026-Recived'!B:I,7,0)</f>
        <v>1700</v>
      </c>
      <c r="M63" t="b">
        <f t="shared" si="3"/>
        <v>1</v>
      </c>
      <c r="O63" t="s">
        <v>1113</v>
      </c>
      <c r="P63">
        <v>8200</v>
      </c>
      <c r="R63">
        <f>VLOOKUP(O63,'July 2026- Dispatch'!B:T,19,0)</f>
        <v>8200</v>
      </c>
      <c r="S63" t="b">
        <f t="shared" si="1"/>
        <v>1</v>
      </c>
      <c r="U63" s="189" t="s">
        <v>788</v>
      </c>
      <c r="V63" s="189">
        <v>476.4</v>
      </c>
      <c r="X63">
        <f>VLOOKUP(U63,'July 2026- Dispatch'!B:J,9,0)</f>
        <v>476.4</v>
      </c>
      <c r="Y63" t="b">
        <f t="shared" si="2"/>
        <v>1</v>
      </c>
    </row>
    <row r="64" spans="2:25" hidden="1" x14ac:dyDescent="0.25">
      <c r="B64" s="152" t="s">
        <v>881</v>
      </c>
      <c r="C64" s="153" t="s">
        <v>2213</v>
      </c>
      <c r="D64" s="153" t="s">
        <v>2214</v>
      </c>
      <c r="E64" s="152" t="s">
        <v>2086</v>
      </c>
      <c r="F64" s="154">
        <v>9000</v>
      </c>
      <c r="I64" t="s">
        <v>3792</v>
      </c>
      <c r="J64">
        <v>29</v>
      </c>
      <c r="K64" t="s">
        <v>4963</v>
      </c>
      <c r="L64">
        <f>VLOOKUP(I64,'July 2026-Recived'!B:I,7,0)</f>
        <v>45</v>
      </c>
      <c r="M64" t="b">
        <f t="shared" si="3"/>
        <v>0</v>
      </c>
      <c r="O64" t="s">
        <v>90</v>
      </c>
      <c r="P64">
        <v>4000</v>
      </c>
      <c r="R64">
        <f>VLOOKUP(O64,'July 2026- Dispatch'!B:T,19,0)</f>
        <v>4000</v>
      </c>
      <c r="S64" t="b">
        <f t="shared" si="1"/>
        <v>1</v>
      </c>
      <c r="U64" s="189" t="s">
        <v>1143</v>
      </c>
      <c r="V64" s="189">
        <v>390</v>
      </c>
      <c r="X64">
        <f>VLOOKUP(U64,'July 2026- Dispatch'!B:J,9,0)</f>
        <v>390</v>
      </c>
      <c r="Y64" t="b">
        <f t="shared" si="2"/>
        <v>1</v>
      </c>
    </row>
    <row r="65" spans="2:25" hidden="1" x14ac:dyDescent="0.25">
      <c r="B65" s="152" t="s">
        <v>2215</v>
      </c>
      <c r="C65" s="153" t="s">
        <v>2216</v>
      </c>
      <c r="D65" s="153" t="s">
        <v>2217</v>
      </c>
      <c r="E65" s="152" t="s">
        <v>2083</v>
      </c>
      <c r="F65" s="153">
        <v>0</v>
      </c>
      <c r="I65" t="s">
        <v>1357</v>
      </c>
      <c r="J65">
        <v>108</v>
      </c>
      <c r="K65" t="s">
        <v>493</v>
      </c>
      <c r="L65">
        <f>VLOOKUP(I65,'July 2026-Recived'!B:I,7,0)</f>
        <v>108</v>
      </c>
      <c r="M65" t="b">
        <f t="shared" si="3"/>
        <v>1</v>
      </c>
      <c r="O65" t="s">
        <v>1101</v>
      </c>
      <c r="P65">
        <v>4000</v>
      </c>
      <c r="R65">
        <f>VLOOKUP(O65,'July 2026- Dispatch'!B:T,19,0)</f>
        <v>4000</v>
      </c>
      <c r="S65" t="b">
        <f t="shared" si="1"/>
        <v>1</v>
      </c>
      <c r="U65" s="189" t="s">
        <v>1218</v>
      </c>
      <c r="V65" s="189">
        <v>426</v>
      </c>
      <c r="X65">
        <f>VLOOKUP(U65,'July 2026- Dispatch'!B:J,9,0)</f>
        <v>426</v>
      </c>
      <c r="Y65" t="b">
        <f t="shared" si="2"/>
        <v>1</v>
      </c>
    </row>
    <row r="66" spans="2:25" hidden="1" x14ac:dyDescent="0.25">
      <c r="B66" s="152" t="s">
        <v>2218</v>
      </c>
      <c r="C66" s="153" t="s">
        <v>2219</v>
      </c>
      <c r="D66" s="153" t="s">
        <v>2220</v>
      </c>
      <c r="E66" s="152" t="s">
        <v>2083</v>
      </c>
      <c r="F66" s="153">
        <v>0</v>
      </c>
      <c r="I66" t="s">
        <v>1440</v>
      </c>
      <c r="J66">
        <v>68.16</v>
      </c>
      <c r="K66" t="s">
        <v>493</v>
      </c>
      <c r="L66">
        <f>VLOOKUP(I66,'July 2026-Recived'!B:I,7,0)</f>
        <v>68.16</v>
      </c>
      <c r="M66" t="b">
        <f t="shared" si="3"/>
        <v>1</v>
      </c>
      <c r="O66" t="s">
        <v>934</v>
      </c>
      <c r="P66">
        <v>4000</v>
      </c>
      <c r="R66">
        <f>VLOOKUP(O66,'July 2026- Dispatch'!B:T,19,0)</f>
        <v>4000</v>
      </c>
      <c r="S66" t="b">
        <f t="shared" si="1"/>
        <v>1</v>
      </c>
      <c r="U66" s="189" t="s">
        <v>1453</v>
      </c>
      <c r="V66" s="189">
        <v>126</v>
      </c>
      <c r="X66">
        <f>VLOOKUP(U66,'July 2026- Dispatch'!B:J,9,0)</f>
        <v>126</v>
      </c>
      <c r="Y66" t="b">
        <f t="shared" si="2"/>
        <v>1</v>
      </c>
    </row>
    <row r="67" spans="2:25" hidden="1" x14ac:dyDescent="0.25">
      <c r="B67" s="152" t="s">
        <v>1073</v>
      </c>
      <c r="C67" s="153" t="s">
        <v>2221</v>
      </c>
      <c r="D67" s="153" t="s">
        <v>2222</v>
      </c>
      <c r="E67" s="152" t="s">
        <v>2083</v>
      </c>
      <c r="F67" s="153">
        <v>0</v>
      </c>
      <c r="I67" t="s">
        <v>1582</v>
      </c>
      <c r="J67">
        <v>5</v>
      </c>
      <c r="K67" t="s">
        <v>493</v>
      </c>
      <c r="L67">
        <f>VLOOKUP(I67,'July 2026-Recived'!B:I,7,0)</f>
        <v>5</v>
      </c>
      <c r="M67" t="b">
        <f t="shared" si="3"/>
        <v>1</v>
      </c>
      <c r="O67" t="s">
        <v>1226</v>
      </c>
      <c r="P67">
        <v>4000</v>
      </c>
      <c r="R67">
        <f>VLOOKUP(O67,'July 2026- Dispatch'!B:T,19,0)</f>
        <v>4000</v>
      </c>
      <c r="S67" t="b">
        <f t="shared" si="1"/>
        <v>1</v>
      </c>
      <c r="U67" s="189" t="s">
        <v>868</v>
      </c>
      <c r="V67" s="189">
        <v>5716.8</v>
      </c>
      <c r="X67">
        <f>VLOOKUP(U67,'July 2026- Dispatch'!B:J,9,0)</f>
        <v>0</v>
      </c>
      <c r="Y67" t="b">
        <f t="shared" si="2"/>
        <v>0</v>
      </c>
    </row>
    <row r="68" spans="2:25" hidden="1" x14ac:dyDescent="0.25">
      <c r="B68" s="152" t="s">
        <v>950</v>
      </c>
      <c r="C68" s="153" t="s">
        <v>2223</v>
      </c>
      <c r="D68" s="153" t="s">
        <v>2224</v>
      </c>
      <c r="E68" s="152" t="s">
        <v>2086</v>
      </c>
      <c r="F68" s="153">
        <v>12</v>
      </c>
      <c r="I68" t="s">
        <v>518</v>
      </c>
      <c r="J68">
        <v>10</v>
      </c>
      <c r="K68" t="s">
        <v>493</v>
      </c>
      <c r="L68">
        <f>VLOOKUP(I68,'July 2026-Recived'!B:I,7,0)</f>
        <v>10</v>
      </c>
      <c r="M68" t="b">
        <f t="shared" ref="M68:M97" si="4">L68=J68</f>
        <v>1</v>
      </c>
      <c r="O68" t="s">
        <v>900</v>
      </c>
      <c r="P68">
        <v>21000</v>
      </c>
      <c r="R68">
        <f>VLOOKUP(O68,'July 2026- Dispatch'!B:T,19,0)</f>
        <v>21000</v>
      </c>
      <c r="S68" t="b">
        <f t="shared" ref="S68:S106" si="5">P68=R68</f>
        <v>1</v>
      </c>
      <c r="U68" s="189" t="s">
        <v>652</v>
      </c>
      <c r="V68" s="189">
        <v>12</v>
      </c>
      <c r="X68">
        <f>VLOOKUP(U68,'July 2026- Dispatch'!B:J,9,0)</f>
        <v>3.1999999999999997</v>
      </c>
      <c r="Y68" t="b">
        <f t="shared" si="2"/>
        <v>0</v>
      </c>
    </row>
    <row r="69" spans="2:25" hidden="1" x14ac:dyDescent="0.25">
      <c r="B69" s="152" t="s">
        <v>2225</v>
      </c>
      <c r="C69" s="153" t="s">
        <v>2226</v>
      </c>
      <c r="D69" s="153" t="s">
        <v>2227</v>
      </c>
      <c r="E69" s="152" t="s">
        <v>2083</v>
      </c>
      <c r="F69" s="153">
        <v>0</v>
      </c>
      <c r="I69" t="s">
        <v>1169</v>
      </c>
      <c r="J69">
        <v>80</v>
      </c>
      <c r="K69" t="s">
        <v>493</v>
      </c>
      <c r="L69">
        <f>VLOOKUP(I69,'July 2026-Recived'!B:I,7,0)</f>
        <v>80</v>
      </c>
      <c r="M69" t="b">
        <f t="shared" si="4"/>
        <v>1</v>
      </c>
      <c r="O69" t="s">
        <v>833</v>
      </c>
      <c r="P69">
        <v>68000</v>
      </c>
      <c r="R69">
        <f>VLOOKUP(O69,'July 2026- Dispatch'!B:T,19,0)</f>
        <v>68000</v>
      </c>
      <c r="S69" t="b">
        <f t="shared" si="5"/>
        <v>1</v>
      </c>
      <c r="U69" s="189" t="s">
        <v>47</v>
      </c>
      <c r="V69" s="189">
        <v>181.44</v>
      </c>
      <c r="X69">
        <f>VLOOKUP(U69,'July 2026- Dispatch'!B:J,9,0)</f>
        <v>181.44</v>
      </c>
      <c r="Y69" t="b">
        <f t="shared" ref="Y69:Y73" si="6">X69=V69</f>
        <v>1</v>
      </c>
    </row>
    <row r="70" spans="2:25" hidden="1" x14ac:dyDescent="0.25">
      <c r="B70" s="152" t="s">
        <v>667</v>
      </c>
      <c r="C70" s="153" t="s">
        <v>2228</v>
      </c>
      <c r="D70" s="153" t="s">
        <v>2229</v>
      </c>
      <c r="E70" s="152" t="s">
        <v>2083</v>
      </c>
      <c r="F70" s="153">
        <v>0</v>
      </c>
      <c r="I70" t="s">
        <v>494</v>
      </c>
      <c r="J70">
        <v>8</v>
      </c>
      <c r="K70" t="s">
        <v>493</v>
      </c>
      <c r="L70">
        <f>VLOOKUP(I70,'July 2026-Recived'!B:I,7,0)</f>
        <v>8</v>
      </c>
      <c r="M70" t="b">
        <f t="shared" si="4"/>
        <v>1</v>
      </c>
      <c r="O70" t="s">
        <v>1306</v>
      </c>
      <c r="P70">
        <v>40000</v>
      </c>
      <c r="R70">
        <f>VLOOKUP(O70,'July 2026- Dispatch'!B:T,19,0)</f>
        <v>40000</v>
      </c>
      <c r="S70" t="b">
        <f t="shared" si="5"/>
        <v>1</v>
      </c>
      <c r="U70" s="189" t="s">
        <v>1289</v>
      </c>
      <c r="V70" s="189">
        <v>28.547999999999998</v>
      </c>
      <c r="X70">
        <f>VLOOKUP(U70,'July 2026- Dispatch'!B:J,9,0)</f>
        <v>0</v>
      </c>
      <c r="Y70" t="b">
        <f t="shared" si="6"/>
        <v>0</v>
      </c>
    </row>
    <row r="71" spans="2:25" hidden="1" x14ac:dyDescent="0.25">
      <c r="B71" s="152" t="s">
        <v>680</v>
      </c>
      <c r="C71" s="153" t="s">
        <v>2230</v>
      </c>
      <c r="D71" s="153" t="s">
        <v>2231</v>
      </c>
      <c r="E71" s="152" t="s">
        <v>2083</v>
      </c>
      <c r="F71" s="153">
        <v>0</v>
      </c>
      <c r="I71" t="s">
        <v>1134</v>
      </c>
      <c r="J71">
        <v>9</v>
      </c>
      <c r="K71" t="s">
        <v>493</v>
      </c>
      <c r="L71">
        <f>VLOOKUP(I71,'July 2026-Recived'!B:I,7,0)</f>
        <v>9</v>
      </c>
      <c r="M71" t="b">
        <f t="shared" si="4"/>
        <v>1</v>
      </c>
      <c r="O71" t="s">
        <v>997</v>
      </c>
      <c r="P71">
        <v>4000</v>
      </c>
      <c r="R71">
        <f>VLOOKUP(O71,'July 2026- Dispatch'!B:T,19,0)</f>
        <v>4000</v>
      </c>
      <c r="S71" t="b">
        <f t="shared" si="5"/>
        <v>1</v>
      </c>
      <c r="U71" s="189" t="s">
        <v>1004</v>
      </c>
      <c r="V71" s="189">
        <v>17</v>
      </c>
      <c r="X71">
        <f>VLOOKUP(U71,'July 2026- Dispatch'!B:J,9,0)</f>
        <v>17</v>
      </c>
      <c r="Y71" t="b">
        <f t="shared" si="6"/>
        <v>1</v>
      </c>
    </row>
    <row r="72" spans="2:25" hidden="1" x14ac:dyDescent="0.25">
      <c r="B72" s="152" t="s">
        <v>2232</v>
      </c>
      <c r="C72" s="153" t="s">
        <v>2233</v>
      </c>
      <c r="D72" s="153" t="s">
        <v>2234</v>
      </c>
      <c r="E72" s="152" t="s">
        <v>2083</v>
      </c>
      <c r="F72" s="153">
        <v>0</v>
      </c>
      <c r="I72" t="s">
        <v>1047</v>
      </c>
      <c r="J72">
        <v>176.4</v>
      </c>
      <c r="K72" t="s">
        <v>493</v>
      </c>
      <c r="L72">
        <f>VLOOKUP(I72,'July 2026-Recived'!B:I,7,0)</f>
        <v>176.4</v>
      </c>
      <c r="M72" t="b">
        <f t="shared" si="4"/>
        <v>1</v>
      </c>
      <c r="O72" t="s">
        <v>891</v>
      </c>
      <c r="P72">
        <v>7800</v>
      </c>
      <c r="R72">
        <f>VLOOKUP(O72,'July 2026- Dispatch'!B:T,19,0)</f>
        <v>7800</v>
      </c>
      <c r="S72" t="b">
        <f t="shared" si="5"/>
        <v>1</v>
      </c>
      <c r="U72" s="189" t="s">
        <v>1782</v>
      </c>
      <c r="V72" s="189">
        <v>12</v>
      </c>
      <c r="X72">
        <f>VLOOKUP(U72,'July 2026- Dispatch'!B:J,9,0)</f>
        <v>12</v>
      </c>
      <c r="Y72" t="b">
        <f t="shared" si="6"/>
        <v>1</v>
      </c>
    </row>
    <row r="73" spans="2:25" hidden="1" x14ac:dyDescent="0.25">
      <c r="B73" s="152" t="s">
        <v>2235</v>
      </c>
      <c r="C73" s="153" t="s">
        <v>2236</v>
      </c>
      <c r="D73" s="153" t="s">
        <v>2237</v>
      </c>
      <c r="E73" s="152" t="s">
        <v>2083</v>
      </c>
      <c r="F73" s="153">
        <v>0</v>
      </c>
      <c r="I73" t="s">
        <v>1954</v>
      </c>
      <c r="J73">
        <v>18</v>
      </c>
      <c r="K73" t="s">
        <v>4963</v>
      </c>
      <c r="L73">
        <f>VLOOKUP(I73,'July 2026-Recived'!B:I,7,0)</f>
        <v>18</v>
      </c>
      <c r="M73" t="b">
        <f t="shared" si="4"/>
        <v>1</v>
      </c>
      <c r="O73" t="s">
        <v>1482</v>
      </c>
      <c r="P73">
        <v>120</v>
      </c>
      <c r="R73">
        <f>VLOOKUP(O73,'July 2026- Dispatch'!B:T,19,0)</f>
        <v>3400</v>
      </c>
      <c r="S73" t="b">
        <f t="shared" si="5"/>
        <v>0</v>
      </c>
      <c r="U73" s="189" t="s">
        <v>4728</v>
      </c>
      <c r="V73" s="189">
        <v>50</v>
      </c>
      <c r="X73">
        <f>VLOOKUP(U73,'July 2026- Dispatch'!B:J,9,0)</f>
        <v>50</v>
      </c>
      <c r="Y73" t="b">
        <f t="shared" si="6"/>
        <v>1</v>
      </c>
    </row>
    <row r="74" spans="2:25" hidden="1" x14ac:dyDescent="0.25">
      <c r="B74" s="152" t="s">
        <v>2238</v>
      </c>
      <c r="C74" s="153" t="s">
        <v>2239</v>
      </c>
      <c r="D74" s="153" t="s">
        <v>2240</v>
      </c>
      <c r="E74" s="152" t="s">
        <v>2086</v>
      </c>
      <c r="F74" s="153">
        <v>196</v>
      </c>
      <c r="I74" t="s">
        <v>1213</v>
      </c>
      <c r="J74">
        <v>5.4480000000000004</v>
      </c>
      <c r="K74" t="s">
        <v>493</v>
      </c>
      <c r="L74">
        <f>VLOOKUP(I74,'July 2026-Recived'!B:I,7,0)</f>
        <v>5.4480000000000004</v>
      </c>
      <c r="M74" t="b">
        <f t="shared" si="4"/>
        <v>1</v>
      </c>
      <c r="O74" t="s">
        <v>959</v>
      </c>
      <c r="P74">
        <v>1</v>
      </c>
      <c r="R74">
        <f>VLOOKUP(O74,'July 2026- Dispatch'!B:T,19,0)</f>
        <v>1</v>
      </c>
      <c r="S74" t="b">
        <f t="shared" si="5"/>
        <v>1</v>
      </c>
    </row>
    <row r="75" spans="2:25" hidden="1" x14ac:dyDescent="0.25">
      <c r="B75" s="152" t="s">
        <v>2241</v>
      </c>
      <c r="C75" s="153" t="s">
        <v>2242</v>
      </c>
      <c r="D75" s="153" t="s">
        <v>2243</v>
      </c>
      <c r="E75" s="152" t="s">
        <v>2083</v>
      </c>
      <c r="F75" s="153">
        <v>0</v>
      </c>
      <c r="I75" t="s">
        <v>542</v>
      </c>
      <c r="J75">
        <v>12.96</v>
      </c>
      <c r="K75" t="s">
        <v>493</v>
      </c>
      <c r="L75">
        <f>VLOOKUP(I75,'July 2026-Recived'!B:I,7,0)</f>
        <v>12.96</v>
      </c>
      <c r="M75" t="b">
        <f t="shared" si="4"/>
        <v>1</v>
      </c>
      <c r="O75" t="s">
        <v>967</v>
      </c>
      <c r="P75">
        <v>2000</v>
      </c>
      <c r="R75">
        <f>VLOOKUP(O75,'July 2026- Dispatch'!B:T,19,0)</f>
        <v>2000</v>
      </c>
      <c r="S75" t="b">
        <f t="shared" si="5"/>
        <v>1</v>
      </c>
    </row>
    <row r="76" spans="2:25" hidden="1" x14ac:dyDescent="0.25">
      <c r="B76" s="152" t="s">
        <v>290</v>
      </c>
      <c r="C76" s="153" t="s">
        <v>2244</v>
      </c>
      <c r="D76" s="153" t="s">
        <v>2245</v>
      </c>
      <c r="E76" s="152" t="s">
        <v>2083</v>
      </c>
      <c r="F76" s="153">
        <v>0</v>
      </c>
      <c r="I76" t="s">
        <v>538</v>
      </c>
      <c r="J76">
        <v>10</v>
      </c>
      <c r="K76" t="s">
        <v>493</v>
      </c>
      <c r="L76">
        <f>VLOOKUP(I76,'July 2026-Recived'!B:I,7,0)</f>
        <v>10</v>
      </c>
      <c r="M76" t="b">
        <f t="shared" si="4"/>
        <v>1</v>
      </c>
      <c r="O76" t="s">
        <v>1679</v>
      </c>
      <c r="P76">
        <v>30000</v>
      </c>
      <c r="R76">
        <f>VLOOKUP(O76,'July 2026- Dispatch'!B:T,19,0)</f>
        <v>30000</v>
      </c>
      <c r="S76" t="b">
        <f t="shared" si="5"/>
        <v>1</v>
      </c>
    </row>
    <row r="77" spans="2:25" hidden="1" x14ac:dyDescent="0.25">
      <c r="B77" s="152" t="s">
        <v>2246</v>
      </c>
      <c r="C77" s="153" t="s">
        <v>2247</v>
      </c>
      <c r="D77" s="153" t="s">
        <v>2248</v>
      </c>
      <c r="E77" s="152" t="s">
        <v>2083</v>
      </c>
      <c r="F77" s="153">
        <v>0</v>
      </c>
      <c r="I77" t="s">
        <v>638</v>
      </c>
      <c r="J77">
        <v>40.32</v>
      </c>
      <c r="K77" t="s">
        <v>493</v>
      </c>
      <c r="L77">
        <f>VLOOKUP(I77,'July 2026-Recived'!B:I,7,0)</f>
        <v>40.32</v>
      </c>
      <c r="M77" t="b">
        <f t="shared" si="4"/>
        <v>1</v>
      </c>
      <c r="O77" t="s">
        <v>165</v>
      </c>
      <c r="P77">
        <v>1000</v>
      </c>
      <c r="R77">
        <f>VLOOKUP(O77,'July 2026- Dispatch'!B:T,19,0)</f>
        <v>0</v>
      </c>
      <c r="S77" t="b">
        <f t="shared" si="5"/>
        <v>0</v>
      </c>
    </row>
    <row r="78" spans="2:25" hidden="1" x14ac:dyDescent="0.25">
      <c r="B78" s="152" t="s">
        <v>1011</v>
      </c>
      <c r="C78" s="153" t="s">
        <v>2249</v>
      </c>
      <c r="D78" s="153" t="s">
        <v>2250</v>
      </c>
      <c r="E78" s="152" t="s">
        <v>2086</v>
      </c>
      <c r="F78" s="153">
        <v>35</v>
      </c>
      <c r="I78" t="s">
        <v>4613</v>
      </c>
      <c r="J78">
        <v>300</v>
      </c>
      <c r="K78" t="s">
        <v>493</v>
      </c>
      <c r="L78">
        <f>VLOOKUP(I78,'July 2026-Recived'!B:I,7,0)</f>
        <v>300</v>
      </c>
      <c r="M78" t="b">
        <f t="shared" si="4"/>
        <v>1</v>
      </c>
      <c r="O78" t="s">
        <v>1683</v>
      </c>
      <c r="P78">
        <v>450</v>
      </c>
      <c r="R78">
        <f>VLOOKUP(O78,'July 2026- Dispatch'!B:T,19,0)</f>
        <v>450</v>
      </c>
      <c r="S78" t="b">
        <f t="shared" si="5"/>
        <v>1</v>
      </c>
    </row>
    <row r="79" spans="2:25" hidden="1" x14ac:dyDescent="0.25">
      <c r="B79" s="152" t="s">
        <v>285</v>
      </c>
      <c r="C79" s="153" t="s">
        <v>2251</v>
      </c>
      <c r="D79" s="153" t="s">
        <v>2252</v>
      </c>
      <c r="E79" s="152" t="s">
        <v>2083</v>
      </c>
      <c r="F79" s="153">
        <v>0</v>
      </c>
      <c r="I79" t="s">
        <v>2015</v>
      </c>
      <c r="J79">
        <v>448</v>
      </c>
      <c r="K79" t="s">
        <v>493</v>
      </c>
      <c r="L79">
        <f>VLOOKUP(I79,'July 2026-Recived'!B:I,7,0)</f>
        <v>448</v>
      </c>
      <c r="M79" t="b">
        <f t="shared" si="4"/>
        <v>1</v>
      </c>
      <c r="O79" t="s">
        <v>1081</v>
      </c>
      <c r="P79">
        <v>1</v>
      </c>
      <c r="R79">
        <f>VLOOKUP(O79,'July 2026- Dispatch'!B:T,19,0)</f>
        <v>1</v>
      </c>
      <c r="S79" t="b">
        <f t="shared" si="5"/>
        <v>1</v>
      </c>
    </row>
    <row r="80" spans="2:25" hidden="1" x14ac:dyDescent="0.25">
      <c r="B80" s="152" t="s">
        <v>2253</v>
      </c>
      <c r="C80" s="153" t="s">
        <v>2254</v>
      </c>
      <c r="D80" s="153" t="s">
        <v>2255</v>
      </c>
      <c r="E80" s="152" t="s">
        <v>2083</v>
      </c>
      <c r="F80" s="153">
        <v>0</v>
      </c>
      <c r="I80" t="s">
        <v>131</v>
      </c>
      <c r="J80">
        <v>1000</v>
      </c>
      <c r="K80" t="s">
        <v>493</v>
      </c>
      <c r="L80">
        <f>VLOOKUP(I80,'July 2026-Recived'!B:I,7,0)</f>
        <v>1000</v>
      </c>
      <c r="M80" t="b">
        <f t="shared" si="4"/>
        <v>1</v>
      </c>
      <c r="O80" t="s">
        <v>762</v>
      </c>
      <c r="P80">
        <v>8000</v>
      </c>
      <c r="R80">
        <f>VLOOKUP(O80,'July 2026- Dispatch'!B:T,19,0)</f>
        <v>8000</v>
      </c>
      <c r="S80" t="b">
        <f t="shared" si="5"/>
        <v>1</v>
      </c>
    </row>
    <row r="81" spans="2:19" hidden="1" x14ac:dyDescent="0.25">
      <c r="B81" s="152" t="s">
        <v>2256</v>
      </c>
      <c r="C81" s="153" t="s">
        <v>2257</v>
      </c>
      <c r="D81" s="153" t="s">
        <v>2258</v>
      </c>
      <c r="E81" s="152" t="s">
        <v>2083</v>
      </c>
      <c r="F81" s="153">
        <v>0</v>
      </c>
      <c r="I81" t="s">
        <v>992</v>
      </c>
      <c r="J81">
        <v>268.8</v>
      </c>
      <c r="K81" t="s">
        <v>493</v>
      </c>
      <c r="L81">
        <f>VLOOKUP(I81,'July 2026-Recived'!B:I,7,0)</f>
        <v>268.8</v>
      </c>
      <c r="M81" t="b">
        <f t="shared" si="4"/>
        <v>1</v>
      </c>
      <c r="O81" t="s">
        <v>1469</v>
      </c>
      <c r="P81">
        <v>50</v>
      </c>
      <c r="R81">
        <f>VLOOKUP(O81,'July 2026- Dispatch'!B:T,19,0)</f>
        <v>0</v>
      </c>
      <c r="S81" t="b">
        <f t="shared" si="5"/>
        <v>0</v>
      </c>
    </row>
    <row r="82" spans="2:19" hidden="1" x14ac:dyDescent="0.25">
      <c r="B82" s="152" t="s">
        <v>2259</v>
      </c>
      <c r="C82" s="153" t="s">
        <v>2260</v>
      </c>
      <c r="D82" s="153" t="s">
        <v>2261</v>
      </c>
      <c r="E82" s="152" t="s">
        <v>2083</v>
      </c>
      <c r="F82" s="153">
        <v>0</v>
      </c>
      <c r="I82" t="s">
        <v>1350</v>
      </c>
      <c r="J82">
        <v>96</v>
      </c>
      <c r="K82" t="s">
        <v>4963</v>
      </c>
      <c r="L82">
        <f>VLOOKUP(I82,'July 2026-Recived'!B:I,7,0)</f>
        <v>96</v>
      </c>
      <c r="M82" t="b">
        <f t="shared" si="4"/>
        <v>1</v>
      </c>
      <c r="O82" t="s">
        <v>1516</v>
      </c>
      <c r="P82">
        <v>2990</v>
      </c>
      <c r="R82">
        <f>VLOOKUP(O82,'July 2026- Dispatch'!B:T,19,0)</f>
        <v>2990</v>
      </c>
      <c r="S82" t="b">
        <f t="shared" si="5"/>
        <v>1</v>
      </c>
    </row>
    <row r="83" spans="2:19" hidden="1" x14ac:dyDescent="0.25">
      <c r="B83" s="152" t="s">
        <v>2262</v>
      </c>
      <c r="C83" s="153" t="s">
        <v>2263</v>
      </c>
      <c r="D83" s="153" t="s">
        <v>2264</v>
      </c>
      <c r="E83" s="152" t="s">
        <v>2086</v>
      </c>
      <c r="F83" s="153">
        <v>10</v>
      </c>
      <c r="I83" t="s">
        <v>719</v>
      </c>
      <c r="J83">
        <v>600</v>
      </c>
      <c r="K83" t="s">
        <v>4963</v>
      </c>
      <c r="L83">
        <f>VLOOKUP(I83,'July 2026-Recived'!B:I,7,0)</f>
        <v>600</v>
      </c>
      <c r="M83" t="b">
        <f t="shared" si="4"/>
        <v>1</v>
      </c>
      <c r="O83" t="s">
        <v>1263</v>
      </c>
      <c r="P83">
        <v>5000</v>
      </c>
      <c r="R83">
        <f>VLOOKUP(O83,'July 2026- Dispatch'!B:T,19,0)</f>
        <v>5000</v>
      </c>
      <c r="S83" t="b">
        <f t="shared" si="5"/>
        <v>1</v>
      </c>
    </row>
    <row r="84" spans="2:19" hidden="1" x14ac:dyDescent="0.25">
      <c r="B84" s="152" t="s">
        <v>2265</v>
      </c>
      <c r="C84" s="153" t="s">
        <v>2266</v>
      </c>
      <c r="D84" s="153" t="s">
        <v>2267</v>
      </c>
      <c r="E84" s="152" t="s">
        <v>2083</v>
      </c>
      <c r="F84" s="153">
        <v>0</v>
      </c>
      <c r="I84" t="s">
        <v>432</v>
      </c>
      <c r="J84">
        <v>140.4</v>
      </c>
      <c r="K84" t="s">
        <v>493</v>
      </c>
      <c r="L84">
        <f>VLOOKUP(I84,'July 2026-Recived'!B:I,7,0)</f>
        <v>140.4</v>
      </c>
      <c r="M84" t="b">
        <f t="shared" si="4"/>
        <v>1</v>
      </c>
      <c r="O84" t="s">
        <v>3474</v>
      </c>
      <c r="P84">
        <v>3280</v>
      </c>
      <c r="R84">
        <f>VLOOKUP(O84,'July 2026- Dispatch'!B:T,19,0)</f>
        <v>0</v>
      </c>
      <c r="S84" t="b">
        <f t="shared" si="5"/>
        <v>0</v>
      </c>
    </row>
    <row r="85" spans="2:19" hidden="1" x14ac:dyDescent="0.25">
      <c r="B85" s="152" t="s">
        <v>2268</v>
      </c>
      <c r="C85" s="153" t="s">
        <v>2269</v>
      </c>
      <c r="D85" s="153" t="s">
        <v>2270</v>
      </c>
      <c r="E85" s="152" t="s">
        <v>2083</v>
      </c>
      <c r="F85" s="153">
        <v>0</v>
      </c>
      <c r="I85" t="s">
        <v>938</v>
      </c>
      <c r="J85">
        <v>8</v>
      </c>
      <c r="K85" t="s">
        <v>493</v>
      </c>
      <c r="L85">
        <f>VLOOKUP(I85,'July 2026-Recived'!B:I,7,0)</f>
        <v>8</v>
      </c>
      <c r="M85" t="b">
        <f t="shared" si="4"/>
        <v>1</v>
      </c>
      <c r="O85" t="s">
        <v>1328</v>
      </c>
      <c r="P85">
        <v>25300</v>
      </c>
      <c r="R85">
        <f>VLOOKUP(O85,'July 2026- Dispatch'!B:T,19,0)</f>
        <v>25300</v>
      </c>
      <c r="S85" t="b">
        <f t="shared" si="5"/>
        <v>1</v>
      </c>
    </row>
    <row r="86" spans="2:19" hidden="1" x14ac:dyDescent="0.25">
      <c r="B86" s="152" t="s">
        <v>2271</v>
      </c>
      <c r="C86" s="153" t="s">
        <v>2272</v>
      </c>
      <c r="D86" s="153" t="s">
        <v>2273</v>
      </c>
      <c r="E86" s="152" t="s">
        <v>2083</v>
      </c>
      <c r="F86" s="153">
        <v>0</v>
      </c>
      <c r="I86" t="s">
        <v>652</v>
      </c>
      <c r="J86">
        <v>3.2</v>
      </c>
      <c r="K86" t="s">
        <v>493</v>
      </c>
      <c r="L86">
        <f>VLOOKUP(I86,'July 2026-Recived'!B:I,7,0)</f>
        <v>3.2</v>
      </c>
      <c r="M86" t="b">
        <f t="shared" si="4"/>
        <v>1</v>
      </c>
      <c r="O86" t="s">
        <v>1448</v>
      </c>
      <c r="P86">
        <v>12000</v>
      </c>
      <c r="R86">
        <f>VLOOKUP(O86,'July 2026- Dispatch'!B:T,19,0)</f>
        <v>12000</v>
      </c>
      <c r="S86" t="b">
        <f t="shared" si="5"/>
        <v>1</v>
      </c>
    </row>
    <row r="87" spans="2:19" hidden="1" x14ac:dyDescent="0.25">
      <c r="B87" s="152" t="s">
        <v>2274</v>
      </c>
      <c r="C87" s="153" t="s">
        <v>2275</v>
      </c>
      <c r="D87" s="153" t="s">
        <v>2276</v>
      </c>
      <c r="E87" s="152" t="s">
        <v>2083</v>
      </c>
      <c r="F87" s="153">
        <v>0</v>
      </c>
      <c r="I87" t="s">
        <v>1289</v>
      </c>
      <c r="J87">
        <v>9.52</v>
      </c>
      <c r="K87" t="s">
        <v>4964</v>
      </c>
      <c r="L87">
        <f>VLOOKUP(I87,'July 2026-Recived'!B:I,7,0)</f>
        <v>9.52</v>
      </c>
      <c r="M87" t="b">
        <f t="shared" si="4"/>
        <v>1</v>
      </c>
      <c r="O87" t="s">
        <v>1446</v>
      </c>
      <c r="P87">
        <v>60</v>
      </c>
      <c r="R87">
        <f>VLOOKUP(O87,'July 2026- Dispatch'!B:T,19,0)</f>
        <v>0</v>
      </c>
      <c r="S87" t="b">
        <f t="shared" si="5"/>
        <v>0</v>
      </c>
    </row>
    <row r="88" spans="2:19" hidden="1" x14ac:dyDescent="0.25">
      <c r="B88" s="152" t="s">
        <v>2277</v>
      </c>
      <c r="C88" s="153" t="s">
        <v>2278</v>
      </c>
      <c r="D88" s="153" t="s">
        <v>2279</v>
      </c>
      <c r="E88" s="152" t="s">
        <v>2083</v>
      </c>
      <c r="F88" s="153">
        <v>0</v>
      </c>
      <c r="I88" t="s">
        <v>483</v>
      </c>
      <c r="J88">
        <v>10</v>
      </c>
      <c r="K88" t="s">
        <v>493</v>
      </c>
      <c r="L88">
        <f>VLOOKUP(I88,'July 2026-Recived'!B:I,7,0)</f>
        <v>10</v>
      </c>
      <c r="M88" t="b">
        <f t="shared" si="4"/>
        <v>1</v>
      </c>
      <c r="O88" t="s">
        <v>1343</v>
      </c>
      <c r="P88">
        <v>60</v>
      </c>
      <c r="R88">
        <f>VLOOKUP(O88,'July 2026- Dispatch'!B:T,19,0)</f>
        <v>0</v>
      </c>
      <c r="S88" t="b">
        <f t="shared" si="5"/>
        <v>0</v>
      </c>
    </row>
    <row r="89" spans="2:19" hidden="1" x14ac:dyDescent="0.25">
      <c r="B89" s="152" t="s">
        <v>831</v>
      </c>
      <c r="C89" s="153" t="s">
        <v>2280</v>
      </c>
      <c r="D89" s="153" t="s">
        <v>2281</v>
      </c>
      <c r="E89" s="152" t="s">
        <v>2086</v>
      </c>
      <c r="F89" s="153">
        <v>22</v>
      </c>
      <c r="I89" t="s">
        <v>660</v>
      </c>
      <c r="J89">
        <v>9.36</v>
      </c>
      <c r="K89" t="s">
        <v>493</v>
      </c>
      <c r="L89">
        <f>VLOOKUP(I89,'July 2026-Recived'!B:I,7,0)</f>
        <v>9.36</v>
      </c>
      <c r="M89" t="b">
        <f t="shared" si="4"/>
        <v>1</v>
      </c>
      <c r="O89" t="s">
        <v>1297</v>
      </c>
      <c r="P89">
        <v>60</v>
      </c>
      <c r="R89">
        <f>VLOOKUP(O89,'July 2026- Dispatch'!B:T,19,0)</f>
        <v>0</v>
      </c>
      <c r="S89" t="b">
        <f t="shared" si="5"/>
        <v>0</v>
      </c>
    </row>
    <row r="90" spans="2:19" hidden="1" x14ac:dyDescent="0.25">
      <c r="B90" s="152" t="s">
        <v>2282</v>
      </c>
      <c r="C90" s="153" t="s">
        <v>2283</v>
      </c>
      <c r="D90" s="153" t="s">
        <v>2284</v>
      </c>
      <c r="E90" s="152" t="s">
        <v>2086</v>
      </c>
      <c r="F90" s="153">
        <v>89</v>
      </c>
      <c r="I90" t="s">
        <v>536</v>
      </c>
      <c r="J90">
        <v>7.5</v>
      </c>
      <c r="K90" t="s">
        <v>493</v>
      </c>
      <c r="L90">
        <f>VLOOKUP(I90,'July 2026-Recived'!B:I,7,0)</f>
        <v>7.5</v>
      </c>
      <c r="M90" t="b">
        <f t="shared" si="4"/>
        <v>1</v>
      </c>
      <c r="O90" t="s">
        <v>1500</v>
      </c>
      <c r="P90">
        <v>60</v>
      </c>
      <c r="R90">
        <f>VLOOKUP(O90,'July 2026- Dispatch'!B:T,19,0)</f>
        <v>0</v>
      </c>
      <c r="S90" t="b">
        <f t="shared" si="5"/>
        <v>0</v>
      </c>
    </row>
    <row r="91" spans="2:19" hidden="1" x14ac:dyDescent="0.25">
      <c r="B91" s="152" t="s">
        <v>1154</v>
      </c>
      <c r="C91" s="153" t="s">
        <v>2285</v>
      </c>
      <c r="D91" s="153" t="s">
        <v>2286</v>
      </c>
      <c r="E91" s="152" t="s">
        <v>2086</v>
      </c>
      <c r="F91" s="153">
        <v>128</v>
      </c>
      <c r="I91" t="s">
        <v>1018</v>
      </c>
      <c r="J91">
        <v>50000</v>
      </c>
      <c r="K91" t="s">
        <v>4963</v>
      </c>
      <c r="L91">
        <f>VLOOKUP(I91,'July 2026-Recived'!B:I,7,0)</f>
        <v>50000</v>
      </c>
      <c r="M91" t="b">
        <f t="shared" si="4"/>
        <v>1</v>
      </c>
      <c r="O91" t="s">
        <v>1458</v>
      </c>
      <c r="P91">
        <v>60</v>
      </c>
      <c r="R91">
        <f>VLOOKUP(O91,'July 2026- Dispatch'!B:T,19,0)</f>
        <v>0</v>
      </c>
      <c r="S91" t="b">
        <f t="shared" si="5"/>
        <v>0</v>
      </c>
    </row>
    <row r="92" spans="2:19" hidden="1" x14ac:dyDescent="0.25">
      <c r="B92" s="152" t="s">
        <v>1434</v>
      </c>
      <c r="C92" s="153" t="s">
        <v>2287</v>
      </c>
      <c r="D92" s="153" t="s">
        <v>2288</v>
      </c>
      <c r="E92" s="152" t="s">
        <v>2086</v>
      </c>
      <c r="F92" s="153">
        <v>30</v>
      </c>
      <c r="I92" t="s">
        <v>3972</v>
      </c>
      <c r="J92">
        <v>459000</v>
      </c>
      <c r="K92" t="s">
        <v>4963</v>
      </c>
      <c r="L92">
        <f>VLOOKUP(I92,'July 2026-Recived'!B:I,7,0)</f>
        <v>519000</v>
      </c>
      <c r="M92" t="b">
        <f t="shared" si="4"/>
        <v>0</v>
      </c>
      <c r="O92" t="s">
        <v>990</v>
      </c>
      <c r="P92">
        <v>500</v>
      </c>
      <c r="R92">
        <f>VLOOKUP(O92,'July 2026- Dispatch'!B:T,19,0)</f>
        <v>500</v>
      </c>
      <c r="S92" t="b">
        <f t="shared" si="5"/>
        <v>1</v>
      </c>
    </row>
    <row r="93" spans="2:19" hidden="1" x14ac:dyDescent="0.25">
      <c r="B93" s="152" t="s">
        <v>2289</v>
      </c>
      <c r="C93" s="153" t="s">
        <v>2290</v>
      </c>
      <c r="D93" s="153" t="s">
        <v>2291</v>
      </c>
      <c r="E93" s="152" t="s">
        <v>2083</v>
      </c>
      <c r="F93" s="153">
        <v>0</v>
      </c>
      <c r="I93" s="164" t="s">
        <v>3975</v>
      </c>
      <c r="J93">
        <v>65000</v>
      </c>
      <c r="K93" t="s">
        <v>4963</v>
      </c>
      <c r="L93">
        <f>VLOOKUP(I93,'July 2026-Recived'!B:I,7,0)</f>
        <v>315000</v>
      </c>
      <c r="M93" t="b">
        <f t="shared" si="4"/>
        <v>0</v>
      </c>
      <c r="O93" t="s">
        <v>1188</v>
      </c>
      <c r="P93">
        <v>350</v>
      </c>
      <c r="R93">
        <f>VLOOKUP(O93,'July 2026- Dispatch'!B:T,19,0)</f>
        <v>350</v>
      </c>
      <c r="S93" t="b">
        <f t="shared" si="5"/>
        <v>1</v>
      </c>
    </row>
    <row r="94" spans="2:19" hidden="1" x14ac:dyDescent="0.25">
      <c r="B94" s="152" t="s">
        <v>676</v>
      </c>
      <c r="C94" s="153" t="s">
        <v>2292</v>
      </c>
      <c r="D94" s="153" t="s">
        <v>2293</v>
      </c>
      <c r="E94" s="152" t="s">
        <v>2083</v>
      </c>
      <c r="F94" s="153">
        <v>0</v>
      </c>
      <c r="I94" t="s">
        <v>1392</v>
      </c>
      <c r="J94">
        <v>54000</v>
      </c>
      <c r="K94" t="s">
        <v>4963</v>
      </c>
      <c r="L94">
        <f>VLOOKUP(I94,'July 2026-Recived'!B:I,7,0)</f>
        <v>54000</v>
      </c>
      <c r="M94" t="b">
        <f t="shared" si="4"/>
        <v>1</v>
      </c>
      <c r="O94" t="s">
        <v>894</v>
      </c>
      <c r="P94">
        <v>550</v>
      </c>
      <c r="R94">
        <f>VLOOKUP(O94,'July 2026- Dispatch'!B:T,19,0)</f>
        <v>550</v>
      </c>
      <c r="S94" t="b">
        <f t="shared" si="5"/>
        <v>1</v>
      </c>
    </row>
    <row r="95" spans="2:19" hidden="1" x14ac:dyDescent="0.25">
      <c r="B95" s="152" t="s">
        <v>1163</v>
      </c>
      <c r="C95" s="153" t="s">
        <v>2294</v>
      </c>
      <c r="D95" s="153" t="s">
        <v>2295</v>
      </c>
      <c r="E95" s="152" t="s">
        <v>2086</v>
      </c>
      <c r="F95" s="153">
        <v>233</v>
      </c>
      <c r="I95" s="164" t="s">
        <v>762</v>
      </c>
      <c r="J95">
        <v>112000</v>
      </c>
      <c r="K95" t="s">
        <v>4963</v>
      </c>
      <c r="L95">
        <f>VLOOKUP(I95,'July 2026-Recived'!B:I,7,0)</f>
        <v>211000</v>
      </c>
      <c r="M95" t="b">
        <f t="shared" si="4"/>
        <v>0</v>
      </c>
      <c r="O95" t="s">
        <v>1368</v>
      </c>
      <c r="P95">
        <v>1500</v>
      </c>
      <c r="R95">
        <f>VLOOKUP(O95,'July 2026- Dispatch'!B:T,19,0)</f>
        <v>1500</v>
      </c>
      <c r="S95" t="b">
        <f t="shared" si="5"/>
        <v>1</v>
      </c>
    </row>
    <row r="96" spans="2:19" hidden="1" x14ac:dyDescent="0.25">
      <c r="B96" s="152" t="s">
        <v>886</v>
      </c>
      <c r="C96" s="153" t="s">
        <v>2296</v>
      </c>
      <c r="D96" s="153" t="s">
        <v>2297</v>
      </c>
      <c r="E96" s="152" t="s">
        <v>2083</v>
      </c>
      <c r="F96" s="153">
        <v>0</v>
      </c>
      <c r="I96" t="s">
        <v>838</v>
      </c>
      <c r="J96">
        <v>112000</v>
      </c>
      <c r="K96" t="s">
        <v>4963</v>
      </c>
      <c r="L96">
        <f>VLOOKUP(I96,'July 2026-Recived'!B:I,7,0)</f>
        <v>112000</v>
      </c>
      <c r="M96" t="b">
        <f t="shared" si="4"/>
        <v>1</v>
      </c>
      <c r="O96" t="s">
        <v>838</v>
      </c>
      <c r="P96">
        <v>4000</v>
      </c>
      <c r="R96">
        <f>VLOOKUP(O96,'July 2026- Dispatch'!B:T,19,0)</f>
        <v>4000</v>
      </c>
      <c r="S96" t="b">
        <f t="shared" si="5"/>
        <v>1</v>
      </c>
    </row>
    <row r="97" spans="2:19" hidden="1" x14ac:dyDescent="0.25">
      <c r="B97" s="152" t="s">
        <v>333</v>
      </c>
      <c r="C97" s="153" t="s">
        <v>2298</v>
      </c>
      <c r="D97" s="153" t="s">
        <v>2299</v>
      </c>
      <c r="E97" s="152" t="s">
        <v>2086</v>
      </c>
      <c r="F97" s="153">
        <v>44</v>
      </c>
      <c r="I97" t="s">
        <v>1816</v>
      </c>
      <c r="J97">
        <v>30000</v>
      </c>
      <c r="K97" t="s">
        <v>4963</v>
      </c>
      <c r="L97">
        <f>VLOOKUP(I97,'July 2026-Recived'!B:I,7,0)</f>
        <v>30000</v>
      </c>
      <c r="M97" t="b">
        <f t="shared" si="4"/>
        <v>1</v>
      </c>
      <c r="O97" t="s">
        <v>1686</v>
      </c>
      <c r="P97">
        <v>450</v>
      </c>
      <c r="R97">
        <f>VLOOKUP(O97,'July 2026- Dispatch'!B:T,19,0)</f>
        <v>0</v>
      </c>
      <c r="S97" t="b">
        <f t="shared" si="5"/>
        <v>0</v>
      </c>
    </row>
    <row r="98" spans="2:19" hidden="1" x14ac:dyDescent="0.25">
      <c r="B98" s="152" t="s">
        <v>2300</v>
      </c>
      <c r="C98" s="153" t="s">
        <v>2301</v>
      </c>
      <c r="D98" s="153" t="s">
        <v>2302</v>
      </c>
      <c r="E98" s="152" t="s">
        <v>2086</v>
      </c>
      <c r="F98" s="153">
        <v>355</v>
      </c>
      <c r="O98" t="s">
        <v>1689</v>
      </c>
      <c r="P98">
        <v>200</v>
      </c>
      <c r="R98">
        <f>VLOOKUP(O98,'July 2026- Dispatch'!B:T,19,0)</f>
        <v>0</v>
      </c>
      <c r="S98" t="b">
        <f t="shared" si="5"/>
        <v>0</v>
      </c>
    </row>
    <row r="99" spans="2:19" hidden="1" x14ac:dyDescent="0.25">
      <c r="B99" s="152" t="s">
        <v>1572</v>
      </c>
      <c r="C99" s="153" t="s">
        <v>2303</v>
      </c>
      <c r="D99" s="153" t="s">
        <v>2304</v>
      </c>
      <c r="E99" s="152" t="s">
        <v>2086</v>
      </c>
      <c r="F99" s="153">
        <v>405</v>
      </c>
      <c r="O99" t="s">
        <v>1692</v>
      </c>
      <c r="P99">
        <v>1500</v>
      </c>
      <c r="R99">
        <f>VLOOKUP(O99,'July 2026- Dispatch'!B:T,19,0)</f>
        <v>2150</v>
      </c>
      <c r="S99" t="b">
        <f t="shared" si="5"/>
        <v>0</v>
      </c>
    </row>
    <row r="100" spans="2:19" hidden="1" x14ac:dyDescent="0.25">
      <c r="B100" s="152" t="s">
        <v>707</v>
      </c>
      <c r="C100" s="153" t="s">
        <v>2305</v>
      </c>
      <c r="D100" s="153" t="s">
        <v>2306</v>
      </c>
      <c r="E100" s="152" t="s">
        <v>2083</v>
      </c>
      <c r="F100" s="153">
        <v>0</v>
      </c>
      <c r="O100" t="s">
        <v>1671</v>
      </c>
      <c r="P100">
        <v>8500</v>
      </c>
      <c r="R100">
        <f>VLOOKUP(O100,'July 2026- Dispatch'!B:T,19,0)</f>
        <v>0</v>
      </c>
      <c r="S100" t="b">
        <f t="shared" si="5"/>
        <v>0</v>
      </c>
    </row>
    <row r="101" spans="2:19" hidden="1" x14ac:dyDescent="0.25">
      <c r="B101" s="152" t="s">
        <v>279</v>
      </c>
      <c r="C101" s="153" t="s">
        <v>2307</v>
      </c>
      <c r="D101" s="153" t="s">
        <v>2308</v>
      </c>
      <c r="E101" s="152" t="s">
        <v>2083</v>
      </c>
      <c r="F101" s="153">
        <v>0</v>
      </c>
      <c r="O101" t="s">
        <v>3972</v>
      </c>
      <c r="P101">
        <v>9000</v>
      </c>
      <c r="R101">
        <f>VLOOKUP(O101,'July 2026- Dispatch'!B:T,19,0)</f>
        <v>9000</v>
      </c>
      <c r="S101" t="b">
        <f t="shared" si="5"/>
        <v>1</v>
      </c>
    </row>
    <row r="102" spans="2:19" hidden="1" x14ac:dyDescent="0.25">
      <c r="B102" s="152" t="s">
        <v>1418</v>
      </c>
      <c r="C102" s="153" t="s">
        <v>2309</v>
      </c>
      <c r="D102" s="153" t="s">
        <v>2310</v>
      </c>
      <c r="E102" s="152" t="s">
        <v>64</v>
      </c>
      <c r="F102" s="153">
        <v>26.65</v>
      </c>
      <c r="O102" t="s">
        <v>3975</v>
      </c>
      <c r="P102">
        <v>9000</v>
      </c>
      <c r="R102">
        <f>VLOOKUP(O102,'July 2026- Dispatch'!B:T,19,0)</f>
        <v>9000</v>
      </c>
      <c r="S102" t="b">
        <f t="shared" si="5"/>
        <v>1</v>
      </c>
    </row>
    <row r="103" spans="2:19" hidden="1" x14ac:dyDescent="0.25">
      <c r="B103" s="152" t="s">
        <v>2311</v>
      </c>
      <c r="C103" s="153" t="s">
        <v>2312</v>
      </c>
      <c r="D103" s="153" t="s">
        <v>2313</v>
      </c>
      <c r="E103" s="152" t="s">
        <v>2083</v>
      </c>
      <c r="F103" s="153">
        <v>0</v>
      </c>
      <c r="O103" t="s">
        <v>3981</v>
      </c>
      <c r="P103">
        <v>650</v>
      </c>
      <c r="R103">
        <f>VLOOKUP(O103,'July 2026- Dispatch'!B:T,19,0)</f>
        <v>650</v>
      </c>
      <c r="S103" t="b">
        <f t="shared" si="5"/>
        <v>1</v>
      </c>
    </row>
    <row r="104" spans="2:19" hidden="1" x14ac:dyDescent="0.25">
      <c r="B104" s="152" t="s">
        <v>1376</v>
      </c>
      <c r="C104" s="153" t="s">
        <v>2314</v>
      </c>
      <c r="D104" s="153" t="s">
        <v>2315</v>
      </c>
      <c r="E104" s="152" t="s">
        <v>2086</v>
      </c>
      <c r="F104" s="153">
        <v>140</v>
      </c>
      <c r="O104" t="s">
        <v>3987</v>
      </c>
      <c r="P104">
        <v>1500</v>
      </c>
      <c r="R104">
        <f>VLOOKUP(O104,'July 2026- Dispatch'!B:T,19,0)</f>
        <v>0</v>
      </c>
      <c r="S104" t="b">
        <f t="shared" si="5"/>
        <v>0</v>
      </c>
    </row>
    <row r="105" spans="2:19" hidden="1" x14ac:dyDescent="0.25">
      <c r="B105" s="152" t="s">
        <v>269</v>
      </c>
      <c r="C105" s="153" t="s">
        <v>2316</v>
      </c>
      <c r="D105" s="153" t="s">
        <v>2317</v>
      </c>
      <c r="E105" s="152" t="s">
        <v>2083</v>
      </c>
      <c r="F105" s="153">
        <v>0</v>
      </c>
      <c r="O105" t="s">
        <v>79</v>
      </c>
      <c r="P105">
        <v>0.6</v>
      </c>
      <c r="R105">
        <f>VLOOKUP(O105,'July 2026- Dispatch'!B:T,19,0)</f>
        <v>0.6</v>
      </c>
      <c r="S105" t="b">
        <f t="shared" si="5"/>
        <v>1</v>
      </c>
    </row>
    <row r="106" spans="2:19" hidden="1" x14ac:dyDescent="0.25">
      <c r="B106" s="152" t="s">
        <v>275</v>
      </c>
      <c r="C106" s="153" t="s">
        <v>2318</v>
      </c>
      <c r="D106" s="153" t="s">
        <v>2319</v>
      </c>
      <c r="E106" s="152" t="s">
        <v>2086</v>
      </c>
      <c r="F106" s="153">
        <v>24</v>
      </c>
      <c r="O106" t="s">
        <v>1103</v>
      </c>
      <c r="P106">
        <v>684</v>
      </c>
      <c r="R106">
        <f>VLOOKUP(O106,'July 2026- Dispatch'!B:T,19,0)</f>
        <v>684</v>
      </c>
      <c r="S106" t="b">
        <f t="shared" si="5"/>
        <v>1</v>
      </c>
    </row>
    <row r="107" spans="2:19" hidden="1" x14ac:dyDescent="0.25">
      <c r="B107" s="152" t="s">
        <v>946</v>
      </c>
      <c r="C107" s="153" t="s">
        <v>2320</v>
      </c>
      <c r="D107" s="153" t="s">
        <v>2321</v>
      </c>
      <c r="E107" s="152" t="s">
        <v>2083</v>
      </c>
      <c r="F107" s="153">
        <v>0</v>
      </c>
      <c r="O107" t="s">
        <v>936</v>
      </c>
      <c r="P107">
        <v>336</v>
      </c>
      <c r="R107">
        <f>VLOOKUP(O107,'July 2026- Dispatch'!B:T,19,0)</f>
        <v>336</v>
      </c>
      <c r="S107" t="b">
        <f t="shared" ref="S107:S133" si="7">P107=R107</f>
        <v>1</v>
      </c>
    </row>
    <row r="108" spans="2:19" hidden="1" x14ac:dyDescent="0.25">
      <c r="B108" s="152" t="s">
        <v>1476</v>
      </c>
      <c r="C108" s="153" t="s">
        <v>2322</v>
      </c>
      <c r="D108" s="153" t="s">
        <v>2323</v>
      </c>
      <c r="E108" s="152" t="s">
        <v>2086</v>
      </c>
      <c r="F108" s="153">
        <v>14</v>
      </c>
      <c r="O108" t="s">
        <v>905</v>
      </c>
      <c r="P108">
        <v>1716</v>
      </c>
      <c r="R108">
        <f>VLOOKUP(O108,'July 2026- Dispatch'!B:T,19,0)</f>
        <v>1716</v>
      </c>
      <c r="S108" t="b">
        <f t="shared" si="7"/>
        <v>1</v>
      </c>
    </row>
    <row r="109" spans="2:19" hidden="1" x14ac:dyDescent="0.25">
      <c r="B109" s="152" t="s">
        <v>1983</v>
      </c>
      <c r="C109" s="153" t="s">
        <v>2324</v>
      </c>
      <c r="D109" s="153" t="s">
        <v>2325</v>
      </c>
      <c r="E109" s="152" t="s">
        <v>2086</v>
      </c>
      <c r="F109" s="153">
        <v>12</v>
      </c>
      <c r="O109" t="s">
        <v>1381</v>
      </c>
      <c r="P109">
        <v>30</v>
      </c>
      <c r="R109">
        <f>VLOOKUP(O109,'July 2026- Dispatch'!B:T,19,0)</f>
        <v>30</v>
      </c>
      <c r="S109" t="b">
        <f t="shared" si="7"/>
        <v>1</v>
      </c>
    </row>
    <row r="110" spans="2:19" hidden="1" x14ac:dyDescent="0.25">
      <c r="B110" s="152" t="s">
        <v>2326</v>
      </c>
      <c r="C110" s="153" t="s">
        <v>2327</v>
      </c>
      <c r="D110" s="153" t="s">
        <v>2328</v>
      </c>
      <c r="E110" s="152" t="s">
        <v>2083</v>
      </c>
      <c r="F110" s="153">
        <v>0</v>
      </c>
      <c r="O110" t="s">
        <v>1495</v>
      </c>
      <c r="P110">
        <v>15</v>
      </c>
      <c r="R110">
        <f>VLOOKUP(O110,'July 2026- Dispatch'!B:T,19,0)</f>
        <v>15</v>
      </c>
      <c r="S110" t="b">
        <f t="shared" si="7"/>
        <v>1</v>
      </c>
    </row>
    <row r="111" spans="2:19" hidden="1" x14ac:dyDescent="0.25">
      <c r="B111" s="152" t="s">
        <v>281</v>
      </c>
      <c r="C111" s="153" t="s">
        <v>2329</v>
      </c>
      <c r="D111" s="153" t="s">
        <v>2330</v>
      </c>
      <c r="E111" s="152" t="s">
        <v>2083</v>
      </c>
      <c r="F111" s="153">
        <v>0</v>
      </c>
      <c r="O111" t="s">
        <v>1242</v>
      </c>
      <c r="P111">
        <v>5</v>
      </c>
      <c r="R111">
        <f>VLOOKUP(O111,'July 2026- Dispatch'!B:T,19,0)</f>
        <v>5</v>
      </c>
      <c r="S111" t="b">
        <f t="shared" si="7"/>
        <v>1</v>
      </c>
    </row>
    <row r="112" spans="2:19" hidden="1" x14ac:dyDescent="0.25">
      <c r="B112" s="152" t="s">
        <v>2331</v>
      </c>
      <c r="C112" s="153" t="s">
        <v>2332</v>
      </c>
      <c r="D112" s="153" t="s">
        <v>2333</v>
      </c>
      <c r="E112" s="152" t="s">
        <v>2086</v>
      </c>
      <c r="F112" s="153">
        <v>36</v>
      </c>
      <c r="O112" t="s">
        <v>86</v>
      </c>
      <c r="P112">
        <v>110</v>
      </c>
      <c r="R112">
        <f>VLOOKUP(O112,'July 2026- Dispatch'!B:T,19,0)</f>
        <v>110</v>
      </c>
      <c r="S112" t="b">
        <f t="shared" si="7"/>
        <v>1</v>
      </c>
    </row>
    <row r="113" spans="2:19" hidden="1" x14ac:dyDescent="0.25">
      <c r="B113" s="152" t="s">
        <v>266</v>
      </c>
      <c r="C113" s="153" t="s">
        <v>2334</v>
      </c>
      <c r="D113" s="153" t="s">
        <v>2335</v>
      </c>
      <c r="E113" s="152" t="s">
        <v>2083</v>
      </c>
      <c r="F113" s="153">
        <v>0</v>
      </c>
      <c r="O113" t="s">
        <v>4421</v>
      </c>
      <c r="P113">
        <v>20</v>
      </c>
      <c r="R113">
        <f>VLOOKUP(O113,'July 2026- Dispatch'!B:T,19,0)</f>
        <v>20</v>
      </c>
      <c r="S113" t="b">
        <f t="shared" si="7"/>
        <v>1</v>
      </c>
    </row>
    <row r="114" spans="2:19" hidden="1" x14ac:dyDescent="0.25">
      <c r="B114" s="152" t="s">
        <v>1922</v>
      </c>
      <c r="C114" s="153" t="s">
        <v>2336</v>
      </c>
      <c r="D114" s="153" t="s">
        <v>2337</v>
      </c>
      <c r="E114" s="152" t="s">
        <v>2083</v>
      </c>
      <c r="F114" s="153">
        <v>0</v>
      </c>
      <c r="O114" t="s">
        <v>1466</v>
      </c>
      <c r="P114">
        <v>2000</v>
      </c>
      <c r="R114">
        <f>VLOOKUP(O114,'July 2026- Dispatch'!B:T,19,0)</f>
        <v>2000</v>
      </c>
      <c r="S114" t="b">
        <f t="shared" si="7"/>
        <v>1</v>
      </c>
    </row>
    <row r="115" spans="2:19" hidden="1" x14ac:dyDescent="0.25">
      <c r="B115" s="152" t="s">
        <v>2338</v>
      </c>
      <c r="C115" s="153" t="s">
        <v>2339</v>
      </c>
      <c r="D115" s="153" t="s">
        <v>2340</v>
      </c>
      <c r="E115" s="152" t="s">
        <v>2086</v>
      </c>
      <c r="F115" s="153">
        <v>80</v>
      </c>
      <c r="O115" t="s">
        <v>1998</v>
      </c>
      <c r="P115">
        <v>4000</v>
      </c>
      <c r="R115">
        <f>VLOOKUP(O115,'July 2026- Dispatch'!B:T,19,0)</f>
        <v>4000</v>
      </c>
      <c r="S115" t="b">
        <f t="shared" si="7"/>
        <v>1</v>
      </c>
    </row>
    <row r="116" spans="2:19" hidden="1" x14ac:dyDescent="0.25">
      <c r="B116" s="152" t="s">
        <v>2341</v>
      </c>
      <c r="C116" s="153" t="s">
        <v>2342</v>
      </c>
      <c r="D116" s="153" t="s">
        <v>2343</v>
      </c>
      <c r="E116" s="152" t="s">
        <v>2083</v>
      </c>
      <c r="F116" s="153">
        <v>0</v>
      </c>
      <c r="O116" t="s">
        <v>1378</v>
      </c>
      <c r="P116">
        <v>6</v>
      </c>
      <c r="R116">
        <f>VLOOKUP(O116,'July 2026- Dispatch'!B:T,19,0)</f>
        <v>6</v>
      </c>
      <c r="S116" t="b">
        <f t="shared" si="7"/>
        <v>1</v>
      </c>
    </row>
    <row r="117" spans="2:19" hidden="1" x14ac:dyDescent="0.25">
      <c r="B117" s="152" t="s">
        <v>2344</v>
      </c>
      <c r="C117" s="153" t="s">
        <v>2345</v>
      </c>
      <c r="D117" s="153" t="s">
        <v>2346</v>
      </c>
      <c r="E117" s="152" t="s">
        <v>2083</v>
      </c>
      <c r="F117" s="153">
        <v>0</v>
      </c>
      <c r="O117" t="s">
        <v>874</v>
      </c>
      <c r="P117">
        <v>26</v>
      </c>
      <c r="R117">
        <f>VLOOKUP(O117,'July 2026- Dispatch'!B:T,19,0)</f>
        <v>26</v>
      </c>
      <c r="S117" t="b">
        <f t="shared" si="7"/>
        <v>1</v>
      </c>
    </row>
    <row r="118" spans="2:19" hidden="1" x14ac:dyDescent="0.25">
      <c r="B118" s="152" t="s">
        <v>1124</v>
      </c>
      <c r="C118" s="153" t="s">
        <v>2347</v>
      </c>
      <c r="D118" s="153" t="s">
        <v>2348</v>
      </c>
      <c r="E118" s="152" t="s">
        <v>2086</v>
      </c>
      <c r="F118" s="153">
        <v>4</v>
      </c>
      <c r="O118" t="s">
        <v>1196</v>
      </c>
      <c r="P118">
        <v>168</v>
      </c>
      <c r="R118">
        <f>VLOOKUP(O118,'July 2026- Dispatch'!B:T,19,0)</f>
        <v>168</v>
      </c>
      <c r="S118" t="b">
        <f t="shared" si="7"/>
        <v>1</v>
      </c>
    </row>
    <row r="119" spans="2:19" hidden="1" x14ac:dyDescent="0.25">
      <c r="B119" s="152" t="s">
        <v>362</v>
      </c>
      <c r="C119" s="153" t="s">
        <v>2349</v>
      </c>
      <c r="D119" s="153" t="s">
        <v>2350</v>
      </c>
      <c r="E119" s="152" t="s">
        <v>2083</v>
      </c>
      <c r="F119" s="153">
        <v>0</v>
      </c>
      <c r="O119" t="s">
        <v>912</v>
      </c>
      <c r="P119">
        <v>46</v>
      </c>
      <c r="R119">
        <f>VLOOKUP(O119,'July 2026- Dispatch'!B:T,19,0)</f>
        <v>46</v>
      </c>
      <c r="S119" t="b">
        <f t="shared" si="7"/>
        <v>1</v>
      </c>
    </row>
    <row r="120" spans="2:19" hidden="1" x14ac:dyDescent="0.25">
      <c r="B120" s="152" t="s">
        <v>1928</v>
      </c>
      <c r="C120" s="153" t="s">
        <v>2351</v>
      </c>
      <c r="D120" s="153" t="s">
        <v>2352</v>
      </c>
      <c r="E120" s="152" t="s">
        <v>2083</v>
      </c>
      <c r="F120" s="153">
        <v>0</v>
      </c>
      <c r="O120" t="s">
        <v>1799</v>
      </c>
      <c r="P120">
        <v>12</v>
      </c>
      <c r="R120">
        <f>VLOOKUP(O120,'July 2026- Dispatch'!B:T,19,0)</f>
        <v>12</v>
      </c>
      <c r="S120" t="b">
        <f t="shared" si="7"/>
        <v>1</v>
      </c>
    </row>
    <row r="121" spans="2:19" hidden="1" x14ac:dyDescent="0.25">
      <c r="B121" s="152" t="s">
        <v>2353</v>
      </c>
      <c r="C121" s="153" t="s">
        <v>2354</v>
      </c>
      <c r="D121" s="153" t="s">
        <v>2355</v>
      </c>
      <c r="E121" s="152" t="s">
        <v>2086</v>
      </c>
      <c r="F121" s="153">
        <v>4</v>
      </c>
      <c r="O121" t="s">
        <v>127</v>
      </c>
      <c r="P121">
        <v>24</v>
      </c>
      <c r="R121">
        <f>VLOOKUP(O121,'July 2026- Dispatch'!B:T,19,0)</f>
        <v>24</v>
      </c>
      <c r="S121" t="b">
        <f t="shared" si="7"/>
        <v>1</v>
      </c>
    </row>
    <row r="122" spans="2:19" hidden="1" x14ac:dyDescent="0.25">
      <c r="B122" s="152" t="s">
        <v>2356</v>
      </c>
      <c r="C122" s="153" t="s">
        <v>2357</v>
      </c>
      <c r="D122" s="153" t="s">
        <v>2358</v>
      </c>
      <c r="E122" s="152" t="s">
        <v>2086</v>
      </c>
      <c r="F122" s="153">
        <v>23</v>
      </c>
      <c r="O122" t="s">
        <v>1247</v>
      </c>
      <c r="P122">
        <v>12</v>
      </c>
      <c r="R122">
        <f>VLOOKUP(O122,'July 2026- Dispatch'!B:T,19,0)</f>
        <v>12</v>
      </c>
      <c r="S122" t="b">
        <f t="shared" si="7"/>
        <v>1</v>
      </c>
    </row>
    <row r="123" spans="2:19" hidden="1" x14ac:dyDescent="0.25">
      <c r="B123" s="152" t="s">
        <v>995</v>
      </c>
      <c r="C123" s="153" t="s">
        <v>2359</v>
      </c>
      <c r="D123" s="153" t="s">
        <v>996</v>
      </c>
      <c r="E123" s="152" t="s">
        <v>2086</v>
      </c>
      <c r="F123" s="153">
        <v>16</v>
      </c>
      <c r="O123" t="s">
        <v>1086</v>
      </c>
      <c r="P123">
        <v>6</v>
      </c>
      <c r="R123">
        <f>VLOOKUP(O123,'July 2026- Dispatch'!B:T,19,0)</f>
        <v>6</v>
      </c>
      <c r="S123" t="b">
        <f t="shared" si="7"/>
        <v>1</v>
      </c>
    </row>
    <row r="124" spans="2:19" hidden="1" x14ac:dyDescent="0.25">
      <c r="B124" s="152" t="s">
        <v>2360</v>
      </c>
      <c r="C124" s="153" t="s">
        <v>2361</v>
      </c>
      <c r="D124" s="153" t="s">
        <v>2362</v>
      </c>
      <c r="E124" s="152" t="s">
        <v>2083</v>
      </c>
      <c r="F124" s="153">
        <v>0</v>
      </c>
      <c r="O124" t="s">
        <v>1352</v>
      </c>
      <c r="P124">
        <v>6</v>
      </c>
      <c r="R124">
        <f>VLOOKUP(O124,'July 2026- Dispatch'!B:T,19,0)</f>
        <v>6</v>
      </c>
      <c r="S124" t="b">
        <f t="shared" si="7"/>
        <v>1</v>
      </c>
    </row>
    <row r="125" spans="2:19" hidden="1" x14ac:dyDescent="0.25">
      <c r="B125" s="152" t="s">
        <v>335</v>
      </c>
      <c r="C125" s="153" t="s">
        <v>2363</v>
      </c>
      <c r="D125" s="153" t="s">
        <v>2364</v>
      </c>
      <c r="E125" s="152" t="s">
        <v>2083</v>
      </c>
      <c r="F125" s="153">
        <v>0</v>
      </c>
      <c r="O125" t="s">
        <v>1218</v>
      </c>
      <c r="P125">
        <v>9</v>
      </c>
      <c r="R125">
        <f>VLOOKUP(O125,'July 2026- Dispatch'!B:T,19,0)</f>
        <v>9</v>
      </c>
      <c r="S125" t="b">
        <f t="shared" si="7"/>
        <v>1</v>
      </c>
    </row>
    <row r="126" spans="2:19" hidden="1" x14ac:dyDescent="0.25">
      <c r="B126" s="152" t="s">
        <v>2365</v>
      </c>
      <c r="C126" s="153" t="s">
        <v>2366</v>
      </c>
      <c r="D126" s="153" t="s">
        <v>2367</v>
      </c>
      <c r="E126" s="152" t="s">
        <v>2126</v>
      </c>
      <c r="F126" s="153">
        <v>0</v>
      </c>
      <c r="O126" t="s">
        <v>1438</v>
      </c>
      <c r="P126">
        <v>12</v>
      </c>
      <c r="R126">
        <f>VLOOKUP(O126,'July 2026- Dispatch'!B:T,19,0)</f>
        <v>12</v>
      </c>
      <c r="S126" t="b">
        <f t="shared" si="7"/>
        <v>1</v>
      </c>
    </row>
    <row r="127" spans="2:19" hidden="1" x14ac:dyDescent="0.25">
      <c r="B127" s="152" t="s">
        <v>2368</v>
      </c>
      <c r="C127" s="153" t="s">
        <v>2369</v>
      </c>
      <c r="D127" s="153" t="s">
        <v>2370</v>
      </c>
      <c r="E127" s="152" t="s">
        <v>2111</v>
      </c>
      <c r="F127" s="153">
        <v>475</v>
      </c>
      <c r="O127" t="s">
        <v>4558</v>
      </c>
      <c r="P127">
        <v>36</v>
      </c>
      <c r="R127">
        <f>VLOOKUP(O127,'July 2026- Dispatch'!B:T,19,0)</f>
        <v>36</v>
      </c>
      <c r="S127" t="b">
        <f t="shared" si="7"/>
        <v>1</v>
      </c>
    </row>
    <row r="128" spans="2:19" hidden="1" x14ac:dyDescent="0.25">
      <c r="B128" s="152" t="s">
        <v>2371</v>
      </c>
      <c r="C128" s="153" t="s">
        <v>2372</v>
      </c>
      <c r="D128" s="153" t="s">
        <v>2373</v>
      </c>
      <c r="E128" s="152" t="s">
        <v>2111</v>
      </c>
      <c r="F128" s="153">
        <v>235</v>
      </c>
      <c r="O128" t="s">
        <v>987</v>
      </c>
      <c r="P128">
        <v>24</v>
      </c>
      <c r="R128">
        <f>VLOOKUP(O128,'July 2026- Dispatch'!B:T,19,0)</f>
        <v>16</v>
      </c>
      <c r="S128" t="b">
        <f t="shared" si="7"/>
        <v>0</v>
      </c>
    </row>
    <row r="129" spans="2:19" hidden="1" x14ac:dyDescent="0.25">
      <c r="B129" s="152" t="s">
        <v>2374</v>
      </c>
      <c r="C129" s="153" t="s">
        <v>2375</v>
      </c>
      <c r="D129" s="153" t="s">
        <v>2376</v>
      </c>
      <c r="E129" s="152" t="s">
        <v>2086</v>
      </c>
      <c r="F129" s="153">
        <v>4</v>
      </c>
      <c r="O129" t="s">
        <v>865</v>
      </c>
      <c r="P129">
        <v>48</v>
      </c>
      <c r="R129">
        <f>VLOOKUP(O129,'July 2026- Dispatch'!B:T,19,0)</f>
        <v>48</v>
      </c>
      <c r="S129" t="b">
        <f t="shared" si="7"/>
        <v>1</v>
      </c>
    </row>
    <row r="130" spans="2:19" hidden="1" x14ac:dyDescent="0.25">
      <c r="B130" s="152" t="s">
        <v>1199</v>
      </c>
      <c r="C130" s="153" t="s">
        <v>2377</v>
      </c>
      <c r="D130" s="153" t="s">
        <v>2378</v>
      </c>
      <c r="E130" s="152" t="s">
        <v>64</v>
      </c>
      <c r="F130" s="153">
        <v>352</v>
      </c>
      <c r="O130" t="s">
        <v>1181</v>
      </c>
      <c r="P130">
        <v>36</v>
      </c>
      <c r="R130">
        <f>VLOOKUP(O130,'July 2026- Dispatch'!B:T,19,0)</f>
        <v>36</v>
      </c>
      <c r="S130" t="b">
        <f t="shared" si="7"/>
        <v>1</v>
      </c>
    </row>
    <row r="131" spans="2:19" hidden="1" x14ac:dyDescent="0.25">
      <c r="B131" s="152" t="s">
        <v>964</v>
      </c>
      <c r="C131" s="153" t="s">
        <v>2379</v>
      </c>
      <c r="D131" s="153" t="s">
        <v>2380</v>
      </c>
      <c r="E131" s="152" t="s">
        <v>64</v>
      </c>
      <c r="F131" s="154">
        <v>7765</v>
      </c>
      <c r="O131" t="s">
        <v>1365</v>
      </c>
      <c r="P131">
        <v>3000</v>
      </c>
      <c r="R131">
        <f>VLOOKUP(O131,'July 2026- Dispatch'!B:T,19,0)</f>
        <v>3000</v>
      </c>
      <c r="S131" t="b">
        <f t="shared" si="7"/>
        <v>1</v>
      </c>
    </row>
    <row r="132" spans="2:19" hidden="1" x14ac:dyDescent="0.25">
      <c r="B132" s="152" t="s">
        <v>2381</v>
      </c>
      <c r="C132" s="153" t="s">
        <v>2382</v>
      </c>
      <c r="D132" s="153" t="s">
        <v>2383</v>
      </c>
      <c r="E132" s="152" t="s">
        <v>2086</v>
      </c>
      <c r="F132" s="153">
        <v>10</v>
      </c>
      <c r="O132" t="s">
        <v>1991</v>
      </c>
      <c r="P132">
        <v>44</v>
      </c>
      <c r="R132">
        <f>VLOOKUP(O132,'July 2026- Dispatch'!B:T,19,0)</f>
        <v>44</v>
      </c>
      <c r="S132" t="b">
        <f t="shared" si="7"/>
        <v>1</v>
      </c>
    </row>
    <row r="133" spans="2:19" hidden="1" x14ac:dyDescent="0.25">
      <c r="B133" s="152" t="s">
        <v>2384</v>
      </c>
      <c r="C133" s="153" t="s">
        <v>2385</v>
      </c>
      <c r="D133" s="153" t="s">
        <v>2386</v>
      </c>
      <c r="E133" s="152" t="s">
        <v>2086</v>
      </c>
      <c r="F133" s="153">
        <v>16</v>
      </c>
      <c r="O133" t="s">
        <v>1695</v>
      </c>
      <c r="P133">
        <v>3</v>
      </c>
      <c r="R133">
        <f>VLOOKUP(O133,'July 2026- Dispatch'!B:T,19,0)</f>
        <v>3</v>
      </c>
      <c r="S133" t="b">
        <f t="shared" si="7"/>
        <v>1</v>
      </c>
    </row>
    <row r="134" spans="2:19" hidden="1" x14ac:dyDescent="0.25">
      <c r="B134" s="152" t="s">
        <v>2387</v>
      </c>
      <c r="C134" s="153" t="s">
        <v>2388</v>
      </c>
      <c r="D134" s="153" t="s">
        <v>2389</v>
      </c>
      <c r="E134" s="152" t="s">
        <v>2083</v>
      </c>
      <c r="F134" s="153">
        <v>0</v>
      </c>
    </row>
    <row r="135" spans="2:19" hidden="1" x14ac:dyDescent="0.25">
      <c r="B135" s="152" t="s">
        <v>365</v>
      </c>
      <c r="C135" s="153" t="s">
        <v>2390</v>
      </c>
      <c r="D135" s="153" t="s">
        <v>2391</v>
      </c>
      <c r="E135" s="152" t="s">
        <v>2086</v>
      </c>
      <c r="F135" s="153">
        <v>20</v>
      </c>
    </row>
    <row r="136" spans="2:19" hidden="1" x14ac:dyDescent="0.25">
      <c r="B136" s="152" t="s">
        <v>2392</v>
      </c>
      <c r="C136" s="153" t="s">
        <v>2393</v>
      </c>
      <c r="D136" s="153" t="s">
        <v>2394</v>
      </c>
      <c r="E136" s="152" t="s">
        <v>2083</v>
      </c>
      <c r="F136" s="153">
        <v>0</v>
      </c>
    </row>
    <row r="137" spans="2:19" hidden="1" x14ac:dyDescent="0.25">
      <c r="B137" s="152" t="s">
        <v>925</v>
      </c>
      <c r="C137" s="153" t="s">
        <v>2395</v>
      </c>
      <c r="D137" s="153" t="s">
        <v>2396</v>
      </c>
      <c r="E137" s="152" t="s">
        <v>2083</v>
      </c>
      <c r="F137" s="153">
        <v>0</v>
      </c>
    </row>
    <row r="138" spans="2:19" x14ac:dyDescent="0.25">
      <c r="B138" s="152" t="s">
        <v>71</v>
      </c>
      <c r="C138" s="153" t="s">
        <v>2397</v>
      </c>
      <c r="D138" s="153" t="s">
        <v>2398</v>
      </c>
      <c r="E138" s="152" t="s">
        <v>2086</v>
      </c>
      <c r="F138" s="154">
        <v>1728</v>
      </c>
    </row>
    <row r="139" spans="2:19" x14ac:dyDescent="0.25">
      <c r="B139" s="152" t="s">
        <v>292</v>
      </c>
      <c r="C139" s="153" t="s">
        <v>2399</v>
      </c>
      <c r="D139" s="153" t="s">
        <v>2400</v>
      </c>
      <c r="E139" s="152" t="s">
        <v>2083</v>
      </c>
      <c r="F139" s="153">
        <v>0</v>
      </c>
    </row>
    <row r="140" spans="2:19" x14ac:dyDescent="0.25">
      <c r="B140" s="152" t="s">
        <v>2401</v>
      </c>
      <c r="C140" s="153" t="s">
        <v>2402</v>
      </c>
      <c r="D140" s="153" t="s">
        <v>2403</v>
      </c>
      <c r="E140" s="152" t="s">
        <v>2083</v>
      </c>
      <c r="F140" s="153">
        <v>0</v>
      </c>
    </row>
    <row r="141" spans="2:19" x14ac:dyDescent="0.25">
      <c r="B141" s="152" t="s">
        <v>1238</v>
      </c>
      <c r="C141" s="153" t="s">
        <v>2404</v>
      </c>
      <c r="D141" s="153" t="s">
        <v>2405</v>
      </c>
      <c r="E141" s="152" t="s">
        <v>2083</v>
      </c>
      <c r="F141" s="153">
        <v>0</v>
      </c>
    </row>
    <row r="142" spans="2:19" x14ac:dyDescent="0.25">
      <c r="B142" s="152" t="s">
        <v>877</v>
      </c>
      <c r="C142" s="153" t="s">
        <v>2406</v>
      </c>
      <c r="D142" s="153" t="s">
        <v>2407</v>
      </c>
      <c r="E142" s="152" t="s">
        <v>2086</v>
      </c>
      <c r="F142" s="153">
        <v>32</v>
      </c>
    </row>
    <row r="143" spans="2:19" x14ac:dyDescent="0.25">
      <c r="B143" s="152" t="s">
        <v>2408</v>
      </c>
      <c r="C143" s="153" t="s">
        <v>2409</v>
      </c>
      <c r="D143" s="153" t="s">
        <v>2410</v>
      </c>
      <c r="E143" s="152" t="s">
        <v>2083</v>
      </c>
      <c r="F143" s="153">
        <v>0</v>
      </c>
    </row>
    <row r="144" spans="2:19" x14ac:dyDescent="0.25">
      <c r="B144" s="152" t="s">
        <v>344</v>
      </c>
      <c r="C144" s="153" t="s">
        <v>2411</v>
      </c>
      <c r="D144" s="153" t="s">
        <v>2412</v>
      </c>
      <c r="E144" s="152" t="s">
        <v>2086</v>
      </c>
      <c r="F144" s="153">
        <v>210</v>
      </c>
    </row>
    <row r="145" spans="2:6" x14ac:dyDescent="0.25">
      <c r="B145" s="152" t="s">
        <v>2413</v>
      </c>
      <c r="C145" s="153" t="s">
        <v>2414</v>
      </c>
      <c r="D145" s="153" t="s">
        <v>2415</v>
      </c>
      <c r="E145" s="152" t="s">
        <v>2083</v>
      </c>
      <c r="F145" s="153">
        <v>0</v>
      </c>
    </row>
    <row r="146" spans="2:6" x14ac:dyDescent="0.25">
      <c r="B146" s="152" t="s">
        <v>255</v>
      </c>
      <c r="C146" s="153" t="s">
        <v>2416</v>
      </c>
      <c r="D146" s="153" t="s">
        <v>2417</v>
      </c>
      <c r="E146" s="152" t="s">
        <v>2083</v>
      </c>
      <c r="F146" s="153">
        <v>0</v>
      </c>
    </row>
    <row r="147" spans="2:6" x14ac:dyDescent="0.25">
      <c r="B147" s="152" t="s">
        <v>739</v>
      </c>
      <c r="C147" s="153" t="s">
        <v>2418</v>
      </c>
      <c r="D147" s="153" t="s">
        <v>2419</v>
      </c>
      <c r="E147" s="152" t="s">
        <v>2086</v>
      </c>
      <c r="F147" s="153">
        <v>101</v>
      </c>
    </row>
    <row r="148" spans="2:6" x14ac:dyDescent="0.25">
      <c r="B148" s="152" t="s">
        <v>784</v>
      </c>
      <c r="C148" s="153" t="s">
        <v>2420</v>
      </c>
      <c r="D148" s="153" t="s">
        <v>2421</v>
      </c>
      <c r="E148" s="152" t="s">
        <v>2083</v>
      </c>
      <c r="F148" s="153">
        <v>0</v>
      </c>
    </row>
    <row r="149" spans="2:6" x14ac:dyDescent="0.25">
      <c r="B149" s="152" t="s">
        <v>678</v>
      </c>
      <c r="C149" s="153" t="s">
        <v>2422</v>
      </c>
      <c r="D149" s="153" t="s">
        <v>2423</v>
      </c>
      <c r="E149" s="152" t="s">
        <v>2086</v>
      </c>
      <c r="F149" s="153">
        <v>14</v>
      </c>
    </row>
    <row r="150" spans="2:6" x14ac:dyDescent="0.25">
      <c r="B150" s="152" t="s">
        <v>2424</v>
      </c>
      <c r="C150" s="153" t="s">
        <v>2425</v>
      </c>
      <c r="D150" s="153" t="s">
        <v>2426</v>
      </c>
      <c r="E150" s="152" t="s">
        <v>2086</v>
      </c>
      <c r="F150" s="153">
        <v>20</v>
      </c>
    </row>
    <row r="151" spans="2:6" x14ac:dyDescent="0.25">
      <c r="B151" s="152" t="s">
        <v>760</v>
      </c>
      <c r="C151" s="153" t="s">
        <v>2427</v>
      </c>
      <c r="D151" s="153" t="s">
        <v>2428</v>
      </c>
      <c r="E151" s="152" t="s">
        <v>2083</v>
      </c>
      <c r="F151" s="153">
        <v>0</v>
      </c>
    </row>
    <row r="152" spans="2:6" x14ac:dyDescent="0.25">
      <c r="B152" s="152" t="s">
        <v>1337</v>
      </c>
      <c r="C152" s="153" t="s">
        <v>2429</v>
      </c>
      <c r="D152" s="153" t="s">
        <v>2430</v>
      </c>
      <c r="E152" s="152" t="s">
        <v>2086</v>
      </c>
      <c r="F152" s="153">
        <v>26</v>
      </c>
    </row>
    <row r="153" spans="2:6" x14ac:dyDescent="0.25">
      <c r="B153" s="152" t="s">
        <v>2431</v>
      </c>
      <c r="C153" s="153" t="s">
        <v>2432</v>
      </c>
      <c r="D153" s="153" t="s">
        <v>2433</v>
      </c>
      <c r="E153" s="152" t="s">
        <v>2086</v>
      </c>
      <c r="F153" s="153">
        <v>128</v>
      </c>
    </row>
    <row r="154" spans="2:6" x14ac:dyDescent="0.25">
      <c r="B154" s="152" t="s">
        <v>671</v>
      </c>
      <c r="C154" s="153" t="s">
        <v>2434</v>
      </c>
      <c r="D154" s="153" t="s">
        <v>672</v>
      </c>
      <c r="E154" s="152" t="s">
        <v>2083</v>
      </c>
      <c r="F154" s="153">
        <v>0</v>
      </c>
    </row>
    <row r="155" spans="2:6" x14ac:dyDescent="0.25">
      <c r="B155" s="152" t="s">
        <v>755</v>
      </c>
      <c r="C155" s="153" t="s">
        <v>2435</v>
      </c>
      <c r="D155" s="153" t="s">
        <v>2436</v>
      </c>
      <c r="E155" s="152" t="s">
        <v>2083</v>
      </c>
      <c r="F155" s="153">
        <v>0</v>
      </c>
    </row>
    <row r="156" spans="2:6" x14ac:dyDescent="0.25">
      <c r="B156" s="152" t="s">
        <v>1230</v>
      </c>
      <c r="C156" s="153" t="s">
        <v>2437</v>
      </c>
      <c r="D156" s="153" t="s">
        <v>2438</v>
      </c>
      <c r="E156" s="152" t="s">
        <v>2086</v>
      </c>
      <c r="F156" s="153">
        <v>46</v>
      </c>
    </row>
    <row r="157" spans="2:6" x14ac:dyDescent="0.25">
      <c r="B157" s="152" t="s">
        <v>1384</v>
      </c>
      <c r="C157" s="153" t="s">
        <v>2439</v>
      </c>
      <c r="D157" s="153" t="s">
        <v>2440</v>
      </c>
      <c r="E157" s="152" t="s">
        <v>2086</v>
      </c>
      <c r="F157" s="153">
        <v>48</v>
      </c>
    </row>
    <row r="158" spans="2:6" x14ac:dyDescent="0.25">
      <c r="B158" s="152" t="s">
        <v>2441</v>
      </c>
      <c r="C158" s="153" t="s">
        <v>2442</v>
      </c>
      <c r="D158" s="153" t="s">
        <v>2443</v>
      </c>
      <c r="E158" s="152" t="s">
        <v>2083</v>
      </c>
      <c r="F158" s="153">
        <v>0</v>
      </c>
    </row>
    <row r="159" spans="2:6" x14ac:dyDescent="0.25">
      <c r="B159" s="152" t="s">
        <v>1426</v>
      </c>
      <c r="C159" s="153" t="s">
        <v>2444</v>
      </c>
      <c r="D159" s="153" t="s">
        <v>2445</v>
      </c>
      <c r="E159" s="152" t="s">
        <v>2086</v>
      </c>
      <c r="F159" s="153">
        <v>11</v>
      </c>
    </row>
    <row r="160" spans="2:6" x14ac:dyDescent="0.25">
      <c r="B160" s="152" t="s">
        <v>2446</v>
      </c>
      <c r="C160" s="153" t="s">
        <v>2447</v>
      </c>
      <c r="D160" s="153" t="s">
        <v>2448</v>
      </c>
      <c r="E160" s="152" t="s">
        <v>2086</v>
      </c>
      <c r="F160" s="153">
        <v>36</v>
      </c>
    </row>
    <row r="161" spans="2:6" x14ac:dyDescent="0.25">
      <c r="B161" s="152" t="s">
        <v>283</v>
      </c>
      <c r="C161" s="153" t="s">
        <v>2449</v>
      </c>
      <c r="D161" s="153" t="s">
        <v>2450</v>
      </c>
      <c r="E161" s="152" t="s">
        <v>2083</v>
      </c>
      <c r="F161" s="153">
        <v>0</v>
      </c>
    </row>
    <row r="162" spans="2:6" x14ac:dyDescent="0.25">
      <c r="B162" s="152" t="s">
        <v>2451</v>
      </c>
      <c r="C162" s="153" t="s">
        <v>2452</v>
      </c>
      <c r="D162" s="153" t="s">
        <v>2453</v>
      </c>
      <c r="E162" s="152" t="s">
        <v>2083</v>
      </c>
      <c r="F162" s="153">
        <v>0</v>
      </c>
    </row>
    <row r="163" spans="2:6" x14ac:dyDescent="0.25">
      <c r="B163" s="152" t="s">
        <v>2454</v>
      </c>
      <c r="C163" s="153" t="s">
        <v>2455</v>
      </c>
      <c r="D163" s="153" t="s">
        <v>2456</v>
      </c>
      <c r="E163" s="152" t="s">
        <v>2083</v>
      </c>
      <c r="F163" s="153">
        <v>0</v>
      </c>
    </row>
    <row r="164" spans="2:6" x14ac:dyDescent="0.25">
      <c r="B164" s="152" t="s">
        <v>1000</v>
      </c>
      <c r="C164" s="153" t="s">
        <v>2457</v>
      </c>
      <c r="D164" s="153" t="s">
        <v>2458</v>
      </c>
      <c r="E164" s="152" t="s">
        <v>2086</v>
      </c>
      <c r="F164" s="153">
        <v>24</v>
      </c>
    </row>
    <row r="165" spans="2:6" x14ac:dyDescent="0.25">
      <c r="B165" s="152" t="s">
        <v>303</v>
      </c>
      <c r="C165" s="153" t="s">
        <v>2459</v>
      </c>
      <c r="D165" s="153" t="s">
        <v>2460</v>
      </c>
      <c r="E165" s="152" t="s">
        <v>2083</v>
      </c>
      <c r="F165" s="153">
        <v>0</v>
      </c>
    </row>
    <row r="166" spans="2:6" x14ac:dyDescent="0.25">
      <c r="B166" s="152" t="s">
        <v>2461</v>
      </c>
      <c r="C166" s="153" t="s">
        <v>2462</v>
      </c>
      <c r="D166" s="153" t="s">
        <v>2463</v>
      </c>
      <c r="E166" s="152" t="s">
        <v>2086</v>
      </c>
      <c r="F166" s="153">
        <v>50</v>
      </c>
    </row>
    <row r="167" spans="2:6" x14ac:dyDescent="0.25">
      <c r="B167" s="152" t="s">
        <v>271</v>
      </c>
      <c r="C167" s="153" t="s">
        <v>2464</v>
      </c>
      <c r="D167" s="153" t="s">
        <v>2465</v>
      </c>
      <c r="E167" s="152" t="s">
        <v>2086</v>
      </c>
      <c r="F167" s="153">
        <v>125</v>
      </c>
    </row>
    <row r="168" spans="2:6" x14ac:dyDescent="0.25">
      <c r="B168" s="152" t="s">
        <v>1171</v>
      </c>
      <c r="C168" s="153" t="s">
        <v>2466</v>
      </c>
      <c r="D168" s="153" t="s">
        <v>2467</v>
      </c>
      <c r="E168" s="152" t="s">
        <v>2086</v>
      </c>
      <c r="F168" s="153">
        <v>46</v>
      </c>
    </row>
    <row r="169" spans="2:6" x14ac:dyDescent="0.25">
      <c r="B169" s="152" t="s">
        <v>273</v>
      </c>
      <c r="C169" s="153" t="s">
        <v>2468</v>
      </c>
      <c r="D169" s="153" t="s">
        <v>2469</v>
      </c>
      <c r="E169" s="152" t="s">
        <v>2086</v>
      </c>
      <c r="F169" s="153">
        <v>24</v>
      </c>
    </row>
    <row r="170" spans="2:6" x14ac:dyDescent="0.25">
      <c r="B170" s="152" t="s">
        <v>1333</v>
      </c>
      <c r="C170" s="153" t="s">
        <v>2470</v>
      </c>
      <c r="D170" s="153" t="s">
        <v>2471</v>
      </c>
      <c r="E170" s="152" t="s">
        <v>2086</v>
      </c>
      <c r="F170" s="153">
        <v>6</v>
      </c>
    </row>
    <row r="171" spans="2:6" x14ac:dyDescent="0.25">
      <c r="B171" s="152" t="s">
        <v>277</v>
      </c>
      <c r="C171" s="153" t="s">
        <v>2472</v>
      </c>
      <c r="D171" s="153" t="s">
        <v>2473</v>
      </c>
      <c r="E171" s="152" t="s">
        <v>2083</v>
      </c>
      <c r="F171" s="153">
        <v>0</v>
      </c>
    </row>
    <row r="172" spans="2:6" x14ac:dyDescent="0.25">
      <c r="B172" s="152" t="s">
        <v>1108</v>
      </c>
      <c r="C172" s="153" t="s">
        <v>2474</v>
      </c>
      <c r="D172" s="153" t="s">
        <v>2475</v>
      </c>
      <c r="E172" s="152" t="s">
        <v>2083</v>
      </c>
      <c r="F172" s="153">
        <v>0</v>
      </c>
    </row>
    <row r="173" spans="2:6" x14ac:dyDescent="0.25">
      <c r="B173" s="152" t="s">
        <v>2476</v>
      </c>
      <c r="C173" s="153" t="s">
        <v>2477</v>
      </c>
      <c r="D173" s="153" t="s">
        <v>2478</v>
      </c>
      <c r="E173" s="152" t="s">
        <v>2083</v>
      </c>
      <c r="F173" s="153">
        <v>0</v>
      </c>
    </row>
    <row r="174" spans="2:6" x14ac:dyDescent="0.25">
      <c r="B174" s="152" t="s">
        <v>2479</v>
      </c>
      <c r="C174" s="153" t="s">
        <v>2480</v>
      </c>
      <c r="D174" s="153" t="s">
        <v>2481</v>
      </c>
      <c r="E174" s="152" t="s">
        <v>2083</v>
      </c>
      <c r="F174" s="153">
        <v>0</v>
      </c>
    </row>
    <row r="175" spans="2:6" x14ac:dyDescent="0.25">
      <c r="B175" s="152" t="s">
        <v>2482</v>
      </c>
      <c r="C175" s="153" t="s">
        <v>2483</v>
      </c>
      <c r="D175" s="153" t="s">
        <v>2484</v>
      </c>
      <c r="E175" s="152" t="s">
        <v>2086</v>
      </c>
      <c r="F175" s="153">
        <v>43</v>
      </c>
    </row>
    <row r="176" spans="2:6" x14ac:dyDescent="0.25">
      <c r="B176" s="152" t="s">
        <v>2485</v>
      </c>
      <c r="C176" s="153" t="s">
        <v>2486</v>
      </c>
      <c r="D176" s="153" t="s">
        <v>2487</v>
      </c>
      <c r="E176" s="152" t="s">
        <v>2083</v>
      </c>
      <c r="F176" s="153">
        <v>0</v>
      </c>
    </row>
    <row r="177" spans="2:6" x14ac:dyDescent="0.25">
      <c r="B177" s="152" t="s">
        <v>2488</v>
      </c>
      <c r="C177" s="153" t="s">
        <v>2489</v>
      </c>
      <c r="D177" s="153" t="s">
        <v>2490</v>
      </c>
      <c r="E177" s="152" t="s">
        <v>2086</v>
      </c>
      <c r="F177" s="153">
        <v>109</v>
      </c>
    </row>
    <row r="178" spans="2:6" x14ac:dyDescent="0.25">
      <c r="B178" s="152" t="s">
        <v>237</v>
      </c>
      <c r="C178" s="153" t="s">
        <v>2491</v>
      </c>
      <c r="D178" s="153" t="s">
        <v>2492</v>
      </c>
      <c r="E178" s="152" t="s">
        <v>2083</v>
      </c>
      <c r="F178" s="153">
        <v>0</v>
      </c>
    </row>
    <row r="179" spans="2:6" x14ac:dyDescent="0.25">
      <c r="B179" s="152" t="s">
        <v>2493</v>
      </c>
      <c r="C179" s="153" t="s">
        <v>2494</v>
      </c>
      <c r="D179" s="153" t="s">
        <v>2495</v>
      </c>
      <c r="E179" s="152" t="s">
        <v>2083</v>
      </c>
      <c r="F179" s="153">
        <v>0</v>
      </c>
    </row>
    <row r="180" spans="2:6" x14ac:dyDescent="0.25">
      <c r="B180" s="152" t="s">
        <v>1741</v>
      </c>
      <c r="C180" s="153" t="s">
        <v>2496</v>
      </c>
      <c r="D180" s="153" t="s">
        <v>2497</v>
      </c>
      <c r="E180" s="152" t="s">
        <v>2086</v>
      </c>
      <c r="F180" s="153">
        <v>37</v>
      </c>
    </row>
    <row r="181" spans="2:6" x14ac:dyDescent="0.25">
      <c r="B181" s="152" t="s">
        <v>2498</v>
      </c>
      <c r="C181" s="153" t="s">
        <v>2499</v>
      </c>
      <c r="D181" s="153" t="s">
        <v>2500</v>
      </c>
      <c r="E181" s="152" t="s">
        <v>2083</v>
      </c>
      <c r="F181" s="153">
        <v>0</v>
      </c>
    </row>
    <row r="182" spans="2:6" x14ac:dyDescent="0.25">
      <c r="B182" s="152" t="s">
        <v>2501</v>
      </c>
      <c r="C182" s="153" t="s">
        <v>2502</v>
      </c>
      <c r="D182" s="153" t="s">
        <v>2503</v>
      </c>
      <c r="E182" s="152" t="s">
        <v>2083</v>
      </c>
      <c r="F182" s="153">
        <v>0</v>
      </c>
    </row>
    <row r="183" spans="2:6" x14ac:dyDescent="0.25">
      <c r="B183" s="152" t="s">
        <v>2504</v>
      </c>
      <c r="C183" s="153" t="s">
        <v>2505</v>
      </c>
      <c r="D183" s="153" t="s">
        <v>2506</v>
      </c>
      <c r="E183" s="152" t="s">
        <v>2083</v>
      </c>
      <c r="F183" s="153">
        <v>0</v>
      </c>
    </row>
    <row r="184" spans="2:6" x14ac:dyDescent="0.25">
      <c r="B184" s="152" t="s">
        <v>2507</v>
      </c>
      <c r="C184" s="153" t="s">
        <v>2508</v>
      </c>
      <c r="D184" s="153" t="s">
        <v>2509</v>
      </c>
      <c r="E184" s="152" t="s">
        <v>2083</v>
      </c>
      <c r="F184" s="153">
        <v>0</v>
      </c>
    </row>
    <row r="185" spans="2:6" x14ac:dyDescent="0.25">
      <c r="B185" s="152" t="s">
        <v>342</v>
      </c>
      <c r="C185" s="153" t="s">
        <v>2510</v>
      </c>
      <c r="D185" s="153" t="s">
        <v>2511</v>
      </c>
      <c r="E185" s="152" t="s">
        <v>2083</v>
      </c>
      <c r="F185" s="153">
        <v>0</v>
      </c>
    </row>
    <row r="186" spans="2:6" x14ac:dyDescent="0.25">
      <c r="B186" s="152" t="s">
        <v>2512</v>
      </c>
      <c r="C186" s="153" t="s">
        <v>2513</v>
      </c>
      <c r="D186" s="153" t="s">
        <v>2514</v>
      </c>
      <c r="E186" s="152" t="s">
        <v>2083</v>
      </c>
      <c r="F186" s="153">
        <v>0</v>
      </c>
    </row>
    <row r="187" spans="2:6" x14ac:dyDescent="0.25">
      <c r="B187" s="152" t="s">
        <v>2515</v>
      </c>
      <c r="C187" s="153" t="s">
        <v>2516</v>
      </c>
      <c r="D187" s="153" t="s">
        <v>2517</v>
      </c>
      <c r="E187" s="152" t="s">
        <v>2083</v>
      </c>
      <c r="F187" s="153">
        <v>0</v>
      </c>
    </row>
    <row r="188" spans="2:6" x14ac:dyDescent="0.25">
      <c r="B188" s="152" t="s">
        <v>2518</v>
      </c>
      <c r="C188" s="153" t="s">
        <v>2519</v>
      </c>
      <c r="D188" s="153" t="s">
        <v>2520</v>
      </c>
      <c r="E188" s="152" t="s">
        <v>2086</v>
      </c>
      <c r="F188" s="154">
        <v>2606</v>
      </c>
    </row>
    <row r="189" spans="2:6" x14ac:dyDescent="0.25">
      <c r="B189" s="152" t="s">
        <v>2521</v>
      </c>
      <c r="C189" s="153" t="s">
        <v>2522</v>
      </c>
      <c r="D189" s="153" t="s">
        <v>2523</v>
      </c>
      <c r="E189" s="152" t="s">
        <v>2086</v>
      </c>
      <c r="F189" s="153">
        <v>2</v>
      </c>
    </row>
    <row r="190" spans="2:6" x14ac:dyDescent="0.25">
      <c r="B190" s="152" t="s">
        <v>329</v>
      </c>
      <c r="C190" s="153" t="s">
        <v>2524</v>
      </c>
      <c r="D190" s="153" t="s">
        <v>2525</v>
      </c>
      <c r="E190" s="152" t="s">
        <v>2083</v>
      </c>
      <c r="F190" s="153">
        <v>0</v>
      </c>
    </row>
    <row r="191" spans="2:6" x14ac:dyDescent="0.25">
      <c r="B191" s="152" t="s">
        <v>2526</v>
      </c>
      <c r="C191" s="153" t="s">
        <v>2527</v>
      </c>
      <c r="D191" s="153" t="s">
        <v>2528</v>
      </c>
      <c r="E191" s="152" t="s">
        <v>2086</v>
      </c>
      <c r="F191" s="154">
        <v>1400</v>
      </c>
    </row>
    <row r="192" spans="2:6" x14ac:dyDescent="0.25">
      <c r="B192" s="152" t="s">
        <v>331</v>
      </c>
      <c r="C192" s="153" t="s">
        <v>2529</v>
      </c>
      <c r="D192" s="153" t="s">
        <v>2530</v>
      </c>
      <c r="E192" s="152" t="s">
        <v>2083</v>
      </c>
      <c r="F192" s="153">
        <v>0</v>
      </c>
    </row>
    <row r="193" spans="2:6" x14ac:dyDescent="0.25">
      <c r="B193" s="152" t="s">
        <v>2531</v>
      </c>
      <c r="C193" s="153" t="s">
        <v>2532</v>
      </c>
      <c r="D193" s="153" t="s">
        <v>2533</v>
      </c>
      <c r="E193" s="152" t="s">
        <v>2083</v>
      </c>
      <c r="F193" s="153">
        <v>0</v>
      </c>
    </row>
    <row r="194" spans="2:6" x14ac:dyDescent="0.25">
      <c r="B194" s="152" t="s">
        <v>2534</v>
      </c>
      <c r="C194" s="153" t="s">
        <v>2535</v>
      </c>
      <c r="D194" s="153" t="s">
        <v>2536</v>
      </c>
      <c r="E194" s="152" t="s">
        <v>2083</v>
      </c>
      <c r="F194" s="153">
        <v>0</v>
      </c>
    </row>
    <row r="195" spans="2:6" x14ac:dyDescent="0.25">
      <c r="B195" s="152" t="s">
        <v>245</v>
      </c>
      <c r="C195" s="153" t="s">
        <v>2537</v>
      </c>
      <c r="D195" s="153" t="s">
        <v>2538</v>
      </c>
      <c r="E195" s="152" t="s">
        <v>2083</v>
      </c>
      <c r="F195" s="153">
        <v>0</v>
      </c>
    </row>
    <row r="196" spans="2:6" x14ac:dyDescent="0.25">
      <c r="B196" s="152" t="s">
        <v>2539</v>
      </c>
      <c r="C196" s="153" t="s">
        <v>2540</v>
      </c>
      <c r="D196" s="153" t="s">
        <v>2541</v>
      </c>
      <c r="E196" s="152" t="s">
        <v>2083</v>
      </c>
      <c r="F196" s="153">
        <v>0</v>
      </c>
    </row>
    <row r="197" spans="2:6" x14ac:dyDescent="0.25">
      <c r="B197" s="152" t="s">
        <v>2542</v>
      </c>
      <c r="C197" s="153" t="s">
        <v>2543</v>
      </c>
      <c r="D197" s="153" t="s">
        <v>2544</v>
      </c>
      <c r="E197" s="152" t="s">
        <v>2083</v>
      </c>
      <c r="F197" s="153">
        <v>0</v>
      </c>
    </row>
    <row r="198" spans="2:6" x14ac:dyDescent="0.25">
      <c r="B198" s="152" t="s">
        <v>2545</v>
      </c>
      <c r="C198" s="153" t="s">
        <v>2546</v>
      </c>
      <c r="D198" s="153" t="s">
        <v>2547</v>
      </c>
      <c r="E198" s="152" t="s">
        <v>2083</v>
      </c>
      <c r="F198" s="153">
        <v>0</v>
      </c>
    </row>
    <row r="199" spans="2:6" x14ac:dyDescent="0.25">
      <c r="B199" s="152" t="s">
        <v>2548</v>
      </c>
      <c r="C199" s="153" t="s">
        <v>2549</v>
      </c>
      <c r="D199" s="153" t="s">
        <v>2550</v>
      </c>
      <c r="E199" s="152" t="s">
        <v>2083</v>
      </c>
      <c r="F199" s="153">
        <v>0</v>
      </c>
    </row>
    <row r="200" spans="2:6" x14ac:dyDescent="0.25">
      <c r="B200" s="152" t="s">
        <v>2551</v>
      </c>
      <c r="C200" s="153" t="s">
        <v>2552</v>
      </c>
      <c r="D200" s="153" t="s">
        <v>2553</v>
      </c>
      <c r="E200" s="152" t="s">
        <v>2086</v>
      </c>
      <c r="F200" s="154">
        <v>1794</v>
      </c>
    </row>
    <row r="201" spans="2:6" x14ac:dyDescent="0.25">
      <c r="B201" s="152" t="s">
        <v>2554</v>
      </c>
      <c r="C201" s="153" t="s">
        <v>2555</v>
      </c>
      <c r="D201" s="153" t="s">
        <v>2556</v>
      </c>
      <c r="E201" s="152" t="s">
        <v>2086</v>
      </c>
      <c r="F201" s="153">
        <v>10</v>
      </c>
    </row>
    <row r="202" spans="2:6" x14ac:dyDescent="0.25">
      <c r="B202" s="152" t="s">
        <v>2557</v>
      </c>
      <c r="C202" s="153" t="s">
        <v>2558</v>
      </c>
      <c r="D202" s="153" t="s">
        <v>2559</v>
      </c>
      <c r="E202" s="152" t="s">
        <v>2083</v>
      </c>
      <c r="F202" s="153">
        <v>0</v>
      </c>
    </row>
    <row r="203" spans="2:6" x14ac:dyDescent="0.25">
      <c r="B203" s="152" t="s">
        <v>2560</v>
      </c>
      <c r="C203" s="153" t="s">
        <v>2561</v>
      </c>
      <c r="D203" s="153" t="s">
        <v>2562</v>
      </c>
      <c r="E203" s="152" t="s">
        <v>2083</v>
      </c>
      <c r="F203" s="153">
        <v>0</v>
      </c>
    </row>
    <row r="204" spans="2:6" x14ac:dyDescent="0.25">
      <c r="B204" s="152" t="s">
        <v>1771</v>
      </c>
      <c r="C204" s="153" t="s">
        <v>2563</v>
      </c>
      <c r="D204" s="153" t="s">
        <v>2564</v>
      </c>
      <c r="E204" s="152" t="s">
        <v>64</v>
      </c>
      <c r="F204" s="153">
        <v>13</v>
      </c>
    </row>
    <row r="205" spans="2:6" x14ac:dyDescent="0.25">
      <c r="B205" s="152" t="s">
        <v>2565</v>
      </c>
      <c r="C205" s="153" t="s">
        <v>2566</v>
      </c>
      <c r="D205" s="153" t="s">
        <v>2567</v>
      </c>
      <c r="E205" s="152" t="s">
        <v>2083</v>
      </c>
      <c r="F205" s="153">
        <v>0</v>
      </c>
    </row>
    <row r="206" spans="2:6" x14ac:dyDescent="0.25">
      <c r="B206" s="152" t="s">
        <v>2568</v>
      </c>
      <c r="C206" s="153" t="s">
        <v>2569</v>
      </c>
      <c r="D206" s="153" t="s">
        <v>2570</v>
      </c>
      <c r="E206" s="152" t="s">
        <v>2083</v>
      </c>
      <c r="F206" s="153">
        <v>0</v>
      </c>
    </row>
    <row r="207" spans="2:6" x14ac:dyDescent="0.25">
      <c r="B207" s="152" t="s">
        <v>2571</v>
      </c>
      <c r="C207" s="153" t="s">
        <v>2572</v>
      </c>
      <c r="D207" s="153" t="s">
        <v>2573</v>
      </c>
      <c r="E207" s="152" t="s">
        <v>2086</v>
      </c>
      <c r="F207" s="153">
        <v>4</v>
      </c>
    </row>
    <row r="208" spans="2:6" x14ac:dyDescent="0.25">
      <c r="B208" s="152" t="s">
        <v>2574</v>
      </c>
      <c r="C208" s="153" t="s">
        <v>2575</v>
      </c>
      <c r="D208" s="153" t="s">
        <v>2576</v>
      </c>
      <c r="E208" s="152" t="s">
        <v>2086</v>
      </c>
      <c r="F208" s="153">
        <v>54</v>
      </c>
    </row>
    <row r="209" spans="2:6" x14ac:dyDescent="0.25">
      <c r="B209" s="152" t="s">
        <v>2577</v>
      </c>
      <c r="C209" s="153" t="s">
        <v>2578</v>
      </c>
      <c r="D209" s="153" t="s">
        <v>2579</v>
      </c>
      <c r="E209" s="152" t="s">
        <v>2086</v>
      </c>
      <c r="F209" s="153">
        <v>48</v>
      </c>
    </row>
    <row r="210" spans="2:6" x14ac:dyDescent="0.25">
      <c r="B210" s="152" t="s">
        <v>2580</v>
      </c>
      <c r="C210" s="153" t="s">
        <v>2581</v>
      </c>
      <c r="D210" s="153" t="s">
        <v>2582</v>
      </c>
      <c r="E210" s="152" t="s">
        <v>2086</v>
      </c>
      <c r="F210" s="153">
        <v>73</v>
      </c>
    </row>
    <row r="211" spans="2:6" x14ac:dyDescent="0.25">
      <c r="B211" s="152" t="s">
        <v>2583</v>
      </c>
      <c r="C211" s="153" t="s">
        <v>2584</v>
      </c>
      <c r="D211" s="153" t="s">
        <v>2585</v>
      </c>
      <c r="E211" s="152" t="s">
        <v>2083</v>
      </c>
      <c r="F211" s="153">
        <v>0</v>
      </c>
    </row>
    <row r="212" spans="2:6" x14ac:dyDescent="0.25">
      <c r="B212" s="152" t="s">
        <v>2586</v>
      </c>
      <c r="C212" s="153" t="s">
        <v>2587</v>
      </c>
      <c r="D212" s="153" t="s">
        <v>2588</v>
      </c>
      <c r="E212" s="152" t="s">
        <v>2083</v>
      </c>
      <c r="F212" s="153">
        <v>0</v>
      </c>
    </row>
    <row r="213" spans="2:6" x14ac:dyDescent="0.25">
      <c r="B213" s="152" t="s">
        <v>2589</v>
      </c>
      <c r="C213" s="153" t="s">
        <v>2590</v>
      </c>
      <c r="D213" s="153" t="s">
        <v>2591</v>
      </c>
      <c r="E213" s="152" t="s">
        <v>2086</v>
      </c>
      <c r="F213" s="153">
        <v>36</v>
      </c>
    </row>
    <row r="214" spans="2:6" x14ac:dyDescent="0.25">
      <c r="B214" s="152" t="s">
        <v>2592</v>
      </c>
      <c r="C214" s="153" t="s">
        <v>2593</v>
      </c>
      <c r="D214" s="153" t="s">
        <v>2594</v>
      </c>
      <c r="E214" s="152" t="s">
        <v>2086</v>
      </c>
      <c r="F214" s="153">
        <v>53</v>
      </c>
    </row>
    <row r="215" spans="2:6" x14ac:dyDescent="0.25">
      <c r="B215" s="152" t="s">
        <v>2595</v>
      </c>
      <c r="C215" s="153" t="s">
        <v>2596</v>
      </c>
      <c r="D215" s="153" t="s">
        <v>2597</v>
      </c>
      <c r="E215" s="152" t="s">
        <v>2086</v>
      </c>
      <c r="F215" s="153">
        <v>20</v>
      </c>
    </row>
    <row r="216" spans="2:6" x14ac:dyDescent="0.25">
      <c r="B216" s="152" t="s">
        <v>2598</v>
      </c>
      <c r="C216" s="153" t="s">
        <v>2599</v>
      </c>
      <c r="D216" s="153" t="s">
        <v>2600</v>
      </c>
      <c r="E216" s="152" t="s">
        <v>2086</v>
      </c>
      <c r="F216" s="153">
        <v>38</v>
      </c>
    </row>
    <row r="217" spans="2:6" x14ac:dyDescent="0.25">
      <c r="B217" s="152" t="s">
        <v>2601</v>
      </c>
      <c r="C217" s="153" t="s">
        <v>2602</v>
      </c>
      <c r="D217" s="153" t="s">
        <v>2603</v>
      </c>
      <c r="E217" s="152" t="s">
        <v>2086</v>
      </c>
      <c r="F217" s="153">
        <v>7</v>
      </c>
    </row>
    <row r="218" spans="2:6" x14ac:dyDescent="0.25">
      <c r="B218" s="152" t="s">
        <v>2604</v>
      </c>
      <c r="C218" s="153" t="s">
        <v>2605</v>
      </c>
      <c r="D218" s="153" t="s">
        <v>2606</v>
      </c>
      <c r="E218" s="152" t="s">
        <v>2083</v>
      </c>
      <c r="F218" s="153">
        <v>0</v>
      </c>
    </row>
    <row r="219" spans="2:6" x14ac:dyDescent="0.25">
      <c r="B219" s="152" t="s">
        <v>2607</v>
      </c>
      <c r="C219" s="153" t="s">
        <v>2608</v>
      </c>
      <c r="D219" s="153" t="s">
        <v>2609</v>
      </c>
      <c r="E219" s="152" t="s">
        <v>2083</v>
      </c>
      <c r="F219" s="153">
        <v>0</v>
      </c>
    </row>
    <row r="220" spans="2:6" x14ac:dyDescent="0.25">
      <c r="B220" s="152" t="s">
        <v>2610</v>
      </c>
      <c r="C220" s="153" t="s">
        <v>2611</v>
      </c>
      <c r="D220" s="153" t="s">
        <v>2612</v>
      </c>
      <c r="E220" s="152" t="s">
        <v>2083</v>
      </c>
      <c r="F220" s="153">
        <v>0</v>
      </c>
    </row>
    <row r="221" spans="2:6" x14ac:dyDescent="0.25">
      <c r="B221" s="152" t="s">
        <v>2613</v>
      </c>
      <c r="C221" s="153" t="s">
        <v>2614</v>
      </c>
      <c r="D221" s="153" t="s">
        <v>2615</v>
      </c>
      <c r="E221" s="152" t="s">
        <v>2086</v>
      </c>
      <c r="F221" s="153">
        <v>49</v>
      </c>
    </row>
    <row r="222" spans="2:6" x14ac:dyDescent="0.25">
      <c r="B222" s="152" t="s">
        <v>2616</v>
      </c>
      <c r="C222" s="153" t="s">
        <v>2617</v>
      </c>
      <c r="D222" s="153" t="s">
        <v>2618</v>
      </c>
      <c r="E222" s="152" t="s">
        <v>2086</v>
      </c>
      <c r="F222" s="153">
        <v>44</v>
      </c>
    </row>
    <row r="223" spans="2:6" x14ac:dyDescent="0.25">
      <c r="B223" s="152" t="s">
        <v>2619</v>
      </c>
      <c r="C223" s="153" t="s">
        <v>2620</v>
      </c>
      <c r="D223" s="153" t="s">
        <v>2621</v>
      </c>
      <c r="E223" s="152" t="s">
        <v>2086</v>
      </c>
      <c r="F223" s="153">
        <v>384</v>
      </c>
    </row>
    <row r="224" spans="2:6" x14ac:dyDescent="0.25">
      <c r="B224" s="152" t="s">
        <v>2622</v>
      </c>
      <c r="C224" s="153" t="s">
        <v>2623</v>
      </c>
      <c r="D224" s="153" t="s">
        <v>2624</v>
      </c>
      <c r="E224" s="152" t="s">
        <v>2086</v>
      </c>
      <c r="F224" s="153">
        <v>17</v>
      </c>
    </row>
    <row r="225" spans="2:6" x14ac:dyDescent="0.25">
      <c r="B225" s="152" t="s">
        <v>2625</v>
      </c>
      <c r="C225" s="153" t="s">
        <v>2626</v>
      </c>
      <c r="D225" s="153" t="s">
        <v>2627</v>
      </c>
      <c r="E225" s="152" t="s">
        <v>2083</v>
      </c>
      <c r="F225" s="153">
        <v>0</v>
      </c>
    </row>
    <row r="226" spans="2:6" x14ac:dyDescent="0.25">
      <c r="B226" s="152" t="s">
        <v>2628</v>
      </c>
      <c r="C226" s="153" t="s">
        <v>2629</v>
      </c>
      <c r="D226" s="153" t="s">
        <v>2630</v>
      </c>
      <c r="E226" s="152" t="s">
        <v>2083</v>
      </c>
      <c r="F226" s="153">
        <v>0</v>
      </c>
    </row>
    <row r="227" spans="2:6" x14ac:dyDescent="0.25">
      <c r="B227" s="152" t="s">
        <v>1734</v>
      </c>
      <c r="C227" s="153" t="s">
        <v>2631</v>
      </c>
      <c r="D227" s="153" t="s">
        <v>2632</v>
      </c>
      <c r="E227" s="152" t="s">
        <v>2086</v>
      </c>
      <c r="F227" s="153">
        <v>106</v>
      </c>
    </row>
    <row r="228" spans="2:6" x14ac:dyDescent="0.25">
      <c r="B228" s="152" t="s">
        <v>2633</v>
      </c>
      <c r="C228" s="153" t="s">
        <v>2634</v>
      </c>
      <c r="D228" s="153" t="s">
        <v>2635</v>
      </c>
      <c r="E228" s="152" t="s">
        <v>2083</v>
      </c>
      <c r="F228" s="153">
        <v>0</v>
      </c>
    </row>
    <row r="229" spans="2:6" x14ac:dyDescent="0.25">
      <c r="B229" s="152" t="s">
        <v>2636</v>
      </c>
      <c r="C229" s="153" t="s">
        <v>2637</v>
      </c>
      <c r="D229" s="153" t="s">
        <v>2638</v>
      </c>
      <c r="E229" s="152" t="s">
        <v>2083</v>
      </c>
      <c r="F229" s="153">
        <v>0</v>
      </c>
    </row>
    <row r="230" spans="2:6" x14ac:dyDescent="0.25">
      <c r="B230" s="152" t="s">
        <v>2639</v>
      </c>
      <c r="C230" s="153" t="s">
        <v>2640</v>
      </c>
      <c r="D230" s="153" t="s">
        <v>2641</v>
      </c>
      <c r="E230" s="152" t="s">
        <v>2083</v>
      </c>
      <c r="F230" s="153">
        <v>0</v>
      </c>
    </row>
    <row r="231" spans="2:6" x14ac:dyDescent="0.25">
      <c r="B231" s="152" t="s">
        <v>2642</v>
      </c>
      <c r="C231" s="153" t="s">
        <v>2643</v>
      </c>
      <c r="D231" s="153" t="s">
        <v>2644</v>
      </c>
      <c r="E231" s="152" t="s">
        <v>2086</v>
      </c>
      <c r="F231" s="154">
        <v>1375</v>
      </c>
    </row>
    <row r="232" spans="2:6" x14ac:dyDescent="0.25">
      <c r="B232" s="152" t="s">
        <v>2645</v>
      </c>
      <c r="C232" s="153" t="s">
        <v>2646</v>
      </c>
      <c r="D232" s="153" t="s">
        <v>2647</v>
      </c>
      <c r="E232" s="152" t="s">
        <v>2086</v>
      </c>
      <c r="F232" s="153">
        <v>5</v>
      </c>
    </row>
    <row r="233" spans="2:6" x14ac:dyDescent="0.25">
      <c r="B233" s="152" t="s">
        <v>2648</v>
      </c>
      <c r="C233" s="153" t="s">
        <v>2649</v>
      </c>
      <c r="D233" s="153" t="s">
        <v>2650</v>
      </c>
      <c r="E233" s="152" t="s">
        <v>2651</v>
      </c>
      <c r="F233" s="153">
        <v>0</v>
      </c>
    </row>
    <row r="234" spans="2:6" x14ac:dyDescent="0.25">
      <c r="B234" s="152" t="s">
        <v>2652</v>
      </c>
      <c r="C234" s="153" t="s">
        <v>2653</v>
      </c>
      <c r="D234" s="153" t="s">
        <v>2654</v>
      </c>
      <c r="E234" s="152" t="s">
        <v>2651</v>
      </c>
      <c r="F234" s="153">
        <v>0</v>
      </c>
    </row>
    <row r="235" spans="2:6" x14ac:dyDescent="0.25">
      <c r="B235" s="152" t="s">
        <v>2655</v>
      </c>
      <c r="C235" s="153" t="s">
        <v>2656</v>
      </c>
      <c r="D235" s="153" t="s">
        <v>2657</v>
      </c>
      <c r="E235" s="152" t="s">
        <v>2651</v>
      </c>
      <c r="F235" s="153">
        <v>0</v>
      </c>
    </row>
    <row r="236" spans="2:6" x14ac:dyDescent="0.25">
      <c r="B236" s="152" t="s">
        <v>2658</v>
      </c>
      <c r="C236" s="153" t="s">
        <v>2659</v>
      </c>
      <c r="D236" s="153" t="s">
        <v>2660</v>
      </c>
      <c r="E236" s="152" t="s">
        <v>2651</v>
      </c>
      <c r="F236" s="153">
        <v>0</v>
      </c>
    </row>
    <row r="237" spans="2:6" x14ac:dyDescent="0.25">
      <c r="B237" s="152" t="s">
        <v>2661</v>
      </c>
      <c r="C237" s="153" t="s">
        <v>2662</v>
      </c>
      <c r="D237" s="153" t="s">
        <v>2663</v>
      </c>
      <c r="E237" s="152" t="s">
        <v>2083</v>
      </c>
      <c r="F237" s="153">
        <v>0</v>
      </c>
    </row>
    <row r="238" spans="2:6" x14ac:dyDescent="0.25">
      <c r="B238" s="152" t="s">
        <v>2664</v>
      </c>
      <c r="C238" s="153" t="s">
        <v>2665</v>
      </c>
      <c r="D238" s="153" t="s">
        <v>2666</v>
      </c>
      <c r="E238" s="152" t="s">
        <v>2083</v>
      </c>
      <c r="F238" s="153">
        <v>0</v>
      </c>
    </row>
    <row r="239" spans="2:6" x14ac:dyDescent="0.25">
      <c r="B239" s="152" t="s">
        <v>2667</v>
      </c>
      <c r="C239" s="153" t="s">
        <v>2668</v>
      </c>
      <c r="D239" s="153" t="s">
        <v>2669</v>
      </c>
      <c r="E239" s="152" t="s">
        <v>2086</v>
      </c>
      <c r="F239" s="153">
        <v>78</v>
      </c>
    </row>
    <row r="240" spans="2:6" x14ac:dyDescent="0.25">
      <c r="B240" s="152" t="s">
        <v>2670</v>
      </c>
      <c r="C240" s="153" t="s">
        <v>2671</v>
      </c>
      <c r="D240" s="153" t="s">
        <v>2672</v>
      </c>
      <c r="E240" s="152" t="s">
        <v>2083</v>
      </c>
      <c r="F240" s="153">
        <v>0</v>
      </c>
    </row>
    <row r="241" spans="2:6" x14ac:dyDescent="0.25">
      <c r="B241" s="152" t="s">
        <v>2673</v>
      </c>
      <c r="C241" s="153" t="s">
        <v>2674</v>
      </c>
      <c r="D241" s="153" t="s">
        <v>2675</v>
      </c>
      <c r="E241" s="152" t="s">
        <v>2083</v>
      </c>
      <c r="F241" s="153">
        <v>0</v>
      </c>
    </row>
    <row r="242" spans="2:6" x14ac:dyDescent="0.25">
      <c r="B242" s="152" t="s">
        <v>2676</v>
      </c>
      <c r="C242" s="153" t="s">
        <v>2677</v>
      </c>
      <c r="D242" s="153" t="s">
        <v>2678</v>
      </c>
      <c r="E242" s="152" t="s">
        <v>2083</v>
      </c>
      <c r="F242" s="153">
        <v>0</v>
      </c>
    </row>
    <row r="243" spans="2:6" x14ac:dyDescent="0.25">
      <c r="B243" s="152" t="s">
        <v>2679</v>
      </c>
      <c r="C243" s="153" t="s">
        <v>2680</v>
      </c>
      <c r="D243" s="153" t="s">
        <v>2681</v>
      </c>
      <c r="E243" s="152" t="s">
        <v>2083</v>
      </c>
      <c r="F243" s="153">
        <v>0</v>
      </c>
    </row>
    <row r="244" spans="2:6" x14ac:dyDescent="0.25">
      <c r="B244" s="152" t="s">
        <v>2682</v>
      </c>
      <c r="C244" s="153" t="s">
        <v>2683</v>
      </c>
      <c r="D244" s="153" t="s">
        <v>2684</v>
      </c>
      <c r="E244" s="152" t="s">
        <v>2083</v>
      </c>
      <c r="F244" s="153">
        <v>0</v>
      </c>
    </row>
    <row r="245" spans="2:6" x14ac:dyDescent="0.25">
      <c r="B245" s="152" t="s">
        <v>2685</v>
      </c>
      <c r="C245" s="153" t="s">
        <v>2686</v>
      </c>
      <c r="D245" s="153" t="s">
        <v>2687</v>
      </c>
      <c r="E245" s="152" t="s">
        <v>2083</v>
      </c>
      <c r="F245" s="153">
        <v>0</v>
      </c>
    </row>
    <row r="246" spans="2:6" x14ac:dyDescent="0.25">
      <c r="B246" s="152" t="s">
        <v>2688</v>
      </c>
      <c r="C246" s="153" t="s">
        <v>2689</v>
      </c>
      <c r="D246" s="153" t="s">
        <v>2690</v>
      </c>
      <c r="E246" s="152" t="s">
        <v>2651</v>
      </c>
      <c r="F246" s="153">
        <v>0</v>
      </c>
    </row>
    <row r="247" spans="2:6" x14ac:dyDescent="0.25">
      <c r="B247" s="152" t="s">
        <v>2691</v>
      </c>
      <c r="C247" s="153" t="s">
        <v>2692</v>
      </c>
      <c r="D247" s="153" t="s">
        <v>2693</v>
      </c>
      <c r="E247" s="152" t="s">
        <v>2651</v>
      </c>
      <c r="F247" s="153">
        <v>0</v>
      </c>
    </row>
    <row r="248" spans="2:6" x14ac:dyDescent="0.25">
      <c r="B248" s="152" t="s">
        <v>2694</v>
      </c>
      <c r="C248" s="153" t="s">
        <v>2695</v>
      </c>
      <c r="D248" s="153" t="s">
        <v>2696</v>
      </c>
      <c r="E248" s="152" t="s">
        <v>2083</v>
      </c>
      <c r="F248" s="153">
        <v>0</v>
      </c>
    </row>
    <row r="249" spans="2:6" x14ac:dyDescent="0.25">
      <c r="B249" s="152" t="s">
        <v>2697</v>
      </c>
      <c r="C249" s="153" t="s">
        <v>2698</v>
      </c>
      <c r="D249" s="153" t="s">
        <v>2699</v>
      </c>
      <c r="E249" s="152" t="s">
        <v>2083</v>
      </c>
      <c r="F249" s="153">
        <v>0</v>
      </c>
    </row>
    <row r="250" spans="2:6" x14ac:dyDescent="0.25">
      <c r="B250" s="152" t="s">
        <v>2700</v>
      </c>
      <c r="C250" s="153" t="s">
        <v>2701</v>
      </c>
      <c r="D250" s="153" t="s">
        <v>2702</v>
      </c>
      <c r="E250" s="152" t="s">
        <v>2160</v>
      </c>
      <c r="F250" s="153">
        <v>0</v>
      </c>
    </row>
    <row r="251" spans="2:6" x14ac:dyDescent="0.25">
      <c r="B251" s="152" t="s">
        <v>2703</v>
      </c>
      <c r="C251" s="153" t="s">
        <v>2704</v>
      </c>
      <c r="D251" s="153" t="s">
        <v>2705</v>
      </c>
      <c r="E251" s="152" t="s">
        <v>2160</v>
      </c>
      <c r="F251" s="153">
        <v>0</v>
      </c>
    </row>
    <row r="252" spans="2:6" x14ac:dyDescent="0.25">
      <c r="B252" s="152" t="s">
        <v>2706</v>
      </c>
      <c r="C252" s="153" t="s">
        <v>2707</v>
      </c>
      <c r="D252" s="153" t="s">
        <v>2708</v>
      </c>
      <c r="E252" s="152" t="s">
        <v>2083</v>
      </c>
      <c r="F252" s="153">
        <v>0</v>
      </c>
    </row>
    <row r="253" spans="2:6" x14ac:dyDescent="0.25">
      <c r="B253" s="152" t="s">
        <v>2709</v>
      </c>
      <c r="C253" s="153" t="s">
        <v>2710</v>
      </c>
      <c r="D253" s="153" t="s">
        <v>2711</v>
      </c>
      <c r="E253" s="152" t="s">
        <v>2083</v>
      </c>
      <c r="F253" s="153">
        <v>0</v>
      </c>
    </row>
    <row r="254" spans="2:6" x14ac:dyDescent="0.25">
      <c r="B254" s="152" t="s">
        <v>2712</v>
      </c>
      <c r="C254" s="153" t="s">
        <v>2713</v>
      </c>
      <c r="D254" s="153" t="s">
        <v>2714</v>
      </c>
      <c r="E254" s="152" t="s">
        <v>2083</v>
      </c>
      <c r="F254" s="153">
        <v>0</v>
      </c>
    </row>
    <row r="255" spans="2:6" x14ac:dyDescent="0.25">
      <c r="B255" s="152" t="s">
        <v>2715</v>
      </c>
      <c r="C255" s="153" t="s">
        <v>2716</v>
      </c>
      <c r="D255" s="153" t="s">
        <v>2717</v>
      </c>
      <c r="E255" s="152" t="s">
        <v>2083</v>
      </c>
      <c r="F255" s="153">
        <v>0</v>
      </c>
    </row>
    <row r="256" spans="2:6" x14ac:dyDescent="0.25">
      <c r="B256" s="152" t="s">
        <v>2718</v>
      </c>
      <c r="C256" s="153" t="s">
        <v>2719</v>
      </c>
      <c r="D256" s="153" t="s">
        <v>2720</v>
      </c>
      <c r="E256" s="152" t="s">
        <v>2083</v>
      </c>
      <c r="F256" s="153">
        <v>0</v>
      </c>
    </row>
    <row r="257" spans="2:6" x14ac:dyDescent="0.25">
      <c r="B257" s="152" t="s">
        <v>2721</v>
      </c>
      <c r="C257" s="153" t="s">
        <v>2722</v>
      </c>
      <c r="D257" s="153" t="s">
        <v>2723</v>
      </c>
      <c r="E257" s="152" t="s">
        <v>2086</v>
      </c>
      <c r="F257" s="153">
        <v>20</v>
      </c>
    </row>
    <row r="258" spans="2:6" x14ac:dyDescent="0.25">
      <c r="B258" s="152" t="s">
        <v>2724</v>
      </c>
      <c r="C258" s="153" t="s">
        <v>2725</v>
      </c>
      <c r="D258" s="153" t="s">
        <v>2726</v>
      </c>
      <c r="E258" s="152" t="s">
        <v>2727</v>
      </c>
      <c r="F258" s="153">
        <v>0</v>
      </c>
    </row>
    <row r="259" spans="2:6" x14ac:dyDescent="0.25">
      <c r="B259" s="152" t="s">
        <v>2728</v>
      </c>
      <c r="C259" s="153" t="s">
        <v>2729</v>
      </c>
      <c r="D259" s="153" t="s">
        <v>2730</v>
      </c>
      <c r="E259" s="152" t="s">
        <v>2083</v>
      </c>
      <c r="F259" s="153">
        <v>0</v>
      </c>
    </row>
    <row r="260" spans="2:6" x14ac:dyDescent="0.25">
      <c r="B260" s="152" t="s">
        <v>2731</v>
      </c>
      <c r="C260" s="153" t="s">
        <v>2732</v>
      </c>
      <c r="D260" s="153" t="s">
        <v>2733</v>
      </c>
      <c r="E260" s="152" t="s">
        <v>2083</v>
      </c>
      <c r="F260" s="153">
        <v>0</v>
      </c>
    </row>
    <row r="261" spans="2:6" x14ac:dyDescent="0.25">
      <c r="B261" s="152" t="s">
        <v>2734</v>
      </c>
      <c r="C261" s="153" t="s">
        <v>2735</v>
      </c>
      <c r="D261" s="153" t="s">
        <v>2736</v>
      </c>
      <c r="E261" s="152" t="s">
        <v>2083</v>
      </c>
      <c r="F261" s="153">
        <v>0</v>
      </c>
    </row>
    <row r="262" spans="2:6" x14ac:dyDescent="0.25">
      <c r="B262" s="152" t="s">
        <v>2737</v>
      </c>
      <c r="C262" s="153" t="s">
        <v>2738</v>
      </c>
      <c r="D262" s="153" t="s">
        <v>2739</v>
      </c>
      <c r="E262" s="152" t="s">
        <v>2083</v>
      </c>
      <c r="F262" s="153">
        <v>0</v>
      </c>
    </row>
    <row r="263" spans="2:6" x14ac:dyDescent="0.25">
      <c r="B263" s="152" t="s">
        <v>2740</v>
      </c>
      <c r="C263" s="153" t="s">
        <v>2741</v>
      </c>
      <c r="D263" s="153" t="s">
        <v>2742</v>
      </c>
      <c r="E263" s="152" t="s">
        <v>2083</v>
      </c>
      <c r="F263" s="153">
        <v>0</v>
      </c>
    </row>
    <row r="264" spans="2:6" x14ac:dyDescent="0.25">
      <c r="B264" s="152" t="s">
        <v>2743</v>
      </c>
      <c r="C264" s="153" t="s">
        <v>2744</v>
      </c>
      <c r="D264" s="153" t="s">
        <v>2745</v>
      </c>
      <c r="E264" s="152" t="s">
        <v>2746</v>
      </c>
      <c r="F264" s="153">
        <v>0</v>
      </c>
    </row>
    <row r="265" spans="2:6" x14ac:dyDescent="0.25">
      <c r="B265" s="152" t="s">
        <v>2747</v>
      </c>
      <c r="C265" s="153" t="s">
        <v>2748</v>
      </c>
      <c r="D265" s="153" t="s">
        <v>2749</v>
      </c>
      <c r="E265" s="152" t="s">
        <v>2746</v>
      </c>
      <c r="F265" s="153">
        <v>0</v>
      </c>
    </row>
    <row r="266" spans="2:6" x14ac:dyDescent="0.25">
      <c r="B266" s="152" t="s">
        <v>2750</v>
      </c>
      <c r="C266" s="153" t="s">
        <v>2751</v>
      </c>
      <c r="D266" s="153" t="s">
        <v>2752</v>
      </c>
      <c r="E266" s="152" t="s">
        <v>2083</v>
      </c>
      <c r="F266" s="153">
        <v>0</v>
      </c>
    </row>
    <row r="267" spans="2:6" x14ac:dyDescent="0.25">
      <c r="B267" s="152" t="s">
        <v>2753</v>
      </c>
      <c r="C267" s="153" t="s">
        <v>2754</v>
      </c>
      <c r="D267" s="153" t="s">
        <v>2755</v>
      </c>
      <c r="E267" s="152" t="s">
        <v>2083</v>
      </c>
      <c r="F267" s="153">
        <v>0</v>
      </c>
    </row>
    <row r="268" spans="2:6" x14ac:dyDescent="0.25">
      <c r="B268" s="152" t="s">
        <v>2756</v>
      </c>
      <c r="C268" s="153" t="s">
        <v>2757</v>
      </c>
      <c r="D268" s="153" t="s">
        <v>2758</v>
      </c>
      <c r="E268" s="152" t="s">
        <v>2746</v>
      </c>
      <c r="F268" s="153">
        <v>0</v>
      </c>
    </row>
    <row r="269" spans="2:6" x14ac:dyDescent="0.25">
      <c r="B269" s="152" t="s">
        <v>2759</v>
      </c>
      <c r="C269" s="153" t="s">
        <v>2760</v>
      </c>
      <c r="D269" s="153" t="s">
        <v>2761</v>
      </c>
      <c r="E269" s="152" t="s">
        <v>2746</v>
      </c>
      <c r="F269" s="153">
        <v>0</v>
      </c>
    </row>
    <row r="270" spans="2:6" x14ac:dyDescent="0.25">
      <c r="B270" s="152" t="s">
        <v>2762</v>
      </c>
      <c r="C270" s="153" t="s">
        <v>2763</v>
      </c>
      <c r="D270" s="153" t="s">
        <v>2764</v>
      </c>
      <c r="E270" s="152" t="s">
        <v>2746</v>
      </c>
      <c r="F270" s="153">
        <v>0</v>
      </c>
    </row>
    <row r="271" spans="2:6" x14ac:dyDescent="0.25">
      <c r="B271" s="152" t="s">
        <v>2765</v>
      </c>
      <c r="C271" s="153" t="s">
        <v>2766</v>
      </c>
      <c r="D271" s="153" t="s">
        <v>2767</v>
      </c>
      <c r="E271" s="152" t="s">
        <v>2083</v>
      </c>
      <c r="F271" s="153">
        <v>0</v>
      </c>
    </row>
    <row r="272" spans="2:6" x14ac:dyDescent="0.25">
      <c r="B272" s="152" t="s">
        <v>2768</v>
      </c>
      <c r="C272" s="153" t="s">
        <v>2769</v>
      </c>
      <c r="D272" s="153" t="s">
        <v>2770</v>
      </c>
      <c r="E272" s="152" t="s">
        <v>2746</v>
      </c>
      <c r="F272" s="153">
        <v>0</v>
      </c>
    </row>
    <row r="273" spans="2:6" x14ac:dyDescent="0.25">
      <c r="B273" s="152" t="s">
        <v>2771</v>
      </c>
      <c r="C273" s="153" t="s">
        <v>2772</v>
      </c>
      <c r="D273" s="153" t="s">
        <v>2773</v>
      </c>
      <c r="E273" s="152" t="s">
        <v>2083</v>
      </c>
      <c r="F273" s="153">
        <v>0</v>
      </c>
    </row>
    <row r="274" spans="2:6" x14ac:dyDescent="0.25">
      <c r="B274" s="155" t="s">
        <v>2774</v>
      </c>
      <c r="C274" s="156" t="s">
        <v>2775</v>
      </c>
      <c r="D274" s="156" t="s">
        <v>2776</v>
      </c>
      <c r="E274" s="152" t="s">
        <v>2746</v>
      </c>
      <c r="F274" s="153">
        <v>0</v>
      </c>
    </row>
    <row r="275" spans="2:6" x14ac:dyDescent="0.25">
      <c r="B275" s="152" t="s">
        <v>2777</v>
      </c>
      <c r="C275" s="153" t="s">
        <v>2778</v>
      </c>
      <c r="D275" s="153" t="s">
        <v>2779</v>
      </c>
      <c r="E275" s="152" t="s">
        <v>2126</v>
      </c>
      <c r="F275" s="153">
        <v>0</v>
      </c>
    </row>
    <row r="276" spans="2:6" x14ac:dyDescent="0.25">
      <c r="B276" s="152" t="s">
        <v>2780</v>
      </c>
      <c r="C276" s="153" t="s">
        <v>2781</v>
      </c>
      <c r="D276" s="153" t="s">
        <v>2782</v>
      </c>
      <c r="E276" s="152" t="s">
        <v>2126</v>
      </c>
      <c r="F276" s="153">
        <v>0</v>
      </c>
    </row>
    <row r="277" spans="2:6" x14ac:dyDescent="0.25">
      <c r="B277" s="152" t="s">
        <v>2783</v>
      </c>
      <c r="C277" s="153" t="s">
        <v>2784</v>
      </c>
      <c r="D277" s="153" t="s">
        <v>2785</v>
      </c>
      <c r="E277" s="152" t="s">
        <v>2126</v>
      </c>
      <c r="F277" s="153">
        <v>0</v>
      </c>
    </row>
    <row r="278" spans="2:6" x14ac:dyDescent="0.25">
      <c r="B278" s="152" t="s">
        <v>2786</v>
      </c>
      <c r="C278" s="153" t="s">
        <v>2787</v>
      </c>
      <c r="D278" s="153" t="s">
        <v>2788</v>
      </c>
      <c r="E278" s="152" t="s">
        <v>2126</v>
      </c>
      <c r="F278" s="153">
        <v>0</v>
      </c>
    </row>
    <row r="279" spans="2:6" x14ac:dyDescent="0.25">
      <c r="B279" s="152" t="s">
        <v>2789</v>
      </c>
      <c r="C279" s="153" t="s">
        <v>2790</v>
      </c>
      <c r="D279" s="153">
        <v>0</v>
      </c>
      <c r="E279" s="152" t="s">
        <v>2126</v>
      </c>
      <c r="F279" s="153">
        <v>0</v>
      </c>
    </row>
    <row r="280" spans="2:6" x14ac:dyDescent="0.25">
      <c r="B280" s="152" t="s">
        <v>2791</v>
      </c>
      <c r="C280" s="153" t="s">
        <v>2792</v>
      </c>
      <c r="D280" s="153" t="s">
        <v>2793</v>
      </c>
      <c r="E280" s="152" t="s">
        <v>2126</v>
      </c>
      <c r="F280" s="153">
        <v>0</v>
      </c>
    </row>
    <row r="281" spans="2:6" x14ac:dyDescent="0.25">
      <c r="B281" s="152" t="s">
        <v>2794</v>
      </c>
      <c r="C281" s="153" t="s">
        <v>2795</v>
      </c>
      <c r="D281" s="153" t="s">
        <v>2796</v>
      </c>
      <c r="E281" s="152" t="s">
        <v>2126</v>
      </c>
      <c r="F281" s="153">
        <v>0</v>
      </c>
    </row>
    <row r="282" spans="2:6" x14ac:dyDescent="0.25">
      <c r="B282" s="152" t="s">
        <v>2797</v>
      </c>
      <c r="C282" s="153" t="s">
        <v>2798</v>
      </c>
      <c r="D282" s="153" t="s">
        <v>2799</v>
      </c>
      <c r="E282" s="152" t="s">
        <v>2126</v>
      </c>
      <c r="F282" s="153">
        <v>0</v>
      </c>
    </row>
    <row r="283" spans="2:6" x14ac:dyDescent="0.25">
      <c r="B283" s="152" t="s">
        <v>2800</v>
      </c>
      <c r="C283" s="153" t="s">
        <v>2801</v>
      </c>
      <c r="D283" s="153" t="s">
        <v>2802</v>
      </c>
      <c r="E283" s="152" t="s">
        <v>2126</v>
      </c>
      <c r="F283" s="153">
        <v>0</v>
      </c>
    </row>
    <row r="284" spans="2:6" x14ac:dyDescent="0.25">
      <c r="B284" s="152" t="s">
        <v>2803</v>
      </c>
      <c r="C284" s="153" t="s">
        <v>2804</v>
      </c>
      <c r="D284" s="153" t="s">
        <v>2805</v>
      </c>
      <c r="E284" s="152" t="s">
        <v>2126</v>
      </c>
      <c r="F284" s="153">
        <v>0</v>
      </c>
    </row>
    <row r="285" spans="2:6" x14ac:dyDescent="0.25">
      <c r="B285" s="152" t="s">
        <v>2806</v>
      </c>
      <c r="C285" s="153" t="s">
        <v>2807</v>
      </c>
      <c r="D285" s="153" t="s">
        <v>2808</v>
      </c>
      <c r="E285" s="152" t="s">
        <v>2126</v>
      </c>
      <c r="F285" s="153">
        <v>0</v>
      </c>
    </row>
    <row r="286" spans="2:6" x14ac:dyDescent="0.25">
      <c r="B286" s="152" t="s">
        <v>2809</v>
      </c>
      <c r="C286" s="153" t="s">
        <v>2810</v>
      </c>
      <c r="D286" s="153" t="s">
        <v>2811</v>
      </c>
      <c r="E286" s="152" t="s">
        <v>2126</v>
      </c>
      <c r="F286" s="153">
        <v>0</v>
      </c>
    </row>
    <row r="287" spans="2:6" x14ac:dyDescent="0.25">
      <c r="B287" s="152" t="s">
        <v>2812</v>
      </c>
      <c r="C287" s="153" t="s">
        <v>2813</v>
      </c>
      <c r="D287" s="153" t="s">
        <v>2814</v>
      </c>
      <c r="E287" s="152" t="s">
        <v>2126</v>
      </c>
      <c r="F287" s="153">
        <v>0</v>
      </c>
    </row>
    <row r="288" spans="2:6" x14ac:dyDescent="0.25">
      <c r="B288" s="152" t="s">
        <v>2815</v>
      </c>
      <c r="C288" s="153" t="s">
        <v>2816</v>
      </c>
      <c r="D288" s="153">
        <v>0</v>
      </c>
      <c r="E288" s="152" t="s">
        <v>2126</v>
      </c>
      <c r="F288" s="153">
        <v>0</v>
      </c>
    </row>
    <row r="289" spans="2:6" x14ac:dyDescent="0.25">
      <c r="B289" s="152" t="s">
        <v>2817</v>
      </c>
      <c r="C289" s="153" t="s">
        <v>2818</v>
      </c>
      <c r="D289" s="153">
        <v>0</v>
      </c>
      <c r="E289" s="152" t="s">
        <v>2126</v>
      </c>
      <c r="F289" s="153">
        <v>0</v>
      </c>
    </row>
    <row r="290" spans="2:6" x14ac:dyDescent="0.25">
      <c r="B290" s="152" t="s">
        <v>2819</v>
      </c>
      <c r="C290" s="153" t="s">
        <v>2820</v>
      </c>
      <c r="D290" s="153" t="s">
        <v>2821</v>
      </c>
      <c r="E290" s="152" t="s">
        <v>2126</v>
      </c>
      <c r="F290" s="153">
        <v>0</v>
      </c>
    </row>
    <row r="291" spans="2:6" x14ac:dyDescent="0.25">
      <c r="B291" s="152" t="s">
        <v>2822</v>
      </c>
      <c r="C291" s="153" t="s">
        <v>2823</v>
      </c>
      <c r="D291" s="153" t="s">
        <v>2824</v>
      </c>
      <c r="E291" s="152" t="s">
        <v>2126</v>
      </c>
      <c r="F291" s="153">
        <v>0</v>
      </c>
    </row>
    <row r="292" spans="2:6" x14ac:dyDescent="0.25">
      <c r="B292" s="152" t="s">
        <v>2825</v>
      </c>
      <c r="C292" s="153" t="s">
        <v>2826</v>
      </c>
      <c r="D292" s="153" t="s">
        <v>2827</v>
      </c>
      <c r="E292" s="152" t="s">
        <v>2126</v>
      </c>
      <c r="F292" s="153">
        <v>0</v>
      </c>
    </row>
    <row r="293" spans="2:6" x14ac:dyDescent="0.25">
      <c r="B293" s="152" t="s">
        <v>2828</v>
      </c>
      <c r="C293" s="153" t="s">
        <v>2829</v>
      </c>
      <c r="D293" s="153" t="s">
        <v>2830</v>
      </c>
      <c r="E293" s="152" t="s">
        <v>2126</v>
      </c>
      <c r="F293" s="153">
        <v>0</v>
      </c>
    </row>
    <row r="294" spans="2:6" x14ac:dyDescent="0.25">
      <c r="B294" s="152" t="s">
        <v>2831</v>
      </c>
      <c r="C294" s="153" t="s">
        <v>2832</v>
      </c>
      <c r="D294" s="153" t="s">
        <v>2833</v>
      </c>
      <c r="E294" s="152" t="s">
        <v>2126</v>
      </c>
      <c r="F294" s="153">
        <v>0</v>
      </c>
    </row>
    <row r="295" spans="2:6" x14ac:dyDescent="0.25">
      <c r="B295" s="152" t="s">
        <v>2834</v>
      </c>
      <c r="C295" s="153" t="s">
        <v>2835</v>
      </c>
      <c r="D295" s="153" t="s">
        <v>2836</v>
      </c>
      <c r="E295" s="152" t="s">
        <v>2126</v>
      </c>
      <c r="F295" s="153">
        <v>0</v>
      </c>
    </row>
    <row r="296" spans="2:6" x14ac:dyDescent="0.25">
      <c r="B296" s="152" t="s">
        <v>2837</v>
      </c>
      <c r="C296" s="153" t="s">
        <v>2838</v>
      </c>
      <c r="D296" s="153" t="s">
        <v>2839</v>
      </c>
      <c r="E296" s="152" t="s">
        <v>2126</v>
      </c>
      <c r="F296" s="153">
        <v>0</v>
      </c>
    </row>
    <row r="297" spans="2:6" x14ac:dyDescent="0.25">
      <c r="B297" s="152" t="s">
        <v>2840</v>
      </c>
      <c r="C297" s="153" t="s">
        <v>2841</v>
      </c>
      <c r="D297" s="153" t="s">
        <v>2842</v>
      </c>
      <c r="E297" s="152" t="s">
        <v>2126</v>
      </c>
      <c r="F297" s="153">
        <v>0</v>
      </c>
    </row>
    <row r="298" spans="2:6" x14ac:dyDescent="0.25">
      <c r="B298" s="152" t="s">
        <v>2843</v>
      </c>
      <c r="C298" s="153" t="s">
        <v>2844</v>
      </c>
      <c r="D298" s="153" t="s">
        <v>2845</v>
      </c>
      <c r="E298" s="152" t="s">
        <v>2126</v>
      </c>
      <c r="F298" s="153">
        <v>0</v>
      </c>
    </row>
    <row r="299" spans="2:6" x14ac:dyDescent="0.25">
      <c r="B299" s="152" t="s">
        <v>2846</v>
      </c>
      <c r="C299" s="153" t="s">
        <v>2847</v>
      </c>
      <c r="D299" s="153" t="s">
        <v>2848</v>
      </c>
      <c r="E299" s="152" t="s">
        <v>2126</v>
      </c>
      <c r="F299" s="153">
        <v>0</v>
      </c>
    </row>
    <row r="300" spans="2:6" x14ac:dyDescent="0.25">
      <c r="B300" s="152" t="s">
        <v>2849</v>
      </c>
      <c r="C300" s="153" t="s">
        <v>2850</v>
      </c>
      <c r="D300" s="153" t="s">
        <v>2851</v>
      </c>
      <c r="E300" s="152" t="s">
        <v>2126</v>
      </c>
      <c r="F300" s="153">
        <v>0</v>
      </c>
    </row>
    <row r="301" spans="2:6" x14ac:dyDescent="0.25">
      <c r="B301" s="152" t="s">
        <v>2852</v>
      </c>
      <c r="C301" s="153" t="s">
        <v>2853</v>
      </c>
      <c r="D301" s="153" t="s">
        <v>2854</v>
      </c>
      <c r="E301" s="152" t="s">
        <v>2126</v>
      </c>
      <c r="F301" s="153">
        <v>0</v>
      </c>
    </row>
    <row r="302" spans="2:6" x14ac:dyDescent="0.25">
      <c r="B302" s="152" t="s">
        <v>2855</v>
      </c>
      <c r="C302" s="153" t="s">
        <v>2856</v>
      </c>
      <c r="D302" s="153" t="s">
        <v>2857</v>
      </c>
      <c r="E302" s="152" t="s">
        <v>2126</v>
      </c>
      <c r="F302" s="153">
        <v>0</v>
      </c>
    </row>
    <row r="303" spans="2:6" x14ac:dyDescent="0.25">
      <c r="B303" s="152" t="s">
        <v>2858</v>
      </c>
      <c r="C303" s="153" t="s">
        <v>2859</v>
      </c>
      <c r="D303" s="153" t="s">
        <v>2860</v>
      </c>
      <c r="E303" s="152" t="s">
        <v>2126</v>
      </c>
      <c r="F303" s="153">
        <v>0</v>
      </c>
    </row>
    <row r="304" spans="2:6" x14ac:dyDescent="0.25">
      <c r="B304" s="152" t="s">
        <v>2861</v>
      </c>
      <c r="C304" s="153" t="s">
        <v>2862</v>
      </c>
      <c r="D304" s="153" t="s">
        <v>2863</v>
      </c>
      <c r="E304" s="152" t="s">
        <v>2126</v>
      </c>
      <c r="F304" s="153">
        <v>0</v>
      </c>
    </row>
    <row r="305" spans="2:6" x14ac:dyDescent="0.25">
      <c r="B305" s="152" t="s">
        <v>2864</v>
      </c>
      <c r="C305" s="153" t="s">
        <v>2865</v>
      </c>
      <c r="D305" s="153" t="s">
        <v>2866</v>
      </c>
      <c r="E305" s="152" t="s">
        <v>2126</v>
      </c>
      <c r="F305" s="153">
        <v>0</v>
      </c>
    </row>
    <row r="306" spans="2:6" x14ac:dyDescent="0.25">
      <c r="B306" s="152" t="s">
        <v>2867</v>
      </c>
      <c r="C306" s="153" t="s">
        <v>2868</v>
      </c>
      <c r="D306" s="153">
        <v>0</v>
      </c>
      <c r="E306" s="152" t="s">
        <v>2126</v>
      </c>
      <c r="F306" s="153">
        <v>0</v>
      </c>
    </row>
    <row r="307" spans="2:6" x14ac:dyDescent="0.25">
      <c r="B307" s="152" t="s">
        <v>2869</v>
      </c>
      <c r="C307" s="153" t="s">
        <v>2870</v>
      </c>
      <c r="D307" s="153" t="s">
        <v>2871</v>
      </c>
      <c r="E307" s="152" t="s">
        <v>2126</v>
      </c>
      <c r="F307" s="153">
        <v>0</v>
      </c>
    </row>
    <row r="308" spans="2:6" x14ac:dyDescent="0.25">
      <c r="B308" s="152" t="s">
        <v>2872</v>
      </c>
      <c r="C308" s="153" t="s">
        <v>2873</v>
      </c>
      <c r="D308" s="153" t="s">
        <v>2874</v>
      </c>
      <c r="E308" s="152" t="s">
        <v>2126</v>
      </c>
      <c r="F308" s="153">
        <v>0</v>
      </c>
    </row>
    <row r="309" spans="2:6" x14ac:dyDescent="0.25">
      <c r="B309" s="152" t="s">
        <v>2875</v>
      </c>
      <c r="C309" s="153" t="s">
        <v>2876</v>
      </c>
      <c r="D309" s="153" t="s">
        <v>2877</v>
      </c>
      <c r="E309" s="152" t="s">
        <v>2126</v>
      </c>
      <c r="F309" s="153">
        <v>0</v>
      </c>
    </row>
    <row r="310" spans="2:6" x14ac:dyDescent="0.25">
      <c r="B310" s="152" t="s">
        <v>2878</v>
      </c>
      <c r="C310" s="153" t="s">
        <v>2879</v>
      </c>
      <c r="D310" s="153" t="s">
        <v>2880</v>
      </c>
      <c r="E310" s="152" t="s">
        <v>2126</v>
      </c>
      <c r="F310" s="153">
        <v>0</v>
      </c>
    </row>
    <row r="311" spans="2:6" x14ac:dyDescent="0.25">
      <c r="B311" s="152" t="s">
        <v>2881</v>
      </c>
      <c r="C311" s="153" t="s">
        <v>2882</v>
      </c>
      <c r="D311" s="153" t="s">
        <v>2883</v>
      </c>
      <c r="E311" s="152" t="s">
        <v>2126</v>
      </c>
      <c r="F311" s="153">
        <v>0</v>
      </c>
    </row>
    <row r="312" spans="2:6" x14ac:dyDescent="0.25">
      <c r="B312" s="152" t="s">
        <v>2884</v>
      </c>
      <c r="C312" s="153" t="s">
        <v>2885</v>
      </c>
      <c r="D312" s="153" t="s">
        <v>2886</v>
      </c>
      <c r="E312" s="152" t="s">
        <v>2126</v>
      </c>
      <c r="F312" s="153">
        <v>0</v>
      </c>
    </row>
    <row r="313" spans="2:6" x14ac:dyDescent="0.25">
      <c r="B313" s="152" t="s">
        <v>2887</v>
      </c>
      <c r="C313" s="153" t="s">
        <v>2888</v>
      </c>
      <c r="D313" s="153" t="s">
        <v>2889</v>
      </c>
      <c r="E313" s="152" t="s">
        <v>2126</v>
      </c>
      <c r="F313" s="153">
        <v>0</v>
      </c>
    </row>
    <row r="314" spans="2:6" x14ac:dyDescent="0.25">
      <c r="B314" s="152" t="s">
        <v>2890</v>
      </c>
      <c r="C314" s="153" t="s">
        <v>2891</v>
      </c>
      <c r="D314" s="153" t="s">
        <v>2892</v>
      </c>
      <c r="E314" s="152" t="s">
        <v>2126</v>
      </c>
      <c r="F314" s="153">
        <v>0</v>
      </c>
    </row>
    <row r="315" spans="2:6" x14ac:dyDescent="0.25">
      <c r="B315" s="152" t="s">
        <v>2893</v>
      </c>
      <c r="C315" s="153" t="s">
        <v>2894</v>
      </c>
      <c r="D315" s="153" t="s">
        <v>2895</v>
      </c>
      <c r="E315" s="152" t="s">
        <v>2126</v>
      </c>
      <c r="F315" s="153">
        <v>0</v>
      </c>
    </row>
    <row r="316" spans="2:6" x14ac:dyDescent="0.25">
      <c r="B316" s="152" t="s">
        <v>2896</v>
      </c>
      <c r="C316" s="153" t="s">
        <v>2897</v>
      </c>
      <c r="D316" s="153" t="s">
        <v>2898</v>
      </c>
      <c r="E316" s="152" t="s">
        <v>2126</v>
      </c>
      <c r="F316" s="153">
        <v>0</v>
      </c>
    </row>
    <row r="317" spans="2:6" x14ac:dyDescent="0.25">
      <c r="B317" s="155" t="s">
        <v>695</v>
      </c>
      <c r="C317" s="156" t="s">
        <v>2899</v>
      </c>
      <c r="D317" s="156" t="s">
        <v>2900</v>
      </c>
      <c r="E317" s="152" t="s">
        <v>2135</v>
      </c>
      <c r="F317" s="153">
        <v>50</v>
      </c>
    </row>
    <row r="318" spans="2:6" x14ac:dyDescent="0.25">
      <c r="B318" s="152" t="s">
        <v>1619</v>
      </c>
      <c r="C318" s="153" t="s">
        <v>2901</v>
      </c>
      <c r="D318" s="153" t="s">
        <v>2902</v>
      </c>
      <c r="E318" s="152" t="s">
        <v>2086</v>
      </c>
      <c r="F318" s="154">
        <v>24000</v>
      </c>
    </row>
    <row r="319" spans="2:6" x14ac:dyDescent="0.25">
      <c r="B319" s="152" t="s">
        <v>1621</v>
      </c>
      <c r="C319" s="153" t="s">
        <v>2903</v>
      </c>
      <c r="D319" s="153" t="s">
        <v>2904</v>
      </c>
      <c r="E319" s="152" t="s">
        <v>2083</v>
      </c>
      <c r="F319" s="153">
        <v>0</v>
      </c>
    </row>
    <row r="320" spans="2:6" x14ac:dyDescent="0.25">
      <c r="B320" s="152" t="s">
        <v>1266</v>
      </c>
      <c r="C320" s="153" t="s">
        <v>2905</v>
      </c>
      <c r="D320" s="153" t="s">
        <v>2906</v>
      </c>
      <c r="E320" s="152" t="s">
        <v>2086</v>
      </c>
      <c r="F320" s="154">
        <v>88400</v>
      </c>
    </row>
    <row r="321" spans="2:6" x14ac:dyDescent="0.25">
      <c r="B321" s="152" t="s">
        <v>1628</v>
      </c>
      <c r="C321" s="153" t="s">
        <v>2907</v>
      </c>
      <c r="D321" s="153" t="s">
        <v>2908</v>
      </c>
      <c r="E321" s="152" t="s">
        <v>2083</v>
      </c>
      <c r="F321" s="153">
        <v>0</v>
      </c>
    </row>
    <row r="322" spans="2:6" x14ac:dyDescent="0.25">
      <c r="B322" s="152" t="s">
        <v>974</v>
      </c>
      <c r="C322" s="153" t="s">
        <v>2909</v>
      </c>
      <c r="D322" s="153" t="s">
        <v>2910</v>
      </c>
      <c r="E322" s="152" t="s">
        <v>2086</v>
      </c>
      <c r="F322" s="154">
        <v>16000</v>
      </c>
    </row>
    <row r="323" spans="2:6" x14ac:dyDescent="0.25">
      <c r="B323" s="152" t="s">
        <v>956</v>
      </c>
      <c r="C323" s="153" t="s">
        <v>2911</v>
      </c>
      <c r="D323" s="153" t="s">
        <v>2912</v>
      </c>
      <c r="E323" s="152" t="s">
        <v>2083</v>
      </c>
      <c r="F323" s="153">
        <v>0</v>
      </c>
    </row>
    <row r="324" spans="2:6" x14ac:dyDescent="0.25">
      <c r="B324" s="155" t="s">
        <v>2054</v>
      </c>
      <c r="C324" s="156" t="s">
        <v>2913</v>
      </c>
      <c r="D324" s="156" t="s">
        <v>2914</v>
      </c>
      <c r="E324" s="152" t="s">
        <v>2083</v>
      </c>
      <c r="F324" s="153">
        <v>0</v>
      </c>
    </row>
    <row r="325" spans="2:6" x14ac:dyDescent="0.25">
      <c r="B325" s="155" t="s">
        <v>2052</v>
      </c>
      <c r="C325" s="156" t="s">
        <v>2915</v>
      </c>
      <c r="D325" s="156" t="s">
        <v>2916</v>
      </c>
      <c r="E325" s="152" t="s">
        <v>2083</v>
      </c>
      <c r="F325" s="153">
        <v>0</v>
      </c>
    </row>
    <row r="326" spans="2:6" x14ac:dyDescent="0.25">
      <c r="B326" s="152" t="s">
        <v>2917</v>
      </c>
      <c r="C326" s="153" t="s">
        <v>2918</v>
      </c>
      <c r="D326" s="153" t="s">
        <v>2919</v>
      </c>
      <c r="E326" s="152" t="s">
        <v>2083</v>
      </c>
      <c r="F326" s="153">
        <v>0</v>
      </c>
    </row>
    <row r="327" spans="2:6" x14ac:dyDescent="0.25">
      <c r="B327" s="152" t="s">
        <v>1626</v>
      </c>
      <c r="C327" s="153" t="s">
        <v>2920</v>
      </c>
      <c r="D327" s="153" t="s">
        <v>2921</v>
      </c>
      <c r="E327" s="152" t="s">
        <v>2086</v>
      </c>
      <c r="F327" s="154">
        <v>50500</v>
      </c>
    </row>
    <row r="328" spans="2:6" x14ac:dyDescent="0.25">
      <c r="B328" s="152" t="s">
        <v>1363</v>
      </c>
      <c r="C328" s="153" t="s">
        <v>2922</v>
      </c>
      <c r="D328" s="153" t="s">
        <v>2923</v>
      </c>
      <c r="E328" s="152" t="s">
        <v>2086</v>
      </c>
      <c r="F328" s="154">
        <v>5000</v>
      </c>
    </row>
    <row r="329" spans="2:6" x14ac:dyDescent="0.25">
      <c r="B329" s="152" t="s">
        <v>1339</v>
      </c>
      <c r="C329" s="153" t="s">
        <v>2924</v>
      </c>
      <c r="D329" s="153" t="s">
        <v>2925</v>
      </c>
      <c r="E329" s="152" t="s">
        <v>2086</v>
      </c>
      <c r="F329" s="154">
        <v>8500</v>
      </c>
    </row>
    <row r="330" spans="2:6" x14ac:dyDescent="0.25">
      <c r="B330" s="152" t="s">
        <v>1371</v>
      </c>
      <c r="C330" s="153" t="s">
        <v>2926</v>
      </c>
      <c r="D330" s="153" t="s">
        <v>2927</v>
      </c>
      <c r="E330" s="152" t="s">
        <v>2086</v>
      </c>
      <c r="F330" s="154">
        <v>10500</v>
      </c>
    </row>
    <row r="331" spans="2:6" x14ac:dyDescent="0.25">
      <c r="B331" s="152" t="s">
        <v>1117</v>
      </c>
      <c r="C331" s="153" t="s">
        <v>2928</v>
      </c>
      <c r="D331" s="153" t="s">
        <v>2929</v>
      </c>
      <c r="E331" s="152" t="s">
        <v>2086</v>
      </c>
      <c r="F331" s="154">
        <v>372400</v>
      </c>
    </row>
    <row r="332" spans="2:6" x14ac:dyDescent="0.25">
      <c r="B332" s="152" t="s">
        <v>2930</v>
      </c>
      <c r="C332" s="153" t="s">
        <v>2931</v>
      </c>
      <c r="D332" s="153" t="s">
        <v>2932</v>
      </c>
      <c r="E332" s="152" t="s">
        <v>2086</v>
      </c>
      <c r="F332" s="154">
        <v>278400</v>
      </c>
    </row>
    <row r="333" spans="2:6" x14ac:dyDescent="0.25">
      <c r="B333" s="152" t="s">
        <v>774</v>
      </c>
      <c r="C333" s="153" t="s">
        <v>2933</v>
      </c>
      <c r="D333" s="153" t="s">
        <v>2934</v>
      </c>
      <c r="E333" s="152" t="s">
        <v>2086</v>
      </c>
      <c r="F333" s="154">
        <v>14000</v>
      </c>
    </row>
    <row r="334" spans="2:6" x14ac:dyDescent="0.25">
      <c r="B334" s="155" t="s">
        <v>2935</v>
      </c>
      <c r="C334" s="156" t="s">
        <v>2936</v>
      </c>
      <c r="D334" s="156" t="s">
        <v>2937</v>
      </c>
      <c r="E334" s="152" t="s">
        <v>2083</v>
      </c>
      <c r="F334" s="153">
        <v>0</v>
      </c>
    </row>
    <row r="335" spans="2:6" x14ac:dyDescent="0.25">
      <c r="B335" s="152" t="s">
        <v>224</v>
      </c>
      <c r="C335" s="153" t="s">
        <v>2938</v>
      </c>
      <c r="D335" s="153" t="s">
        <v>2939</v>
      </c>
      <c r="E335" s="152" t="s">
        <v>2086</v>
      </c>
      <c r="F335" s="153">
        <v>170</v>
      </c>
    </row>
    <row r="336" spans="2:6" x14ac:dyDescent="0.25">
      <c r="B336" s="152" t="s">
        <v>206</v>
      </c>
      <c r="C336" s="153" t="s">
        <v>2940</v>
      </c>
      <c r="D336" s="153" t="s">
        <v>2941</v>
      </c>
      <c r="E336" s="152" t="s">
        <v>2083</v>
      </c>
      <c r="F336" s="153">
        <v>0</v>
      </c>
    </row>
    <row r="337" spans="2:6" x14ac:dyDescent="0.25">
      <c r="B337" s="152" t="s">
        <v>2942</v>
      </c>
      <c r="C337" s="153" t="s">
        <v>2943</v>
      </c>
      <c r="D337" s="153" t="s">
        <v>2944</v>
      </c>
      <c r="E337" s="152" t="s">
        <v>2083</v>
      </c>
      <c r="F337" s="153">
        <v>0</v>
      </c>
    </row>
    <row r="338" spans="2:6" x14ac:dyDescent="0.25">
      <c r="B338" s="152" t="s">
        <v>1205</v>
      </c>
      <c r="C338" s="153" t="s">
        <v>2945</v>
      </c>
      <c r="D338" s="153" t="s">
        <v>2946</v>
      </c>
      <c r="E338" s="152" t="s">
        <v>2083</v>
      </c>
      <c r="F338" s="153">
        <v>0</v>
      </c>
    </row>
    <row r="339" spans="2:6" x14ac:dyDescent="0.25">
      <c r="B339" s="152" t="s">
        <v>802</v>
      </c>
      <c r="C339" s="153" t="s">
        <v>2947</v>
      </c>
      <c r="D339" s="153" t="s">
        <v>2948</v>
      </c>
      <c r="E339" s="152" t="s">
        <v>2086</v>
      </c>
      <c r="F339" s="154">
        <v>92970</v>
      </c>
    </row>
    <row r="340" spans="2:6" x14ac:dyDescent="0.25">
      <c r="B340" s="152" t="s">
        <v>31</v>
      </c>
      <c r="C340" s="153" t="s">
        <v>2949</v>
      </c>
      <c r="D340" s="153" t="s">
        <v>2950</v>
      </c>
      <c r="E340" s="152" t="s">
        <v>2083</v>
      </c>
      <c r="F340" s="153">
        <v>0</v>
      </c>
    </row>
    <row r="341" spans="2:6" x14ac:dyDescent="0.25">
      <c r="B341" s="152" t="s">
        <v>848</v>
      </c>
      <c r="C341" s="153" t="s">
        <v>2951</v>
      </c>
      <c r="D341" s="153" t="s">
        <v>2952</v>
      </c>
      <c r="E341" s="152" t="s">
        <v>2086</v>
      </c>
      <c r="F341" s="154">
        <v>16310</v>
      </c>
    </row>
    <row r="342" spans="2:6" x14ac:dyDescent="0.25">
      <c r="B342" s="152" t="s">
        <v>909</v>
      </c>
      <c r="C342" s="153" t="s">
        <v>2953</v>
      </c>
      <c r="D342" s="153" t="s">
        <v>2954</v>
      </c>
      <c r="E342" s="152" t="s">
        <v>2086</v>
      </c>
      <c r="F342" s="154">
        <v>38440</v>
      </c>
    </row>
    <row r="343" spans="2:6" x14ac:dyDescent="0.25">
      <c r="B343" s="152" t="s">
        <v>2955</v>
      </c>
      <c r="C343" s="153" t="s">
        <v>2956</v>
      </c>
      <c r="D343" s="153" t="s">
        <v>2957</v>
      </c>
      <c r="E343" s="152" t="s">
        <v>2086</v>
      </c>
      <c r="F343" s="154">
        <v>106000</v>
      </c>
    </row>
    <row r="344" spans="2:6" x14ac:dyDescent="0.25">
      <c r="B344" s="152" t="s">
        <v>1474</v>
      </c>
      <c r="C344" s="153" t="s">
        <v>2958</v>
      </c>
      <c r="D344" s="153" t="s">
        <v>2959</v>
      </c>
      <c r="E344" s="152" t="s">
        <v>2086</v>
      </c>
      <c r="F344" s="154">
        <v>9200</v>
      </c>
    </row>
    <row r="345" spans="2:6" x14ac:dyDescent="0.25">
      <c r="B345" s="152" t="s">
        <v>1084</v>
      </c>
      <c r="C345" s="153" t="s">
        <v>2960</v>
      </c>
      <c r="D345" s="153" t="s">
        <v>2961</v>
      </c>
      <c r="E345" s="152" t="s">
        <v>2086</v>
      </c>
      <c r="F345" s="154">
        <v>15000</v>
      </c>
    </row>
    <row r="346" spans="2:6" x14ac:dyDescent="0.25">
      <c r="B346" s="152" t="s">
        <v>2962</v>
      </c>
      <c r="C346" s="153" t="s">
        <v>2963</v>
      </c>
      <c r="D346" s="153" t="s">
        <v>2964</v>
      </c>
      <c r="E346" s="152" t="s">
        <v>2083</v>
      </c>
      <c r="F346" s="153">
        <v>0</v>
      </c>
    </row>
    <row r="347" spans="2:6" x14ac:dyDescent="0.25">
      <c r="B347" s="152" t="s">
        <v>953</v>
      </c>
      <c r="C347" s="153" t="s">
        <v>2965</v>
      </c>
      <c r="D347" s="153" t="s">
        <v>2966</v>
      </c>
      <c r="E347" s="152" t="s">
        <v>2086</v>
      </c>
      <c r="F347" s="154">
        <v>32000</v>
      </c>
    </row>
    <row r="348" spans="2:6" x14ac:dyDescent="0.25">
      <c r="B348" s="152" t="s">
        <v>1423</v>
      </c>
      <c r="C348" s="153" t="s">
        <v>2967</v>
      </c>
      <c r="D348" s="153" t="s">
        <v>2968</v>
      </c>
      <c r="E348" s="152" t="s">
        <v>2086</v>
      </c>
      <c r="F348" s="154">
        <v>1190</v>
      </c>
    </row>
    <row r="349" spans="2:6" x14ac:dyDescent="0.25">
      <c r="B349" s="152" t="s">
        <v>2969</v>
      </c>
      <c r="C349" s="153" t="s">
        <v>2970</v>
      </c>
      <c r="D349" s="153" t="s">
        <v>2971</v>
      </c>
      <c r="E349" s="152" t="s">
        <v>2086</v>
      </c>
      <c r="F349" s="154">
        <v>45000</v>
      </c>
    </row>
    <row r="350" spans="2:6" x14ac:dyDescent="0.25">
      <c r="B350" s="155" t="s">
        <v>2972</v>
      </c>
      <c r="C350" s="156" t="s">
        <v>2973</v>
      </c>
      <c r="D350" s="156" t="s">
        <v>2974</v>
      </c>
      <c r="E350" s="152" t="s">
        <v>2083</v>
      </c>
      <c r="F350" s="153">
        <v>0</v>
      </c>
    </row>
    <row r="351" spans="2:6" x14ac:dyDescent="0.25">
      <c r="B351" s="152" t="s">
        <v>1240</v>
      </c>
      <c r="C351" s="153" t="s">
        <v>2975</v>
      </c>
      <c r="D351" s="153" t="s">
        <v>2976</v>
      </c>
      <c r="E351" s="152" t="s">
        <v>2086</v>
      </c>
      <c r="F351" s="154">
        <v>309400</v>
      </c>
    </row>
    <row r="352" spans="2:6" x14ac:dyDescent="0.25">
      <c r="B352" s="152" t="s">
        <v>1885</v>
      </c>
      <c r="C352" s="153" t="s">
        <v>2977</v>
      </c>
      <c r="D352" s="153" t="s">
        <v>2978</v>
      </c>
      <c r="E352" s="152" t="s">
        <v>2086</v>
      </c>
      <c r="F352" s="154">
        <v>3720</v>
      </c>
    </row>
    <row r="353" spans="2:6" x14ac:dyDescent="0.25">
      <c r="B353" s="152" t="s">
        <v>1873</v>
      </c>
      <c r="C353" s="153" t="s">
        <v>2979</v>
      </c>
      <c r="D353" s="153" t="s">
        <v>2980</v>
      </c>
      <c r="E353" s="152" t="s">
        <v>2086</v>
      </c>
      <c r="F353" s="154">
        <v>13500</v>
      </c>
    </row>
    <row r="354" spans="2:6" x14ac:dyDescent="0.25">
      <c r="B354" s="152" t="s">
        <v>1183</v>
      </c>
      <c r="C354" s="153" t="s">
        <v>2981</v>
      </c>
      <c r="D354" s="153" t="s">
        <v>2982</v>
      </c>
      <c r="E354" s="152" t="s">
        <v>2086</v>
      </c>
      <c r="F354" s="154">
        <v>51000</v>
      </c>
    </row>
    <row r="355" spans="2:6" x14ac:dyDescent="0.25">
      <c r="B355" s="152" t="s">
        <v>1866</v>
      </c>
      <c r="C355" s="153" t="s">
        <v>2983</v>
      </c>
      <c r="D355" s="153" t="s">
        <v>2984</v>
      </c>
      <c r="E355" s="152" t="s">
        <v>2086</v>
      </c>
      <c r="F355" s="153">
        <v>400</v>
      </c>
    </row>
    <row r="356" spans="2:6" x14ac:dyDescent="0.25">
      <c r="B356" s="155" t="s">
        <v>2985</v>
      </c>
      <c r="C356" s="156" t="s">
        <v>2986</v>
      </c>
      <c r="D356" s="156" t="s">
        <v>2987</v>
      </c>
      <c r="E356" s="152" t="s">
        <v>2083</v>
      </c>
      <c r="F356" s="153">
        <v>0</v>
      </c>
    </row>
    <row r="357" spans="2:6" x14ac:dyDescent="0.25">
      <c r="B357" s="152" t="s">
        <v>1879</v>
      </c>
      <c r="C357" s="153" t="s">
        <v>2988</v>
      </c>
      <c r="D357" s="153" t="s">
        <v>2989</v>
      </c>
      <c r="E357" s="152" t="s">
        <v>2086</v>
      </c>
      <c r="F357" s="153">
        <v>100</v>
      </c>
    </row>
    <row r="358" spans="2:6" x14ac:dyDescent="0.25">
      <c r="B358" s="152" t="s">
        <v>2990</v>
      </c>
      <c r="C358" s="153" t="s">
        <v>2991</v>
      </c>
      <c r="D358" s="153" t="s">
        <v>2992</v>
      </c>
      <c r="E358" s="152" t="s">
        <v>2083</v>
      </c>
      <c r="F358" s="153">
        <v>0</v>
      </c>
    </row>
    <row r="359" spans="2:6" x14ac:dyDescent="0.25">
      <c r="B359" s="152" t="s">
        <v>798</v>
      </c>
      <c r="C359" s="153" t="s">
        <v>2993</v>
      </c>
      <c r="D359" s="153" t="s">
        <v>2994</v>
      </c>
      <c r="E359" s="152" t="s">
        <v>2086</v>
      </c>
      <c r="F359" s="154">
        <v>65250</v>
      </c>
    </row>
    <row r="360" spans="2:6" x14ac:dyDescent="0.25">
      <c r="B360" s="152" t="s">
        <v>1013</v>
      </c>
      <c r="C360" s="153" t="s">
        <v>2995</v>
      </c>
      <c r="D360" s="153" t="s">
        <v>2996</v>
      </c>
      <c r="E360" s="152" t="s">
        <v>2083</v>
      </c>
      <c r="F360" s="153">
        <v>0</v>
      </c>
    </row>
    <row r="361" spans="2:6" x14ac:dyDescent="0.25">
      <c r="B361" s="152" t="s">
        <v>1033</v>
      </c>
      <c r="C361" s="153" t="s">
        <v>2997</v>
      </c>
      <c r="D361" s="153" t="s">
        <v>2998</v>
      </c>
      <c r="E361" s="152" t="s">
        <v>2086</v>
      </c>
      <c r="F361" s="154">
        <v>60050</v>
      </c>
    </row>
    <row r="362" spans="2:6" x14ac:dyDescent="0.25">
      <c r="B362" s="152" t="s">
        <v>2999</v>
      </c>
      <c r="C362" s="153" t="s">
        <v>3000</v>
      </c>
      <c r="D362" s="153" t="s">
        <v>3001</v>
      </c>
      <c r="E362" s="152" t="s">
        <v>2083</v>
      </c>
      <c r="F362" s="153">
        <v>0</v>
      </c>
    </row>
    <row r="363" spans="2:6" x14ac:dyDescent="0.25">
      <c r="B363" s="152" t="s">
        <v>1882</v>
      </c>
      <c r="C363" s="153" t="s">
        <v>3002</v>
      </c>
      <c r="D363" s="153" t="s">
        <v>3003</v>
      </c>
      <c r="E363" s="152" t="s">
        <v>2086</v>
      </c>
      <c r="F363" s="154">
        <v>3500</v>
      </c>
    </row>
    <row r="364" spans="2:6" x14ac:dyDescent="0.25">
      <c r="B364" s="152" t="s">
        <v>1565</v>
      </c>
      <c r="C364" s="153" t="s">
        <v>3004</v>
      </c>
      <c r="D364" s="153" t="s">
        <v>3005</v>
      </c>
      <c r="E364" s="152" t="s">
        <v>2086</v>
      </c>
      <c r="F364" s="154">
        <v>16800</v>
      </c>
    </row>
    <row r="365" spans="2:6" x14ac:dyDescent="0.25">
      <c r="B365" s="152" t="s">
        <v>1919</v>
      </c>
      <c r="C365" s="153" t="s">
        <v>3006</v>
      </c>
      <c r="D365" s="153" t="s">
        <v>3007</v>
      </c>
      <c r="E365" s="152" t="s">
        <v>2086</v>
      </c>
      <c r="F365" s="154">
        <v>1250</v>
      </c>
    </row>
    <row r="366" spans="2:6" x14ac:dyDescent="0.25">
      <c r="B366" s="152" t="s">
        <v>197</v>
      </c>
      <c r="C366" s="153" t="s">
        <v>3008</v>
      </c>
      <c r="D366" s="153" t="s">
        <v>3009</v>
      </c>
      <c r="E366" s="152" t="s">
        <v>2083</v>
      </c>
      <c r="F366" s="153">
        <v>0</v>
      </c>
    </row>
    <row r="367" spans="2:6" x14ac:dyDescent="0.25">
      <c r="B367" s="152" t="s">
        <v>3010</v>
      </c>
      <c r="C367" s="153" t="s">
        <v>3011</v>
      </c>
      <c r="D367" s="153" t="s">
        <v>3012</v>
      </c>
      <c r="E367" s="152" t="s">
        <v>2086</v>
      </c>
      <c r="F367" s="154">
        <v>7000</v>
      </c>
    </row>
    <row r="368" spans="2:6" x14ac:dyDescent="0.25">
      <c r="B368" s="152" t="s">
        <v>3013</v>
      </c>
      <c r="C368" s="153" t="s">
        <v>3014</v>
      </c>
      <c r="D368" s="153" t="s">
        <v>3015</v>
      </c>
      <c r="E368" s="152" t="s">
        <v>2086</v>
      </c>
      <c r="F368" s="154">
        <v>3600</v>
      </c>
    </row>
    <row r="369" spans="2:6" x14ac:dyDescent="0.25">
      <c r="B369" s="152" t="s">
        <v>3016</v>
      </c>
      <c r="C369" s="153" t="s">
        <v>3017</v>
      </c>
      <c r="D369" s="153" t="s">
        <v>3018</v>
      </c>
      <c r="E369" s="152" t="s">
        <v>2086</v>
      </c>
      <c r="F369" s="154">
        <v>23000</v>
      </c>
    </row>
    <row r="370" spans="2:6" x14ac:dyDescent="0.25">
      <c r="B370" s="152" t="s">
        <v>1833</v>
      </c>
      <c r="C370" s="153" t="s">
        <v>3019</v>
      </c>
      <c r="D370" s="153" t="s">
        <v>3020</v>
      </c>
      <c r="E370" s="152" t="s">
        <v>2083</v>
      </c>
      <c r="F370" s="153">
        <v>0</v>
      </c>
    </row>
    <row r="371" spans="2:6" x14ac:dyDescent="0.25">
      <c r="B371" s="155" t="s">
        <v>1869</v>
      </c>
      <c r="C371" s="156" t="s">
        <v>3021</v>
      </c>
      <c r="D371" s="156" t="s">
        <v>3022</v>
      </c>
      <c r="E371" s="152" t="s">
        <v>2086</v>
      </c>
      <c r="F371" s="154">
        <v>2480</v>
      </c>
    </row>
    <row r="372" spans="2:6" x14ac:dyDescent="0.25">
      <c r="B372" s="152" t="s">
        <v>3023</v>
      </c>
      <c r="C372" s="153" t="s">
        <v>3024</v>
      </c>
      <c r="D372" s="153" t="s">
        <v>3025</v>
      </c>
      <c r="E372" s="152" t="s">
        <v>2083</v>
      </c>
      <c r="F372" s="153">
        <v>0</v>
      </c>
    </row>
    <row r="373" spans="2:6" x14ac:dyDescent="0.25">
      <c r="B373" s="155" t="s">
        <v>3026</v>
      </c>
      <c r="C373" s="156" t="s">
        <v>3027</v>
      </c>
      <c r="D373" s="156" t="s">
        <v>3028</v>
      </c>
      <c r="E373" s="152" t="s">
        <v>2083</v>
      </c>
      <c r="F373" s="153">
        <v>0</v>
      </c>
    </row>
    <row r="374" spans="2:6" x14ac:dyDescent="0.25">
      <c r="B374" s="152" t="s">
        <v>1912</v>
      </c>
      <c r="C374" s="153" t="s">
        <v>3029</v>
      </c>
      <c r="D374" s="153" t="s">
        <v>3030</v>
      </c>
      <c r="E374" s="152" t="s">
        <v>2086</v>
      </c>
      <c r="F374" s="154">
        <v>1400</v>
      </c>
    </row>
    <row r="375" spans="2:6" x14ac:dyDescent="0.25">
      <c r="B375" s="152" t="s">
        <v>3031</v>
      </c>
      <c r="C375" s="153" t="s">
        <v>3032</v>
      </c>
      <c r="D375" s="153" t="s">
        <v>3033</v>
      </c>
      <c r="E375" s="152" t="s">
        <v>2083</v>
      </c>
      <c r="F375" s="153">
        <v>0</v>
      </c>
    </row>
    <row r="376" spans="2:6" x14ac:dyDescent="0.25">
      <c r="B376" s="152" t="s">
        <v>1249</v>
      </c>
      <c r="C376" s="153" t="s">
        <v>3034</v>
      </c>
      <c r="D376" s="153" t="s">
        <v>3035</v>
      </c>
      <c r="E376" s="152" t="s">
        <v>2086</v>
      </c>
      <c r="F376" s="153">
        <v>636</v>
      </c>
    </row>
    <row r="377" spans="2:6" x14ac:dyDescent="0.25">
      <c r="B377" s="152" t="s">
        <v>1173</v>
      </c>
      <c r="C377" s="153" t="s">
        <v>3036</v>
      </c>
      <c r="D377" s="153" t="s">
        <v>3037</v>
      </c>
      <c r="E377" s="152" t="s">
        <v>2086</v>
      </c>
      <c r="F377" s="154">
        <v>3400</v>
      </c>
    </row>
    <row r="378" spans="2:6" x14ac:dyDescent="0.25">
      <c r="B378" s="152" t="s">
        <v>43</v>
      </c>
      <c r="C378" s="153" t="s">
        <v>3038</v>
      </c>
      <c r="D378" s="153" t="s">
        <v>3039</v>
      </c>
      <c r="E378" s="152" t="s">
        <v>2083</v>
      </c>
      <c r="F378" s="153">
        <v>0</v>
      </c>
    </row>
    <row r="379" spans="2:6" x14ac:dyDescent="0.25">
      <c r="B379" s="152" t="s">
        <v>3040</v>
      </c>
      <c r="C379" s="153" t="s">
        <v>3041</v>
      </c>
      <c r="D379" s="153" t="s">
        <v>3042</v>
      </c>
      <c r="E379" s="152" t="s">
        <v>2083</v>
      </c>
      <c r="F379" s="153">
        <v>0</v>
      </c>
    </row>
    <row r="380" spans="2:6" x14ac:dyDescent="0.25">
      <c r="B380" s="152" t="s">
        <v>3043</v>
      </c>
      <c r="C380" s="153" t="s">
        <v>3044</v>
      </c>
      <c r="D380" s="153" t="s">
        <v>3045</v>
      </c>
      <c r="E380" s="152" t="s">
        <v>2086</v>
      </c>
      <c r="F380" s="154">
        <v>218086</v>
      </c>
    </row>
    <row r="381" spans="2:6" x14ac:dyDescent="0.25">
      <c r="B381" s="152" t="s">
        <v>1570</v>
      </c>
      <c r="C381" s="153" t="s">
        <v>3046</v>
      </c>
      <c r="D381" s="153" t="s">
        <v>3047</v>
      </c>
      <c r="E381" s="152" t="s">
        <v>2086</v>
      </c>
      <c r="F381" s="154">
        <v>126000</v>
      </c>
    </row>
    <row r="382" spans="2:6" x14ac:dyDescent="0.25">
      <c r="B382" s="152" t="s">
        <v>3048</v>
      </c>
      <c r="C382" s="153" t="s">
        <v>3049</v>
      </c>
      <c r="D382" s="153" t="s">
        <v>3050</v>
      </c>
      <c r="E382" s="152" t="s">
        <v>2086</v>
      </c>
      <c r="F382" s="154">
        <v>38700</v>
      </c>
    </row>
    <row r="383" spans="2:6" x14ac:dyDescent="0.25">
      <c r="B383" s="152" t="s">
        <v>3051</v>
      </c>
      <c r="C383" s="153" t="s">
        <v>3052</v>
      </c>
      <c r="D383" s="153" t="s">
        <v>3053</v>
      </c>
      <c r="E383" s="152" t="s">
        <v>2083</v>
      </c>
      <c r="F383" s="153">
        <v>0</v>
      </c>
    </row>
    <row r="384" spans="2:6" x14ac:dyDescent="0.25">
      <c r="B384" s="152" t="s">
        <v>1347</v>
      </c>
      <c r="C384" s="153" t="s">
        <v>3054</v>
      </c>
      <c r="D384" s="153" t="s">
        <v>3055</v>
      </c>
      <c r="E384" s="152" t="s">
        <v>2086</v>
      </c>
      <c r="F384" s="154">
        <v>99000</v>
      </c>
    </row>
    <row r="385" spans="2:6" x14ac:dyDescent="0.25">
      <c r="B385" s="152" t="s">
        <v>3056</v>
      </c>
      <c r="C385" s="153" t="s">
        <v>3057</v>
      </c>
      <c r="D385" s="153" t="s">
        <v>3058</v>
      </c>
      <c r="E385" s="152" t="s">
        <v>2083</v>
      </c>
      <c r="F385" s="153">
        <v>0</v>
      </c>
    </row>
    <row r="386" spans="2:6" x14ac:dyDescent="0.25">
      <c r="B386" s="152" t="s">
        <v>3059</v>
      </c>
      <c r="C386" s="153" t="s">
        <v>3060</v>
      </c>
      <c r="D386" s="153" t="s">
        <v>3061</v>
      </c>
      <c r="E386" s="152" t="s">
        <v>2086</v>
      </c>
      <c r="F386" s="154">
        <v>28000</v>
      </c>
    </row>
    <row r="387" spans="2:6" x14ac:dyDescent="0.25">
      <c r="B387" s="152" t="s">
        <v>1140</v>
      </c>
      <c r="C387" s="153" t="s">
        <v>3062</v>
      </c>
      <c r="D387" s="153" t="s">
        <v>3063</v>
      </c>
      <c r="E387" s="152" t="s">
        <v>2086</v>
      </c>
      <c r="F387" s="154">
        <v>199500</v>
      </c>
    </row>
    <row r="388" spans="2:6" x14ac:dyDescent="0.25">
      <c r="B388" s="152" t="s">
        <v>1145</v>
      </c>
      <c r="C388" s="153" t="s">
        <v>3064</v>
      </c>
      <c r="D388" s="153" t="s">
        <v>3065</v>
      </c>
      <c r="E388" s="152" t="s">
        <v>2086</v>
      </c>
      <c r="F388" s="154">
        <v>777280</v>
      </c>
    </row>
    <row r="389" spans="2:6" x14ac:dyDescent="0.25">
      <c r="B389" s="152" t="s">
        <v>176</v>
      </c>
      <c r="C389" s="153" t="s">
        <v>3066</v>
      </c>
      <c r="D389" s="153" t="s">
        <v>3067</v>
      </c>
      <c r="E389" s="152" t="s">
        <v>2086</v>
      </c>
      <c r="F389" s="154">
        <v>34500</v>
      </c>
    </row>
    <row r="390" spans="2:6" x14ac:dyDescent="0.25">
      <c r="B390" s="152" t="s">
        <v>1485</v>
      </c>
      <c r="C390" s="153" t="s">
        <v>3068</v>
      </c>
      <c r="D390" s="153" t="s">
        <v>3069</v>
      </c>
      <c r="E390" s="152" t="s">
        <v>2083</v>
      </c>
      <c r="F390" s="153">
        <v>0</v>
      </c>
    </row>
    <row r="391" spans="2:6" x14ac:dyDescent="0.25">
      <c r="B391" s="152" t="s">
        <v>1035</v>
      </c>
      <c r="C391" s="153" t="s">
        <v>3070</v>
      </c>
      <c r="D391" s="153" t="s">
        <v>3071</v>
      </c>
      <c r="E391" s="152" t="s">
        <v>2086</v>
      </c>
      <c r="F391" s="154">
        <v>44000</v>
      </c>
    </row>
    <row r="392" spans="2:6" x14ac:dyDescent="0.25">
      <c r="B392" s="152" t="s">
        <v>871</v>
      </c>
      <c r="C392" s="153" t="s">
        <v>3072</v>
      </c>
      <c r="D392" s="153" t="s">
        <v>3073</v>
      </c>
      <c r="E392" s="152" t="s">
        <v>2083</v>
      </c>
      <c r="F392" s="153">
        <v>0</v>
      </c>
    </row>
    <row r="393" spans="2:6" x14ac:dyDescent="0.25">
      <c r="B393" s="152" t="s">
        <v>1275</v>
      </c>
      <c r="C393" s="153" t="s">
        <v>3074</v>
      </c>
      <c r="D393" s="153" t="s">
        <v>3075</v>
      </c>
      <c r="E393" s="152" t="s">
        <v>2086</v>
      </c>
      <c r="F393" s="154">
        <v>190000</v>
      </c>
    </row>
    <row r="394" spans="2:6" x14ac:dyDescent="0.25">
      <c r="B394" s="152" t="s">
        <v>23</v>
      </c>
      <c r="C394" s="153" t="s">
        <v>3076</v>
      </c>
      <c r="D394" s="153" t="s">
        <v>3077</v>
      </c>
      <c r="E394" s="152" t="s">
        <v>2086</v>
      </c>
      <c r="F394" s="154">
        <v>43500</v>
      </c>
    </row>
    <row r="395" spans="2:6" x14ac:dyDescent="0.25">
      <c r="B395" s="152" t="s">
        <v>178</v>
      </c>
      <c r="C395" s="153" t="s">
        <v>3078</v>
      </c>
      <c r="D395" s="153" t="s">
        <v>3079</v>
      </c>
      <c r="E395" s="152" t="s">
        <v>2083</v>
      </c>
      <c r="F395" s="153">
        <v>0</v>
      </c>
    </row>
    <row r="396" spans="2:6" x14ac:dyDescent="0.25">
      <c r="B396" s="152" t="s">
        <v>1845</v>
      </c>
      <c r="C396" s="153" t="s">
        <v>3080</v>
      </c>
      <c r="D396" s="153" t="s">
        <v>3081</v>
      </c>
      <c r="E396" s="152" t="s">
        <v>2083</v>
      </c>
      <c r="F396" s="153">
        <v>0</v>
      </c>
    </row>
    <row r="397" spans="2:6" x14ac:dyDescent="0.25">
      <c r="B397" s="152" t="s">
        <v>1842</v>
      </c>
      <c r="C397" s="153" t="s">
        <v>3082</v>
      </c>
      <c r="D397" s="153" t="s">
        <v>3083</v>
      </c>
      <c r="E397" s="152" t="s">
        <v>2083</v>
      </c>
      <c r="F397" s="153">
        <v>0</v>
      </c>
    </row>
    <row r="398" spans="2:6" x14ac:dyDescent="0.25">
      <c r="B398" s="152" t="s">
        <v>1839</v>
      </c>
      <c r="C398" s="153" t="s">
        <v>3084</v>
      </c>
      <c r="D398" s="153" t="s">
        <v>3085</v>
      </c>
      <c r="E398" s="152" t="s">
        <v>2083</v>
      </c>
      <c r="F398" s="153">
        <v>0</v>
      </c>
    </row>
    <row r="399" spans="2:6" x14ac:dyDescent="0.25">
      <c r="B399" s="152" t="s">
        <v>1836</v>
      </c>
      <c r="C399" s="153" t="s">
        <v>3086</v>
      </c>
      <c r="D399" s="153" t="s">
        <v>3087</v>
      </c>
      <c r="E399" s="152" t="s">
        <v>2083</v>
      </c>
      <c r="F399" s="153">
        <v>0</v>
      </c>
    </row>
    <row r="400" spans="2:6" x14ac:dyDescent="0.25">
      <c r="B400" s="152" t="s">
        <v>2043</v>
      </c>
      <c r="C400" s="153" t="s">
        <v>3088</v>
      </c>
      <c r="D400" s="153" t="s">
        <v>3089</v>
      </c>
      <c r="E400" s="152" t="s">
        <v>2086</v>
      </c>
      <c r="F400" s="154">
        <v>5000</v>
      </c>
    </row>
    <row r="401" spans="2:6" x14ac:dyDescent="0.25">
      <c r="B401" s="152" t="s">
        <v>1536</v>
      </c>
      <c r="C401" s="153" t="s">
        <v>3090</v>
      </c>
      <c r="D401" s="153" t="s">
        <v>3091</v>
      </c>
      <c r="E401" s="152" t="s">
        <v>2086</v>
      </c>
      <c r="F401" s="154">
        <v>153000</v>
      </c>
    </row>
    <row r="402" spans="2:6" x14ac:dyDescent="0.25">
      <c r="B402" s="152" t="s">
        <v>1018</v>
      </c>
      <c r="C402" s="153" t="s">
        <v>3092</v>
      </c>
      <c r="D402" s="153" t="s">
        <v>3093</v>
      </c>
      <c r="E402" s="152" t="s">
        <v>2086</v>
      </c>
      <c r="F402" s="154">
        <v>79500</v>
      </c>
    </row>
    <row r="403" spans="2:6" x14ac:dyDescent="0.25">
      <c r="B403" s="152" t="s">
        <v>154</v>
      </c>
      <c r="C403" s="153" t="s">
        <v>3094</v>
      </c>
      <c r="D403" s="153" t="s">
        <v>3095</v>
      </c>
      <c r="E403" s="152" t="s">
        <v>2086</v>
      </c>
      <c r="F403" s="154">
        <v>32000</v>
      </c>
    </row>
    <row r="404" spans="2:6" x14ac:dyDescent="0.25">
      <c r="B404" s="152" t="s">
        <v>3096</v>
      </c>
      <c r="C404" s="153" t="s">
        <v>3097</v>
      </c>
      <c r="D404" s="153" t="s">
        <v>3098</v>
      </c>
      <c r="E404" s="152" t="s">
        <v>2083</v>
      </c>
      <c r="F404" s="153">
        <v>0</v>
      </c>
    </row>
    <row r="405" spans="2:6" x14ac:dyDescent="0.25">
      <c r="B405" s="152" t="s">
        <v>777</v>
      </c>
      <c r="C405" s="153" t="s">
        <v>3099</v>
      </c>
      <c r="D405" s="153" t="s">
        <v>3100</v>
      </c>
      <c r="E405" s="152" t="s">
        <v>2086</v>
      </c>
      <c r="F405" s="153">
        <v>950</v>
      </c>
    </row>
    <row r="406" spans="2:6" x14ac:dyDescent="0.25">
      <c r="B406" s="152" t="s">
        <v>943</v>
      </c>
      <c r="C406" s="153" t="s">
        <v>3101</v>
      </c>
      <c r="D406" s="153" t="s">
        <v>3102</v>
      </c>
      <c r="E406" s="152" t="s">
        <v>2086</v>
      </c>
      <c r="F406" s="154">
        <v>248000</v>
      </c>
    </row>
    <row r="407" spans="2:6" x14ac:dyDescent="0.25">
      <c r="B407" s="152" t="s">
        <v>1113</v>
      </c>
      <c r="C407" s="153" t="s">
        <v>3103</v>
      </c>
      <c r="D407" s="153" t="s">
        <v>3104</v>
      </c>
      <c r="E407" s="152" t="s">
        <v>2086</v>
      </c>
      <c r="F407" s="154">
        <v>244000</v>
      </c>
    </row>
    <row r="408" spans="2:6" x14ac:dyDescent="0.25">
      <c r="B408" s="152" t="s">
        <v>90</v>
      </c>
      <c r="C408" s="153" t="s">
        <v>3105</v>
      </c>
      <c r="D408" s="153" t="s">
        <v>3106</v>
      </c>
      <c r="E408" s="152" t="s">
        <v>2086</v>
      </c>
      <c r="F408" s="154">
        <v>176000</v>
      </c>
    </row>
    <row r="409" spans="2:6" x14ac:dyDescent="0.25">
      <c r="B409" s="152" t="s">
        <v>1101</v>
      </c>
      <c r="C409" s="153" t="s">
        <v>3107</v>
      </c>
      <c r="D409" s="153" t="s">
        <v>3108</v>
      </c>
      <c r="E409" s="152" t="s">
        <v>2086</v>
      </c>
      <c r="F409" s="154">
        <v>242000</v>
      </c>
    </row>
    <row r="410" spans="2:6" x14ac:dyDescent="0.25">
      <c r="B410" s="152" t="s">
        <v>934</v>
      </c>
      <c r="C410" s="153" t="s">
        <v>3109</v>
      </c>
      <c r="D410" s="153" t="s">
        <v>3110</v>
      </c>
      <c r="E410" s="152" t="s">
        <v>2086</v>
      </c>
      <c r="F410" s="154">
        <v>590000</v>
      </c>
    </row>
    <row r="411" spans="2:6" x14ac:dyDescent="0.25">
      <c r="B411" s="152" t="s">
        <v>1226</v>
      </c>
      <c r="C411" s="153" t="s">
        <v>3111</v>
      </c>
      <c r="D411" s="153" t="s">
        <v>3112</v>
      </c>
      <c r="E411" s="152" t="s">
        <v>2086</v>
      </c>
      <c r="F411" s="154">
        <v>662000</v>
      </c>
    </row>
    <row r="412" spans="2:6" x14ac:dyDescent="0.25">
      <c r="B412" s="152" t="s">
        <v>900</v>
      </c>
      <c r="C412" s="153" t="s">
        <v>3113</v>
      </c>
      <c r="D412" s="153" t="s">
        <v>3114</v>
      </c>
      <c r="E412" s="152" t="s">
        <v>2086</v>
      </c>
      <c r="F412" s="154">
        <v>216000</v>
      </c>
    </row>
    <row r="413" spans="2:6" x14ac:dyDescent="0.25">
      <c r="B413" s="152" t="s">
        <v>833</v>
      </c>
      <c r="C413" s="153" t="s">
        <v>3115</v>
      </c>
      <c r="D413" s="153" t="s">
        <v>3116</v>
      </c>
      <c r="E413" s="152" t="s">
        <v>2086</v>
      </c>
      <c r="F413" s="154">
        <v>130300</v>
      </c>
    </row>
    <row r="414" spans="2:6" x14ac:dyDescent="0.25">
      <c r="B414" s="152" t="s">
        <v>1306</v>
      </c>
      <c r="C414" s="153" t="s">
        <v>3117</v>
      </c>
      <c r="D414" s="153" t="s">
        <v>3118</v>
      </c>
      <c r="E414" s="152" t="s">
        <v>2086</v>
      </c>
      <c r="F414" s="154">
        <v>800000</v>
      </c>
    </row>
    <row r="415" spans="2:6" x14ac:dyDescent="0.25">
      <c r="B415" s="152" t="s">
        <v>1105</v>
      </c>
      <c r="C415" s="153" t="s">
        <v>3119</v>
      </c>
      <c r="D415" s="153" t="s">
        <v>3120</v>
      </c>
      <c r="E415" s="152" t="s">
        <v>2083</v>
      </c>
      <c r="F415" s="153">
        <v>0</v>
      </c>
    </row>
    <row r="416" spans="2:6" x14ac:dyDescent="0.25">
      <c r="B416" s="152" t="s">
        <v>997</v>
      </c>
      <c r="C416" s="153" t="s">
        <v>3121</v>
      </c>
      <c r="D416" s="153" t="s">
        <v>3122</v>
      </c>
      <c r="E416" s="152" t="s">
        <v>2086</v>
      </c>
      <c r="F416" s="154">
        <v>267750</v>
      </c>
    </row>
    <row r="417" spans="2:6" x14ac:dyDescent="0.25">
      <c r="B417" s="152" t="s">
        <v>891</v>
      </c>
      <c r="C417" s="153" t="s">
        <v>3123</v>
      </c>
      <c r="D417" s="153" t="s">
        <v>3124</v>
      </c>
      <c r="E417" s="152" t="s">
        <v>2086</v>
      </c>
      <c r="F417" s="154">
        <v>176500</v>
      </c>
    </row>
    <row r="418" spans="2:6" x14ac:dyDescent="0.25">
      <c r="B418" s="152" t="s">
        <v>93</v>
      </c>
      <c r="C418" s="153" t="s">
        <v>3125</v>
      </c>
      <c r="D418" s="153" t="s">
        <v>3126</v>
      </c>
      <c r="E418" s="152" t="s">
        <v>2086</v>
      </c>
      <c r="F418" s="154">
        <v>115000</v>
      </c>
    </row>
    <row r="419" spans="2:6" x14ac:dyDescent="0.25">
      <c r="B419" s="152" t="s">
        <v>1482</v>
      </c>
      <c r="C419" s="153" t="s">
        <v>3127</v>
      </c>
      <c r="D419" s="153" t="s">
        <v>3128</v>
      </c>
      <c r="E419" s="152" t="s">
        <v>2086</v>
      </c>
      <c r="F419" s="154">
        <v>84460</v>
      </c>
    </row>
    <row r="420" spans="2:6" x14ac:dyDescent="0.25">
      <c r="B420" s="155" t="s">
        <v>959</v>
      </c>
      <c r="C420" s="156" t="s">
        <v>3129</v>
      </c>
      <c r="D420" s="156" t="s">
        <v>3130</v>
      </c>
      <c r="E420" s="152" t="s">
        <v>2086</v>
      </c>
      <c r="F420" s="153">
        <v>384</v>
      </c>
    </row>
    <row r="421" spans="2:6" x14ac:dyDescent="0.25">
      <c r="B421" s="152" t="s">
        <v>1099</v>
      </c>
      <c r="C421" s="153" t="s">
        <v>3131</v>
      </c>
      <c r="D421" s="153" t="s">
        <v>3132</v>
      </c>
      <c r="E421" s="152" t="s">
        <v>2086</v>
      </c>
      <c r="F421" s="154">
        <v>117000</v>
      </c>
    </row>
    <row r="422" spans="2:6" x14ac:dyDescent="0.25">
      <c r="B422" s="152" t="s">
        <v>967</v>
      </c>
      <c r="C422" s="153" t="s">
        <v>3133</v>
      </c>
      <c r="D422" s="153" t="s">
        <v>3134</v>
      </c>
      <c r="E422" s="152" t="s">
        <v>2086</v>
      </c>
      <c r="F422" s="154">
        <v>116000</v>
      </c>
    </row>
    <row r="423" spans="2:6" x14ac:dyDescent="0.25">
      <c r="B423" s="152" t="s">
        <v>181</v>
      </c>
      <c r="C423" s="153" t="s">
        <v>3135</v>
      </c>
      <c r="D423" s="153" t="s">
        <v>3136</v>
      </c>
      <c r="E423" s="152" t="s">
        <v>2083</v>
      </c>
      <c r="F423" s="153">
        <v>0</v>
      </c>
    </row>
    <row r="424" spans="2:6" x14ac:dyDescent="0.25">
      <c r="B424" s="152" t="s">
        <v>3137</v>
      </c>
      <c r="C424" s="153" t="s">
        <v>3138</v>
      </c>
      <c r="D424" s="153" t="s">
        <v>3139</v>
      </c>
      <c r="E424" s="152" t="s">
        <v>2083</v>
      </c>
      <c r="F424" s="153">
        <v>0</v>
      </c>
    </row>
    <row r="425" spans="2:6" x14ac:dyDescent="0.25">
      <c r="B425" s="152" t="s">
        <v>922</v>
      </c>
      <c r="C425" s="153" t="s">
        <v>3140</v>
      </c>
      <c r="D425" s="153" t="s">
        <v>3141</v>
      </c>
      <c r="E425" s="152" t="s">
        <v>2083</v>
      </c>
      <c r="F425" s="153">
        <v>0</v>
      </c>
    </row>
    <row r="426" spans="2:6" x14ac:dyDescent="0.25">
      <c r="B426" s="152" t="s">
        <v>168</v>
      </c>
      <c r="C426" s="153" t="s">
        <v>3142</v>
      </c>
      <c r="D426" s="153" t="s">
        <v>3143</v>
      </c>
      <c r="E426" s="152" t="s">
        <v>2083</v>
      </c>
      <c r="F426" s="153">
        <v>0</v>
      </c>
    </row>
    <row r="427" spans="2:6" x14ac:dyDescent="0.25">
      <c r="B427" s="152" t="s">
        <v>1560</v>
      </c>
      <c r="C427" s="153" t="s">
        <v>3144</v>
      </c>
      <c r="D427" s="153" t="s">
        <v>3145</v>
      </c>
      <c r="E427" s="152" t="s">
        <v>2083</v>
      </c>
      <c r="F427" s="153">
        <v>0</v>
      </c>
    </row>
    <row r="428" spans="2:6" x14ac:dyDescent="0.25">
      <c r="B428" s="152" t="s">
        <v>1421</v>
      </c>
      <c r="C428" s="153" t="s">
        <v>3147</v>
      </c>
      <c r="D428" s="153" t="s">
        <v>3148</v>
      </c>
      <c r="E428" s="152" t="s">
        <v>2086</v>
      </c>
      <c r="F428" s="154">
        <v>9000</v>
      </c>
    </row>
    <row r="429" spans="2:6" x14ac:dyDescent="0.25">
      <c r="B429" s="155" t="s">
        <v>217</v>
      </c>
      <c r="C429" s="156" t="s">
        <v>3149</v>
      </c>
      <c r="D429" s="156" t="s">
        <v>3150</v>
      </c>
      <c r="E429" s="152" t="s">
        <v>2086</v>
      </c>
      <c r="F429" s="153">
        <v>42</v>
      </c>
    </row>
    <row r="430" spans="2:6" x14ac:dyDescent="0.25">
      <c r="B430" s="152" t="s">
        <v>3151</v>
      </c>
      <c r="C430" s="153" t="s">
        <v>3152</v>
      </c>
      <c r="D430" s="153" t="s">
        <v>3153</v>
      </c>
      <c r="E430" s="152" t="s">
        <v>2083</v>
      </c>
      <c r="F430" s="153">
        <v>0</v>
      </c>
    </row>
    <row r="431" spans="2:6" x14ac:dyDescent="0.25">
      <c r="B431" s="152" t="s">
        <v>3154</v>
      </c>
      <c r="C431" s="153" t="s">
        <v>3155</v>
      </c>
      <c r="D431" s="153" t="s">
        <v>3156</v>
      </c>
      <c r="E431" s="152" t="s">
        <v>2083</v>
      </c>
      <c r="F431" s="153">
        <v>0</v>
      </c>
    </row>
    <row r="432" spans="2:6" x14ac:dyDescent="0.25">
      <c r="B432" s="155" t="s">
        <v>1931</v>
      </c>
      <c r="C432" s="156" t="s">
        <v>3157</v>
      </c>
      <c r="D432" s="156" t="s">
        <v>3158</v>
      </c>
      <c r="E432" s="152" t="s">
        <v>2083</v>
      </c>
      <c r="F432" s="153">
        <v>0</v>
      </c>
    </row>
    <row r="433" spans="2:6" x14ac:dyDescent="0.25">
      <c r="B433" s="152" t="s">
        <v>184</v>
      </c>
      <c r="C433" s="153" t="s">
        <v>3159</v>
      </c>
      <c r="D433" s="153" t="s">
        <v>3160</v>
      </c>
      <c r="E433" s="152" t="s">
        <v>2083</v>
      </c>
      <c r="F433" s="153">
        <v>0</v>
      </c>
    </row>
    <row r="434" spans="2:6" x14ac:dyDescent="0.25">
      <c r="B434" s="152" t="s">
        <v>1925</v>
      </c>
      <c r="C434" s="153" t="s">
        <v>3161</v>
      </c>
      <c r="D434" s="153" t="s">
        <v>3162</v>
      </c>
      <c r="E434" s="152" t="s">
        <v>2083</v>
      </c>
      <c r="F434" s="153">
        <v>0</v>
      </c>
    </row>
    <row r="435" spans="2:6" x14ac:dyDescent="0.25">
      <c r="B435" s="152" t="s">
        <v>129</v>
      </c>
      <c r="C435" s="153" t="s">
        <v>3163</v>
      </c>
      <c r="D435" s="153" t="s">
        <v>3164</v>
      </c>
      <c r="E435" s="152" t="s">
        <v>2083</v>
      </c>
      <c r="F435" s="153">
        <v>0</v>
      </c>
    </row>
    <row r="436" spans="2:6" x14ac:dyDescent="0.25">
      <c r="B436" s="152" t="s">
        <v>1679</v>
      </c>
      <c r="C436" s="153" t="s">
        <v>3165</v>
      </c>
      <c r="D436" s="153" t="s">
        <v>3166</v>
      </c>
      <c r="E436" s="152" t="s">
        <v>2086</v>
      </c>
      <c r="F436" s="154">
        <v>168500</v>
      </c>
    </row>
    <row r="437" spans="2:6" x14ac:dyDescent="0.25">
      <c r="B437" s="152" t="s">
        <v>1816</v>
      </c>
      <c r="C437" s="153" t="s">
        <v>3167</v>
      </c>
      <c r="D437" s="153" t="s">
        <v>3168</v>
      </c>
      <c r="E437" s="152" t="s">
        <v>2086</v>
      </c>
      <c r="F437" s="154">
        <v>14000</v>
      </c>
    </row>
    <row r="438" spans="2:6" x14ac:dyDescent="0.25">
      <c r="B438" s="152" t="s">
        <v>165</v>
      </c>
      <c r="C438" s="153" t="s">
        <v>3169</v>
      </c>
      <c r="D438" s="153" t="s">
        <v>3170</v>
      </c>
      <c r="E438" s="152" t="s">
        <v>2083</v>
      </c>
      <c r="F438" s="153">
        <v>0</v>
      </c>
    </row>
    <row r="439" spans="2:6" x14ac:dyDescent="0.25">
      <c r="B439" s="152" t="s">
        <v>36</v>
      </c>
      <c r="C439" s="153" t="s">
        <v>3171</v>
      </c>
      <c r="D439" s="153" t="s">
        <v>3172</v>
      </c>
      <c r="E439" s="152" t="s">
        <v>2083</v>
      </c>
      <c r="F439" s="153">
        <v>0</v>
      </c>
    </row>
    <row r="440" spans="2:6" x14ac:dyDescent="0.25">
      <c r="B440" s="155" t="s">
        <v>1396</v>
      </c>
      <c r="C440" s="156" t="s">
        <v>3173</v>
      </c>
      <c r="D440" s="156" t="s">
        <v>3174</v>
      </c>
      <c r="E440" s="152" t="s">
        <v>2086</v>
      </c>
      <c r="F440" s="154">
        <v>19000</v>
      </c>
    </row>
    <row r="441" spans="2:6" x14ac:dyDescent="0.25">
      <c r="B441" s="152" t="s">
        <v>3175</v>
      </c>
      <c r="C441" s="153" t="s">
        <v>3176</v>
      </c>
      <c r="D441" s="153" t="s">
        <v>3177</v>
      </c>
      <c r="E441" s="152" t="s">
        <v>2083</v>
      </c>
      <c r="F441" s="153">
        <v>0</v>
      </c>
    </row>
    <row r="442" spans="2:6" x14ac:dyDescent="0.25">
      <c r="B442" s="155" t="s">
        <v>693</v>
      </c>
      <c r="C442" s="156" t="s">
        <v>3178</v>
      </c>
      <c r="D442" s="156" t="s">
        <v>3179</v>
      </c>
      <c r="E442" s="152" t="s">
        <v>2086</v>
      </c>
      <c r="F442" s="154">
        <v>528000</v>
      </c>
    </row>
    <row r="443" spans="2:6" x14ac:dyDescent="0.25">
      <c r="B443" s="152" t="s">
        <v>1590</v>
      </c>
      <c r="C443" s="153" t="s">
        <v>3180</v>
      </c>
      <c r="D443" s="153" t="s">
        <v>3181</v>
      </c>
      <c r="E443" s="152" t="s">
        <v>2086</v>
      </c>
      <c r="F443" s="154">
        <v>122000</v>
      </c>
    </row>
    <row r="444" spans="2:6" x14ac:dyDescent="0.25">
      <c r="B444" s="152" t="s">
        <v>3182</v>
      </c>
      <c r="C444" s="153" t="s">
        <v>3183</v>
      </c>
      <c r="D444" s="153" t="s">
        <v>3184</v>
      </c>
      <c r="E444" s="152" t="s">
        <v>2083</v>
      </c>
      <c r="F444" s="153">
        <v>0</v>
      </c>
    </row>
    <row r="445" spans="2:6" x14ac:dyDescent="0.25">
      <c r="B445" s="152" t="s">
        <v>3185</v>
      </c>
      <c r="C445" s="153" t="s">
        <v>3186</v>
      </c>
      <c r="D445" s="153" t="s">
        <v>3187</v>
      </c>
      <c r="E445" s="152" t="s">
        <v>2086</v>
      </c>
      <c r="F445" s="153">
        <v>18</v>
      </c>
    </row>
    <row r="446" spans="2:6" x14ac:dyDescent="0.25">
      <c r="B446" s="155" t="s">
        <v>1683</v>
      </c>
      <c r="C446" s="156" t="s">
        <v>3188</v>
      </c>
      <c r="D446" s="156" t="s">
        <v>3189</v>
      </c>
      <c r="E446" s="152" t="s">
        <v>2086</v>
      </c>
      <c r="F446" s="154">
        <v>11650</v>
      </c>
    </row>
    <row r="447" spans="2:6" x14ac:dyDescent="0.25">
      <c r="B447" s="152" t="s">
        <v>1081</v>
      </c>
      <c r="C447" s="153" t="s">
        <v>3190</v>
      </c>
      <c r="D447" s="153" t="s">
        <v>3191</v>
      </c>
      <c r="E447" s="152" t="s">
        <v>2086</v>
      </c>
      <c r="F447" s="154">
        <v>5400</v>
      </c>
    </row>
    <row r="448" spans="2:6" x14ac:dyDescent="0.25">
      <c r="B448" s="152" t="s">
        <v>199</v>
      </c>
      <c r="C448" s="153" t="s">
        <v>3192</v>
      </c>
      <c r="D448" s="153" t="s">
        <v>3193</v>
      </c>
      <c r="E448" s="152" t="s">
        <v>2083</v>
      </c>
      <c r="F448" s="153">
        <v>0</v>
      </c>
    </row>
    <row r="449" spans="2:6" x14ac:dyDescent="0.25">
      <c r="B449" s="155" t="s">
        <v>1228</v>
      </c>
      <c r="C449" s="156" t="s">
        <v>3194</v>
      </c>
      <c r="D449" s="156" t="s">
        <v>3195</v>
      </c>
      <c r="E449" s="152" t="s">
        <v>2086</v>
      </c>
      <c r="F449" s="154">
        <v>3200</v>
      </c>
    </row>
    <row r="450" spans="2:6" x14ac:dyDescent="0.25">
      <c r="B450" s="152" t="s">
        <v>1392</v>
      </c>
      <c r="C450" s="153" t="s">
        <v>3196</v>
      </c>
      <c r="D450" s="153" t="s">
        <v>3197</v>
      </c>
      <c r="E450" s="152" t="s">
        <v>2086</v>
      </c>
      <c r="F450" s="154">
        <v>52000</v>
      </c>
    </row>
    <row r="451" spans="2:6" x14ac:dyDescent="0.25">
      <c r="B451" s="152" t="s">
        <v>3198</v>
      </c>
      <c r="C451" s="153" t="s">
        <v>3199</v>
      </c>
      <c r="D451" s="153" t="s">
        <v>3200</v>
      </c>
      <c r="E451" s="152" t="s">
        <v>2086</v>
      </c>
      <c r="F451" s="154">
        <v>12000</v>
      </c>
    </row>
    <row r="452" spans="2:6" x14ac:dyDescent="0.25">
      <c r="B452" s="152" t="s">
        <v>209</v>
      </c>
      <c r="C452" s="153" t="s">
        <v>3201</v>
      </c>
      <c r="D452" s="153" t="s">
        <v>3202</v>
      </c>
      <c r="E452" s="152" t="s">
        <v>2083</v>
      </c>
      <c r="F452" s="153">
        <v>0</v>
      </c>
    </row>
    <row r="453" spans="2:6" x14ac:dyDescent="0.25">
      <c r="B453" s="152" t="s">
        <v>1606</v>
      </c>
      <c r="C453" s="153" t="s">
        <v>3203</v>
      </c>
      <c r="D453" s="153" t="s">
        <v>3204</v>
      </c>
      <c r="E453" s="152" t="s">
        <v>2083</v>
      </c>
      <c r="F453" s="153">
        <v>0</v>
      </c>
    </row>
    <row r="454" spans="2:6" x14ac:dyDescent="0.25">
      <c r="B454" s="152" t="s">
        <v>173</v>
      </c>
      <c r="C454" s="153" t="s">
        <v>3205</v>
      </c>
      <c r="D454" s="153" t="s">
        <v>3206</v>
      </c>
      <c r="E454" s="152" t="s">
        <v>2083</v>
      </c>
      <c r="F454" s="153">
        <v>0</v>
      </c>
    </row>
    <row r="455" spans="2:6" x14ac:dyDescent="0.25">
      <c r="B455" s="152" t="s">
        <v>762</v>
      </c>
      <c r="C455" s="153" t="s">
        <v>3207</v>
      </c>
      <c r="D455" s="153" t="s">
        <v>3208</v>
      </c>
      <c r="E455" s="152" t="s">
        <v>2086</v>
      </c>
      <c r="F455" s="154">
        <v>396000</v>
      </c>
    </row>
    <row r="456" spans="2:6" x14ac:dyDescent="0.25">
      <c r="B456" s="152" t="s">
        <v>214</v>
      </c>
      <c r="C456" s="153" t="s">
        <v>3209</v>
      </c>
      <c r="D456" s="153" t="s">
        <v>3210</v>
      </c>
      <c r="E456" s="152" t="s">
        <v>2086</v>
      </c>
      <c r="F456" s="154">
        <v>11400</v>
      </c>
    </row>
    <row r="457" spans="2:6" x14ac:dyDescent="0.25">
      <c r="B457" s="152" t="s">
        <v>3211</v>
      </c>
      <c r="C457" s="153" t="s">
        <v>3212</v>
      </c>
      <c r="D457" s="153" t="s">
        <v>3213</v>
      </c>
      <c r="E457" s="152" t="s">
        <v>2086</v>
      </c>
      <c r="F457" s="154">
        <v>17250</v>
      </c>
    </row>
    <row r="458" spans="2:6" x14ac:dyDescent="0.25">
      <c r="B458" s="152" t="s">
        <v>96</v>
      </c>
      <c r="C458" s="153" t="s">
        <v>3214</v>
      </c>
      <c r="D458" s="153" t="s">
        <v>3215</v>
      </c>
      <c r="E458" s="152" t="s">
        <v>2086</v>
      </c>
      <c r="F458" s="154">
        <v>7500</v>
      </c>
    </row>
    <row r="459" spans="2:6" x14ac:dyDescent="0.25">
      <c r="B459" s="152" t="s">
        <v>3216</v>
      </c>
      <c r="C459" s="153" t="s">
        <v>3217</v>
      </c>
      <c r="D459" s="153" t="s">
        <v>3218</v>
      </c>
      <c r="E459" s="152" t="s">
        <v>2083</v>
      </c>
      <c r="F459" s="153">
        <v>0</v>
      </c>
    </row>
    <row r="460" spans="2:6" x14ac:dyDescent="0.25">
      <c r="B460" s="152" t="s">
        <v>3219</v>
      </c>
      <c r="C460" s="153" t="s">
        <v>3220</v>
      </c>
      <c r="D460" s="153" t="s">
        <v>3221</v>
      </c>
      <c r="E460" s="152" t="s">
        <v>2083</v>
      </c>
      <c r="F460" s="153">
        <v>0</v>
      </c>
    </row>
    <row r="461" spans="2:6" x14ac:dyDescent="0.25">
      <c r="B461" s="152" t="s">
        <v>3222</v>
      </c>
      <c r="C461" s="153" t="s">
        <v>3223</v>
      </c>
      <c r="D461" s="153" t="s">
        <v>3224</v>
      </c>
      <c r="E461" s="152" t="s">
        <v>2083</v>
      </c>
      <c r="F461" s="153">
        <v>0</v>
      </c>
    </row>
    <row r="462" spans="2:6" x14ac:dyDescent="0.25">
      <c r="B462" s="152" t="s">
        <v>884</v>
      </c>
      <c r="C462" s="153" t="s">
        <v>3225</v>
      </c>
      <c r="D462" s="153" t="s">
        <v>3226</v>
      </c>
      <c r="E462" s="152" t="s">
        <v>2083</v>
      </c>
      <c r="F462" s="153">
        <v>0</v>
      </c>
    </row>
    <row r="463" spans="2:6" x14ac:dyDescent="0.25">
      <c r="B463" s="152" t="s">
        <v>3227</v>
      </c>
      <c r="C463" s="153" t="s">
        <v>3228</v>
      </c>
      <c r="D463" s="153" t="s">
        <v>3229</v>
      </c>
      <c r="E463" s="152" t="s">
        <v>2086</v>
      </c>
      <c r="F463" s="154">
        <v>3000</v>
      </c>
    </row>
    <row r="464" spans="2:6" x14ac:dyDescent="0.25">
      <c r="B464" s="152" t="s">
        <v>685</v>
      </c>
      <c r="C464" s="153" t="s">
        <v>3230</v>
      </c>
      <c r="D464" s="153" t="s">
        <v>3231</v>
      </c>
      <c r="E464" s="152" t="s">
        <v>2086</v>
      </c>
      <c r="F464" s="154">
        <v>2500</v>
      </c>
    </row>
    <row r="465" spans="2:6" x14ac:dyDescent="0.25">
      <c r="B465" s="152" t="s">
        <v>815</v>
      </c>
      <c r="C465" s="153" t="s">
        <v>3232</v>
      </c>
      <c r="D465" s="153" t="s">
        <v>3233</v>
      </c>
      <c r="E465" s="152" t="s">
        <v>2086</v>
      </c>
      <c r="F465" s="154">
        <v>4000</v>
      </c>
    </row>
    <row r="466" spans="2:6" x14ac:dyDescent="0.25">
      <c r="B466" s="152" t="s">
        <v>3234</v>
      </c>
      <c r="C466" s="153" t="s">
        <v>3235</v>
      </c>
      <c r="D466" s="153" t="s">
        <v>3236</v>
      </c>
      <c r="E466" s="152" t="s">
        <v>2083</v>
      </c>
      <c r="F466" s="153">
        <v>0</v>
      </c>
    </row>
    <row r="467" spans="2:6" x14ac:dyDescent="0.25">
      <c r="B467" s="152" t="s">
        <v>2036</v>
      </c>
      <c r="C467" s="153" t="s">
        <v>3237</v>
      </c>
      <c r="D467" s="153" t="s">
        <v>3238</v>
      </c>
      <c r="E467" s="152" t="s">
        <v>2083</v>
      </c>
      <c r="F467" s="153">
        <v>0</v>
      </c>
    </row>
    <row r="468" spans="2:6" x14ac:dyDescent="0.25">
      <c r="B468" s="152" t="s">
        <v>3239</v>
      </c>
      <c r="C468" s="153" t="s">
        <v>3240</v>
      </c>
      <c r="D468" s="153" t="s">
        <v>3241</v>
      </c>
      <c r="E468" s="152" t="s">
        <v>2086</v>
      </c>
      <c r="F468" s="154">
        <v>48000</v>
      </c>
    </row>
    <row r="469" spans="2:6" x14ac:dyDescent="0.25">
      <c r="B469" s="152" t="s">
        <v>3242</v>
      </c>
      <c r="C469" s="153" t="s">
        <v>3243</v>
      </c>
      <c r="D469" s="153" t="s">
        <v>3244</v>
      </c>
      <c r="E469" s="152" t="s">
        <v>2083</v>
      </c>
      <c r="F469" s="153">
        <v>0</v>
      </c>
    </row>
    <row r="470" spans="2:6" x14ac:dyDescent="0.25">
      <c r="B470" s="152" t="s">
        <v>3245</v>
      </c>
      <c r="C470" s="153" t="s">
        <v>3246</v>
      </c>
      <c r="D470" s="153" t="s">
        <v>3247</v>
      </c>
      <c r="E470" s="152" t="s">
        <v>2086</v>
      </c>
      <c r="F470" s="154">
        <v>1000</v>
      </c>
    </row>
    <row r="471" spans="2:6" x14ac:dyDescent="0.25">
      <c r="B471" s="152" t="s">
        <v>1002</v>
      </c>
      <c r="C471" s="153" t="s">
        <v>3248</v>
      </c>
      <c r="D471" s="153" t="s">
        <v>3249</v>
      </c>
      <c r="E471" s="152" t="s">
        <v>2083</v>
      </c>
      <c r="F471" s="153">
        <v>0</v>
      </c>
    </row>
    <row r="472" spans="2:6" x14ac:dyDescent="0.25">
      <c r="B472" s="152" t="s">
        <v>3250</v>
      </c>
      <c r="C472" s="153" t="s">
        <v>3251</v>
      </c>
      <c r="D472" s="153" t="s">
        <v>3252</v>
      </c>
      <c r="E472" s="152" t="s">
        <v>2083</v>
      </c>
      <c r="F472" s="153">
        <v>0</v>
      </c>
    </row>
    <row r="473" spans="2:6" x14ac:dyDescent="0.25">
      <c r="B473" s="152" t="s">
        <v>1987</v>
      </c>
      <c r="C473" s="153" t="s">
        <v>3253</v>
      </c>
      <c r="D473" s="153" t="s">
        <v>3254</v>
      </c>
      <c r="E473" s="152" t="s">
        <v>2083</v>
      </c>
      <c r="F473" s="153">
        <v>0</v>
      </c>
    </row>
    <row r="474" spans="2:6" x14ac:dyDescent="0.25">
      <c r="B474" s="152" t="s">
        <v>3255</v>
      </c>
      <c r="C474" s="153" t="s">
        <v>3256</v>
      </c>
      <c r="D474" s="153" t="s">
        <v>3257</v>
      </c>
      <c r="E474" s="152" t="s">
        <v>2083</v>
      </c>
      <c r="F474" s="153">
        <v>0</v>
      </c>
    </row>
    <row r="475" spans="2:6" x14ac:dyDescent="0.25">
      <c r="B475" s="152" t="s">
        <v>3258</v>
      </c>
      <c r="C475" s="153" t="s">
        <v>3259</v>
      </c>
      <c r="D475" s="153" t="s">
        <v>3260</v>
      </c>
      <c r="E475" s="152" t="s">
        <v>2086</v>
      </c>
      <c r="F475" s="154">
        <v>8000</v>
      </c>
    </row>
    <row r="476" spans="2:6" x14ac:dyDescent="0.25">
      <c r="B476" s="152" t="s">
        <v>3261</v>
      </c>
      <c r="C476" s="153" t="s">
        <v>3262</v>
      </c>
      <c r="D476" s="153" t="s">
        <v>3263</v>
      </c>
      <c r="E476" s="152" t="s">
        <v>2083</v>
      </c>
      <c r="F476" s="153">
        <v>0</v>
      </c>
    </row>
    <row r="477" spans="2:6" x14ac:dyDescent="0.25">
      <c r="B477" s="152" t="s">
        <v>1989</v>
      </c>
      <c r="C477" s="153" t="s">
        <v>3264</v>
      </c>
      <c r="D477" s="153" t="s">
        <v>3265</v>
      </c>
      <c r="E477" s="152" t="s">
        <v>2086</v>
      </c>
      <c r="F477" s="154">
        <v>3000</v>
      </c>
    </row>
    <row r="478" spans="2:6" x14ac:dyDescent="0.25">
      <c r="B478" s="152" t="s">
        <v>2012</v>
      </c>
      <c r="C478" s="153" t="s">
        <v>3266</v>
      </c>
      <c r="D478" s="153" t="s">
        <v>3267</v>
      </c>
      <c r="E478" s="152" t="s">
        <v>2083</v>
      </c>
      <c r="F478" s="153">
        <v>0</v>
      </c>
    </row>
    <row r="479" spans="2:6" x14ac:dyDescent="0.25">
      <c r="B479" s="152" t="s">
        <v>3268</v>
      </c>
      <c r="C479" s="153" t="s">
        <v>3269</v>
      </c>
      <c r="D479" s="153" t="s">
        <v>3270</v>
      </c>
      <c r="E479" s="152" t="s">
        <v>2083</v>
      </c>
      <c r="F479" s="153">
        <v>0</v>
      </c>
    </row>
    <row r="480" spans="2:6" x14ac:dyDescent="0.25">
      <c r="B480" s="152" t="s">
        <v>1007</v>
      </c>
      <c r="C480" s="153" t="s">
        <v>3271</v>
      </c>
      <c r="D480" s="153" t="s">
        <v>3272</v>
      </c>
      <c r="E480" s="152" t="s">
        <v>2083</v>
      </c>
      <c r="F480" s="153">
        <v>0</v>
      </c>
    </row>
    <row r="481" spans="2:6" x14ac:dyDescent="0.25">
      <c r="B481" s="152" t="s">
        <v>698</v>
      </c>
      <c r="C481" s="153" t="s">
        <v>3273</v>
      </c>
      <c r="D481" s="153" t="s">
        <v>3274</v>
      </c>
      <c r="E481" s="152" t="s">
        <v>2086</v>
      </c>
      <c r="F481" s="154">
        <v>8500</v>
      </c>
    </row>
    <row r="482" spans="2:6" x14ac:dyDescent="0.25">
      <c r="B482" s="152" t="s">
        <v>1060</v>
      </c>
      <c r="C482" s="153" t="s">
        <v>3275</v>
      </c>
      <c r="D482" s="153" t="s">
        <v>3276</v>
      </c>
      <c r="E482" s="152" t="s">
        <v>2086</v>
      </c>
      <c r="F482" s="154">
        <v>54000</v>
      </c>
    </row>
    <row r="483" spans="2:6" x14ac:dyDescent="0.25">
      <c r="B483" s="152" t="s">
        <v>1115</v>
      </c>
      <c r="C483" s="153" t="s">
        <v>3277</v>
      </c>
      <c r="D483" s="153" t="s">
        <v>3278</v>
      </c>
      <c r="E483" s="152" t="s">
        <v>2083</v>
      </c>
      <c r="F483" s="153">
        <v>0</v>
      </c>
    </row>
    <row r="484" spans="2:6" x14ac:dyDescent="0.25">
      <c r="B484" s="152" t="s">
        <v>3279</v>
      </c>
      <c r="C484" s="153" t="s">
        <v>3280</v>
      </c>
      <c r="D484" s="153" t="s">
        <v>3281</v>
      </c>
      <c r="E484" s="152" t="s">
        <v>2083</v>
      </c>
      <c r="F484" s="153">
        <v>0</v>
      </c>
    </row>
    <row r="485" spans="2:6" x14ac:dyDescent="0.25">
      <c r="B485" s="152" t="s">
        <v>1050</v>
      </c>
      <c r="C485" s="153" t="s">
        <v>3282</v>
      </c>
      <c r="D485" s="153" t="s">
        <v>3283</v>
      </c>
      <c r="E485" s="152" t="s">
        <v>2086</v>
      </c>
      <c r="F485" s="154">
        <v>2448</v>
      </c>
    </row>
    <row r="486" spans="2:6" x14ac:dyDescent="0.25">
      <c r="B486" s="155" t="s">
        <v>3284</v>
      </c>
      <c r="C486" s="156" t="s">
        <v>3285</v>
      </c>
      <c r="D486" s="156" t="s">
        <v>3286</v>
      </c>
      <c r="E486" s="152" t="s">
        <v>2083</v>
      </c>
      <c r="F486" s="153">
        <v>0</v>
      </c>
    </row>
    <row r="487" spans="2:6" x14ac:dyDescent="0.25">
      <c r="B487" s="152" t="s">
        <v>1909</v>
      </c>
      <c r="C487" s="153" t="s">
        <v>3287</v>
      </c>
      <c r="D487" s="153" t="s">
        <v>3288</v>
      </c>
      <c r="E487" s="152" t="s">
        <v>2083</v>
      </c>
      <c r="F487" s="153">
        <v>0</v>
      </c>
    </row>
    <row r="488" spans="2:6" x14ac:dyDescent="0.25">
      <c r="B488" s="152" t="s">
        <v>1147</v>
      </c>
      <c r="C488" s="153" t="s">
        <v>3289</v>
      </c>
      <c r="D488" s="153" t="s">
        <v>3290</v>
      </c>
      <c r="E488" s="152" t="s">
        <v>2086</v>
      </c>
      <c r="F488" s="154">
        <v>39975</v>
      </c>
    </row>
    <row r="489" spans="2:6" x14ac:dyDescent="0.25">
      <c r="B489" s="152" t="s">
        <v>1915</v>
      </c>
      <c r="C489" s="153" t="s">
        <v>3291</v>
      </c>
      <c r="D489" s="153" t="s">
        <v>3292</v>
      </c>
      <c r="E489" s="152" t="s">
        <v>2083</v>
      </c>
      <c r="F489" s="153">
        <v>0</v>
      </c>
    </row>
    <row r="490" spans="2:6" x14ac:dyDescent="0.25">
      <c r="B490" s="152" t="s">
        <v>3293</v>
      </c>
      <c r="C490" s="153" t="s">
        <v>3294</v>
      </c>
      <c r="D490" s="153" t="s">
        <v>3295</v>
      </c>
      <c r="E490" s="152" t="s">
        <v>2083</v>
      </c>
      <c r="F490" s="153">
        <v>0</v>
      </c>
    </row>
    <row r="491" spans="2:6" x14ac:dyDescent="0.25">
      <c r="B491" s="152" t="s">
        <v>3296</v>
      </c>
      <c r="C491" s="153" t="s">
        <v>3297</v>
      </c>
      <c r="D491" s="153" t="s">
        <v>3298</v>
      </c>
      <c r="E491" s="152" t="s">
        <v>2083</v>
      </c>
      <c r="F491" s="153">
        <v>0</v>
      </c>
    </row>
    <row r="492" spans="2:6" x14ac:dyDescent="0.25">
      <c r="B492" s="152" t="s">
        <v>1828</v>
      </c>
      <c r="C492" s="153" t="s">
        <v>3299</v>
      </c>
      <c r="D492" s="153" t="s">
        <v>3300</v>
      </c>
      <c r="E492" s="152" t="s">
        <v>2086</v>
      </c>
      <c r="F492" s="154">
        <v>5950</v>
      </c>
    </row>
    <row r="493" spans="2:6" x14ac:dyDescent="0.25">
      <c r="B493" s="152" t="s">
        <v>3301</v>
      </c>
      <c r="C493" s="153" t="s">
        <v>3302</v>
      </c>
      <c r="D493" s="153" t="s">
        <v>3303</v>
      </c>
      <c r="E493" s="152" t="s">
        <v>2083</v>
      </c>
      <c r="F493" s="153">
        <v>0</v>
      </c>
    </row>
    <row r="494" spans="2:6" x14ac:dyDescent="0.25">
      <c r="B494" s="152" t="s">
        <v>3304</v>
      </c>
      <c r="C494" s="153" t="s">
        <v>3305</v>
      </c>
      <c r="D494" s="153" t="s">
        <v>3306</v>
      </c>
      <c r="E494" s="152" t="s">
        <v>2083</v>
      </c>
      <c r="F494" s="153">
        <v>0</v>
      </c>
    </row>
    <row r="495" spans="2:6" x14ac:dyDescent="0.25">
      <c r="B495" s="152" t="s">
        <v>3307</v>
      </c>
      <c r="C495" s="153" t="s">
        <v>3308</v>
      </c>
      <c r="D495" s="153" t="s">
        <v>3309</v>
      </c>
      <c r="E495" s="152" t="s">
        <v>2083</v>
      </c>
      <c r="F495" s="153">
        <v>0</v>
      </c>
    </row>
    <row r="496" spans="2:6" x14ac:dyDescent="0.25">
      <c r="B496" s="152" t="s">
        <v>3310</v>
      </c>
      <c r="C496" s="153" t="s">
        <v>3311</v>
      </c>
      <c r="D496" s="153" t="s">
        <v>3312</v>
      </c>
      <c r="E496" s="152" t="s">
        <v>2083</v>
      </c>
      <c r="F496" s="153">
        <v>0</v>
      </c>
    </row>
    <row r="497" spans="2:6" x14ac:dyDescent="0.25">
      <c r="B497" s="152" t="s">
        <v>3313</v>
      </c>
      <c r="C497" s="153" t="s">
        <v>3314</v>
      </c>
      <c r="D497" s="153" t="s">
        <v>3315</v>
      </c>
      <c r="E497" s="152" t="s">
        <v>2083</v>
      </c>
      <c r="F497" s="153">
        <v>0</v>
      </c>
    </row>
    <row r="498" spans="2:6" x14ac:dyDescent="0.25">
      <c r="B498" s="152" t="s">
        <v>3316</v>
      </c>
      <c r="C498" s="153" t="s">
        <v>3317</v>
      </c>
      <c r="D498" s="153" t="s">
        <v>3318</v>
      </c>
      <c r="E498" s="152" t="s">
        <v>2083</v>
      </c>
      <c r="F498" s="153">
        <v>0</v>
      </c>
    </row>
    <row r="499" spans="2:6" x14ac:dyDescent="0.25">
      <c r="B499" s="152" t="s">
        <v>3319</v>
      </c>
      <c r="C499" s="153" t="s">
        <v>3320</v>
      </c>
      <c r="D499" s="153" t="s">
        <v>3321</v>
      </c>
      <c r="E499" s="152" t="s">
        <v>2083</v>
      </c>
      <c r="F499" s="153">
        <v>0</v>
      </c>
    </row>
    <row r="500" spans="2:6" x14ac:dyDescent="0.25">
      <c r="B500" s="152" t="s">
        <v>3322</v>
      </c>
      <c r="C500" s="153" t="s">
        <v>3323</v>
      </c>
      <c r="D500" s="153" t="s">
        <v>3324</v>
      </c>
      <c r="E500" s="152" t="s">
        <v>2083</v>
      </c>
      <c r="F500" s="153">
        <v>0</v>
      </c>
    </row>
    <row r="501" spans="2:6" x14ac:dyDescent="0.25">
      <c r="B501" s="152" t="s">
        <v>3325</v>
      </c>
      <c r="C501" s="153" t="s">
        <v>3326</v>
      </c>
      <c r="D501" s="153" t="s">
        <v>3327</v>
      </c>
      <c r="E501" s="152" t="s">
        <v>2083</v>
      </c>
      <c r="F501" s="153">
        <v>0</v>
      </c>
    </row>
    <row r="502" spans="2:6" x14ac:dyDescent="0.25">
      <c r="B502" s="152" t="s">
        <v>3328</v>
      </c>
      <c r="C502" s="153" t="s">
        <v>3329</v>
      </c>
      <c r="D502" s="153" t="s">
        <v>3330</v>
      </c>
      <c r="E502" s="152" t="s">
        <v>2083</v>
      </c>
      <c r="F502" s="153">
        <v>0</v>
      </c>
    </row>
    <row r="503" spans="2:6" x14ac:dyDescent="0.25">
      <c r="B503" s="152" t="s">
        <v>1808</v>
      </c>
      <c r="C503" s="153" t="s">
        <v>3331</v>
      </c>
      <c r="D503" s="153" t="s">
        <v>3332</v>
      </c>
      <c r="E503" s="152" t="s">
        <v>2083</v>
      </c>
      <c r="F503" s="153">
        <v>0</v>
      </c>
    </row>
    <row r="504" spans="2:6" x14ac:dyDescent="0.25">
      <c r="B504" s="152" t="s">
        <v>3333</v>
      </c>
      <c r="C504" s="153" t="s">
        <v>3334</v>
      </c>
      <c r="D504" s="153" t="s">
        <v>3335</v>
      </c>
      <c r="E504" s="152" t="s">
        <v>2083</v>
      </c>
      <c r="F504" s="153">
        <v>0</v>
      </c>
    </row>
    <row r="505" spans="2:6" x14ac:dyDescent="0.25">
      <c r="B505" s="152" t="s">
        <v>3336</v>
      </c>
      <c r="C505" s="153" t="s">
        <v>3337</v>
      </c>
      <c r="D505" s="153" t="s">
        <v>3338</v>
      </c>
      <c r="E505" s="152" t="s">
        <v>2086</v>
      </c>
      <c r="F505" s="154">
        <v>4160</v>
      </c>
    </row>
    <row r="506" spans="2:6" x14ac:dyDescent="0.25">
      <c r="B506" s="152" t="s">
        <v>3339</v>
      </c>
      <c r="C506" s="153" t="s">
        <v>3340</v>
      </c>
      <c r="D506" s="153" t="s">
        <v>3341</v>
      </c>
      <c r="E506" s="152" t="s">
        <v>2083</v>
      </c>
      <c r="F506" s="153">
        <v>0</v>
      </c>
    </row>
    <row r="507" spans="2:6" x14ac:dyDescent="0.25">
      <c r="B507" s="152" t="s">
        <v>3342</v>
      </c>
      <c r="C507" s="153" t="s">
        <v>3343</v>
      </c>
      <c r="D507" s="153" t="s">
        <v>3344</v>
      </c>
      <c r="E507" s="152" t="s">
        <v>2083</v>
      </c>
      <c r="F507" s="153">
        <v>0</v>
      </c>
    </row>
    <row r="508" spans="2:6" x14ac:dyDescent="0.25">
      <c r="B508" s="152" t="s">
        <v>3345</v>
      </c>
      <c r="C508" s="153" t="s">
        <v>3346</v>
      </c>
      <c r="D508" s="153" t="s">
        <v>3347</v>
      </c>
      <c r="E508" s="152" t="s">
        <v>2083</v>
      </c>
      <c r="F508" s="153">
        <v>0</v>
      </c>
    </row>
    <row r="509" spans="2:6" x14ac:dyDescent="0.25">
      <c r="B509" s="152" t="s">
        <v>927</v>
      </c>
      <c r="C509" s="153" t="s">
        <v>3348</v>
      </c>
      <c r="D509" s="153" t="s">
        <v>3349</v>
      </c>
      <c r="E509" s="152" t="s">
        <v>2086</v>
      </c>
      <c r="F509" s="154">
        <v>6500</v>
      </c>
    </row>
    <row r="510" spans="2:6" x14ac:dyDescent="0.25">
      <c r="B510" s="152" t="s">
        <v>3350</v>
      </c>
      <c r="C510" s="153" t="s">
        <v>3351</v>
      </c>
      <c r="D510" s="153" t="s">
        <v>3352</v>
      </c>
      <c r="E510" s="152" t="s">
        <v>2083</v>
      </c>
      <c r="F510" s="153">
        <v>0</v>
      </c>
    </row>
    <row r="511" spans="2:6" x14ac:dyDescent="0.25">
      <c r="B511" s="152" t="s">
        <v>3353</v>
      </c>
      <c r="C511" s="153" t="s">
        <v>3354</v>
      </c>
      <c r="D511" s="153" t="s">
        <v>3355</v>
      </c>
      <c r="E511" s="152" t="s">
        <v>2083</v>
      </c>
      <c r="F511" s="153">
        <v>0</v>
      </c>
    </row>
    <row r="512" spans="2:6" x14ac:dyDescent="0.25">
      <c r="B512" s="152" t="s">
        <v>3356</v>
      </c>
      <c r="C512" s="153" t="s">
        <v>3357</v>
      </c>
      <c r="D512" s="153" t="s">
        <v>3358</v>
      </c>
      <c r="E512" s="152" t="s">
        <v>2083</v>
      </c>
      <c r="F512" s="153">
        <v>0</v>
      </c>
    </row>
    <row r="513" spans="2:6" x14ac:dyDescent="0.25">
      <c r="B513" s="152" t="s">
        <v>795</v>
      </c>
      <c r="C513" s="153" t="s">
        <v>3359</v>
      </c>
      <c r="D513" s="153" t="s">
        <v>3360</v>
      </c>
      <c r="E513" s="152" t="s">
        <v>2086</v>
      </c>
      <c r="F513" s="154">
        <v>1900</v>
      </c>
    </row>
    <row r="514" spans="2:6" x14ac:dyDescent="0.25">
      <c r="B514" s="152" t="s">
        <v>3361</v>
      </c>
      <c r="C514" s="153" t="s">
        <v>3362</v>
      </c>
      <c r="D514" s="153" t="s">
        <v>3363</v>
      </c>
      <c r="E514" s="152" t="s">
        <v>2083</v>
      </c>
      <c r="F514" s="153">
        <v>0</v>
      </c>
    </row>
    <row r="515" spans="2:6" x14ac:dyDescent="0.25">
      <c r="B515" s="152" t="s">
        <v>1863</v>
      </c>
      <c r="C515" s="153" t="s">
        <v>3364</v>
      </c>
      <c r="D515" s="153" t="s">
        <v>3365</v>
      </c>
      <c r="E515" s="152" t="s">
        <v>2086</v>
      </c>
      <c r="F515" s="154">
        <v>1300</v>
      </c>
    </row>
    <row r="516" spans="2:6" x14ac:dyDescent="0.25">
      <c r="B516" s="152" t="s">
        <v>1854</v>
      </c>
      <c r="C516" s="153" t="s">
        <v>3366</v>
      </c>
      <c r="D516" s="153" t="s">
        <v>3367</v>
      </c>
      <c r="E516" s="152" t="s">
        <v>2086</v>
      </c>
      <c r="F516" s="153">
        <v>475</v>
      </c>
    </row>
    <row r="517" spans="2:6" x14ac:dyDescent="0.25">
      <c r="B517" s="152" t="s">
        <v>1075</v>
      </c>
      <c r="C517" s="153" t="s">
        <v>3368</v>
      </c>
      <c r="D517" s="153" t="s">
        <v>3369</v>
      </c>
      <c r="E517" s="152" t="s">
        <v>2083</v>
      </c>
      <c r="F517" s="153">
        <v>0</v>
      </c>
    </row>
    <row r="518" spans="2:6" x14ac:dyDescent="0.25">
      <c r="B518" s="152" t="s">
        <v>3370</v>
      </c>
      <c r="C518" s="153" t="s">
        <v>3371</v>
      </c>
      <c r="D518" s="153" t="s">
        <v>3372</v>
      </c>
      <c r="E518" s="152" t="s">
        <v>2083</v>
      </c>
      <c r="F518" s="153">
        <v>0</v>
      </c>
    </row>
    <row r="519" spans="2:6" x14ac:dyDescent="0.25">
      <c r="B519" s="152" t="s">
        <v>1519</v>
      </c>
      <c r="C519" s="153" t="s">
        <v>3373</v>
      </c>
      <c r="D519" s="153" t="s">
        <v>3374</v>
      </c>
      <c r="E519" s="152" t="s">
        <v>2083</v>
      </c>
      <c r="F519" s="153">
        <v>0</v>
      </c>
    </row>
    <row r="520" spans="2:6" x14ac:dyDescent="0.25">
      <c r="B520" s="152" t="s">
        <v>76</v>
      </c>
      <c r="C520" s="153" t="s">
        <v>3375</v>
      </c>
      <c r="D520" s="153" t="s">
        <v>3376</v>
      </c>
      <c r="E520" s="152" t="s">
        <v>2083</v>
      </c>
      <c r="F520" s="153">
        <v>0</v>
      </c>
    </row>
    <row r="521" spans="2:6" x14ac:dyDescent="0.25">
      <c r="B521" s="152" t="s">
        <v>3377</v>
      </c>
      <c r="C521" s="153" t="s">
        <v>3378</v>
      </c>
      <c r="D521" s="153" t="s">
        <v>3379</v>
      </c>
      <c r="E521" s="152" t="s">
        <v>2083</v>
      </c>
      <c r="F521" s="153">
        <v>0</v>
      </c>
    </row>
    <row r="522" spans="2:6" x14ac:dyDescent="0.25">
      <c r="B522" s="152" t="s">
        <v>161</v>
      </c>
      <c r="C522" s="153" t="s">
        <v>3380</v>
      </c>
      <c r="D522" s="153" t="s">
        <v>3381</v>
      </c>
      <c r="E522" s="152" t="s">
        <v>2083</v>
      </c>
      <c r="F522" s="153">
        <v>0</v>
      </c>
    </row>
    <row r="523" spans="2:6" x14ac:dyDescent="0.25">
      <c r="B523" s="152" t="s">
        <v>3382</v>
      </c>
      <c r="C523" s="153" t="s">
        <v>3383</v>
      </c>
      <c r="D523" s="153" t="s">
        <v>3384</v>
      </c>
      <c r="E523" s="152" t="s">
        <v>2083</v>
      </c>
      <c r="F523" s="153">
        <v>0</v>
      </c>
    </row>
    <row r="524" spans="2:6" x14ac:dyDescent="0.25">
      <c r="B524" s="152" t="s">
        <v>3385</v>
      </c>
      <c r="C524" s="153" t="s">
        <v>3386</v>
      </c>
      <c r="D524" s="153" t="s">
        <v>3387</v>
      </c>
      <c r="E524" s="152" t="s">
        <v>2083</v>
      </c>
      <c r="F524" s="153">
        <v>0</v>
      </c>
    </row>
    <row r="525" spans="2:6" x14ac:dyDescent="0.25">
      <c r="B525" s="152" t="s">
        <v>1469</v>
      </c>
      <c r="C525" s="153" t="s">
        <v>3388</v>
      </c>
      <c r="D525" s="153" t="s">
        <v>3389</v>
      </c>
      <c r="E525" s="152" t="s">
        <v>2083</v>
      </c>
      <c r="F525" s="153">
        <v>0</v>
      </c>
    </row>
    <row r="526" spans="2:6" x14ac:dyDescent="0.25">
      <c r="B526" s="152" t="s">
        <v>163</v>
      </c>
      <c r="C526" s="153" t="s">
        <v>3390</v>
      </c>
      <c r="D526" s="153" t="s">
        <v>3391</v>
      </c>
      <c r="E526" s="152" t="s">
        <v>2083</v>
      </c>
      <c r="F526" s="153">
        <v>0</v>
      </c>
    </row>
    <row r="527" spans="2:6" x14ac:dyDescent="0.25">
      <c r="B527" s="152" t="s">
        <v>1888</v>
      </c>
      <c r="C527" s="153" t="s">
        <v>3392</v>
      </c>
      <c r="D527" s="153" t="s">
        <v>3393</v>
      </c>
      <c r="E527" s="152" t="s">
        <v>2086</v>
      </c>
      <c r="F527" s="154">
        <v>5400</v>
      </c>
    </row>
    <row r="528" spans="2:6" x14ac:dyDescent="0.25">
      <c r="B528" s="152" t="s">
        <v>3394</v>
      </c>
      <c r="C528" s="153" t="s">
        <v>3395</v>
      </c>
      <c r="D528" s="153" t="s">
        <v>3396</v>
      </c>
      <c r="E528" s="152" t="s">
        <v>2083</v>
      </c>
      <c r="F528" s="153">
        <v>0</v>
      </c>
    </row>
    <row r="529" spans="2:6" x14ac:dyDescent="0.25">
      <c r="B529" s="152" t="s">
        <v>3397</v>
      </c>
      <c r="C529" s="153" t="s">
        <v>3398</v>
      </c>
      <c r="D529" s="153" t="s">
        <v>3399</v>
      </c>
      <c r="E529" s="152" t="s">
        <v>2083</v>
      </c>
      <c r="F529" s="153">
        <v>0</v>
      </c>
    </row>
    <row r="530" spans="2:6" x14ac:dyDescent="0.25">
      <c r="B530" s="152" t="s">
        <v>3400</v>
      </c>
      <c r="C530" s="153" t="s">
        <v>3401</v>
      </c>
      <c r="D530" s="153" t="s">
        <v>3402</v>
      </c>
      <c r="E530" s="152" t="s">
        <v>2083</v>
      </c>
      <c r="F530" s="153">
        <v>0</v>
      </c>
    </row>
    <row r="531" spans="2:6" x14ac:dyDescent="0.25">
      <c r="B531" s="152" t="s">
        <v>3403</v>
      </c>
      <c r="C531" s="153" t="s">
        <v>3404</v>
      </c>
      <c r="D531" s="153" t="s">
        <v>3405</v>
      </c>
      <c r="E531" s="152" t="s">
        <v>2083</v>
      </c>
      <c r="F531" s="153">
        <v>0</v>
      </c>
    </row>
    <row r="532" spans="2:6" x14ac:dyDescent="0.25">
      <c r="B532" s="152" t="s">
        <v>3406</v>
      </c>
      <c r="C532" s="153" t="s">
        <v>3407</v>
      </c>
      <c r="D532" s="153" t="s">
        <v>3408</v>
      </c>
      <c r="E532" s="152" t="s">
        <v>2083</v>
      </c>
      <c r="F532" s="153">
        <v>0</v>
      </c>
    </row>
    <row r="533" spans="2:6" x14ac:dyDescent="0.25">
      <c r="B533" s="152" t="s">
        <v>3409</v>
      </c>
      <c r="C533" s="153" t="s">
        <v>3410</v>
      </c>
      <c r="D533" s="153" t="s">
        <v>3411</v>
      </c>
      <c r="E533" s="152" t="s">
        <v>2083</v>
      </c>
      <c r="F533" s="153">
        <v>0</v>
      </c>
    </row>
    <row r="534" spans="2:6" x14ac:dyDescent="0.25">
      <c r="B534" s="152" t="s">
        <v>3412</v>
      </c>
      <c r="C534" s="153" t="s">
        <v>3413</v>
      </c>
      <c r="D534" s="153" t="s">
        <v>3414</v>
      </c>
      <c r="E534" s="152" t="s">
        <v>2086</v>
      </c>
      <c r="F534" s="154">
        <v>2000</v>
      </c>
    </row>
    <row r="535" spans="2:6" x14ac:dyDescent="0.25">
      <c r="B535" s="152" t="s">
        <v>3415</v>
      </c>
      <c r="C535" s="153" t="s">
        <v>3416</v>
      </c>
      <c r="D535" s="153" t="s">
        <v>3417</v>
      </c>
      <c r="E535" s="152" t="s">
        <v>2083</v>
      </c>
      <c r="F535" s="153">
        <v>0</v>
      </c>
    </row>
    <row r="536" spans="2:6" x14ac:dyDescent="0.25">
      <c r="B536" s="152" t="s">
        <v>3418</v>
      </c>
      <c r="C536" s="153" t="s">
        <v>3419</v>
      </c>
      <c r="D536" s="153" t="s">
        <v>3420</v>
      </c>
      <c r="E536" s="152" t="s">
        <v>2083</v>
      </c>
      <c r="F536" s="153">
        <v>0</v>
      </c>
    </row>
    <row r="537" spans="2:6" x14ac:dyDescent="0.25">
      <c r="B537" s="152" t="s">
        <v>3421</v>
      </c>
      <c r="C537" s="153" t="s">
        <v>3422</v>
      </c>
      <c r="D537" s="153" t="s">
        <v>3423</v>
      </c>
      <c r="E537" s="152" t="s">
        <v>2083</v>
      </c>
      <c r="F537" s="153">
        <v>0</v>
      </c>
    </row>
    <row r="538" spans="2:6" x14ac:dyDescent="0.25">
      <c r="B538" s="152" t="s">
        <v>735</v>
      </c>
      <c r="C538" s="153" t="s">
        <v>3424</v>
      </c>
      <c r="D538" s="153" t="s">
        <v>3425</v>
      </c>
      <c r="E538" s="152" t="s">
        <v>2086</v>
      </c>
      <c r="F538" s="154">
        <v>39100</v>
      </c>
    </row>
    <row r="539" spans="2:6" x14ac:dyDescent="0.25">
      <c r="B539" s="152" t="s">
        <v>1403</v>
      </c>
      <c r="C539" s="153" t="s">
        <v>3426</v>
      </c>
      <c r="D539" s="153" t="s">
        <v>3427</v>
      </c>
      <c r="E539" s="152" t="s">
        <v>2086</v>
      </c>
      <c r="F539" s="154">
        <v>45900</v>
      </c>
    </row>
    <row r="540" spans="2:6" x14ac:dyDescent="0.25">
      <c r="B540" s="152" t="s">
        <v>1848</v>
      </c>
      <c r="C540" s="153" t="s">
        <v>3428</v>
      </c>
      <c r="D540" s="153" t="s">
        <v>3429</v>
      </c>
      <c r="E540" s="152" t="s">
        <v>2086</v>
      </c>
      <c r="F540" s="154">
        <v>4800</v>
      </c>
    </row>
    <row r="541" spans="2:6" x14ac:dyDescent="0.25">
      <c r="B541" s="152" t="s">
        <v>1851</v>
      </c>
      <c r="C541" s="153" t="s">
        <v>3430</v>
      </c>
      <c r="D541" s="153" t="s">
        <v>3431</v>
      </c>
      <c r="E541" s="152" t="s">
        <v>2086</v>
      </c>
      <c r="F541" s="154">
        <v>5320</v>
      </c>
    </row>
    <row r="542" spans="2:6" x14ac:dyDescent="0.25">
      <c r="B542" s="152" t="s">
        <v>3432</v>
      </c>
      <c r="C542" s="153" t="s">
        <v>3433</v>
      </c>
      <c r="D542" s="153" t="s">
        <v>3434</v>
      </c>
      <c r="E542" s="152" t="s">
        <v>2083</v>
      </c>
      <c r="F542" s="153">
        <v>0</v>
      </c>
    </row>
    <row r="543" spans="2:6" x14ac:dyDescent="0.25">
      <c r="B543" s="152" t="s">
        <v>3435</v>
      </c>
      <c r="C543" s="153" t="s">
        <v>3436</v>
      </c>
      <c r="D543" s="153" t="s">
        <v>3437</v>
      </c>
      <c r="E543" s="152" t="s">
        <v>2083</v>
      </c>
      <c r="F543" s="153">
        <v>0</v>
      </c>
    </row>
    <row r="544" spans="2:6" x14ac:dyDescent="0.25">
      <c r="B544" s="152" t="s">
        <v>3438</v>
      </c>
      <c r="C544" s="153" t="s">
        <v>3439</v>
      </c>
      <c r="D544" s="153" t="s">
        <v>3440</v>
      </c>
      <c r="E544" s="152" t="s">
        <v>2083</v>
      </c>
      <c r="F544" s="153">
        <v>0</v>
      </c>
    </row>
    <row r="545" spans="2:6" x14ac:dyDescent="0.25">
      <c r="B545" s="152" t="s">
        <v>3441</v>
      </c>
      <c r="C545" s="153" t="s">
        <v>3442</v>
      </c>
      <c r="D545" s="153" t="s">
        <v>3443</v>
      </c>
      <c r="E545" s="152" t="s">
        <v>2083</v>
      </c>
      <c r="F545" s="153">
        <v>0</v>
      </c>
    </row>
    <row r="546" spans="2:6" x14ac:dyDescent="0.25">
      <c r="B546" s="152" t="s">
        <v>3444</v>
      </c>
      <c r="C546" s="153" t="s">
        <v>3445</v>
      </c>
      <c r="D546" s="153" t="s">
        <v>3446</v>
      </c>
      <c r="E546" s="152" t="s">
        <v>2083</v>
      </c>
      <c r="F546" s="153">
        <v>0</v>
      </c>
    </row>
    <row r="547" spans="2:6" x14ac:dyDescent="0.25">
      <c r="B547" s="152" t="s">
        <v>3447</v>
      </c>
      <c r="C547" s="153" t="s">
        <v>3448</v>
      </c>
      <c r="D547" s="153" t="s">
        <v>3449</v>
      </c>
      <c r="E547" s="152" t="s">
        <v>2083</v>
      </c>
      <c r="F547" s="153">
        <v>0</v>
      </c>
    </row>
    <row r="548" spans="2:6" x14ac:dyDescent="0.25">
      <c r="B548" s="152" t="s">
        <v>1623</v>
      </c>
      <c r="C548" s="153" t="s">
        <v>3450</v>
      </c>
      <c r="D548" s="153" t="s">
        <v>3451</v>
      </c>
      <c r="E548" s="152" t="s">
        <v>2086</v>
      </c>
      <c r="F548" s="154">
        <v>30000</v>
      </c>
    </row>
    <row r="549" spans="2:6" x14ac:dyDescent="0.25">
      <c r="B549" s="152" t="s">
        <v>3452</v>
      </c>
      <c r="C549" s="153" t="s">
        <v>3453</v>
      </c>
      <c r="D549" s="153" t="s">
        <v>3454</v>
      </c>
      <c r="E549" s="152" t="s">
        <v>2086</v>
      </c>
      <c r="F549" s="154">
        <v>10500</v>
      </c>
    </row>
    <row r="550" spans="2:6" x14ac:dyDescent="0.25">
      <c r="B550" s="152" t="s">
        <v>1677</v>
      </c>
      <c r="C550" s="153" t="s">
        <v>3455</v>
      </c>
      <c r="D550" s="153" t="s">
        <v>3456</v>
      </c>
      <c r="E550" s="152" t="s">
        <v>2083</v>
      </c>
      <c r="F550" s="153">
        <v>0</v>
      </c>
    </row>
    <row r="551" spans="2:6" x14ac:dyDescent="0.25">
      <c r="B551" s="152" t="s">
        <v>149</v>
      </c>
      <c r="C551" s="153" t="s">
        <v>3457</v>
      </c>
      <c r="D551" s="153" t="s">
        <v>3458</v>
      </c>
      <c r="E551" s="152" t="s">
        <v>2086</v>
      </c>
      <c r="F551" s="154">
        <v>145000</v>
      </c>
    </row>
    <row r="552" spans="2:6" x14ac:dyDescent="0.25">
      <c r="B552" s="152" t="s">
        <v>1516</v>
      </c>
      <c r="C552" s="153" t="s">
        <v>3459</v>
      </c>
      <c r="D552" s="153" t="s">
        <v>3460</v>
      </c>
      <c r="E552" s="152" t="s">
        <v>2086</v>
      </c>
      <c r="F552" s="154">
        <v>72410</v>
      </c>
    </row>
    <row r="553" spans="2:6" x14ac:dyDescent="0.25">
      <c r="B553" s="152" t="s">
        <v>1450</v>
      </c>
      <c r="C553" s="153" t="s">
        <v>3461</v>
      </c>
      <c r="D553" s="153" t="s">
        <v>3462</v>
      </c>
      <c r="E553" s="152" t="s">
        <v>2083</v>
      </c>
      <c r="F553" s="153">
        <v>0</v>
      </c>
    </row>
    <row r="554" spans="2:6" x14ac:dyDescent="0.25">
      <c r="B554" s="152" t="s">
        <v>1430</v>
      </c>
      <c r="C554" s="153" t="s">
        <v>3463</v>
      </c>
      <c r="D554" s="153" t="s">
        <v>3464</v>
      </c>
      <c r="E554" s="152" t="s">
        <v>2086</v>
      </c>
      <c r="F554" s="154">
        <v>39600</v>
      </c>
    </row>
    <row r="555" spans="2:6" x14ac:dyDescent="0.25">
      <c r="B555" s="152" t="s">
        <v>1875</v>
      </c>
      <c r="C555" s="153" t="s">
        <v>3465</v>
      </c>
      <c r="D555" s="153" t="s">
        <v>3466</v>
      </c>
      <c r="E555" s="152" t="s">
        <v>2086</v>
      </c>
      <c r="F555" s="154">
        <v>23800</v>
      </c>
    </row>
    <row r="556" spans="2:6" x14ac:dyDescent="0.25">
      <c r="B556" s="152" t="s">
        <v>143</v>
      </c>
      <c r="C556" s="153" t="s">
        <v>3467</v>
      </c>
      <c r="D556" s="153" t="s">
        <v>3468</v>
      </c>
      <c r="E556" s="152" t="s">
        <v>2086</v>
      </c>
      <c r="F556" s="154">
        <v>28700</v>
      </c>
    </row>
    <row r="557" spans="2:6" x14ac:dyDescent="0.25">
      <c r="B557" s="152" t="s">
        <v>3469</v>
      </c>
      <c r="C557" s="153" t="s">
        <v>3470</v>
      </c>
      <c r="D557" s="153" t="s">
        <v>3471</v>
      </c>
      <c r="E557" s="152" t="s">
        <v>2086</v>
      </c>
      <c r="F557" s="154">
        <v>522000</v>
      </c>
    </row>
    <row r="558" spans="2:6" x14ac:dyDescent="0.25">
      <c r="B558" s="152" t="s">
        <v>1263</v>
      </c>
      <c r="C558" s="153" t="s">
        <v>3472</v>
      </c>
      <c r="D558" s="153" t="s">
        <v>3473</v>
      </c>
      <c r="E558" s="152" t="s">
        <v>2086</v>
      </c>
      <c r="F558" s="154">
        <v>55000</v>
      </c>
    </row>
    <row r="559" spans="2:6" x14ac:dyDescent="0.25">
      <c r="B559" s="152" t="s">
        <v>3474</v>
      </c>
      <c r="C559" s="153" t="s">
        <v>3475</v>
      </c>
      <c r="D559" s="153" t="s">
        <v>3476</v>
      </c>
      <c r="E559" s="152" t="s">
        <v>2083</v>
      </c>
      <c r="F559" s="153">
        <v>0</v>
      </c>
    </row>
    <row r="560" spans="2:6" x14ac:dyDescent="0.25">
      <c r="B560" s="152" t="s">
        <v>1328</v>
      </c>
      <c r="C560" s="153" t="s">
        <v>3477</v>
      </c>
      <c r="D560" s="153" t="s">
        <v>3478</v>
      </c>
      <c r="E560" s="152" t="s">
        <v>2086</v>
      </c>
      <c r="F560" s="154">
        <v>1115000</v>
      </c>
    </row>
    <row r="561" spans="2:6" x14ac:dyDescent="0.25">
      <c r="B561" s="152" t="s">
        <v>1428</v>
      </c>
      <c r="C561" s="153" t="s">
        <v>3479</v>
      </c>
      <c r="D561" s="153" t="s">
        <v>3480</v>
      </c>
      <c r="E561" s="152" t="s">
        <v>2086</v>
      </c>
      <c r="F561" s="154">
        <v>49500</v>
      </c>
    </row>
    <row r="562" spans="2:6" x14ac:dyDescent="0.25">
      <c r="B562" s="152" t="s">
        <v>3481</v>
      </c>
      <c r="C562" s="153" t="s">
        <v>3482</v>
      </c>
      <c r="D562" s="153" t="s">
        <v>3483</v>
      </c>
      <c r="E562" s="152" t="s">
        <v>2086</v>
      </c>
      <c r="F562" s="154">
        <v>66200</v>
      </c>
    </row>
    <row r="563" spans="2:6" x14ac:dyDescent="0.25">
      <c r="B563" s="152" t="s">
        <v>1567</v>
      </c>
      <c r="C563" s="153" t="s">
        <v>3484</v>
      </c>
      <c r="D563" s="153" t="s">
        <v>3485</v>
      </c>
      <c r="E563" s="152" t="s">
        <v>2086</v>
      </c>
      <c r="F563" s="154">
        <v>186200</v>
      </c>
    </row>
    <row r="564" spans="2:6" x14ac:dyDescent="0.25">
      <c r="B564" s="152" t="s">
        <v>1448</v>
      </c>
      <c r="C564" s="153" t="s">
        <v>3486</v>
      </c>
      <c r="D564" s="153" t="s">
        <v>3487</v>
      </c>
      <c r="E564" s="152" t="s">
        <v>2086</v>
      </c>
      <c r="F564" s="154">
        <v>847500</v>
      </c>
    </row>
    <row r="565" spans="2:6" x14ac:dyDescent="0.25">
      <c r="B565" s="152" t="s">
        <v>727</v>
      </c>
      <c r="C565" s="153" t="s">
        <v>3488</v>
      </c>
      <c r="D565" s="153" t="s">
        <v>3489</v>
      </c>
      <c r="E565" s="152" t="s">
        <v>2086</v>
      </c>
      <c r="F565" s="154">
        <v>30600</v>
      </c>
    </row>
    <row r="566" spans="2:6" x14ac:dyDescent="0.25">
      <c r="B566" s="152" t="s">
        <v>1446</v>
      </c>
      <c r="C566" s="153" t="s">
        <v>3490</v>
      </c>
      <c r="D566" s="153" t="s">
        <v>3491</v>
      </c>
      <c r="E566" s="152" t="s">
        <v>2086</v>
      </c>
      <c r="F566" s="153">
        <v>420</v>
      </c>
    </row>
    <row r="567" spans="2:6" x14ac:dyDescent="0.25">
      <c r="B567" s="152" t="s">
        <v>1343</v>
      </c>
      <c r="C567" s="153" t="s">
        <v>3492</v>
      </c>
      <c r="D567" s="153" t="s">
        <v>3493</v>
      </c>
      <c r="E567" s="152" t="s">
        <v>2086</v>
      </c>
      <c r="F567" s="153">
        <v>338</v>
      </c>
    </row>
    <row r="568" spans="2:6" x14ac:dyDescent="0.25">
      <c r="B568" s="152" t="s">
        <v>1297</v>
      </c>
      <c r="C568" s="153" t="s">
        <v>3494</v>
      </c>
      <c r="D568" s="153" t="s">
        <v>3495</v>
      </c>
      <c r="E568" s="152" t="s">
        <v>2086</v>
      </c>
      <c r="F568" s="153">
        <v>22</v>
      </c>
    </row>
    <row r="569" spans="2:6" x14ac:dyDescent="0.25">
      <c r="B569" s="152" t="s">
        <v>1500</v>
      </c>
      <c r="C569" s="153" t="s">
        <v>3496</v>
      </c>
      <c r="D569" s="153" t="s">
        <v>3497</v>
      </c>
      <c r="E569" s="152" t="s">
        <v>2086</v>
      </c>
      <c r="F569" s="153">
        <v>789</v>
      </c>
    </row>
    <row r="570" spans="2:6" x14ac:dyDescent="0.25">
      <c r="B570" s="152" t="s">
        <v>1458</v>
      </c>
      <c r="C570" s="153" t="s">
        <v>3498</v>
      </c>
      <c r="D570" s="153" t="s">
        <v>3499</v>
      </c>
      <c r="E570" s="152" t="s">
        <v>2086</v>
      </c>
      <c r="F570" s="153">
        <v>8</v>
      </c>
    </row>
    <row r="571" spans="2:6" x14ac:dyDescent="0.25">
      <c r="B571" s="152" t="s">
        <v>1303</v>
      </c>
      <c r="C571" s="153" t="s">
        <v>3500</v>
      </c>
      <c r="D571" s="153" t="s">
        <v>3501</v>
      </c>
      <c r="E571" s="152" t="s">
        <v>2086</v>
      </c>
      <c r="F571" s="154">
        <v>66840</v>
      </c>
    </row>
    <row r="572" spans="2:6" x14ac:dyDescent="0.25">
      <c r="B572" s="152" t="s">
        <v>3502</v>
      </c>
      <c r="C572" s="153" t="s">
        <v>3503</v>
      </c>
      <c r="D572" s="153" t="s">
        <v>3504</v>
      </c>
      <c r="E572" s="152" t="s">
        <v>2086</v>
      </c>
      <c r="F572" s="154">
        <v>123450</v>
      </c>
    </row>
    <row r="573" spans="2:6" x14ac:dyDescent="0.25">
      <c r="B573" s="152" t="s">
        <v>3505</v>
      </c>
      <c r="C573" s="153" t="s">
        <v>3506</v>
      </c>
      <c r="D573" s="153" t="s">
        <v>3507</v>
      </c>
      <c r="E573" s="152" t="s">
        <v>2083</v>
      </c>
      <c r="F573" s="153">
        <v>0</v>
      </c>
    </row>
    <row r="574" spans="2:6" x14ac:dyDescent="0.25">
      <c r="B574" s="152" t="s">
        <v>3508</v>
      </c>
      <c r="C574" s="153" t="s">
        <v>3509</v>
      </c>
      <c r="D574" s="153" t="s">
        <v>3510</v>
      </c>
      <c r="E574" s="152" t="s">
        <v>2083</v>
      </c>
      <c r="F574" s="153">
        <v>0</v>
      </c>
    </row>
    <row r="575" spans="2:6" x14ac:dyDescent="0.25">
      <c r="B575" s="152" t="s">
        <v>990</v>
      </c>
      <c r="C575" s="153" t="s">
        <v>3511</v>
      </c>
      <c r="D575" s="153" t="s">
        <v>3512</v>
      </c>
      <c r="E575" s="152" t="s">
        <v>2086</v>
      </c>
      <c r="F575" s="154">
        <v>17900</v>
      </c>
    </row>
    <row r="576" spans="2:6" x14ac:dyDescent="0.25">
      <c r="B576" s="152" t="s">
        <v>2027</v>
      </c>
      <c r="C576" s="153" t="s">
        <v>3513</v>
      </c>
      <c r="D576" s="153" t="s">
        <v>3514</v>
      </c>
      <c r="E576" s="152" t="s">
        <v>2083</v>
      </c>
      <c r="F576" s="153">
        <v>0</v>
      </c>
    </row>
    <row r="577" spans="2:6" x14ac:dyDescent="0.25">
      <c r="B577" s="152" t="s">
        <v>1892</v>
      </c>
      <c r="C577" s="153" t="s">
        <v>3515</v>
      </c>
      <c r="D577" s="153" t="s">
        <v>3516</v>
      </c>
      <c r="E577" s="152" t="s">
        <v>2083</v>
      </c>
      <c r="F577" s="153">
        <v>0</v>
      </c>
    </row>
    <row r="578" spans="2:6" x14ac:dyDescent="0.25">
      <c r="B578" s="152" t="s">
        <v>1188</v>
      </c>
      <c r="C578" s="153" t="s">
        <v>3517</v>
      </c>
      <c r="D578" s="153" t="s">
        <v>3518</v>
      </c>
      <c r="E578" s="152" t="s">
        <v>2086</v>
      </c>
      <c r="F578" s="154">
        <v>37100</v>
      </c>
    </row>
    <row r="579" spans="2:6" x14ac:dyDescent="0.25">
      <c r="B579" s="152" t="s">
        <v>894</v>
      </c>
      <c r="C579" s="153" t="s">
        <v>3519</v>
      </c>
      <c r="D579" s="153" t="s">
        <v>3520</v>
      </c>
      <c r="E579" s="152" t="s">
        <v>2086</v>
      </c>
      <c r="F579" s="154">
        <v>72100</v>
      </c>
    </row>
    <row r="580" spans="2:6" x14ac:dyDescent="0.25">
      <c r="B580" s="152" t="s">
        <v>2024</v>
      </c>
      <c r="C580" s="153" t="s">
        <v>3521</v>
      </c>
      <c r="D580" s="153" t="s">
        <v>3522</v>
      </c>
      <c r="E580" s="152" t="s">
        <v>2086</v>
      </c>
      <c r="F580" s="154">
        <v>111000</v>
      </c>
    </row>
    <row r="581" spans="2:6" x14ac:dyDescent="0.25">
      <c r="B581" s="152" t="s">
        <v>1368</v>
      </c>
      <c r="C581" s="153" t="s">
        <v>3523</v>
      </c>
      <c r="D581" s="153" t="s">
        <v>3524</v>
      </c>
      <c r="E581" s="152" t="s">
        <v>2086</v>
      </c>
      <c r="F581" s="154">
        <v>73500</v>
      </c>
    </row>
    <row r="582" spans="2:6" x14ac:dyDescent="0.25">
      <c r="B582" s="152" t="s">
        <v>3525</v>
      </c>
      <c r="C582" s="153" t="s">
        <v>3526</v>
      </c>
      <c r="D582" s="153" t="s">
        <v>3527</v>
      </c>
      <c r="E582" s="152" t="s">
        <v>2086</v>
      </c>
      <c r="F582" s="154">
        <v>48500</v>
      </c>
    </row>
    <row r="583" spans="2:6" x14ac:dyDescent="0.25">
      <c r="B583" s="152" t="s">
        <v>3528</v>
      </c>
      <c r="C583" s="153" t="s">
        <v>3529</v>
      </c>
      <c r="D583" s="153" t="s">
        <v>3530</v>
      </c>
      <c r="E583" s="152" t="s">
        <v>2086</v>
      </c>
      <c r="F583" s="154">
        <v>2500</v>
      </c>
    </row>
    <row r="584" spans="2:6" x14ac:dyDescent="0.25">
      <c r="B584" s="152" t="s">
        <v>3531</v>
      </c>
      <c r="C584" s="153" t="s">
        <v>3532</v>
      </c>
      <c r="D584" s="153" t="s">
        <v>3533</v>
      </c>
      <c r="E584" s="152" t="s">
        <v>2083</v>
      </c>
      <c r="F584" s="153">
        <v>0</v>
      </c>
    </row>
    <row r="585" spans="2:6" x14ac:dyDescent="0.25">
      <c r="B585" s="152" t="s">
        <v>729</v>
      </c>
      <c r="C585" s="153" t="s">
        <v>3534</v>
      </c>
      <c r="D585" s="153" t="s">
        <v>3535</v>
      </c>
      <c r="E585" s="152" t="s">
        <v>2083</v>
      </c>
      <c r="F585" s="153">
        <v>0</v>
      </c>
    </row>
    <row r="586" spans="2:6" x14ac:dyDescent="0.25">
      <c r="B586" s="152" t="s">
        <v>731</v>
      </c>
      <c r="C586" s="153" t="s">
        <v>3536</v>
      </c>
      <c r="D586" s="153" t="s">
        <v>3537</v>
      </c>
      <c r="E586" s="152" t="s">
        <v>2083</v>
      </c>
      <c r="F586" s="153">
        <v>0</v>
      </c>
    </row>
    <row r="587" spans="2:6" x14ac:dyDescent="0.25">
      <c r="B587" s="152" t="s">
        <v>3538</v>
      </c>
      <c r="C587" s="153" t="s">
        <v>3539</v>
      </c>
      <c r="D587" s="153" t="s">
        <v>3540</v>
      </c>
      <c r="E587" s="152" t="s">
        <v>2083</v>
      </c>
      <c r="F587" s="153">
        <v>0</v>
      </c>
    </row>
    <row r="588" spans="2:6" x14ac:dyDescent="0.25">
      <c r="B588" s="152" t="s">
        <v>3541</v>
      </c>
      <c r="C588" s="153" t="s">
        <v>3542</v>
      </c>
      <c r="D588" s="153" t="s">
        <v>3543</v>
      </c>
      <c r="E588" s="152" t="s">
        <v>2083</v>
      </c>
      <c r="F588" s="153">
        <v>0</v>
      </c>
    </row>
    <row r="589" spans="2:6" x14ac:dyDescent="0.25">
      <c r="B589" s="152" t="s">
        <v>3544</v>
      </c>
      <c r="C589" s="153" t="s">
        <v>3545</v>
      </c>
      <c r="D589" s="153" t="s">
        <v>3546</v>
      </c>
      <c r="E589" s="152" t="s">
        <v>2086</v>
      </c>
      <c r="F589" s="154">
        <v>133500</v>
      </c>
    </row>
    <row r="590" spans="2:6" x14ac:dyDescent="0.25">
      <c r="B590" s="152" t="s">
        <v>3547</v>
      </c>
      <c r="C590" s="153" t="s">
        <v>3548</v>
      </c>
      <c r="D590" s="153" t="s">
        <v>3549</v>
      </c>
      <c r="E590" s="152" t="s">
        <v>2083</v>
      </c>
      <c r="F590" s="153">
        <v>0</v>
      </c>
    </row>
    <row r="591" spans="2:6" x14ac:dyDescent="0.25">
      <c r="B591" s="152" t="s">
        <v>3550</v>
      </c>
      <c r="C591" s="153" t="s">
        <v>3551</v>
      </c>
      <c r="D591" s="153" t="s">
        <v>3552</v>
      </c>
      <c r="E591" s="152" t="s">
        <v>2086</v>
      </c>
      <c r="F591" s="154">
        <v>8000</v>
      </c>
    </row>
    <row r="592" spans="2:6" x14ac:dyDescent="0.25">
      <c r="B592" s="152" t="s">
        <v>1531</v>
      </c>
      <c r="C592" s="153" t="s">
        <v>3553</v>
      </c>
      <c r="D592" s="153" t="s">
        <v>3554</v>
      </c>
      <c r="E592" s="152" t="s">
        <v>2086</v>
      </c>
      <c r="F592" s="154">
        <v>1500</v>
      </c>
    </row>
    <row r="593" spans="2:6" x14ac:dyDescent="0.25">
      <c r="B593" s="152" t="s">
        <v>19</v>
      </c>
      <c r="C593" s="153" t="s">
        <v>3555</v>
      </c>
      <c r="D593" s="153" t="s">
        <v>3556</v>
      </c>
      <c r="E593" s="152" t="s">
        <v>2086</v>
      </c>
      <c r="F593" s="154">
        <v>26500</v>
      </c>
    </row>
    <row r="594" spans="2:6" x14ac:dyDescent="0.25">
      <c r="B594" s="152" t="s">
        <v>805</v>
      </c>
      <c r="C594" s="153" t="s">
        <v>3557</v>
      </c>
      <c r="D594" s="153" t="s">
        <v>3558</v>
      </c>
      <c r="E594" s="152" t="s">
        <v>2086</v>
      </c>
      <c r="F594" s="154">
        <v>21880</v>
      </c>
    </row>
    <row r="595" spans="2:6" x14ac:dyDescent="0.25">
      <c r="B595" s="152" t="s">
        <v>3559</v>
      </c>
      <c r="C595" s="153" t="s">
        <v>3560</v>
      </c>
      <c r="D595" s="153" t="s">
        <v>3561</v>
      </c>
      <c r="E595" s="152" t="s">
        <v>2083</v>
      </c>
      <c r="F595" s="153">
        <v>0</v>
      </c>
    </row>
    <row r="596" spans="2:6" x14ac:dyDescent="0.25">
      <c r="B596" s="152" t="s">
        <v>725</v>
      </c>
      <c r="C596" s="153" t="s">
        <v>3562</v>
      </c>
      <c r="D596" s="153" t="s">
        <v>3563</v>
      </c>
      <c r="E596" s="152" t="s">
        <v>2086</v>
      </c>
      <c r="F596" s="154">
        <v>18000</v>
      </c>
    </row>
    <row r="597" spans="2:6" x14ac:dyDescent="0.25">
      <c r="B597" s="155" t="s">
        <v>1877</v>
      </c>
      <c r="C597" s="156" t="s">
        <v>3564</v>
      </c>
      <c r="D597" s="156" t="s">
        <v>3565</v>
      </c>
      <c r="E597" s="152" t="s">
        <v>2086</v>
      </c>
      <c r="F597" s="154">
        <v>1200</v>
      </c>
    </row>
    <row r="598" spans="2:6" x14ac:dyDescent="0.25">
      <c r="B598" s="155" t="s">
        <v>3566</v>
      </c>
      <c r="C598" s="156" t="s">
        <v>3567</v>
      </c>
      <c r="D598" s="156" t="s">
        <v>3568</v>
      </c>
      <c r="E598" s="152" t="s">
        <v>2086</v>
      </c>
      <c r="F598" s="154">
        <v>3105</v>
      </c>
    </row>
    <row r="599" spans="2:6" x14ac:dyDescent="0.25">
      <c r="B599" s="152" t="s">
        <v>3569</v>
      </c>
      <c r="C599" s="153" t="s">
        <v>3570</v>
      </c>
      <c r="D599" s="153" t="s">
        <v>3571</v>
      </c>
      <c r="E599" s="152" t="s">
        <v>2083</v>
      </c>
      <c r="F599" s="153">
        <v>0</v>
      </c>
    </row>
    <row r="600" spans="2:6" x14ac:dyDescent="0.25">
      <c r="B600" s="152" t="s">
        <v>3572</v>
      </c>
      <c r="C600" s="153" t="s">
        <v>3573</v>
      </c>
      <c r="D600" s="153" t="s">
        <v>3574</v>
      </c>
      <c r="E600" s="152" t="s">
        <v>2083</v>
      </c>
      <c r="F600" s="153">
        <v>0</v>
      </c>
    </row>
    <row r="601" spans="2:6" x14ac:dyDescent="0.25">
      <c r="B601" s="152" t="s">
        <v>3575</v>
      </c>
      <c r="C601" s="153" t="s">
        <v>3576</v>
      </c>
      <c r="D601" s="153" t="s">
        <v>3577</v>
      </c>
      <c r="E601" s="152" t="s">
        <v>2083</v>
      </c>
      <c r="F601" s="153">
        <v>0</v>
      </c>
    </row>
    <row r="602" spans="2:6" x14ac:dyDescent="0.25">
      <c r="B602" s="152" t="s">
        <v>3578</v>
      </c>
      <c r="C602" s="153" t="s">
        <v>3579</v>
      </c>
      <c r="D602" s="153" t="s">
        <v>3580</v>
      </c>
      <c r="E602" s="152" t="s">
        <v>2086</v>
      </c>
      <c r="F602" s="154">
        <v>35040</v>
      </c>
    </row>
    <row r="603" spans="2:6" x14ac:dyDescent="0.25">
      <c r="B603" s="152" t="s">
        <v>33</v>
      </c>
      <c r="C603" s="153" t="s">
        <v>3581</v>
      </c>
      <c r="D603" s="153" t="s">
        <v>3582</v>
      </c>
      <c r="E603" s="152" t="s">
        <v>2086</v>
      </c>
      <c r="F603" s="154">
        <v>95000</v>
      </c>
    </row>
    <row r="604" spans="2:6" x14ac:dyDescent="0.25">
      <c r="B604" s="152" t="s">
        <v>3583</v>
      </c>
      <c r="C604" s="153" t="s">
        <v>3584</v>
      </c>
      <c r="D604" s="153" t="s">
        <v>3585</v>
      </c>
      <c r="E604" s="152" t="s">
        <v>2083</v>
      </c>
      <c r="F604" s="153">
        <v>0</v>
      </c>
    </row>
    <row r="605" spans="2:6" x14ac:dyDescent="0.25">
      <c r="B605" s="152" t="s">
        <v>1455</v>
      </c>
      <c r="C605" s="153" t="s">
        <v>3586</v>
      </c>
      <c r="D605" s="153" t="s">
        <v>3587</v>
      </c>
      <c r="E605" s="152" t="s">
        <v>2083</v>
      </c>
      <c r="F605" s="153">
        <v>0</v>
      </c>
    </row>
    <row r="606" spans="2:6" x14ac:dyDescent="0.25">
      <c r="B606" s="152" t="s">
        <v>914</v>
      </c>
      <c r="C606" s="153" t="s">
        <v>3588</v>
      </c>
      <c r="D606" s="153" t="s">
        <v>3589</v>
      </c>
      <c r="E606" s="152" t="s">
        <v>2086</v>
      </c>
      <c r="F606" s="154">
        <v>1000</v>
      </c>
    </row>
    <row r="607" spans="2:6" x14ac:dyDescent="0.25">
      <c r="B607" s="152" t="s">
        <v>854</v>
      </c>
      <c r="C607" s="153" t="s">
        <v>3590</v>
      </c>
      <c r="D607" s="153" t="s">
        <v>3591</v>
      </c>
      <c r="E607" s="152" t="s">
        <v>2083</v>
      </c>
      <c r="F607" s="153">
        <v>0</v>
      </c>
    </row>
    <row r="608" spans="2:6" x14ac:dyDescent="0.25">
      <c r="B608" s="152" t="s">
        <v>948</v>
      </c>
      <c r="C608" s="153" t="s">
        <v>3592</v>
      </c>
      <c r="D608" s="153" t="s">
        <v>3593</v>
      </c>
      <c r="E608" s="152" t="s">
        <v>2083</v>
      </c>
      <c r="F608" s="153">
        <v>0</v>
      </c>
    </row>
    <row r="609" spans="2:6" x14ac:dyDescent="0.25">
      <c r="B609" s="152" t="s">
        <v>838</v>
      </c>
      <c r="C609" s="153" t="s">
        <v>3594</v>
      </c>
      <c r="D609" s="153" t="s">
        <v>3595</v>
      </c>
      <c r="E609" s="152" t="s">
        <v>2086</v>
      </c>
      <c r="F609" s="154">
        <v>32000</v>
      </c>
    </row>
    <row r="610" spans="2:6" x14ac:dyDescent="0.25">
      <c r="B610" s="152" t="s">
        <v>3596</v>
      </c>
      <c r="C610" s="153" t="s">
        <v>3597</v>
      </c>
      <c r="D610" s="153" t="s">
        <v>3598</v>
      </c>
      <c r="E610" s="152" t="s">
        <v>2083</v>
      </c>
      <c r="F610" s="153">
        <v>0</v>
      </c>
    </row>
    <row r="611" spans="2:6" x14ac:dyDescent="0.25">
      <c r="B611" s="152" t="s">
        <v>1178</v>
      </c>
      <c r="C611" s="153" t="s">
        <v>3599</v>
      </c>
      <c r="D611" s="153" t="s">
        <v>3600</v>
      </c>
      <c r="E611" s="152" t="s">
        <v>2086</v>
      </c>
      <c r="F611" s="154">
        <v>9000</v>
      </c>
    </row>
    <row r="612" spans="2:6" x14ac:dyDescent="0.25">
      <c r="B612" s="152" t="s">
        <v>1158</v>
      </c>
      <c r="C612" s="153" t="s">
        <v>3601</v>
      </c>
      <c r="D612" s="153" t="s">
        <v>3602</v>
      </c>
      <c r="E612" s="152" t="s">
        <v>2086</v>
      </c>
      <c r="F612" s="154">
        <v>11500</v>
      </c>
    </row>
    <row r="613" spans="2:6" x14ac:dyDescent="0.25">
      <c r="B613" s="152" t="s">
        <v>1587</v>
      </c>
      <c r="C613" s="153" t="s">
        <v>3603</v>
      </c>
      <c r="D613" s="153" t="s">
        <v>3604</v>
      </c>
      <c r="E613" s="152" t="s">
        <v>2086</v>
      </c>
      <c r="F613" s="154">
        <v>4000</v>
      </c>
    </row>
    <row r="614" spans="2:6" x14ac:dyDescent="0.25">
      <c r="B614" s="152" t="s">
        <v>3605</v>
      </c>
      <c r="C614" s="153" t="s">
        <v>3606</v>
      </c>
      <c r="D614" s="153" t="s">
        <v>3607</v>
      </c>
      <c r="E614" s="152" t="s">
        <v>2086</v>
      </c>
      <c r="F614" s="154">
        <v>26000</v>
      </c>
    </row>
    <row r="615" spans="2:6" x14ac:dyDescent="0.25">
      <c r="B615" s="152" t="s">
        <v>3608</v>
      </c>
      <c r="C615" s="153" t="s">
        <v>3609</v>
      </c>
      <c r="D615" s="153" t="s">
        <v>3610</v>
      </c>
      <c r="E615" s="152" t="s">
        <v>2086</v>
      </c>
      <c r="F615" s="154">
        <v>81000</v>
      </c>
    </row>
    <row r="616" spans="2:6" x14ac:dyDescent="0.25">
      <c r="B616" s="152" t="s">
        <v>3611</v>
      </c>
      <c r="C616" s="153" t="s">
        <v>3612</v>
      </c>
      <c r="D616" s="153" t="s">
        <v>3613</v>
      </c>
      <c r="E616" s="152" t="s">
        <v>2086</v>
      </c>
      <c r="F616" s="153">
        <v>500</v>
      </c>
    </row>
    <row r="617" spans="2:6" x14ac:dyDescent="0.25">
      <c r="B617" s="152" t="s">
        <v>3614</v>
      </c>
      <c r="C617" s="153" t="s">
        <v>3615</v>
      </c>
      <c r="D617" s="153" t="s">
        <v>3616</v>
      </c>
      <c r="E617" s="152" t="s">
        <v>2086</v>
      </c>
      <c r="F617" s="154">
        <v>6500</v>
      </c>
    </row>
    <row r="618" spans="2:6" x14ac:dyDescent="0.25">
      <c r="B618" s="152" t="s">
        <v>3617</v>
      </c>
      <c r="C618" s="153" t="s">
        <v>3618</v>
      </c>
      <c r="D618" s="153" t="s">
        <v>3619</v>
      </c>
      <c r="E618" s="152" t="s">
        <v>2083</v>
      </c>
      <c r="F618" s="153">
        <v>0</v>
      </c>
    </row>
    <row r="619" spans="2:6" x14ac:dyDescent="0.25">
      <c r="B619" s="152" t="s">
        <v>3620</v>
      </c>
      <c r="C619" s="153" t="s">
        <v>3621</v>
      </c>
      <c r="D619" s="153" t="s">
        <v>3622</v>
      </c>
      <c r="E619" s="152" t="s">
        <v>2083</v>
      </c>
      <c r="F619" s="153">
        <v>0</v>
      </c>
    </row>
    <row r="620" spans="2:6" x14ac:dyDescent="0.25">
      <c r="B620" s="152" t="s">
        <v>3623</v>
      </c>
      <c r="C620" s="153" t="s">
        <v>3624</v>
      </c>
      <c r="D620" s="153" t="s">
        <v>3625</v>
      </c>
      <c r="E620" s="152" t="s">
        <v>2083</v>
      </c>
      <c r="F620" s="153">
        <v>0</v>
      </c>
    </row>
    <row r="621" spans="2:6" x14ac:dyDescent="0.25">
      <c r="B621" s="155" t="s">
        <v>3626</v>
      </c>
      <c r="C621" s="156" t="s">
        <v>3627</v>
      </c>
      <c r="D621" s="156" t="s">
        <v>3628</v>
      </c>
      <c r="E621" s="152" t="s">
        <v>2083</v>
      </c>
      <c r="F621" s="153">
        <v>0</v>
      </c>
    </row>
    <row r="622" spans="2:6" x14ac:dyDescent="0.25">
      <c r="B622" s="152" t="s">
        <v>3629</v>
      </c>
      <c r="C622" s="153" t="s">
        <v>3630</v>
      </c>
      <c r="D622" s="153" t="s">
        <v>3631</v>
      </c>
      <c r="E622" s="152" t="s">
        <v>2083</v>
      </c>
      <c r="F622" s="153">
        <v>0</v>
      </c>
    </row>
    <row r="623" spans="2:6" x14ac:dyDescent="0.25">
      <c r="B623" s="152" t="s">
        <v>3632</v>
      </c>
      <c r="C623" s="153" t="s">
        <v>3633</v>
      </c>
      <c r="D623" s="153" t="s">
        <v>3634</v>
      </c>
      <c r="E623" s="152" t="s">
        <v>2083</v>
      </c>
      <c r="F623" s="153">
        <v>0</v>
      </c>
    </row>
    <row r="624" spans="2:6" x14ac:dyDescent="0.25">
      <c r="B624" s="152" t="s">
        <v>1234</v>
      </c>
      <c r="C624" s="153" t="s">
        <v>3635</v>
      </c>
      <c r="D624" s="153" t="s">
        <v>3636</v>
      </c>
      <c r="E624" s="152" t="s">
        <v>2086</v>
      </c>
      <c r="F624" s="154">
        <v>9000</v>
      </c>
    </row>
    <row r="625" spans="2:6" x14ac:dyDescent="0.25">
      <c r="B625" s="152" t="s">
        <v>204</v>
      </c>
      <c r="C625" s="153" t="s">
        <v>3637</v>
      </c>
      <c r="D625" s="153" t="s">
        <v>3638</v>
      </c>
      <c r="E625" s="152" t="s">
        <v>2083</v>
      </c>
      <c r="F625" s="153">
        <v>0</v>
      </c>
    </row>
    <row r="626" spans="2:6" x14ac:dyDescent="0.25">
      <c r="B626" s="152" t="s">
        <v>202</v>
      </c>
      <c r="C626" s="153" t="s">
        <v>3639</v>
      </c>
      <c r="D626" s="153" t="s">
        <v>3640</v>
      </c>
      <c r="E626" s="152" t="s">
        <v>2086</v>
      </c>
      <c r="F626" s="154">
        <v>13000</v>
      </c>
    </row>
    <row r="627" spans="2:6" x14ac:dyDescent="0.25">
      <c r="B627" s="152" t="s">
        <v>723</v>
      </c>
      <c r="C627" s="153" t="s">
        <v>3641</v>
      </c>
      <c r="D627" s="153" t="s">
        <v>3642</v>
      </c>
      <c r="E627" s="152" t="s">
        <v>49</v>
      </c>
      <c r="F627" s="154">
        <v>5000</v>
      </c>
    </row>
    <row r="628" spans="2:6" x14ac:dyDescent="0.25">
      <c r="B628" s="152" t="s">
        <v>3643</v>
      </c>
      <c r="C628" s="153" t="s">
        <v>3644</v>
      </c>
      <c r="D628" s="153" t="s">
        <v>3645</v>
      </c>
      <c r="E628" s="152" t="s">
        <v>2083</v>
      </c>
      <c r="F628" s="153">
        <v>0</v>
      </c>
    </row>
    <row r="629" spans="2:6" x14ac:dyDescent="0.25">
      <c r="B629" s="152" t="s">
        <v>3646</v>
      </c>
      <c r="C629" s="153" t="s">
        <v>3647</v>
      </c>
      <c r="D629" s="153" t="s">
        <v>3648</v>
      </c>
      <c r="E629" s="152" t="s">
        <v>2083</v>
      </c>
      <c r="F629" s="153">
        <v>0</v>
      </c>
    </row>
    <row r="630" spans="2:6" x14ac:dyDescent="0.25">
      <c r="B630" s="152" t="s">
        <v>3649</v>
      </c>
      <c r="C630" s="153" t="s">
        <v>3650</v>
      </c>
      <c r="D630" s="153" t="s">
        <v>3651</v>
      </c>
      <c r="E630" s="152" t="s">
        <v>2083</v>
      </c>
      <c r="F630" s="153">
        <v>0</v>
      </c>
    </row>
    <row r="631" spans="2:6" x14ac:dyDescent="0.25">
      <c r="B631" s="152" t="s">
        <v>1944</v>
      </c>
      <c r="C631" s="153" t="s">
        <v>3652</v>
      </c>
      <c r="D631" s="153" t="s">
        <v>3653</v>
      </c>
      <c r="E631" s="152" t="s">
        <v>2083</v>
      </c>
      <c r="F631" s="153">
        <v>0</v>
      </c>
    </row>
    <row r="632" spans="2:6" x14ac:dyDescent="0.25">
      <c r="B632" s="152" t="s">
        <v>228</v>
      </c>
      <c r="C632" s="153" t="s">
        <v>3654</v>
      </c>
      <c r="D632" s="153" t="s">
        <v>3655</v>
      </c>
      <c r="E632" s="152" t="s">
        <v>2086</v>
      </c>
      <c r="F632" s="154">
        <v>15000</v>
      </c>
    </row>
    <row r="633" spans="2:6" x14ac:dyDescent="0.25">
      <c r="B633" s="152" t="s">
        <v>226</v>
      </c>
      <c r="C633" s="153" t="s">
        <v>3656</v>
      </c>
      <c r="D633" s="153" t="s">
        <v>3657</v>
      </c>
      <c r="E633" s="152" t="s">
        <v>2086</v>
      </c>
      <c r="F633" s="154">
        <v>12500</v>
      </c>
    </row>
    <row r="634" spans="2:6" x14ac:dyDescent="0.25">
      <c r="B634" s="152" t="s">
        <v>3658</v>
      </c>
      <c r="C634" s="153" t="s">
        <v>3659</v>
      </c>
      <c r="D634" s="153" t="s">
        <v>3660</v>
      </c>
      <c r="E634" s="152" t="s">
        <v>2086</v>
      </c>
      <c r="F634" s="154">
        <v>2500</v>
      </c>
    </row>
    <row r="635" spans="2:6" x14ac:dyDescent="0.25">
      <c r="B635" s="152" t="s">
        <v>3661</v>
      </c>
      <c r="C635" s="153" t="s">
        <v>3662</v>
      </c>
      <c r="D635" s="153" t="s">
        <v>3663</v>
      </c>
      <c r="E635" s="152" t="s">
        <v>2086</v>
      </c>
      <c r="F635" s="154">
        <v>1000</v>
      </c>
    </row>
    <row r="636" spans="2:6" x14ac:dyDescent="0.25">
      <c r="B636" s="152" t="s">
        <v>1897</v>
      </c>
      <c r="C636" s="153" t="s">
        <v>3664</v>
      </c>
      <c r="D636" s="153" t="s">
        <v>1899</v>
      </c>
      <c r="E636" s="152" t="s">
        <v>2086</v>
      </c>
      <c r="F636" s="154">
        <v>2000</v>
      </c>
    </row>
    <row r="637" spans="2:6" x14ac:dyDescent="0.25">
      <c r="B637" s="152" t="s">
        <v>3665</v>
      </c>
      <c r="C637" s="153" t="s">
        <v>3666</v>
      </c>
      <c r="D637" s="153" t="s">
        <v>3667</v>
      </c>
      <c r="E637" s="152" t="s">
        <v>2086</v>
      </c>
      <c r="F637" s="154">
        <v>1500</v>
      </c>
    </row>
    <row r="638" spans="2:6" x14ac:dyDescent="0.25">
      <c r="B638" s="152" t="s">
        <v>3668</v>
      </c>
      <c r="C638" s="153" t="s">
        <v>3669</v>
      </c>
      <c r="D638" s="153" t="s">
        <v>3670</v>
      </c>
      <c r="E638" s="152" t="s">
        <v>2083</v>
      </c>
      <c r="F638" s="153">
        <v>0</v>
      </c>
    </row>
    <row r="639" spans="2:6" x14ac:dyDescent="0.25">
      <c r="B639" s="152" t="s">
        <v>3671</v>
      </c>
      <c r="C639" s="153" t="s">
        <v>3672</v>
      </c>
      <c r="D639" s="153" t="s">
        <v>3673</v>
      </c>
      <c r="E639" s="152" t="s">
        <v>2083</v>
      </c>
      <c r="F639" s="153">
        <v>0</v>
      </c>
    </row>
    <row r="640" spans="2:6" x14ac:dyDescent="0.25">
      <c r="B640" s="152" t="s">
        <v>3674</v>
      </c>
      <c r="C640" s="153" t="s">
        <v>3675</v>
      </c>
      <c r="D640" s="153" t="s">
        <v>3676</v>
      </c>
      <c r="E640" s="152" t="s">
        <v>2083</v>
      </c>
      <c r="F640" s="153">
        <v>0</v>
      </c>
    </row>
    <row r="641" spans="2:6" x14ac:dyDescent="0.25">
      <c r="B641" s="152" t="s">
        <v>3677</v>
      </c>
      <c r="C641" s="153" t="s">
        <v>3678</v>
      </c>
      <c r="D641" s="153" t="s">
        <v>3679</v>
      </c>
      <c r="E641" s="152" t="s">
        <v>2083</v>
      </c>
      <c r="F641" s="153">
        <v>0</v>
      </c>
    </row>
    <row r="642" spans="2:6" x14ac:dyDescent="0.25">
      <c r="B642" s="152" t="s">
        <v>3680</v>
      </c>
      <c r="C642" s="153" t="s">
        <v>3681</v>
      </c>
      <c r="D642" s="153" t="s">
        <v>3682</v>
      </c>
      <c r="E642" s="152" t="s">
        <v>2083</v>
      </c>
      <c r="F642" s="153">
        <v>0</v>
      </c>
    </row>
    <row r="643" spans="2:6" x14ac:dyDescent="0.25">
      <c r="B643" s="152" t="s">
        <v>3683</v>
      </c>
      <c r="C643" s="153" t="s">
        <v>3684</v>
      </c>
      <c r="D643" s="153" t="s">
        <v>3685</v>
      </c>
      <c r="E643" s="152" t="s">
        <v>2086</v>
      </c>
      <c r="F643" s="154">
        <v>10000</v>
      </c>
    </row>
    <row r="644" spans="2:6" x14ac:dyDescent="0.25">
      <c r="B644" s="152" t="s">
        <v>1739</v>
      </c>
      <c r="C644" s="153" t="s">
        <v>3686</v>
      </c>
      <c r="D644" s="153" t="s">
        <v>3687</v>
      </c>
      <c r="E644" s="152" t="s">
        <v>2083</v>
      </c>
      <c r="F644" s="153">
        <v>0</v>
      </c>
    </row>
    <row r="645" spans="2:6" x14ac:dyDescent="0.25">
      <c r="B645" s="152" t="s">
        <v>3688</v>
      </c>
      <c r="C645" s="153" t="s">
        <v>3689</v>
      </c>
      <c r="D645" s="153" t="s">
        <v>3690</v>
      </c>
      <c r="E645" s="152" t="s">
        <v>2083</v>
      </c>
      <c r="F645" s="153">
        <v>0</v>
      </c>
    </row>
    <row r="646" spans="2:6" x14ac:dyDescent="0.25">
      <c r="B646" s="152" t="s">
        <v>3691</v>
      </c>
      <c r="C646" s="153" t="s">
        <v>3692</v>
      </c>
      <c r="D646" s="153" t="s">
        <v>3693</v>
      </c>
      <c r="E646" s="152" t="s">
        <v>2083</v>
      </c>
      <c r="F646" s="153">
        <v>0</v>
      </c>
    </row>
    <row r="647" spans="2:6" x14ac:dyDescent="0.25">
      <c r="B647" s="152" t="s">
        <v>3694</v>
      </c>
      <c r="C647" s="153" t="s">
        <v>3695</v>
      </c>
      <c r="D647" s="153" t="s">
        <v>3696</v>
      </c>
      <c r="E647" s="152" t="s">
        <v>2086</v>
      </c>
      <c r="F647" s="154">
        <v>25000</v>
      </c>
    </row>
    <row r="648" spans="2:6" x14ac:dyDescent="0.25">
      <c r="B648" s="152" t="s">
        <v>3697</v>
      </c>
      <c r="C648" s="153" t="s">
        <v>3698</v>
      </c>
      <c r="D648" s="153" t="s">
        <v>3699</v>
      </c>
      <c r="E648" s="152" t="s">
        <v>2086</v>
      </c>
      <c r="F648" s="154">
        <v>25000</v>
      </c>
    </row>
    <row r="649" spans="2:6" x14ac:dyDescent="0.25">
      <c r="B649" s="152" t="s">
        <v>3700</v>
      </c>
      <c r="C649" s="153" t="s">
        <v>3701</v>
      </c>
      <c r="D649" s="153" t="s">
        <v>3702</v>
      </c>
      <c r="E649" s="152" t="s">
        <v>2083</v>
      </c>
      <c r="F649" s="153">
        <v>0</v>
      </c>
    </row>
    <row r="650" spans="2:6" x14ac:dyDescent="0.25">
      <c r="B650" s="152" t="s">
        <v>3703</v>
      </c>
      <c r="C650" s="153" t="s">
        <v>3704</v>
      </c>
      <c r="D650" s="153" t="s">
        <v>3705</v>
      </c>
      <c r="E650" s="152" t="s">
        <v>2083</v>
      </c>
      <c r="F650" s="153">
        <v>0</v>
      </c>
    </row>
    <row r="651" spans="2:6" x14ac:dyDescent="0.25">
      <c r="B651" s="152" t="s">
        <v>2067</v>
      </c>
      <c r="C651" s="153" t="s">
        <v>3706</v>
      </c>
      <c r="D651" s="153" t="s">
        <v>3707</v>
      </c>
      <c r="E651" s="152" t="s">
        <v>2086</v>
      </c>
      <c r="F651" s="154">
        <v>9000</v>
      </c>
    </row>
    <row r="652" spans="2:6" x14ac:dyDescent="0.25">
      <c r="B652" s="152" t="s">
        <v>3708</v>
      </c>
      <c r="C652" s="153" t="s">
        <v>3709</v>
      </c>
      <c r="D652" s="153" t="s">
        <v>3710</v>
      </c>
      <c r="E652" s="152" t="s">
        <v>2086</v>
      </c>
      <c r="F652" s="154">
        <v>2500</v>
      </c>
    </row>
    <row r="653" spans="2:6" x14ac:dyDescent="0.25">
      <c r="B653" s="152" t="s">
        <v>1684</v>
      </c>
      <c r="C653" s="153" t="s">
        <v>3711</v>
      </c>
      <c r="D653" s="153" t="s">
        <v>3712</v>
      </c>
      <c r="E653" s="152" t="s">
        <v>2086</v>
      </c>
      <c r="F653" s="154">
        <v>20000</v>
      </c>
    </row>
    <row r="654" spans="2:6" x14ac:dyDescent="0.25">
      <c r="B654" s="152" t="s">
        <v>2065</v>
      </c>
      <c r="C654" s="153" t="s">
        <v>3713</v>
      </c>
      <c r="D654" s="153" t="s">
        <v>3714</v>
      </c>
      <c r="E654" s="152" t="s">
        <v>2083</v>
      </c>
      <c r="F654" s="153">
        <v>0</v>
      </c>
    </row>
    <row r="655" spans="2:6" x14ac:dyDescent="0.25">
      <c r="B655" s="152" t="s">
        <v>3715</v>
      </c>
      <c r="C655" s="153" t="s">
        <v>3716</v>
      </c>
      <c r="D655" s="153" t="s">
        <v>3717</v>
      </c>
      <c r="E655" s="152" t="s">
        <v>2083</v>
      </c>
      <c r="F655" s="153">
        <v>0</v>
      </c>
    </row>
    <row r="656" spans="2:6" x14ac:dyDescent="0.25">
      <c r="B656" s="152" t="s">
        <v>3718</v>
      </c>
      <c r="C656" s="153" t="s">
        <v>3719</v>
      </c>
      <c r="D656" s="153" t="s">
        <v>3720</v>
      </c>
      <c r="E656" s="152" t="s">
        <v>2086</v>
      </c>
      <c r="F656" s="154">
        <v>4000</v>
      </c>
    </row>
    <row r="657" spans="2:6" x14ac:dyDescent="0.25">
      <c r="B657" s="152" t="s">
        <v>3721</v>
      </c>
      <c r="C657" s="153" t="s">
        <v>3722</v>
      </c>
      <c r="D657" s="153" t="s">
        <v>3723</v>
      </c>
      <c r="E657" s="152" t="s">
        <v>2083</v>
      </c>
      <c r="F657" s="153">
        <v>0</v>
      </c>
    </row>
    <row r="658" spans="2:6" x14ac:dyDescent="0.25">
      <c r="B658" s="152" t="s">
        <v>3724</v>
      </c>
      <c r="C658" s="153" t="s">
        <v>3725</v>
      </c>
      <c r="D658" s="153" t="s">
        <v>3726</v>
      </c>
      <c r="E658" s="152" t="s">
        <v>2083</v>
      </c>
      <c r="F658" s="153">
        <v>0</v>
      </c>
    </row>
    <row r="659" spans="2:6" x14ac:dyDescent="0.25">
      <c r="B659" s="152" t="s">
        <v>1935</v>
      </c>
      <c r="C659" s="153" t="s">
        <v>3727</v>
      </c>
      <c r="D659" s="153" t="s">
        <v>3728</v>
      </c>
      <c r="E659" s="152" t="s">
        <v>2083</v>
      </c>
      <c r="F659" s="153">
        <v>0</v>
      </c>
    </row>
    <row r="660" spans="2:6" x14ac:dyDescent="0.25">
      <c r="B660" s="152" t="s">
        <v>1938</v>
      </c>
      <c r="C660" s="153" t="s">
        <v>3729</v>
      </c>
      <c r="D660" s="153" t="s">
        <v>3730</v>
      </c>
      <c r="E660" s="152" t="s">
        <v>2083</v>
      </c>
      <c r="F660" s="153">
        <v>0</v>
      </c>
    </row>
    <row r="661" spans="2:6" x14ac:dyDescent="0.25">
      <c r="B661" s="152" t="s">
        <v>3731</v>
      </c>
      <c r="C661" s="153" t="s">
        <v>3732</v>
      </c>
      <c r="D661" s="153" t="s">
        <v>3733</v>
      </c>
      <c r="E661" s="152" t="s">
        <v>2083</v>
      </c>
      <c r="F661" s="153">
        <v>0</v>
      </c>
    </row>
    <row r="662" spans="2:6" x14ac:dyDescent="0.25">
      <c r="B662" s="152" t="s">
        <v>3734</v>
      </c>
      <c r="C662" s="153" t="s">
        <v>3735</v>
      </c>
      <c r="D662" s="153" t="s">
        <v>3736</v>
      </c>
      <c r="E662" s="152" t="s">
        <v>2083</v>
      </c>
      <c r="F662" s="153">
        <v>0</v>
      </c>
    </row>
    <row r="663" spans="2:6" x14ac:dyDescent="0.25">
      <c r="B663" s="152" t="s">
        <v>3737</v>
      </c>
      <c r="C663" s="153" t="s">
        <v>3738</v>
      </c>
      <c r="D663" s="153" t="s">
        <v>3739</v>
      </c>
      <c r="E663" s="152" t="s">
        <v>2083</v>
      </c>
      <c r="F663" s="153">
        <v>0</v>
      </c>
    </row>
    <row r="664" spans="2:6" x14ac:dyDescent="0.25">
      <c r="B664" s="152" t="s">
        <v>2047</v>
      </c>
      <c r="C664" s="153" t="s">
        <v>3740</v>
      </c>
      <c r="D664" s="153" t="s">
        <v>3741</v>
      </c>
      <c r="E664" s="152" t="s">
        <v>2083</v>
      </c>
      <c r="F664" s="153">
        <v>0</v>
      </c>
    </row>
    <row r="665" spans="2:6" x14ac:dyDescent="0.25">
      <c r="B665" s="152" t="s">
        <v>3742</v>
      </c>
      <c r="C665" s="153" t="s">
        <v>3743</v>
      </c>
      <c r="D665" s="153" t="s">
        <v>3744</v>
      </c>
      <c r="E665" s="152" t="s">
        <v>2083</v>
      </c>
      <c r="F665" s="153">
        <v>0</v>
      </c>
    </row>
    <row r="666" spans="2:6" x14ac:dyDescent="0.25">
      <c r="B666" s="152" t="s">
        <v>3745</v>
      </c>
      <c r="C666" s="153" t="s">
        <v>3746</v>
      </c>
      <c r="D666" s="153" t="s">
        <v>3747</v>
      </c>
      <c r="E666" s="152" t="s">
        <v>2083</v>
      </c>
      <c r="F666" s="153">
        <v>0</v>
      </c>
    </row>
    <row r="667" spans="2:6" x14ac:dyDescent="0.25">
      <c r="B667" s="152" t="s">
        <v>3748</v>
      </c>
      <c r="C667" s="153" t="s">
        <v>3749</v>
      </c>
      <c r="D667" s="153" t="s">
        <v>3750</v>
      </c>
      <c r="E667" s="152" t="s">
        <v>2086</v>
      </c>
      <c r="F667" s="154">
        <v>18000</v>
      </c>
    </row>
    <row r="668" spans="2:6" x14ac:dyDescent="0.25">
      <c r="B668" s="152" t="s">
        <v>3751</v>
      </c>
      <c r="C668" s="153" t="s">
        <v>3752</v>
      </c>
      <c r="D668" s="153" t="s">
        <v>3753</v>
      </c>
      <c r="E668" s="152" t="s">
        <v>2086</v>
      </c>
      <c r="F668" s="154">
        <v>5000</v>
      </c>
    </row>
    <row r="669" spans="2:6" x14ac:dyDescent="0.25">
      <c r="B669" s="152" t="s">
        <v>2069</v>
      </c>
      <c r="C669" s="153" t="s">
        <v>3754</v>
      </c>
      <c r="D669" s="153" t="s">
        <v>3755</v>
      </c>
      <c r="E669" s="152" t="s">
        <v>2083</v>
      </c>
      <c r="F669" s="153">
        <v>0</v>
      </c>
    </row>
    <row r="670" spans="2:6" x14ac:dyDescent="0.25">
      <c r="B670" s="152" t="s">
        <v>3756</v>
      </c>
      <c r="C670" s="153" t="s">
        <v>3757</v>
      </c>
      <c r="D670" s="153" t="s">
        <v>3758</v>
      </c>
      <c r="E670" s="152" t="s">
        <v>2083</v>
      </c>
      <c r="F670" s="153">
        <v>0</v>
      </c>
    </row>
    <row r="671" spans="2:6" x14ac:dyDescent="0.25">
      <c r="B671" s="152" t="s">
        <v>3759</v>
      </c>
      <c r="C671" s="153" t="s">
        <v>3760</v>
      </c>
      <c r="D671" s="153" t="s">
        <v>3761</v>
      </c>
      <c r="E671" s="152" t="s">
        <v>2083</v>
      </c>
      <c r="F671" s="153">
        <v>0</v>
      </c>
    </row>
    <row r="672" spans="2:6" x14ac:dyDescent="0.25">
      <c r="B672" s="152" t="s">
        <v>3762</v>
      </c>
      <c r="C672" s="153" t="s">
        <v>3763</v>
      </c>
      <c r="D672" s="153" t="s">
        <v>3764</v>
      </c>
      <c r="E672" s="152" t="s">
        <v>2083</v>
      </c>
      <c r="F672" s="153">
        <v>0</v>
      </c>
    </row>
    <row r="673" spans="2:6" x14ac:dyDescent="0.25">
      <c r="B673" s="152" t="s">
        <v>3765</v>
      </c>
      <c r="C673" s="153" t="s">
        <v>3766</v>
      </c>
      <c r="D673" s="153" t="s">
        <v>3767</v>
      </c>
      <c r="E673" s="152" t="s">
        <v>2083</v>
      </c>
      <c r="F673" s="153">
        <v>0</v>
      </c>
    </row>
    <row r="674" spans="2:6" x14ac:dyDescent="0.25">
      <c r="B674" s="152" t="s">
        <v>3768</v>
      </c>
      <c r="C674" s="153" t="s">
        <v>3769</v>
      </c>
      <c r="D674" s="153" t="s">
        <v>3770</v>
      </c>
      <c r="E674" s="152" t="s">
        <v>2083</v>
      </c>
      <c r="F674" s="153">
        <v>0</v>
      </c>
    </row>
    <row r="675" spans="2:6" x14ac:dyDescent="0.25">
      <c r="B675" s="152" t="s">
        <v>3771</v>
      </c>
      <c r="C675" s="153" t="s">
        <v>3772</v>
      </c>
      <c r="D675" s="153" t="s">
        <v>3773</v>
      </c>
      <c r="E675" s="152" t="s">
        <v>2086</v>
      </c>
      <c r="F675" s="154">
        <v>12000</v>
      </c>
    </row>
    <row r="676" spans="2:6" x14ac:dyDescent="0.25">
      <c r="B676" s="152" t="s">
        <v>3774</v>
      </c>
      <c r="C676" s="153" t="s">
        <v>3775</v>
      </c>
      <c r="D676" s="153" t="s">
        <v>3776</v>
      </c>
      <c r="E676" s="152" t="s">
        <v>2086</v>
      </c>
      <c r="F676" s="154">
        <v>2800</v>
      </c>
    </row>
    <row r="677" spans="2:6" x14ac:dyDescent="0.25">
      <c r="B677" s="152" t="s">
        <v>3777</v>
      </c>
      <c r="C677" s="153" t="s">
        <v>3778</v>
      </c>
      <c r="D677" s="153" t="s">
        <v>3779</v>
      </c>
      <c r="E677" s="152" t="s">
        <v>2083</v>
      </c>
      <c r="F677" s="153">
        <v>0</v>
      </c>
    </row>
    <row r="678" spans="2:6" x14ac:dyDescent="0.25">
      <c r="B678" s="152" t="s">
        <v>3780</v>
      </c>
      <c r="C678" s="153" t="s">
        <v>3781</v>
      </c>
      <c r="D678" s="153" t="s">
        <v>3782</v>
      </c>
      <c r="E678" s="152" t="s">
        <v>2083</v>
      </c>
      <c r="F678" s="153">
        <v>0</v>
      </c>
    </row>
    <row r="679" spans="2:6" x14ac:dyDescent="0.25">
      <c r="B679" s="152" t="s">
        <v>1686</v>
      </c>
      <c r="C679" s="153" t="s">
        <v>3783</v>
      </c>
      <c r="D679" s="153" t="s">
        <v>3784</v>
      </c>
      <c r="E679" s="152" t="s">
        <v>2083</v>
      </c>
      <c r="F679" s="153">
        <v>0</v>
      </c>
    </row>
    <row r="680" spans="2:6" x14ac:dyDescent="0.25">
      <c r="B680" s="152" t="s">
        <v>1689</v>
      </c>
      <c r="C680" s="153" t="s">
        <v>3785</v>
      </c>
      <c r="D680" s="153" t="s">
        <v>3786</v>
      </c>
      <c r="E680" s="152" t="s">
        <v>2086</v>
      </c>
      <c r="F680" s="154">
        <v>12250</v>
      </c>
    </row>
    <row r="681" spans="2:6" x14ac:dyDescent="0.25">
      <c r="B681" s="152" t="s">
        <v>1692</v>
      </c>
      <c r="C681" s="153" t="s">
        <v>3787</v>
      </c>
      <c r="D681" s="153" t="s">
        <v>3788</v>
      </c>
      <c r="E681" s="152" t="s">
        <v>2086</v>
      </c>
      <c r="F681" s="154">
        <v>14500</v>
      </c>
    </row>
    <row r="682" spans="2:6" x14ac:dyDescent="0.25">
      <c r="B682" s="152" t="s">
        <v>3789</v>
      </c>
      <c r="C682" s="153" t="s">
        <v>3790</v>
      </c>
      <c r="D682" s="153" t="s">
        <v>3791</v>
      </c>
      <c r="E682" s="152" t="s">
        <v>2083</v>
      </c>
      <c r="F682" s="153">
        <v>0</v>
      </c>
    </row>
    <row r="683" spans="2:6" x14ac:dyDescent="0.25">
      <c r="B683" s="152" t="s">
        <v>3792</v>
      </c>
      <c r="C683" s="153" t="s">
        <v>3793</v>
      </c>
      <c r="D683" s="153" t="s">
        <v>3794</v>
      </c>
      <c r="E683" s="152" t="s">
        <v>2083</v>
      </c>
      <c r="F683" s="153">
        <v>0</v>
      </c>
    </row>
    <row r="684" spans="2:6" x14ac:dyDescent="0.25">
      <c r="B684" s="152" t="s">
        <v>3795</v>
      </c>
      <c r="C684" s="153" t="s">
        <v>3796</v>
      </c>
      <c r="D684" s="153" t="s">
        <v>3797</v>
      </c>
      <c r="E684" s="152" t="s">
        <v>2086</v>
      </c>
      <c r="F684" s="154">
        <v>12000</v>
      </c>
    </row>
    <row r="685" spans="2:6" x14ac:dyDescent="0.25">
      <c r="B685" s="152" t="s">
        <v>3798</v>
      </c>
      <c r="C685" s="153" t="s">
        <v>3799</v>
      </c>
      <c r="D685" s="153" t="s">
        <v>3800</v>
      </c>
      <c r="E685" s="152" t="s">
        <v>2083</v>
      </c>
      <c r="F685" s="153">
        <v>0</v>
      </c>
    </row>
    <row r="686" spans="2:6" x14ac:dyDescent="0.25">
      <c r="B686" s="152" t="s">
        <v>3801</v>
      </c>
      <c r="C686" s="153" t="s">
        <v>3802</v>
      </c>
      <c r="D686" s="153" t="s">
        <v>3803</v>
      </c>
      <c r="E686" s="152" t="s">
        <v>2083</v>
      </c>
      <c r="F686" s="153">
        <v>0</v>
      </c>
    </row>
    <row r="687" spans="2:6" x14ac:dyDescent="0.25">
      <c r="B687" s="152" t="s">
        <v>3804</v>
      </c>
      <c r="C687" s="153" t="s">
        <v>3805</v>
      </c>
      <c r="D687" s="153" t="s">
        <v>3806</v>
      </c>
      <c r="E687" s="152" t="s">
        <v>2086</v>
      </c>
      <c r="F687" s="154">
        <v>8000</v>
      </c>
    </row>
    <row r="688" spans="2:6" x14ac:dyDescent="0.25">
      <c r="B688" s="152" t="s">
        <v>3807</v>
      </c>
      <c r="C688" s="153" t="s">
        <v>3808</v>
      </c>
      <c r="D688" s="153" t="s">
        <v>3809</v>
      </c>
      <c r="E688" s="152" t="s">
        <v>2083</v>
      </c>
      <c r="F688" s="153">
        <v>0</v>
      </c>
    </row>
    <row r="689" spans="2:6" x14ac:dyDescent="0.25">
      <c r="B689" s="152" t="s">
        <v>3810</v>
      </c>
      <c r="C689" s="153" t="s">
        <v>3811</v>
      </c>
      <c r="D689" s="153" t="s">
        <v>3812</v>
      </c>
      <c r="E689" s="152" t="s">
        <v>2083</v>
      </c>
      <c r="F689" s="153">
        <v>0</v>
      </c>
    </row>
    <row r="690" spans="2:6" x14ac:dyDescent="0.25">
      <c r="B690" s="152" t="s">
        <v>3813</v>
      </c>
      <c r="C690" s="153" t="s">
        <v>3814</v>
      </c>
      <c r="D690" s="153" t="s">
        <v>3815</v>
      </c>
      <c r="E690" s="152" t="s">
        <v>2083</v>
      </c>
      <c r="F690" s="153">
        <v>0</v>
      </c>
    </row>
    <row r="691" spans="2:6" x14ac:dyDescent="0.25">
      <c r="B691" s="152" t="s">
        <v>3816</v>
      </c>
      <c r="C691" s="153" t="s">
        <v>3817</v>
      </c>
      <c r="D691" s="153" t="s">
        <v>3818</v>
      </c>
      <c r="E691" s="152" t="s">
        <v>2083</v>
      </c>
      <c r="F691" s="153">
        <v>0</v>
      </c>
    </row>
    <row r="692" spans="2:6" x14ac:dyDescent="0.25">
      <c r="B692" s="152" t="s">
        <v>3819</v>
      </c>
      <c r="C692" s="153" t="s">
        <v>3820</v>
      </c>
      <c r="D692" s="153" t="s">
        <v>3821</v>
      </c>
      <c r="E692" s="152" t="s">
        <v>2083</v>
      </c>
      <c r="F692" s="153">
        <v>0</v>
      </c>
    </row>
    <row r="693" spans="2:6" x14ac:dyDescent="0.25">
      <c r="B693" s="152" t="s">
        <v>3822</v>
      </c>
      <c r="C693" s="153" t="s">
        <v>3823</v>
      </c>
      <c r="D693" s="153" t="s">
        <v>3824</v>
      </c>
      <c r="E693" s="152" t="s">
        <v>2083</v>
      </c>
      <c r="F693" s="153">
        <v>0</v>
      </c>
    </row>
    <row r="694" spans="2:6" x14ac:dyDescent="0.25">
      <c r="B694" s="152" t="s">
        <v>3825</v>
      </c>
      <c r="C694" s="153" t="s">
        <v>3826</v>
      </c>
      <c r="D694" s="153" t="s">
        <v>3827</v>
      </c>
      <c r="E694" s="152" t="s">
        <v>2083</v>
      </c>
      <c r="F694" s="153">
        <v>0</v>
      </c>
    </row>
    <row r="695" spans="2:6" x14ac:dyDescent="0.25">
      <c r="B695" s="152" t="s">
        <v>3828</v>
      </c>
      <c r="C695" s="153" t="s">
        <v>3829</v>
      </c>
      <c r="D695" s="153" t="s">
        <v>3830</v>
      </c>
      <c r="E695" s="152" t="s">
        <v>2083</v>
      </c>
      <c r="F695" s="153">
        <v>0</v>
      </c>
    </row>
    <row r="696" spans="2:6" x14ac:dyDescent="0.25">
      <c r="B696" s="152" t="s">
        <v>3831</v>
      </c>
      <c r="C696" s="153" t="s">
        <v>3832</v>
      </c>
      <c r="D696" s="153" t="s">
        <v>3833</v>
      </c>
      <c r="E696" s="152" t="s">
        <v>2083</v>
      </c>
      <c r="F696" s="153">
        <v>0</v>
      </c>
    </row>
    <row r="697" spans="2:6" x14ac:dyDescent="0.25">
      <c r="B697" s="152" t="s">
        <v>3834</v>
      </c>
      <c r="C697" s="153" t="s">
        <v>3835</v>
      </c>
      <c r="D697" s="153" t="s">
        <v>3836</v>
      </c>
      <c r="E697" s="152" t="s">
        <v>2086</v>
      </c>
      <c r="F697" s="154">
        <v>20000</v>
      </c>
    </row>
    <row r="698" spans="2:6" x14ac:dyDescent="0.25">
      <c r="B698" s="152" t="s">
        <v>3837</v>
      </c>
      <c r="C698" s="153" t="s">
        <v>3838</v>
      </c>
      <c r="D698" s="153" t="s">
        <v>3839</v>
      </c>
      <c r="E698" s="152" t="s">
        <v>2086</v>
      </c>
      <c r="F698" s="154">
        <v>13050</v>
      </c>
    </row>
    <row r="699" spans="2:6" x14ac:dyDescent="0.25">
      <c r="B699" s="152" t="s">
        <v>3840</v>
      </c>
      <c r="C699" s="153" t="s">
        <v>3841</v>
      </c>
      <c r="D699" s="153" t="s">
        <v>3842</v>
      </c>
      <c r="E699" s="152" t="s">
        <v>2083</v>
      </c>
      <c r="F699" s="153">
        <v>0</v>
      </c>
    </row>
    <row r="700" spans="2:6" x14ac:dyDescent="0.25">
      <c r="B700" s="152" t="s">
        <v>3843</v>
      </c>
      <c r="C700" s="153" t="s">
        <v>3844</v>
      </c>
      <c r="D700" s="153" t="s">
        <v>3845</v>
      </c>
      <c r="E700" s="152" t="s">
        <v>2083</v>
      </c>
      <c r="F700" s="153">
        <v>0</v>
      </c>
    </row>
    <row r="701" spans="2:6" x14ac:dyDescent="0.25">
      <c r="B701" s="152" t="s">
        <v>3846</v>
      </c>
      <c r="C701" s="153" t="s">
        <v>3847</v>
      </c>
      <c r="D701" s="153" t="s">
        <v>3848</v>
      </c>
      <c r="E701" s="152" t="s">
        <v>2083</v>
      </c>
      <c r="F701" s="153">
        <v>0</v>
      </c>
    </row>
    <row r="702" spans="2:6" x14ac:dyDescent="0.25">
      <c r="B702" s="152" t="s">
        <v>3849</v>
      </c>
      <c r="C702" s="153" t="s">
        <v>3850</v>
      </c>
      <c r="D702" s="153" t="s">
        <v>3851</v>
      </c>
      <c r="E702" s="152" t="s">
        <v>2083</v>
      </c>
      <c r="F702" s="153">
        <v>0</v>
      </c>
    </row>
    <row r="703" spans="2:6" x14ac:dyDescent="0.25">
      <c r="B703" s="152" t="s">
        <v>3852</v>
      </c>
      <c r="C703" s="153" t="s">
        <v>3853</v>
      </c>
      <c r="D703" s="153" t="s">
        <v>3854</v>
      </c>
      <c r="E703" s="152" t="s">
        <v>2083</v>
      </c>
      <c r="F703" s="153">
        <v>0</v>
      </c>
    </row>
    <row r="704" spans="2:6" x14ac:dyDescent="0.25">
      <c r="B704" s="152" t="s">
        <v>3855</v>
      </c>
      <c r="C704" s="153" t="s">
        <v>3856</v>
      </c>
      <c r="D704" s="153" t="s">
        <v>3857</v>
      </c>
      <c r="E704" s="152" t="s">
        <v>2083</v>
      </c>
      <c r="F704" s="153">
        <v>0</v>
      </c>
    </row>
    <row r="705" spans="2:6" x14ac:dyDescent="0.25">
      <c r="B705" s="152" t="s">
        <v>3858</v>
      </c>
      <c r="C705" s="153" t="s">
        <v>3859</v>
      </c>
      <c r="D705" s="153" t="s">
        <v>3860</v>
      </c>
      <c r="E705" s="152" t="s">
        <v>2083</v>
      </c>
      <c r="F705" s="153">
        <v>0</v>
      </c>
    </row>
    <row r="706" spans="2:6" x14ac:dyDescent="0.25">
      <c r="B706" s="152" t="s">
        <v>3861</v>
      </c>
      <c r="C706" s="153" t="s">
        <v>3862</v>
      </c>
      <c r="D706" s="153" t="s">
        <v>3863</v>
      </c>
      <c r="E706" s="152" t="s">
        <v>2083</v>
      </c>
      <c r="F706" s="153">
        <v>0</v>
      </c>
    </row>
    <row r="707" spans="2:6" x14ac:dyDescent="0.25">
      <c r="B707" s="152" t="s">
        <v>3864</v>
      </c>
      <c r="C707" s="153" t="s">
        <v>3865</v>
      </c>
      <c r="D707" s="153" t="s">
        <v>3866</v>
      </c>
      <c r="E707" s="152" t="s">
        <v>2083</v>
      </c>
      <c r="F707" s="153">
        <v>0</v>
      </c>
    </row>
    <row r="708" spans="2:6" x14ac:dyDescent="0.25">
      <c r="B708" s="152" t="s">
        <v>3867</v>
      </c>
      <c r="C708" s="153" t="s">
        <v>3868</v>
      </c>
      <c r="D708" s="153" t="s">
        <v>3869</v>
      </c>
      <c r="E708" s="152" t="s">
        <v>2083</v>
      </c>
      <c r="F708" s="153">
        <v>0</v>
      </c>
    </row>
    <row r="709" spans="2:6" x14ac:dyDescent="0.25">
      <c r="B709" s="152" t="s">
        <v>3870</v>
      </c>
      <c r="C709" s="153" t="s">
        <v>3871</v>
      </c>
      <c r="D709" s="153" t="s">
        <v>3872</v>
      </c>
      <c r="E709" s="152" t="s">
        <v>2083</v>
      </c>
      <c r="F709" s="153">
        <v>0</v>
      </c>
    </row>
    <row r="710" spans="2:6" x14ac:dyDescent="0.25">
      <c r="B710" s="152" t="s">
        <v>1671</v>
      </c>
      <c r="C710" s="153" t="s">
        <v>3873</v>
      </c>
      <c r="D710" s="153" t="s">
        <v>3874</v>
      </c>
      <c r="E710" s="152" t="s">
        <v>2083</v>
      </c>
      <c r="F710" s="153">
        <v>0</v>
      </c>
    </row>
    <row r="711" spans="2:6" x14ac:dyDescent="0.25">
      <c r="B711" s="152" t="s">
        <v>3875</v>
      </c>
      <c r="C711" s="153" t="s">
        <v>3876</v>
      </c>
      <c r="D711" s="153" t="s">
        <v>3877</v>
      </c>
      <c r="E711" s="152" t="s">
        <v>2083</v>
      </c>
      <c r="F711" s="153">
        <v>0</v>
      </c>
    </row>
    <row r="712" spans="2:6" x14ac:dyDescent="0.25">
      <c r="B712" s="152" t="s">
        <v>3878</v>
      </c>
      <c r="C712" s="153" t="s">
        <v>3879</v>
      </c>
      <c r="D712" s="153" t="s">
        <v>3880</v>
      </c>
      <c r="E712" s="152" t="s">
        <v>2083</v>
      </c>
      <c r="F712" s="153">
        <v>0</v>
      </c>
    </row>
    <row r="713" spans="2:6" x14ac:dyDescent="0.25">
      <c r="B713" s="152" t="s">
        <v>3881</v>
      </c>
      <c r="C713" s="153" t="s">
        <v>3882</v>
      </c>
      <c r="D713" s="153" t="s">
        <v>3883</v>
      </c>
      <c r="E713" s="152" t="s">
        <v>2083</v>
      </c>
      <c r="F713" s="153">
        <v>0</v>
      </c>
    </row>
    <row r="714" spans="2:6" x14ac:dyDescent="0.25">
      <c r="B714" s="152" t="s">
        <v>3884</v>
      </c>
      <c r="C714" s="153" t="s">
        <v>3885</v>
      </c>
      <c r="D714" s="153" t="s">
        <v>3886</v>
      </c>
      <c r="E714" s="152" t="s">
        <v>2083</v>
      </c>
      <c r="F714" s="153">
        <v>0</v>
      </c>
    </row>
    <row r="715" spans="2:6" x14ac:dyDescent="0.25">
      <c r="B715" s="152" t="s">
        <v>3887</v>
      </c>
      <c r="C715" s="153" t="s">
        <v>3888</v>
      </c>
      <c r="D715" s="153" t="s">
        <v>3889</v>
      </c>
      <c r="E715" s="152" t="s">
        <v>2083</v>
      </c>
      <c r="F715" s="153">
        <v>0</v>
      </c>
    </row>
    <row r="716" spans="2:6" x14ac:dyDescent="0.25">
      <c r="B716" s="152" t="s">
        <v>3890</v>
      </c>
      <c r="C716" s="153" t="s">
        <v>3891</v>
      </c>
      <c r="D716" s="153" t="s">
        <v>3892</v>
      </c>
      <c r="E716" s="152" t="s">
        <v>2083</v>
      </c>
      <c r="F716" s="153">
        <v>0</v>
      </c>
    </row>
    <row r="717" spans="2:6" x14ac:dyDescent="0.25">
      <c r="B717" s="152" t="s">
        <v>3893</v>
      </c>
      <c r="C717" s="153" t="s">
        <v>3894</v>
      </c>
      <c r="D717" s="153" t="s">
        <v>3895</v>
      </c>
      <c r="E717" s="152" t="s">
        <v>2083</v>
      </c>
      <c r="F717" s="153">
        <v>0</v>
      </c>
    </row>
    <row r="718" spans="2:6" x14ac:dyDescent="0.25">
      <c r="B718" s="152" t="s">
        <v>3896</v>
      </c>
      <c r="C718" s="153" t="s">
        <v>3897</v>
      </c>
      <c r="D718" s="153" t="s">
        <v>3898</v>
      </c>
      <c r="E718" s="152" t="s">
        <v>2083</v>
      </c>
      <c r="F718" s="153">
        <v>0</v>
      </c>
    </row>
    <row r="719" spans="2:6" x14ac:dyDescent="0.25">
      <c r="B719" s="152" t="s">
        <v>3899</v>
      </c>
      <c r="C719" s="153" t="s">
        <v>3900</v>
      </c>
      <c r="D719" s="153" t="s">
        <v>3901</v>
      </c>
      <c r="E719" s="152" t="s">
        <v>2083</v>
      </c>
      <c r="F719" s="153">
        <v>0</v>
      </c>
    </row>
    <row r="720" spans="2:6" x14ac:dyDescent="0.25">
      <c r="B720" s="152" t="s">
        <v>3902</v>
      </c>
      <c r="C720" s="153" t="s">
        <v>3903</v>
      </c>
      <c r="D720" s="153" t="s">
        <v>3904</v>
      </c>
      <c r="E720" s="152" t="s">
        <v>2083</v>
      </c>
      <c r="F720" s="153">
        <v>0</v>
      </c>
    </row>
    <row r="721" spans="2:6" x14ac:dyDescent="0.25">
      <c r="B721" s="152" t="s">
        <v>3905</v>
      </c>
      <c r="C721" s="153" t="s">
        <v>3906</v>
      </c>
      <c r="D721" s="153" t="s">
        <v>3907</v>
      </c>
      <c r="E721" s="152" t="s">
        <v>2083</v>
      </c>
      <c r="F721" s="153">
        <v>0</v>
      </c>
    </row>
    <row r="722" spans="2:6" x14ac:dyDescent="0.25">
      <c r="B722" s="152" t="s">
        <v>3908</v>
      </c>
      <c r="C722" s="153" t="s">
        <v>3909</v>
      </c>
      <c r="D722" s="153" t="s">
        <v>3910</v>
      </c>
      <c r="E722" s="152" t="s">
        <v>2083</v>
      </c>
      <c r="F722" s="153">
        <v>0</v>
      </c>
    </row>
    <row r="723" spans="2:6" x14ac:dyDescent="0.25">
      <c r="B723" s="152" t="s">
        <v>3911</v>
      </c>
      <c r="C723" s="153" t="s">
        <v>3912</v>
      </c>
      <c r="D723" s="153" t="s">
        <v>3913</v>
      </c>
      <c r="E723" s="152" t="s">
        <v>2083</v>
      </c>
      <c r="F723" s="153">
        <v>0</v>
      </c>
    </row>
    <row r="724" spans="2:6" x14ac:dyDescent="0.25">
      <c r="B724" s="152" t="s">
        <v>3914</v>
      </c>
      <c r="C724" s="153" t="s">
        <v>3915</v>
      </c>
      <c r="D724" s="153" t="s">
        <v>3916</v>
      </c>
      <c r="E724" s="152" t="s">
        <v>2086</v>
      </c>
      <c r="F724" s="154">
        <v>2700</v>
      </c>
    </row>
    <row r="725" spans="2:6" x14ac:dyDescent="0.25">
      <c r="B725" s="152" t="s">
        <v>3917</v>
      </c>
      <c r="C725" s="153" t="s">
        <v>3918</v>
      </c>
      <c r="D725" s="153" t="s">
        <v>3919</v>
      </c>
      <c r="E725" s="152" t="s">
        <v>2083</v>
      </c>
      <c r="F725" s="153">
        <v>0</v>
      </c>
    </row>
    <row r="726" spans="2:6" x14ac:dyDescent="0.25">
      <c r="B726" s="152" t="s">
        <v>3920</v>
      </c>
      <c r="C726" s="153" t="s">
        <v>3921</v>
      </c>
      <c r="D726" s="153" t="s">
        <v>3922</v>
      </c>
      <c r="E726" s="152" t="s">
        <v>2086</v>
      </c>
      <c r="F726" s="154">
        <v>26040</v>
      </c>
    </row>
    <row r="727" spans="2:6" x14ac:dyDescent="0.25">
      <c r="B727" s="152" t="s">
        <v>3923</v>
      </c>
      <c r="C727" s="153" t="s">
        <v>3924</v>
      </c>
      <c r="D727" s="153" t="s">
        <v>3925</v>
      </c>
      <c r="E727" s="152" t="s">
        <v>2083</v>
      </c>
      <c r="F727" s="153">
        <v>0</v>
      </c>
    </row>
    <row r="728" spans="2:6" x14ac:dyDescent="0.25">
      <c r="B728" s="152" t="s">
        <v>3927</v>
      </c>
      <c r="C728" s="153" t="s">
        <v>3928</v>
      </c>
      <c r="D728" s="153" t="s">
        <v>3929</v>
      </c>
      <c r="E728" s="152" t="s">
        <v>2086</v>
      </c>
      <c r="F728" s="153">
        <v>252</v>
      </c>
    </row>
    <row r="729" spans="2:6" x14ac:dyDescent="0.25">
      <c r="B729" s="152" t="s">
        <v>3930</v>
      </c>
      <c r="C729" s="153" t="s">
        <v>3931</v>
      </c>
      <c r="D729" s="153" t="s">
        <v>3932</v>
      </c>
      <c r="E729" s="152" t="s">
        <v>2083</v>
      </c>
      <c r="F729" s="153">
        <v>0</v>
      </c>
    </row>
    <row r="730" spans="2:6" x14ac:dyDescent="0.25">
      <c r="B730" s="152" t="s">
        <v>3933</v>
      </c>
      <c r="C730" s="153" t="s">
        <v>3934</v>
      </c>
      <c r="D730" s="153" t="s">
        <v>3935</v>
      </c>
      <c r="E730" s="152" t="s">
        <v>2083</v>
      </c>
      <c r="F730" s="153">
        <v>0</v>
      </c>
    </row>
    <row r="731" spans="2:6" x14ac:dyDescent="0.25">
      <c r="B731" s="152" t="s">
        <v>3936</v>
      </c>
      <c r="C731" s="153" t="s">
        <v>3937</v>
      </c>
      <c r="D731" s="153" t="s">
        <v>3938</v>
      </c>
      <c r="E731" s="152" t="s">
        <v>2083</v>
      </c>
      <c r="F731" s="153">
        <v>0</v>
      </c>
    </row>
    <row r="732" spans="2:6" x14ac:dyDescent="0.25">
      <c r="B732" s="152" t="s">
        <v>3939</v>
      </c>
      <c r="C732" s="153" t="s">
        <v>3940</v>
      </c>
      <c r="D732" s="153" t="s">
        <v>3941</v>
      </c>
      <c r="E732" s="152" t="s">
        <v>2086</v>
      </c>
      <c r="F732" s="154">
        <v>5000</v>
      </c>
    </row>
    <row r="733" spans="2:6" x14ac:dyDescent="0.25">
      <c r="B733" s="152" t="s">
        <v>3942</v>
      </c>
      <c r="C733" s="153" t="s">
        <v>3943</v>
      </c>
      <c r="D733" s="153" t="s">
        <v>3944</v>
      </c>
      <c r="E733" s="152" t="s">
        <v>2083</v>
      </c>
      <c r="F733" s="153">
        <v>0</v>
      </c>
    </row>
    <row r="734" spans="2:6" x14ac:dyDescent="0.25">
      <c r="B734" s="152" t="s">
        <v>3945</v>
      </c>
      <c r="C734" s="153" t="s">
        <v>3946</v>
      </c>
      <c r="D734" s="153" t="s">
        <v>3947</v>
      </c>
      <c r="E734" s="152" t="s">
        <v>2083</v>
      </c>
      <c r="F734" s="153">
        <v>0</v>
      </c>
    </row>
    <row r="735" spans="2:6" x14ac:dyDescent="0.25">
      <c r="B735" s="152" t="s">
        <v>3948</v>
      </c>
      <c r="C735" s="153" t="s">
        <v>3949</v>
      </c>
      <c r="D735" s="153" t="s">
        <v>3950</v>
      </c>
      <c r="E735" s="152" t="s">
        <v>2083</v>
      </c>
      <c r="F735" s="153">
        <v>0</v>
      </c>
    </row>
    <row r="736" spans="2:6" x14ac:dyDescent="0.25">
      <c r="B736" s="152" t="s">
        <v>3951</v>
      </c>
      <c r="C736" s="153" t="s">
        <v>3952</v>
      </c>
      <c r="D736" s="153" t="s">
        <v>3953</v>
      </c>
      <c r="E736" s="152" t="s">
        <v>2083</v>
      </c>
      <c r="F736" s="153">
        <v>0</v>
      </c>
    </row>
    <row r="737" spans="2:6" x14ac:dyDescent="0.25">
      <c r="B737" s="152" t="s">
        <v>3954</v>
      </c>
      <c r="C737" s="153" t="s">
        <v>3955</v>
      </c>
      <c r="D737" s="153" t="s">
        <v>3956</v>
      </c>
      <c r="E737" s="152" t="s">
        <v>2083</v>
      </c>
      <c r="F737" s="153">
        <v>0</v>
      </c>
    </row>
    <row r="738" spans="2:6" x14ac:dyDescent="0.25">
      <c r="B738" s="152" t="s">
        <v>3957</v>
      </c>
      <c r="C738" s="153" t="s">
        <v>3958</v>
      </c>
      <c r="D738" s="153" t="s">
        <v>3959</v>
      </c>
      <c r="E738" s="152" t="s">
        <v>2083</v>
      </c>
      <c r="F738" s="153">
        <v>0</v>
      </c>
    </row>
    <row r="739" spans="2:6" x14ac:dyDescent="0.25">
      <c r="B739" s="152" t="s">
        <v>3960</v>
      </c>
      <c r="C739" s="153" t="s">
        <v>3961</v>
      </c>
      <c r="D739" s="153" t="s">
        <v>3962</v>
      </c>
      <c r="E739" s="152" t="s">
        <v>2083</v>
      </c>
      <c r="F739" s="153">
        <v>0</v>
      </c>
    </row>
    <row r="740" spans="2:6" x14ac:dyDescent="0.25">
      <c r="B740" s="152" t="s">
        <v>3963</v>
      </c>
      <c r="C740" s="153" t="s">
        <v>3964</v>
      </c>
      <c r="D740" s="153" t="s">
        <v>3965</v>
      </c>
      <c r="E740" s="152" t="s">
        <v>2086</v>
      </c>
      <c r="F740" s="154">
        <v>12000</v>
      </c>
    </row>
    <row r="741" spans="2:6" x14ac:dyDescent="0.25">
      <c r="B741" s="152" t="s">
        <v>3966</v>
      </c>
      <c r="C741" s="153" t="s">
        <v>3967</v>
      </c>
      <c r="D741" s="153" t="s">
        <v>3968</v>
      </c>
      <c r="E741" s="152" t="s">
        <v>2086</v>
      </c>
      <c r="F741" s="154">
        <v>8832</v>
      </c>
    </row>
    <row r="742" spans="2:6" x14ac:dyDescent="0.25">
      <c r="B742" s="152" t="s">
        <v>3969</v>
      </c>
      <c r="C742" s="153" t="s">
        <v>3970</v>
      </c>
      <c r="D742" s="153" t="s">
        <v>3971</v>
      </c>
      <c r="E742" s="152" t="s">
        <v>2083</v>
      </c>
      <c r="F742" s="153">
        <v>0</v>
      </c>
    </row>
    <row r="743" spans="2:6" x14ac:dyDescent="0.25">
      <c r="B743" s="152" t="s">
        <v>3972</v>
      </c>
      <c r="C743" s="153" t="s">
        <v>3973</v>
      </c>
      <c r="D743" s="153" t="s">
        <v>3974</v>
      </c>
      <c r="E743" s="152" t="s">
        <v>2086</v>
      </c>
      <c r="F743" s="154">
        <v>631000</v>
      </c>
    </row>
    <row r="744" spans="2:6" x14ac:dyDescent="0.25">
      <c r="B744" s="152" t="s">
        <v>3975</v>
      </c>
      <c r="C744" s="153" t="s">
        <v>3976</v>
      </c>
      <c r="D744" s="153" t="s">
        <v>3977</v>
      </c>
      <c r="E744" s="152" t="s">
        <v>2083</v>
      </c>
      <c r="F744" s="153">
        <v>0</v>
      </c>
    </row>
    <row r="745" spans="2:6" x14ac:dyDescent="0.25">
      <c r="B745" s="152" t="s">
        <v>3978</v>
      </c>
      <c r="C745" s="153" t="s">
        <v>3979</v>
      </c>
      <c r="D745" s="153" t="s">
        <v>3980</v>
      </c>
      <c r="E745" s="152" t="s">
        <v>2083</v>
      </c>
      <c r="F745" s="153">
        <v>0</v>
      </c>
    </row>
    <row r="746" spans="2:6" x14ac:dyDescent="0.25">
      <c r="B746" s="152" t="s">
        <v>3981</v>
      </c>
      <c r="C746" s="153" t="s">
        <v>3982</v>
      </c>
      <c r="D746" s="153" t="s">
        <v>3983</v>
      </c>
      <c r="E746" s="152" t="s">
        <v>2086</v>
      </c>
      <c r="F746" s="154">
        <v>11350</v>
      </c>
    </row>
    <row r="747" spans="2:6" x14ac:dyDescent="0.25">
      <c r="B747" s="152" t="s">
        <v>3984</v>
      </c>
      <c r="C747" s="153" t="s">
        <v>3985</v>
      </c>
      <c r="D747" s="153" t="s">
        <v>3986</v>
      </c>
      <c r="E747" s="152" t="s">
        <v>2083</v>
      </c>
      <c r="F747" s="153">
        <v>0</v>
      </c>
    </row>
    <row r="748" spans="2:6" x14ac:dyDescent="0.25">
      <c r="B748" s="152" t="s">
        <v>3987</v>
      </c>
      <c r="C748" s="153" t="s">
        <v>3988</v>
      </c>
      <c r="D748" s="153" t="s">
        <v>3989</v>
      </c>
      <c r="E748" s="152" t="s">
        <v>2086</v>
      </c>
      <c r="F748" s="154">
        <v>10400</v>
      </c>
    </row>
    <row r="749" spans="2:6" x14ac:dyDescent="0.25">
      <c r="B749" s="152" t="s">
        <v>3990</v>
      </c>
      <c r="C749" s="153" t="s">
        <v>3991</v>
      </c>
      <c r="D749" s="153" t="s">
        <v>3992</v>
      </c>
      <c r="E749" s="152" t="s">
        <v>2083</v>
      </c>
      <c r="F749" s="153">
        <v>0</v>
      </c>
    </row>
    <row r="750" spans="2:6" x14ac:dyDescent="0.25">
      <c r="B750" s="152" t="s">
        <v>3993</v>
      </c>
      <c r="C750" s="153" t="s">
        <v>3994</v>
      </c>
      <c r="D750" s="153" t="s">
        <v>3995</v>
      </c>
      <c r="E750" s="152" t="s">
        <v>2083</v>
      </c>
      <c r="F750" s="153">
        <v>0</v>
      </c>
    </row>
    <row r="751" spans="2:6" x14ac:dyDescent="0.25">
      <c r="B751" s="152" t="s">
        <v>3996</v>
      </c>
      <c r="C751" s="153" t="s">
        <v>3997</v>
      </c>
      <c r="D751" s="153" t="s">
        <v>3998</v>
      </c>
      <c r="E751" s="152" t="s">
        <v>2083</v>
      </c>
      <c r="F751" s="153">
        <v>0</v>
      </c>
    </row>
    <row r="752" spans="2:6" x14ac:dyDescent="0.25">
      <c r="B752" s="152" t="s">
        <v>3999</v>
      </c>
      <c r="C752" s="153" t="s">
        <v>4000</v>
      </c>
      <c r="D752" s="153" t="s">
        <v>4001</v>
      </c>
      <c r="E752" s="152" t="s">
        <v>2083</v>
      </c>
      <c r="F752" s="153">
        <v>0</v>
      </c>
    </row>
    <row r="753" spans="2:6" x14ac:dyDescent="0.25">
      <c r="B753" s="152" t="s">
        <v>4002</v>
      </c>
      <c r="C753" s="153" t="s">
        <v>4003</v>
      </c>
      <c r="D753" s="153" t="s">
        <v>4004</v>
      </c>
      <c r="E753" s="152" t="s">
        <v>2086</v>
      </c>
      <c r="F753" s="154">
        <v>3450</v>
      </c>
    </row>
    <row r="754" spans="2:6" x14ac:dyDescent="0.25">
      <c r="B754" s="152" t="s">
        <v>4005</v>
      </c>
      <c r="C754" s="153" t="s">
        <v>4006</v>
      </c>
      <c r="D754" s="153" t="s">
        <v>4007</v>
      </c>
      <c r="E754" s="152" t="s">
        <v>2083</v>
      </c>
      <c r="F754" s="153">
        <v>0</v>
      </c>
    </row>
    <row r="755" spans="2:6" x14ac:dyDescent="0.25">
      <c r="B755" s="152" t="s">
        <v>4008</v>
      </c>
      <c r="C755" s="153" t="s">
        <v>4009</v>
      </c>
      <c r="D755" s="153" t="s">
        <v>4010</v>
      </c>
      <c r="E755" s="152" t="s">
        <v>2083</v>
      </c>
      <c r="F755" s="153">
        <v>0</v>
      </c>
    </row>
    <row r="756" spans="2:6" x14ac:dyDescent="0.25">
      <c r="B756" s="152" t="s">
        <v>4011</v>
      </c>
      <c r="C756" s="153" t="s">
        <v>4012</v>
      </c>
      <c r="D756" s="153" t="s">
        <v>4013</v>
      </c>
      <c r="E756" s="152" t="s">
        <v>2083</v>
      </c>
      <c r="F756" s="153">
        <v>0</v>
      </c>
    </row>
    <row r="757" spans="2:6" x14ac:dyDescent="0.25">
      <c r="B757" s="152" t="s">
        <v>4014</v>
      </c>
      <c r="C757" s="153" t="s">
        <v>4015</v>
      </c>
      <c r="D757" s="153" t="s">
        <v>4016</v>
      </c>
      <c r="E757" s="152" t="s">
        <v>2083</v>
      </c>
      <c r="F757" s="153">
        <v>0</v>
      </c>
    </row>
    <row r="758" spans="2:6" x14ac:dyDescent="0.25">
      <c r="B758" s="152" t="s">
        <v>4017</v>
      </c>
      <c r="C758" s="153" t="s">
        <v>4018</v>
      </c>
      <c r="D758" s="153" t="s">
        <v>4019</v>
      </c>
      <c r="E758" s="152" t="s">
        <v>2083</v>
      </c>
      <c r="F758" s="153">
        <v>0</v>
      </c>
    </row>
    <row r="759" spans="2:6" x14ac:dyDescent="0.25">
      <c r="B759" s="152" t="s">
        <v>4020</v>
      </c>
      <c r="C759" s="153" t="s">
        <v>4021</v>
      </c>
      <c r="D759" s="153" t="s">
        <v>4022</v>
      </c>
      <c r="E759" s="152" t="s">
        <v>2083</v>
      </c>
      <c r="F759" s="153">
        <v>0</v>
      </c>
    </row>
    <row r="760" spans="2:6" x14ac:dyDescent="0.25">
      <c r="B760" s="152" t="s">
        <v>4023</v>
      </c>
      <c r="C760" s="153" t="s">
        <v>4024</v>
      </c>
      <c r="D760" s="153" t="s">
        <v>4025</v>
      </c>
      <c r="E760" s="152" t="s">
        <v>2083</v>
      </c>
      <c r="F760" s="153">
        <v>0</v>
      </c>
    </row>
    <row r="761" spans="2:6" x14ac:dyDescent="0.25">
      <c r="B761" s="152" t="s">
        <v>1906</v>
      </c>
      <c r="C761" s="153" t="s">
        <v>4026</v>
      </c>
      <c r="D761" s="153" t="s">
        <v>4027</v>
      </c>
      <c r="E761" s="152" t="s">
        <v>2083</v>
      </c>
      <c r="F761" s="153">
        <v>0</v>
      </c>
    </row>
    <row r="762" spans="2:6" x14ac:dyDescent="0.25">
      <c r="B762" s="152" t="s">
        <v>4028</v>
      </c>
      <c r="C762" s="153" t="s">
        <v>4029</v>
      </c>
      <c r="D762" s="153" t="s">
        <v>4030</v>
      </c>
      <c r="E762" s="152" t="s">
        <v>2746</v>
      </c>
      <c r="F762" s="153">
        <v>0</v>
      </c>
    </row>
    <row r="763" spans="2:6" x14ac:dyDescent="0.25">
      <c r="B763" s="152" t="s">
        <v>4031</v>
      </c>
      <c r="C763" s="153" t="s">
        <v>4032</v>
      </c>
      <c r="D763" s="153" t="s">
        <v>4033</v>
      </c>
      <c r="E763" s="152" t="s">
        <v>49</v>
      </c>
      <c r="F763" s="154">
        <v>1000</v>
      </c>
    </row>
    <row r="764" spans="2:6" x14ac:dyDescent="0.25">
      <c r="B764" s="152" t="s">
        <v>4034</v>
      </c>
      <c r="C764" s="153" t="s">
        <v>4035</v>
      </c>
      <c r="D764" s="153" t="s">
        <v>4036</v>
      </c>
      <c r="E764" s="152" t="s">
        <v>49</v>
      </c>
      <c r="F764" s="154">
        <v>1000</v>
      </c>
    </row>
    <row r="765" spans="2:6" x14ac:dyDescent="0.25">
      <c r="B765" s="152" t="s">
        <v>4037</v>
      </c>
      <c r="C765" s="153" t="s">
        <v>4038</v>
      </c>
      <c r="D765" s="153" t="s">
        <v>4039</v>
      </c>
      <c r="E765" s="152" t="s">
        <v>49</v>
      </c>
      <c r="F765" s="154">
        <v>1000</v>
      </c>
    </row>
    <row r="766" spans="2:6" x14ac:dyDescent="0.25">
      <c r="B766" s="152" t="s">
        <v>4040</v>
      </c>
      <c r="C766" s="153" t="s">
        <v>4041</v>
      </c>
      <c r="D766" s="153" t="s">
        <v>4042</v>
      </c>
      <c r="E766" s="152" t="s">
        <v>49</v>
      </c>
      <c r="F766" s="154">
        <v>1000</v>
      </c>
    </row>
    <row r="767" spans="2:6" x14ac:dyDescent="0.25">
      <c r="B767" s="152" t="s">
        <v>4043</v>
      </c>
      <c r="C767" s="153" t="s">
        <v>4044</v>
      </c>
      <c r="D767" s="153" t="s">
        <v>4045</v>
      </c>
      <c r="E767" s="152" t="s">
        <v>49</v>
      </c>
      <c r="F767" s="154">
        <v>1000</v>
      </c>
    </row>
    <row r="768" spans="2:6" x14ac:dyDescent="0.25">
      <c r="B768" s="152" t="s">
        <v>4046</v>
      </c>
      <c r="C768" s="153" t="s">
        <v>4047</v>
      </c>
      <c r="D768" s="153" t="s">
        <v>4048</v>
      </c>
      <c r="E768" s="152" t="s">
        <v>49</v>
      </c>
      <c r="F768" s="154">
        <v>1000</v>
      </c>
    </row>
    <row r="769" spans="2:6" x14ac:dyDescent="0.25">
      <c r="B769" s="152" t="s">
        <v>4049</v>
      </c>
      <c r="C769" s="153" t="s">
        <v>4050</v>
      </c>
      <c r="D769" s="153" t="s">
        <v>4051</v>
      </c>
      <c r="E769" s="152" t="s">
        <v>49</v>
      </c>
      <c r="F769" s="154">
        <v>1000</v>
      </c>
    </row>
    <row r="770" spans="2:6" x14ac:dyDescent="0.25">
      <c r="B770" s="152" t="s">
        <v>4052</v>
      </c>
      <c r="C770" s="153" t="s">
        <v>4053</v>
      </c>
      <c r="D770" s="153" t="s">
        <v>4054</v>
      </c>
      <c r="E770" s="152" t="s">
        <v>49</v>
      </c>
      <c r="F770" s="154">
        <v>1000</v>
      </c>
    </row>
    <row r="771" spans="2:6" x14ac:dyDescent="0.25">
      <c r="B771" s="152" t="s">
        <v>1278</v>
      </c>
      <c r="C771" s="153" t="s">
        <v>4055</v>
      </c>
      <c r="D771" s="153" t="s">
        <v>4056</v>
      </c>
      <c r="E771" s="152" t="s">
        <v>2126</v>
      </c>
      <c r="F771" s="153">
        <v>0</v>
      </c>
    </row>
    <row r="772" spans="2:6" x14ac:dyDescent="0.25">
      <c r="B772" s="152" t="s">
        <v>1719</v>
      </c>
      <c r="C772" s="153" t="s">
        <v>4057</v>
      </c>
      <c r="D772" s="153" t="s">
        <v>4058</v>
      </c>
      <c r="E772" s="152" t="s">
        <v>2126</v>
      </c>
      <c r="F772" s="153">
        <v>0</v>
      </c>
    </row>
    <row r="773" spans="2:6" x14ac:dyDescent="0.25">
      <c r="B773" s="152" t="s">
        <v>79</v>
      </c>
      <c r="C773" s="153" t="s">
        <v>4059</v>
      </c>
      <c r="D773" s="153" t="s">
        <v>4060</v>
      </c>
      <c r="E773" s="152" t="s">
        <v>64</v>
      </c>
      <c r="F773" s="154">
        <v>1052</v>
      </c>
    </row>
    <row r="774" spans="2:6" x14ac:dyDescent="0.25">
      <c r="B774" s="152" t="s">
        <v>1725</v>
      </c>
      <c r="C774" s="153" t="s">
        <v>4061</v>
      </c>
      <c r="D774" s="153" t="s">
        <v>4062</v>
      </c>
      <c r="E774" s="152" t="s">
        <v>2126</v>
      </c>
      <c r="F774" s="153">
        <v>0</v>
      </c>
    </row>
    <row r="775" spans="2:6" x14ac:dyDescent="0.25">
      <c r="B775" s="152" t="s">
        <v>419</v>
      </c>
      <c r="C775" s="153" t="s">
        <v>4063</v>
      </c>
      <c r="D775" s="153" t="s">
        <v>4064</v>
      </c>
      <c r="E775" s="152" t="s">
        <v>2126</v>
      </c>
      <c r="F775" s="153">
        <v>0</v>
      </c>
    </row>
    <row r="776" spans="2:6" x14ac:dyDescent="0.25">
      <c r="B776" s="152" t="s">
        <v>897</v>
      </c>
      <c r="C776" s="153" t="s">
        <v>4065</v>
      </c>
      <c r="D776" s="153" t="s">
        <v>4066</v>
      </c>
      <c r="E776" s="152" t="s">
        <v>64</v>
      </c>
      <c r="F776" s="154">
        <v>10315</v>
      </c>
    </row>
    <row r="777" spans="2:6" x14ac:dyDescent="0.25">
      <c r="B777" s="152" t="s">
        <v>4067</v>
      </c>
      <c r="C777" s="153" t="s">
        <v>4068</v>
      </c>
      <c r="D777" s="153" t="s">
        <v>4069</v>
      </c>
      <c r="E777" s="152" t="s">
        <v>2126</v>
      </c>
      <c r="F777" s="153">
        <v>0</v>
      </c>
    </row>
    <row r="778" spans="2:6" x14ac:dyDescent="0.25">
      <c r="B778" s="152" t="s">
        <v>1156</v>
      </c>
      <c r="C778" s="153" t="s">
        <v>4070</v>
      </c>
      <c r="D778" s="153" t="s">
        <v>4071</v>
      </c>
      <c r="E778" s="152" t="s">
        <v>2126</v>
      </c>
      <c r="F778" s="153">
        <v>0</v>
      </c>
    </row>
    <row r="779" spans="2:6" x14ac:dyDescent="0.25">
      <c r="B779" s="152" t="s">
        <v>62</v>
      </c>
      <c r="C779" s="153" t="s">
        <v>4072</v>
      </c>
      <c r="D779" s="153" t="s">
        <v>4073</v>
      </c>
      <c r="E779" s="152" t="s">
        <v>2126</v>
      </c>
      <c r="F779" s="153">
        <v>0</v>
      </c>
    </row>
    <row r="780" spans="2:6" x14ac:dyDescent="0.25">
      <c r="B780" s="152" t="s">
        <v>520</v>
      </c>
      <c r="C780" s="153" t="s">
        <v>4074</v>
      </c>
      <c r="D780" s="153" t="s">
        <v>4075</v>
      </c>
      <c r="E780" s="152" t="s">
        <v>2126</v>
      </c>
      <c r="F780" s="153">
        <v>0</v>
      </c>
    </row>
    <row r="781" spans="2:6" x14ac:dyDescent="0.25">
      <c r="B781" s="152" t="s">
        <v>985</v>
      </c>
      <c r="C781" s="153" t="s">
        <v>4076</v>
      </c>
      <c r="D781" s="153" t="s">
        <v>4077</v>
      </c>
      <c r="E781" s="152" t="s">
        <v>2126</v>
      </c>
      <c r="F781" s="153">
        <v>0</v>
      </c>
    </row>
    <row r="782" spans="2:6" x14ac:dyDescent="0.25">
      <c r="B782" s="152" t="s">
        <v>430</v>
      </c>
      <c r="C782" s="153" t="s">
        <v>4078</v>
      </c>
      <c r="D782" s="153" t="s">
        <v>4079</v>
      </c>
      <c r="E782" s="152" t="s">
        <v>64</v>
      </c>
      <c r="F782" s="154">
        <v>13446</v>
      </c>
    </row>
    <row r="783" spans="2:6" x14ac:dyDescent="0.25">
      <c r="B783" s="152" t="s">
        <v>817</v>
      </c>
      <c r="C783" s="153" t="s">
        <v>4080</v>
      </c>
      <c r="D783" s="153" t="s">
        <v>4081</v>
      </c>
      <c r="E783" s="152" t="s">
        <v>2126</v>
      </c>
      <c r="F783" s="153">
        <v>0</v>
      </c>
    </row>
    <row r="784" spans="2:6" x14ac:dyDescent="0.25">
      <c r="B784" s="152" t="s">
        <v>1313</v>
      </c>
      <c r="C784" s="153" t="s">
        <v>4082</v>
      </c>
      <c r="D784" s="153" t="s">
        <v>4083</v>
      </c>
      <c r="E784" s="152" t="s">
        <v>64</v>
      </c>
      <c r="F784" s="153">
        <v>737.99</v>
      </c>
    </row>
    <row r="785" spans="2:6" x14ac:dyDescent="0.25">
      <c r="B785" s="152" t="s">
        <v>1220</v>
      </c>
      <c r="C785" s="153" t="s">
        <v>4084</v>
      </c>
      <c r="D785" s="153" t="s">
        <v>4085</v>
      </c>
      <c r="E785" s="152" t="s">
        <v>2126</v>
      </c>
      <c r="F785" s="153">
        <v>0</v>
      </c>
    </row>
    <row r="786" spans="2:6" x14ac:dyDescent="0.25">
      <c r="B786" s="152" t="s">
        <v>470</v>
      </c>
      <c r="C786" s="153" t="s">
        <v>4086</v>
      </c>
      <c r="D786" s="153" t="s">
        <v>4087</v>
      </c>
      <c r="E786" s="152" t="s">
        <v>2126</v>
      </c>
      <c r="F786" s="153">
        <v>0</v>
      </c>
    </row>
    <row r="787" spans="2:6" x14ac:dyDescent="0.25">
      <c r="B787" s="157" t="s">
        <v>769</v>
      </c>
      <c r="C787" s="158" t="s">
        <v>4088</v>
      </c>
      <c r="D787" s="158" t="s">
        <v>4089</v>
      </c>
      <c r="E787" s="152" t="s">
        <v>64</v>
      </c>
      <c r="F787" s="153">
        <v>10</v>
      </c>
    </row>
    <row r="788" spans="2:6" x14ac:dyDescent="0.25">
      <c r="B788" s="152" t="s">
        <v>1052</v>
      </c>
      <c r="C788" s="153" t="s">
        <v>4090</v>
      </c>
      <c r="D788" s="153" t="s">
        <v>4091</v>
      </c>
      <c r="E788" s="152" t="s">
        <v>64</v>
      </c>
      <c r="F788" s="153">
        <v>913.32</v>
      </c>
    </row>
    <row r="789" spans="2:6" x14ac:dyDescent="0.25">
      <c r="B789" s="152" t="s">
        <v>1103</v>
      </c>
      <c r="C789" s="153" t="s">
        <v>4092</v>
      </c>
      <c r="D789" s="153" t="s">
        <v>4093</v>
      </c>
      <c r="E789" s="152" t="s">
        <v>64</v>
      </c>
      <c r="F789" s="154">
        <v>41412</v>
      </c>
    </row>
    <row r="790" spans="2:6" x14ac:dyDescent="0.25">
      <c r="B790" s="152" t="s">
        <v>1015</v>
      </c>
      <c r="C790" s="153" t="s">
        <v>4094</v>
      </c>
      <c r="D790" s="153" t="s">
        <v>4095</v>
      </c>
      <c r="E790" s="152" t="s">
        <v>64</v>
      </c>
      <c r="F790" s="153">
        <v>195</v>
      </c>
    </row>
    <row r="791" spans="2:6" x14ac:dyDescent="0.25">
      <c r="B791" s="152" t="s">
        <v>936</v>
      </c>
      <c r="C791" s="153" t="s">
        <v>4096</v>
      </c>
      <c r="D791" s="153" t="s">
        <v>4097</v>
      </c>
      <c r="E791" s="152" t="s">
        <v>2086</v>
      </c>
      <c r="F791" s="154">
        <v>8976</v>
      </c>
    </row>
    <row r="792" spans="2:6" x14ac:dyDescent="0.25">
      <c r="B792" s="152" t="s">
        <v>961</v>
      </c>
      <c r="C792" s="153" t="s">
        <v>4098</v>
      </c>
      <c r="D792" s="153" t="s">
        <v>4099</v>
      </c>
      <c r="E792" s="152" t="s">
        <v>2126</v>
      </c>
      <c r="F792" s="153">
        <v>0</v>
      </c>
    </row>
    <row r="793" spans="2:6" x14ac:dyDescent="0.25">
      <c r="B793" s="152" t="s">
        <v>1096</v>
      </c>
      <c r="C793" s="153" t="s">
        <v>4100</v>
      </c>
      <c r="D793" s="153" t="s">
        <v>4101</v>
      </c>
      <c r="E793" s="152" t="s">
        <v>64</v>
      </c>
      <c r="F793" s="153">
        <v>750</v>
      </c>
    </row>
    <row r="794" spans="2:6" x14ac:dyDescent="0.25">
      <c r="B794" s="152" t="s">
        <v>905</v>
      </c>
      <c r="C794" s="153" t="s">
        <v>4102</v>
      </c>
      <c r="D794" s="153" t="s">
        <v>4103</v>
      </c>
      <c r="E794" s="152" t="s">
        <v>64</v>
      </c>
      <c r="F794" s="154">
        <v>71556</v>
      </c>
    </row>
    <row r="795" spans="2:6" x14ac:dyDescent="0.25">
      <c r="B795" s="152" t="s">
        <v>458</v>
      </c>
      <c r="C795" s="153" t="s">
        <v>4104</v>
      </c>
      <c r="D795" s="153" t="s">
        <v>4105</v>
      </c>
      <c r="E795" s="152" t="s">
        <v>64</v>
      </c>
      <c r="F795" s="153">
        <v>345</v>
      </c>
    </row>
    <row r="796" spans="2:6" x14ac:dyDescent="0.25">
      <c r="B796" s="152" t="s">
        <v>807</v>
      </c>
      <c r="C796" s="153" t="s">
        <v>4106</v>
      </c>
      <c r="D796" s="153" t="s">
        <v>4107</v>
      </c>
      <c r="E796" s="152" t="s">
        <v>64</v>
      </c>
      <c r="F796" s="154">
        <v>1530</v>
      </c>
    </row>
    <row r="797" spans="2:6" x14ac:dyDescent="0.25">
      <c r="B797" s="157" t="s">
        <v>1138</v>
      </c>
      <c r="C797" s="158" t="s">
        <v>4108</v>
      </c>
      <c r="D797" s="158" t="s">
        <v>4109</v>
      </c>
      <c r="E797" s="152" t="s">
        <v>64</v>
      </c>
      <c r="F797" s="154">
        <v>1250</v>
      </c>
    </row>
    <row r="798" spans="2:6" x14ac:dyDescent="0.25">
      <c r="B798" s="157" t="s">
        <v>464</v>
      </c>
      <c r="C798" s="158" t="s">
        <v>4110</v>
      </c>
      <c r="D798" s="158" t="s">
        <v>4111</v>
      </c>
      <c r="E798" s="152" t="s">
        <v>64</v>
      </c>
      <c r="F798" s="153">
        <v>575</v>
      </c>
    </row>
    <row r="799" spans="2:6" x14ac:dyDescent="0.25">
      <c r="B799" s="152" t="s">
        <v>530</v>
      </c>
      <c r="C799" s="153" t="s">
        <v>4112</v>
      </c>
      <c r="D799" s="153" t="s">
        <v>4113</v>
      </c>
      <c r="E799" s="152" t="s">
        <v>2126</v>
      </c>
      <c r="F799" s="153">
        <v>0</v>
      </c>
    </row>
    <row r="800" spans="2:6" x14ac:dyDescent="0.25">
      <c r="B800" s="152" t="s">
        <v>416</v>
      </c>
      <c r="C800" s="153" t="s">
        <v>4114</v>
      </c>
      <c r="D800" s="153" t="s">
        <v>4115</v>
      </c>
      <c r="E800" s="152" t="s">
        <v>2126</v>
      </c>
      <c r="F800" s="153">
        <v>0</v>
      </c>
    </row>
    <row r="801" spans="2:6" x14ac:dyDescent="0.25">
      <c r="B801" s="152" t="s">
        <v>1707</v>
      </c>
      <c r="C801" s="153" t="s">
        <v>4116</v>
      </c>
      <c r="D801" s="153" t="s">
        <v>4117</v>
      </c>
      <c r="E801" s="152" t="s">
        <v>2126</v>
      </c>
      <c r="F801" s="153">
        <v>0</v>
      </c>
    </row>
    <row r="802" spans="2:6" x14ac:dyDescent="0.25">
      <c r="B802" s="152" t="s">
        <v>743</v>
      </c>
      <c r="C802" s="153" t="s">
        <v>4118</v>
      </c>
      <c r="D802" s="153" t="s">
        <v>4119</v>
      </c>
      <c r="E802" s="152" t="s">
        <v>2111</v>
      </c>
      <c r="F802" s="153">
        <v>600</v>
      </c>
    </row>
    <row r="803" spans="2:6" x14ac:dyDescent="0.25">
      <c r="B803" s="152" t="s">
        <v>1308</v>
      </c>
      <c r="C803" s="153" t="s">
        <v>4120</v>
      </c>
      <c r="D803" s="153" t="s">
        <v>4121</v>
      </c>
      <c r="E803" s="152" t="s">
        <v>2111</v>
      </c>
      <c r="F803" s="153">
        <v>744</v>
      </c>
    </row>
    <row r="804" spans="2:6" x14ac:dyDescent="0.25">
      <c r="B804" s="152" t="s">
        <v>441</v>
      </c>
      <c r="C804" s="153" t="s">
        <v>4122</v>
      </c>
      <c r="D804" s="153" t="s">
        <v>4123</v>
      </c>
      <c r="E804" s="152" t="s">
        <v>2126</v>
      </c>
      <c r="F804" s="153">
        <v>0</v>
      </c>
    </row>
    <row r="805" spans="2:6" x14ac:dyDescent="0.25">
      <c r="B805" s="152" t="s">
        <v>1711</v>
      </c>
      <c r="C805" s="153" t="s">
        <v>4124</v>
      </c>
      <c r="D805" s="153" t="s">
        <v>4125</v>
      </c>
      <c r="E805" s="152" t="s">
        <v>2126</v>
      </c>
      <c r="F805" s="153">
        <v>0</v>
      </c>
    </row>
    <row r="806" spans="2:6" x14ac:dyDescent="0.25">
      <c r="B806" s="152" t="s">
        <v>1592</v>
      </c>
      <c r="C806" s="153" t="s">
        <v>4126</v>
      </c>
      <c r="D806" s="153" t="s">
        <v>4127</v>
      </c>
      <c r="E806" s="152" t="s">
        <v>64</v>
      </c>
      <c r="F806" s="154">
        <v>1396.56</v>
      </c>
    </row>
    <row r="807" spans="2:6" x14ac:dyDescent="0.25">
      <c r="B807" s="152" t="s">
        <v>983</v>
      </c>
      <c r="C807" s="153" t="s">
        <v>4128</v>
      </c>
      <c r="D807" s="153" t="s">
        <v>4129</v>
      </c>
      <c r="E807" s="152" t="s">
        <v>64</v>
      </c>
      <c r="F807" s="153">
        <v>720</v>
      </c>
    </row>
    <row r="808" spans="2:6" x14ac:dyDescent="0.25">
      <c r="B808" s="152" t="s">
        <v>1151</v>
      </c>
      <c r="C808" s="153" t="s">
        <v>4130</v>
      </c>
      <c r="D808" s="153" t="s">
        <v>4131</v>
      </c>
      <c r="E808" s="152" t="s">
        <v>2126</v>
      </c>
      <c r="F808" s="153">
        <v>0</v>
      </c>
    </row>
    <row r="809" spans="2:6" x14ac:dyDescent="0.25">
      <c r="B809" s="152" t="s">
        <v>1341</v>
      </c>
      <c r="C809" s="153" t="s">
        <v>4132</v>
      </c>
      <c r="D809" s="153" t="s">
        <v>4133</v>
      </c>
      <c r="E809" s="152" t="s">
        <v>64</v>
      </c>
      <c r="F809" s="154">
        <v>1300</v>
      </c>
    </row>
    <row r="810" spans="2:6" x14ac:dyDescent="0.25">
      <c r="B810" s="152" t="s">
        <v>396</v>
      </c>
      <c r="C810" s="153" t="s">
        <v>4134</v>
      </c>
      <c r="D810" s="153" t="s">
        <v>4135</v>
      </c>
      <c r="E810" s="152" t="s">
        <v>2126</v>
      </c>
      <c r="F810" s="153">
        <v>0</v>
      </c>
    </row>
    <row r="811" spans="2:6" x14ac:dyDescent="0.25">
      <c r="B811" s="152" t="s">
        <v>399</v>
      </c>
      <c r="C811" s="153" t="s">
        <v>4136</v>
      </c>
      <c r="D811" s="153" t="s">
        <v>4137</v>
      </c>
      <c r="E811" s="152" t="s">
        <v>64</v>
      </c>
      <c r="F811" s="153">
        <v>10</v>
      </c>
    </row>
    <row r="812" spans="2:6" x14ac:dyDescent="0.25">
      <c r="B812" s="152" t="s">
        <v>1057</v>
      </c>
      <c r="C812" s="153" t="s">
        <v>4138</v>
      </c>
      <c r="D812" s="153" t="s">
        <v>4139</v>
      </c>
      <c r="E812" s="152" t="s">
        <v>2126</v>
      </c>
      <c r="F812" s="153">
        <v>0</v>
      </c>
    </row>
    <row r="813" spans="2:6" x14ac:dyDescent="0.25">
      <c r="B813" s="152" t="s">
        <v>1252</v>
      </c>
      <c r="C813" s="153" t="s">
        <v>4140</v>
      </c>
      <c r="D813" s="153" t="s">
        <v>4141</v>
      </c>
      <c r="E813" s="152" t="s">
        <v>64</v>
      </c>
      <c r="F813" s="153">
        <v>500</v>
      </c>
    </row>
    <row r="814" spans="2:6" x14ac:dyDescent="0.25">
      <c r="B814" s="152" t="s">
        <v>1502</v>
      </c>
      <c r="C814" s="153" t="s">
        <v>4142</v>
      </c>
      <c r="D814" s="153" t="s">
        <v>4143</v>
      </c>
      <c r="E814" s="152" t="s">
        <v>2126</v>
      </c>
      <c r="F814" s="153">
        <v>0</v>
      </c>
    </row>
    <row r="815" spans="2:6" x14ac:dyDescent="0.25">
      <c r="B815" s="152" t="s">
        <v>1541</v>
      </c>
      <c r="C815" s="153" t="s">
        <v>4144</v>
      </c>
      <c r="D815" s="153" t="s">
        <v>4145</v>
      </c>
      <c r="E815" s="152" t="s">
        <v>64</v>
      </c>
      <c r="F815" s="153">
        <v>250</v>
      </c>
    </row>
    <row r="816" spans="2:6" x14ac:dyDescent="0.25">
      <c r="B816" s="152" t="s">
        <v>4146</v>
      </c>
      <c r="C816" s="153" t="s">
        <v>4147</v>
      </c>
      <c r="D816" s="153" t="s">
        <v>4148</v>
      </c>
      <c r="E816" s="152" t="s">
        <v>2126</v>
      </c>
      <c r="F816" s="153">
        <v>0</v>
      </c>
    </row>
    <row r="817" spans="2:6" x14ac:dyDescent="0.25">
      <c r="B817" s="152" t="s">
        <v>682</v>
      </c>
      <c r="C817" s="153" t="s">
        <v>4149</v>
      </c>
      <c r="D817" s="153" t="s">
        <v>4150</v>
      </c>
      <c r="E817" s="152" t="s">
        <v>2126</v>
      </c>
      <c r="F817" s="153">
        <v>0</v>
      </c>
    </row>
    <row r="818" spans="2:6" x14ac:dyDescent="0.25">
      <c r="B818" s="152" t="s">
        <v>835</v>
      </c>
      <c r="C818" s="153" t="s">
        <v>4151</v>
      </c>
      <c r="D818" s="153" t="s">
        <v>4152</v>
      </c>
      <c r="E818" s="152" t="s">
        <v>2126</v>
      </c>
      <c r="F818" s="153">
        <v>0</v>
      </c>
    </row>
    <row r="819" spans="2:6" x14ac:dyDescent="0.25">
      <c r="B819" s="152" t="s">
        <v>771</v>
      </c>
      <c r="C819" s="153" t="s">
        <v>4153</v>
      </c>
      <c r="D819" s="153" t="s">
        <v>4154</v>
      </c>
      <c r="E819" s="152" t="s">
        <v>64</v>
      </c>
      <c r="F819" s="154">
        <v>3978</v>
      </c>
    </row>
    <row r="820" spans="2:6" x14ac:dyDescent="0.25">
      <c r="B820" s="152" t="s">
        <v>1357</v>
      </c>
      <c r="C820" s="153" t="s">
        <v>4155</v>
      </c>
      <c r="D820" s="153" t="s">
        <v>4156</v>
      </c>
      <c r="E820" s="152" t="s">
        <v>64</v>
      </c>
      <c r="F820" s="153">
        <v>864</v>
      </c>
    </row>
    <row r="821" spans="2:6" x14ac:dyDescent="0.25">
      <c r="B821" s="152" t="s">
        <v>1440</v>
      </c>
      <c r="C821" s="153" t="s">
        <v>4157</v>
      </c>
      <c r="D821" s="153" t="s">
        <v>4158</v>
      </c>
      <c r="E821" s="152" t="s">
        <v>2111</v>
      </c>
      <c r="F821" s="153">
        <v>144.84</v>
      </c>
    </row>
    <row r="822" spans="2:6" x14ac:dyDescent="0.25">
      <c r="B822" s="152" t="s">
        <v>1555</v>
      </c>
      <c r="C822" s="153" t="s">
        <v>4159</v>
      </c>
      <c r="D822" s="153" t="s">
        <v>4160</v>
      </c>
      <c r="E822" s="152" t="s">
        <v>64</v>
      </c>
      <c r="F822" s="153">
        <v>142</v>
      </c>
    </row>
    <row r="823" spans="2:6" x14ac:dyDescent="0.25">
      <c r="B823" s="152" t="s">
        <v>1165</v>
      </c>
      <c r="C823" s="153" t="s">
        <v>4161</v>
      </c>
      <c r="D823" s="153" t="s">
        <v>4162</v>
      </c>
      <c r="E823" s="152" t="s">
        <v>64</v>
      </c>
      <c r="F823" s="153">
        <v>158.19999999999999</v>
      </c>
    </row>
    <row r="824" spans="2:6" x14ac:dyDescent="0.25">
      <c r="B824" s="152" t="s">
        <v>1582</v>
      </c>
      <c r="C824" s="153" t="s">
        <v>4163</v>
      </c>
      <c r="D824" s="153" t="s">
        <v>4164</v>
      </c>
      <c r="E824" s="152" t="s">
        <v>64</v>
      </c>
      <c r="F824" s="153">
        <v>1</v>
      </c>
    </row>
    <row r="825" spans="2:6" x14ac:dyDescent="0.25">
      <c r="B825" s="152" t="s">
        <v>518</v>
      </c>
      <c r="C825" s="153" t="s">
        <v>4165</v>
      </c>
      <c r="D825" s="153" t="s">
        <v>4166</v>
      </c>
      <c r="E825" s="152" t="s">
        <v>2126</v>
      </c>
      <c r="F825" s="153">
        <v>0</v>
      </c>
    </row>
    <row r="826" spans="2:6" x14ac:dyDescent="0.25">
      <c r="B826" s="152" t="s">
        <v>1292</v>
      </c>
      <c r="C826" s="153" t="s">
        <v>4167</v>
      </c>
      <c r="D826" s="153" t="s">
        <v>4168</v>
      </c>
      <c r="E826" s="152" t="s">
        <v>64</v>
      </c>
      <c r="F826" s="153">
        <v>90</v>
      </c>
    </row>
    <row r="827" spans="2:6" x14ac:dyDescent="0.25">
      <c r="B827" s="152" t="s">
        <v>1169</v>
      </c>
      <c r="C827" s="153" t="s">
        <v>4169</v>
      </c>
      <c r="D827" s="153" t="s">
        <v>4170</v>
      </c>
      <c r="E827" s="152" t="s">
        <v>64</v>
      </c>
      <c r="F827" s="153">
        <v>25</v>
      </c>
    </row>
    <row r="828" spans="2:6" x14ac:dyDescent="0.25">
      <c r="B828" s="152" t="s">
        <v>4171</v>
      </c>
      <c r="C828" s="153" t="s">
        <v>4172</v>
      </c>
      <c r="D828" s="153" t="s">
        <v>4173</v>
      </c>
      <c r="E828" s="152" t="s">
        <v>64</v>
      </c>
      <c r="F828" s="153">
        <v>90</v>
      </c>
    </row>
    <row r="829" spans="2:6" x14ac:dyDescent="0.25">
      <c r="B829" s="152" t="s">
        <v>1131</v>
      </c>
      <c r="C829" s="153" t="s">
        <v>4174</v>
      </c>
      <c r="D829" s="153" t="s">
        <v>4175</v>
      </c>
      <c r="E829" s="152" t="s">
        <v>2126</v>
      </c>
      <c r="F829" s="153">
        <v>0</v>
      </c>
    </row>
    <row r="830" spans="2:6" x14ac:dyDescent="0.25">
      <c r="B830" s="152" t="s">
        <v>497</v>
      </c>
      <c r="C830" s="153" t="s">
        <v>4176</v>
      </c>
      <c r="D830" s="153" t="s">
        <v>4177</v>
      </c>
      <c r="E830" s="152" t="s">
        <v>64</v>
      </c>
      <c r="F830" s="153">
        <v>296</v>
      </c>
    </row>
    <row r="831" spans="2:6" x14ac:dyDescent="0.25">
      <c r="B831" s="152" t="s">
        <v>919</v>
      </c>
      <c r="C831" s="153" t="s">
        <v>4178</v>
      </c>
      <c r="D831" s="153" t="s">
        <v>4179</v>
      </c>
      <c r="E831" s="152" t="s">
        <v>64</v>
      </c>
      <c r="F831" s="153">
        <v>600</v>
      </c>
    </row>
    <row r="832" spans="2:6" x14ac:dyDescent="0.25">
      <c r="B832" s="152" t="s">
        <v>1269</v>
      </c>
      <c r="C832" s="153" t="s">
        <v>4180</v>
      </c>
      <c r="D832" s="153" t="s">
        <v>4181</v>
      </c>
      <c r="E832" s="152" t="s">
        <v>64</v>
      </c>
      <c r="F832" s="153">
        <v>62.7</v>
      </c>
    </row>
    <row r="833" spans="2:6" x14ac:dyDescent="0.25">
      <c r="B833" s="152" t="s">
        <v>1091</v>
      </c>
      <c r="C833" s="153" t="s">
        <v>4182</v>
      </c>
      <c r="D833" s="153" t="s">
        <v>4183</v>
      </c>
      <c r="E833" s="152" t="s">
        <v>64</v>
      </c>
      <c r="F833" s="153">
        <v>98.76</v>
      </c>
    </row>
    <row r="834" spans="2:6" x14ac:dyDescent="0.25">
      <c r="B834" s="152" t="s">
        <v>1126</v>
      </c>
      <c r="C834" s="153" t="s">
        <v>4184</v>
      </c>
      <c r="D834" s="153" t="s">
        <v>4185</v>
      </c>
      <c r="E834" s="152" t="s">
        <v>64</v>
      </c>
      <c r="F834" s="153">
        <v>160.84</v>
      </c>
    </row>
    <row r="835" spans="2:6" x14ac:dyDescent="0.25">
      <c r="B835" s="152" t="s">
        <v>4186</v>
      </c>
      <c r="C835" s="153" t="s">
        <v>4187</v>
      </c>
      <c r="D835" s="153" t="s">
        <v>4188</v>
      </c>
      <c r="E835" s="152" t="s">
        <v>2126</v>
      </c>
      <c r="F835" s="153">
        <v>0</v>
      </c>
    </row>
    <row r="836" spans="2:6" x14ac:dyDescent="0.25">
      <c r="B836" s="157" t="s">
        <v>1552</v>
      </c>
      <c r="C836" s="158" t="s">
        <v>4189</v>
      </c>
      <c r="D836" s="158" t="s">
        <v>4190</v>
      </c>
      <c r="E836" s="152" t="s">
        <v>64</v>
      </c>
      <c r="F836" s="154">
        <v>3270</v>
      </c>
    </row>
    <row r="837" spans="2:6" x14ac:dyDescent="0.25">
      <c r="B837" s="152" t="s">
        <v>82</v>
      </c>
      <c r="C837" s="153" t="s">
        <v>4191</v>
      </c>
      <c r="D837" s="153" t="s">
        <v>4192</v>
      </c>
      <c r="E837" s="152" t="s">
        <v>64</v>
      </c>
      <c r="F837" s="153">
        <v>336.6</v>
      </c>
    </row>
    <row r="838" spans="2:6" x14ac:dyDescent="0.25">
      <c r="B838" s="152" t="s">
        <v>58</v>
      </c>
      <c r="C838" s="153" t="s">
        <v>4193</v>
      </c>
      <c r="D838" s="153" t="s">
        <v>4194</v>
      </c>
      <c r="E838" s="152" t="s">
        <v>64</v>
      </c>
      <c r="F838" s="153">
        <v>11.4</v>
      </c>
    </row>
    <row r="839" spans="2:6" x14ac:dyDescent="0.25">
      <c r="B839" s="152" t="s">
        <v>544</v>
      </c>
      <c r="C839" s="153" t="s">
        <v>4195</v>
      </c>
      <c r="D839" s="153" t="s">
        <v>4196</v>
      </c>
      <c r="E839" s="152" t="s">
        <v>2126</v>
      </c>
      <c r="F839" s="153">
        <v>0</v>
      </c>
    </row>
    <row r="840" spans="2:6" x14ac:dyDescent="0.25">
      <c r="B840" s="152" t="s">
        <v>494</v>
      </c>
      <c r="C840" s="153" t="s">
        <v>4197</v>
      </c>
      <c r="D840" s="153" t="s">
        <v>4198</v>
      </c>
      <c r="E840" s="152" t="s">
        <v>2126</v>
      </c>
      <c r="F840" s="153">
        <v>0</v>
      </c>
    </row>
    <row r="841" spans="2:6" x14ac:dyDescent="0.25">
      <c r="B841" s="152" t="s">
        <v>1129</v>
      </c>
      <c r="C841" s="153" t="s">
        <v>4199</v>
      </c>
      <c r="D841" s="153" t="s">
        <v>4200</v>
      </c>
      <c r="E841" s="152" t="s">
        <v>64</v>
      </c>
      <c r="F841" s="153">
        <v>60</v>
      </c>
    </row>
    <row r="842" spans="2:6" x14ac:dyDescent="0.25">
      <c r="B842" s="152" t="s">
        <v>474</v>
      </c>
      <c r="C842" s="153" t="s">
        <v>4201</v>
      </c>
      <c r="D842" s="153" t="s">
        <v>4202</v>
      </c>
      <c r="E842" s="152" t="s">
        <v>64</v>
      </c>
      <c r="F842" s="153">
        <v>262.08</v>
      </c>
    </row>
    <row r="843" spans="2:6" x14ac:dyDescent="0.25">
      <c r="B843" s="152" t="s">
        <v>1215</v>
      </c>
      <c r="C843" s="153" t="s">
        <v>4203</v>
      </c>
      <c r="D843" s="153" t="s">
        <v>4204</v>
      </c>
      <c r="E843" s="152" t="s">
        <v>2126</v>
      </c>
      <c r="F843" s="153">
        <v>0</v>
      </c>
    </row>
    <row r="844" spans="2:6" x14ac:dyDescent="0.25">
      <c r="B844" s="152" t="s">
        <v>4205</v>
      </c>
      <c r="C844" s="153" t="s">
        <v>4206</v>
      </c>
      <c r="D844" s="153" t="s">
        <v>4207</v>
      </c>
      <c r="E844" s="152" t="s">
        <v>2160</v>
      </c>
      <c r="F844" s="153">
        <v>0</v>
      </c>
    </row>
    <row r="845" spans="2:6" x14ac:dyDescent="0.25">
      <c r="B845" s="152" t="s">
        <v>1490</v>
      </c>
      <c r="C845" s="153" t="s">
        <v>4208</v>
      </c>
      <c r="D845" s="153" t="s">
        <v>4209</v>
      </c>
      <c r="E845" s="152" t="s">
        <v>64</v>
      </c>
      <c r="F845" s="153">
        <v>45</v>
      </c>
    </row>
    <row r="846" spans="2:6" x14ac:dyDescent="0.25">
      <c r="B846" s="152" t="s">
        <v>1295</v>
      </c>
      <c r="C846" s="153" t="s">
        <v>4210</v>
      </c>
      <c r="D846" s="153" t="s">
        <v>4211</v>
      </c>
      <c r="E846" s="152" t="s">
        <v>64</v>
      </c>
      <c r="F846" s="153">
        <v>250</v>
      </c>
    </row>
    <row r="847" spans="2:6" x14ac:dyDescent="0.25">
      <c r="B847" s="152" t="s">
        <v>1373</v>
      </c>
      <c r="C847" s="153" t="s">
        <v>4212</v>
      </c>
      <c r="D847" s="153" t="s">
        <v>4213</v>
      </c>
      <c r="E847" s="152" t="s">
        <v>2111</v>
      </c>
      <c r="F847" s="154">
        <v>2360</v>
      </c>
    </row>
    <row r="848" spans="2:6" x14ac:dyDescent="0.25">
      <c r="B848" s="157" t="s">
        <v>1208</v>
      </c>
      <c r="C848" s="158" t="s">
        <v>4214</v>
      </c>
      <c r="D848" s="158" t="s">
        <v>4215</v>
      </c>
      <c r="E848" s="152" t="s">
        <v>64</v>
      </c>
      <c r="F848" s="153">
        <v>32.64</v>
      </c>
    </row>
    <row r="849" spans="2:6" x14ac:dyDescent="0.25">
      <c r="B849" s="152" t="s">
        <v>1436</v>
      </c>
      <c r="C849" s="153" t="s">
        <v>4216</v>
      </c>
      <c r="D849" s="153" t="s">
        <v>4217</v>
      </c>
      <c r="E849" s="152" t="s">
        <v>64</v>
      </c>
      <c r="F849" s="153">
        <v>4.8</v>
      </c>
    </row>
    <row r="850" spans="2:6" x14ac:dyDescent="0.25">
      <c r="B850" s="152" t="s">
        <v>1245</v>
      </c>
      <c r="C850" s="153" t="s">
        <v>4218</v>
      </c>
      <c r="D850" s="153" t="s">
        <v>4219</v>
      </c>
      <c r="E850" s="152" t="s">
        <v>64</v>
      </c>
      <c r="F850" s="153">
        <v>21</v>
      </c>
    </row>
    <row r="851" spans="2:6" x14ac:dyDescent="0.25">
      <c r="B851" s="157" t="s">
        <v>41</v>
      </c>
      <c r="C851" s="158" t="s">
        <v>4220</v>
      </c>
      <c r="D851" s="158" t="s">
        <v>4221</v>
      </c>
      <c r="E851" s="152" t="s">
        <v>64</v>
      </c>
      <c r="F851" s="153">
        <v>28.8</v>
      </c>
    </row>
    <row r="852" spans="2:6" x14ac:dyDescent="0.25">
      <c r="B852" s="152" t="s">
        <v>4222</v>
      </c>
      <c r="C852" s="153" t="s">
        <v>4223</v>
      </c>
      <c r="D852" s="153" t="s">
        <v>4224</v>
      </c>
      <c r="E852" s="152" t="s">
        <v>2126</v>
      </c>
      <c r="F852" s="153">
        <v>0</v>
      </c>
    </row>
    <row r="853" spans="2:6" x14ac:dyDescent="0.25">
      <c r="B853" s="152" t="s">
        <v>1345</v>
      </c>
      <c r="C853" s="153" t="s">
        <v>4225</v>
      </c>
      <c r="D853" s="153" t="s">
        <v>4226</v>
      </c>
      <c r="E853" s="152" t="s">
        <v>64</v>
      </c>
      <c r="F853" s="153">
        <v>10</v>
      </c>
    </row>
    <row r="854" spans="2:6" x14ac:dyDescent="0.25">
      <c r="B854" s="152" t="s">
        <v>1526</v>
      </c>
      <c r="C854" s="153" t="s">
        <v>4227</v>
      </c>
      <c r="D854" s="153" t="s">
        <v>4228</v>
      </c>
      <c r="E854" s="152" t="s">
        <v>2126</v>
      </c>
      <c r="F854" s="153">
        <v>0</v>
      </c>
    </row>
    <row r="855" spans="2:6" x14ac:dyDescent="0.25">
      <c r="B855" s="152" t="s">
        <v>4229</v>
      </c>
      <c r="C855" s="153" t="s">
        <v>4230</v>
      </c>
      <c r="D855" s="153" t="s">
        <v>4231</v>
      </c>
      <c r="E855" s="152" t="s">
        <v>2111</v>
      </c>
      <c r="F855" s="153">
        <v>7.08</v>
      </c>
    </row>
    <row r="856" spans="2:6" x14ac:dyDescent="0.25">
      <c r="B856" s="152" t="s">
        <v>1478</v>
      </c>
      <c r="C856" s="153" t="s">
        <v>4232</v>
      </c>
      <c r="D856" s="153" t="s">
        <v>4233</v>
      </c>
      <c r="E856" s="152" t="s">
        <v>2126</v>
      </c>
      <c r="F856" s="153">
        <v>0</v>
      </c>
    </row>
    <row r="857" spans="2:6" x14ac:dyDescent="0.25">
      <c r="B857" s="152" t="s">
        <v>4234</v>
      </c>
      <c r="C857" s="153" t="s">
        <v>4235</v>
      </c>
      <c r="D857" s="153" t="s">
        <v>4236</v>
      </c>
      <c r="E857" s="152" t="s">
        <v>64</v>
      </c>
      <c r="F857" s="153">
        <v>6</v>
      </c>
    </row>
    <row r="858" spans="2:6" x14ac:dyDescent="0.25">
      <c r="B858" s="152" t="s">
        <v>1134</v>
      </c>
      <c r="C858" s="153" t="s">
        <v>4237</v>
      </c>
      <c r="D858" s="153" t="s">
        <v>4238</v>
      </c>
      <c r="E858" s="152" t="s">
        <v>64</v>
      </c>
      <c r="F858" s="153">
        <v>6</v>
      </c>
    </row>
    <row r="859" spans="2:6" x14ac:dyDescent="0.25">
      <c r="B859" s="157" t="s">
        <v>1323</v>
      </c>
      <c r="C859" s="158" t="s">
        <v>4239</v>
      </c>
      <c r="D859" s="158" t="s">
        <v>4240</v>
      </c>
      <c r="E859" s="152" t="s">
        <v>2126</v>
      </c>
      <c r="F859" s="153">
        <v>0</v>
      </c>
    </row>
    <row r="860" spans="2:6" x14ac:dyDescent="0.25">
      <c r="B860" s="152" t="s">
        <v>1285</v>
      </c>
      <c r="C860" s="153" t="s">
        <v>4241</v>
      </c>
      <c r="D860" s="153" t="s">
        <v>4242</v>
      </c>
      <c r="E860" s="152" t="s">
        <v>64</v>
      </c>
      <c r="F860" s="153">
        <v>3</v>
      </c>
    </row>
    <row r="861" spans="2:6" x14ac:dyDescent="0.25">
      <c r="B861" s="152" t="s">
        <v>1287</v>
      </c>
      <c r="C861" s="153" t="s">
        <v>1993</v>
      </c>
      <c r="D861" s="153" t="s">
        <v>4243</v>
      </c>
      <c r="E861" s="152" t="s">
        <v>64</v>
      </c>
      <c r="F861" s="153">
        <v>20</v>
      </c>
    </row>
    <row r="862" spans="2:6" x14ac:dyDescent="0.25">
      <c r="B862" s="152" t="s">
        <v>1386</v>
      </c>
      <c r="C862" s="153" t="s">
        <v>4244</v>
      </c>
      <c r="D862" s="153" t="s">
        <v>4245</v>
      </c>
      <c r="E862" s="152" t="s">
        <v>64</v>
      </c>
      <c r="F862" s="153">
        <v>24</v>
      </c>
    </row>
    <row r="863" spans="2:6" x14ac:dyDescent="0.25">
      <c r="B863" s="152" t="s">
        <v>1047</v>
      </c>
      <c r="C863" s="153" t="s">
        <v>4246</v>
      </c>
      <c r="D863" s="153" t="s">
        <v>4247</v>
      </c>
      <c r="E863" s="152" t="s">
        <v>64</v>
      </c>
      <c r="F863" s="153">
        <v>522.14</v>
      </c>
    </row>
    <row r="864" spans="2:6" x14ac:dyDescent="0.25">
      <c r="B864" s="152" t="s">
        <v>978</v>
      </c>
      <c r="C864" s="153" t="s">
        <v>4248</v>
      </c>
      <c r="D864" s="153" t="s">
        <v>4249</v>
      </c>
      <c r="E864" s="152" t="s">
        <v>2126</v>
      </c>
      <c r="F864" s="153">
        <v>0</v>
      </c>
    </row>
    <row r="865" spans="2:6" x14ac:dyDescent="0.25">
      <c r="B865" s="152" t="s">
        <v>1388</v>
      </c>
      <c r="C865" s="153" t="s">
        <v>4250</v>
      </c>
      <c r="D865" s="153" t="s">
        <v>4251</v>
      </c>
      <c r="E865" s="152" t="s">
        <v>64</v>
      </c>
      <c r="F865" s="153">
        <v>12</v>
      </c>
    </row>
    <row r="866" spans="2:6" x14ac:dyDescent="0.25">
      <c r="B866" s="152" t="s">
        <v>1480</v>
      </c>
      <c r="C866" s="153" t="s">
        <v>4252</v>
      </c>
      <c r="D866" s="153" t="s">
        <v>4253</v>
      </c>
      <c r="E866" s="152" t="s">
        <v>2126</v>
      </c>
      <c r="F866" s="153">
        <v>0</v>
      </c>
    </row>
    <row r="867" spans="2:6" x14ac:dyDescent="0.25">
      <c r="B867" s="152" t="s">
        <v>691</v>
      </c>
      <c r="C867" s="153" t="s">
        <v>4254</v>
      </c>
      <c r="D867" s="153" t="s">
        <v>4255</v>
      </c>
      <c r="E867" s="152" t="s">
        <v>2126</v>
      </c>
      <c r="F867" s="153">
        <v>0</v>
      </c>
    </row>
    <row r="868" spans="2:6" x14ac:dyDescent="0.25">
      <c r="B868" s="152" t="s">
        <v>1354</v>
      </c>
      <c r="C868" s="153" t="s">
        <v>4256</v>
      </c>
      <c r="D868" s="153" t="s">
        <v>4257</v>
      </c>
      <c r="E868" s="152" t="s">
        <v>64</v>
      </c>
      <c r="F868" s="153">
        <v>820</v>
      </c>
    </row>
    <row r="869" spans="2:6" x14ac:dyDescent="0.25">
      <c r="B869" s="152" t="s">
        <v>1167</v>
      </c>
      <c r="C869" s="153" t="s">
        <v>4258</v>
      </c>
      <c r="D869" s="153" t="s">
        <v>4259</v>
      </c>
      <c r="E869" s="152" t="s">
        <v>2126</v>
      </c>
      <c r="F869" s="153">
        <v>0</v>
      </c>
    </row>
    <row r="870" spans="2:6" x14ac:dyDescent="0.25">
      <c r="B870" s="152" t="s">
        <v>1523</v>
      </c>
      <c r="C870" s="153" t="s">
        <v>4260</v>
      </c>
      <c r="D870" s="153" t="s">
        <v>4261</v>
      </c>
      <c r="E870" s="152" t="s">
        <v>64</v>
      </c>
      <c r="F870" s="153">
        <v>19.2</v>
      </c>
    </row>
    <row r="871" spans="2:6" x14ac:dyDescent="0.25">
      <c r="B871" s="152" t="s">
        <v>1122</v>
      </c>
      <c r="C871" s="153" t="s">
        <v>4262</v>
      </c>
      <c r="D871" s="153" t="s">
        <v>4263</v>
      </c>
      <c r="E871" s="152" t="s">
        <v>64</v>
      </c>
      <c r="F871" s="153">
        <v>10</v>
      </c>
    </row>
    <row r="872" spans="2:6" x14ac:dyDescent="0.25">
      <c r="B872" s="152" t="s">
        <v>851</v>
      </c>
      <c r="C872" s="153" t="s">
        <v>4264</v>
      </c>
      <c r="D872" s="153" t="s">
        <v>4265</v>
      </c>
      <c r="E872" s="152" t="s">
        <v>2126</v>
      </c>
      <c r="F872" s="153">
        <v>0</v>
      </c>
    </row>
    <row r="873" spans="2:6" x14ac:dyDescent="0.25">
      <c r="B873" s="152" t="s">
        <v>716</v>
      </c>
      <c r="C873" s="153" t="s">
        <v>4266</v>
      </c>
      <c r="D873" s="153" t="s">
        <v>4267</v>
      </c>
      <c r="E873" s="152" t="s">
        <v>2126</v>
      </c>
      <c r="F873" s="153">
        <v>0</v>
      </c>
    </row>
    <row r="874" spans="2:6" x14ac:dyDescent="0.25">
      <c r="B874" s="152" t="s">
        <v>1202</v>
      </c>
      <c r="C874" s="153" t="s">
        <v>4268</v>
      </c>
      <c r="D874" s="153" t="s">
        <v>4269</v>
      </c>
      <c r="E874" s="152" t="s">
        <v>64</v>
      </c>
      <c r="F874" s="153">
        <v>115.14</v>
      </c>
    </row>
    <row r="875" spans="2:6" x14ac:dyDescent="0.25">
      <c r="B875" s="152" t="s">
        <v>1078</v>
      </c>
      <c r="C875" s="153" t="s">
        <v>4270</v>
      </c>
      <c r="D875" s="153" t="s">
        <v>4271</v>
      </c>
      <c r="E875" s="152" t="s">
        <v>64</v>
      </c>
      <c r="F875" s="153">
        <v>70</v>
      </c>
    </row>
    <row r="876" spans="2:6" x14ac:dyDescent="0.25">
      <c r="B876" s="152" t="s">
        <v>402</v>
      </c>
      <c r="C876" s="153" t="s">
        <v>4272</v>
      </c>
      <c r="D876" s="153" t="s">
        <v>4273</v>
      </c>
      <c r="E876" s="152" t="s">
        <v>2126</v>
      </c>
      <c r="F876" s="153">
        <v>0</v>
      </c>
    </row>
    <row r="877" spans="2:6" x14ac:dyDescent="0.25">
      <c r="B877" s="152" t="s">
        <v>635</v>
      </c>
      <c r="C877" s="153" t="s">
        <v>4274</v>
      </c>
      <c r="D877" s="153" t="s">
        <v>4275</v>
      </c>
      <c r="E877" s="152" t="s">
        <v>64</v>
      </c>
      <c r="F877" s="153">
        <v>46.5</v>
      </c>
    </row>
    <row r="878" spans="2:6" x14ac:dyDescent="0.25">
      <c r="B878" s="152" t="s">
        <v>1558</v>
      </c>
      <c r="C878" s="153" t="s">
        <v>4276</v>
      </c>
      <c r="D878" s="153" t="s">
        <v>4277</v>
      </c>
      <c r="E878" s="152" t="s">
        <v>64</v>
      </c>
      <c r="F878" s="153">
        <v>180</v>
      </c>
    </row>
    <row r="879" spans="2:6" x14ac:dyDescent="0.25">
      <c r="B879" s="152" t="s">
        <v>1521</v>
      </c>
      <c r="C879" s="153" t="s">
        <v>4278</v>
      </c>
      <c r="D879" s="153" t="s">
        <v>4279</v>
      </c>
      <c r="E879" s="152" t="s">
        <v>2111</v>
      </c>
      <c r="F879" s="154">
        <v>1099.48</v>
      </c>
    </row>
    <row r="880" spans="2:6" x14ac:dyDescent="0.25">
      <c r="B880" s="152" t="s">
        <v>1381</v>
      </c>
      <c r="C880" s="153" t="s">
        <v>4280</v>
      </c>
      <c r="D880" s="153" t="s">
        <v>4281</v>
      </c>
      <c r="E880" s="152" t="s">
        <v>64</v>
      </c>
      <c r="F880" s="154">
        <v>6250</v>
      </c>
    </row>
    <row r="881" spans="2:6" x14ac:dyDescent="0.25">
      <c r="B881" s="152" t="s">
        <v>1213</v>
      </c>
      <c r="C881" s="153" t="s">
        <v>4282</v>
      </c>
      <c r="D881" s="153" t="s">
        <v>4283</v>
      </c>
      <c r="E881" s="152" t="s">
        <v>64</v>
      </c>
      <c r="F881" s="153">
        <v>60</v>
      </c>
    </row>
    <row r="882" spans="2:6" x14ac:dyDescent="0.25">
      <c r="B882" s="152" t="s">
        <v>1282</v>
      </c>
      <c r="C882" s="153" t="s">
        <v>4284</v>
      </c>
      <c r="D882" s="153" t="s">
        <v>4285</v>
      </c>
      <c r="E882" s="152" t="s">
        <v>64</v>
      </c>
      <c r="F882" s="153">
        <v>11.52</v>
      </c>
    </row>
    <row r="883" spans="2:6" x14ac:dyDescent="0.25">
      <c r="B883" s="152" t="s">
        <v>1562</v>
      </c>
      <c r="C883" s="153" t="s">
        <v>4286</v>
      </c>
      <c r="D883" s="153" t="s">
        <v>4287</v>
      </c>
      <c r="E883" s="152" t="s">
        <v>2111</v>
      </c>
      <c r="F883" s="153">
        <v>104.3</v>
      </c>
    </row>
    <row r="884" spans="2:6" x14ac:dyDescent="0.25">
      <c r="B884" s="152" t="s">
        <v>1584</v>
      </c>
      <c r="C884" s="153" t="s">
        <v>4288</v>
      </c>
      <c r="D884" s="153" t="s">
        <v>4289</v>
      </c>
      <c r="E884" s="152" t="s">
        <v>64</v>
      </c>
      <c r="F884" s="154">
        <v>6897.4</v>
      </c>
    </row>
    <row r="885" spans="2:6" x14ac:dyDescent="0.25">
      <c r="B885" s="152" t="s">
        <v>444</v>
      </c>
      <c r="C885" s="153" t="s">
        <v>4290</v>
      </c>
      <c r="D885" s="153" t="s">
        <v>4291</v>
      </c>
      <c r="E885" s="152" t="s">
        <v>2126</v>
      </c>
      <c r="F885" s="153">
        <v>0</v>
      </c>
    </row>
    <row r="886" spans="2:6" x14ac:dyDescent="0.25">
      <c r="B886" s="157" t="s">
        <v>526</v>
      </c>
      <c r="C886" s="158" t="s">
        <v>4292</v>
      </c>
      <c r="D886" s="158" t="s">
        <v>4293</v>
      </c>
      <c r="E886" s="152" t="s">
        <v>64</v>
      </c>
      <c r="F886" s="153">
        <v>8</v>
      </c>
    </row>
    <row r="887" spans="2:6" x14ac:dyDescent="0.25">
      <c r="B887" s="152" t="s">
        <v>1495</v>
      </c>
      <c r="C887" s="153" t="s">
        <v>4294</v>
      </c>
      <c r="D887" s="153" t="s">
        <v>4295</v>
      </c>
      <c r="E887" s="152" t="s">
        <v>64</v>
      </c>
      <c r="F887" s="153">
        <v>445</v>
      </c>
    </row>
    <row r="888" spans="2:6" x14ac:dyDescent="0.25">
      <c r="B888" s="152" t="s">
        <v>1211</v>
      </c>
      <c r="C888" s="153" t="s">
        <v>4296</v>
      </c>
      <c r="D888" s="153" t="s">
        <v>4297</v>
      </c>
      <c r="E888" s="152" t="s">
        <v>2126</v>
      </c>
      <c r="F888" s="153">
        <v>0</v>
      </c>
    </row>
    <row r="889" spans="2:6" x14ac:dyDescent="0.25">
      <c r="B889" s="152" t="s">
        <v>542</v>
      </c>
      <c r="C889" s="153" t="s">
        <v>4298</v>
      </c>
      <c r="D889" s="153" t="s">
        <v>4299</v>
      </c>
      <c r="E889" s="152" t="s">
        <v>2126</v>
      </c>
      <c r="F889" s="153">
        <v>0</v>
      </c>
    </row>
    <row r="890" spans="2:6" x14ac:dyDescent="0.25">
      <c r="B890" s="152" t="s">
        <v>480</v>
      </c>
      <c r="C890" s="153" t="s">
        <v>4300</v>
      </c>
      <c r="D890" s="153" t="s">
        <v>4301</v>
      </c>
      <c r="E890" s="152" t="s">
        <v>64</v>
      </c>
      <c r="F890" s="153">
        <v>50</v>
      </c>
    </row>
    <row r="891" spans="2:6" x14ac:dyDescent="0.25">
      <c r="B891" s="152" t="s">
        <v>4302</v>
      </c>
      <c r="C891" s="153" t="s">
        <v>4303</v>
      </c>
      <c r="D891" s="153" t="s">
        <v>4304</v>
      </c>
      <c r="E891" s="152" t="s">
        <v>2126</v>
      </c>
      <c r="F891" s="153">
        <v>0</v>
      </c>
    </row>
    <row r="892" spans="2:6" x14ac:dyDescent="0.25">
      <c r="B892" s="152" t="s">
        <v>1460</v>
      </c>
      <c r="C892" s="153" t="s">
        <v>4305</v>
      </c>
      <c r="D892" s="153" t="s">
        <v>4306</v>
      </c>
      <c r="E892" s="152" t="s">
        <v>64</v>
      </c>
      <c r="F892" s="153">
        <v>40.75</v>
      </c>
    </row>
    <row r="893" spans="2:6" x14ac:dyDescent="0.25">
      <c r="B893" s="152" t="s">
        <v>1242</v>
      </c>
      <c r="C893" s="153" t="s">
        <v>4307</v>
      </c>
      <c r="D893" s="153" t="s">
        <v>4308</v>
      </c>
      <c r="E893" s="152" t="s">
        <v>64</v>
      </c>
      <c r="F893" s="153">
        <v>55</v>
      </c>
    </row>
    <row r="894" spans="2:6" x14ac:dyDescent="0.25">
      <c r="B894" s="152" t="s">
        <v>1120</v>
      </c>
      <c r="C894" s="153" t="s">
        <v>4309</v>
      </c>
      <c r="D894" s="153" t="s">
        <v>4310</v>
      </c>
      <c r="E894" s="152" t="s">
        <v>64</v>
      </c>
      <c r="F894" s="153">
        <v>2</v>
      </c>
    </row>
    <row r="895" spans="2:6" x14ac:dyDescent="0.25">
      <c r="B895" s="152" t="s">
        <v>1576</v>
      </c>
      <c r="C895" s="153" t="s">
        <v>4311</v>
      </c>
      <c r="D895" s="153" t="s">
        <v>4312</v>
      </c>
      <c r="E895" s="152" t="s">
        <v>2111</v>
      </c>
      <c r="F895" s="153">
        <v>90</v>
      </c>
    </row>
    <row r="896" spans="2:6" x14ac:dyDescent="0.25">
      <c r="B896" s="152" t="s">
        <v>4313</v>
      </c>
      <c r="C896" s="153" t="s">
        <v>4314</v>
      </c>
      <c r="D896" s="153" t="s">
        <v>4315</v>
      </c>
      <c r="E896" s="152" t="s">
        <v>2126</v>
      </c>
      <c r="F896" s="153">
        <v>0</v>
      </c>
    </row>
    <row r="897" spans="2:6" x14ac:dyDescent="0.25">
      <c r="B897" s="152" t="s">
        <v>538</v>
      </c>
      <c r="C897" s="153" t="s">
        <v>4316</v>
      </c>
      <c r="D897" s="153" t="s">
        <v>4317</v>
      </c>
      <c r="E897" s="152" t="s">
        <v>2160</v>
      </c>
      <c r="F897" s="153">
        <v>0</v>
      </c>
    </row>
    <row r="898" spans="2:6" x14ac:dyDescent="0.25">
      <c r="B898" s="152" t="s">
        <v>1136</v>
      </c>
      <c r="C898" s="153" t="s">
        <v>4318</v>
      </c>
      <c r="D898" s="153" t="s">
        <v>4319</v>
      </c>
      <c r="E898" s="152" t="s">
        <v>2126</v>
      </c>
      <c r="F898" s="153">
        <v>0</v>
      </c>
    </row>
    <row r="899" spans="2:6" x14ac:dyDescent="0.25">
      <c r="B899" s="152" t="s">
        <v>488</v>
      </c>
      <c r="C899" s="153" t="s">
        <v>4320</v>
      </c>
      <c r="D899" s="153" t="s">
        <v>4321</v>
      </c>
      <c r="E899" s="152" t="s">
        <v>64</v>
      </c>
      <c r="F899" s="153">
        <v>88</v>
      </c>
    </row>
    <row r="900" spans="2:6" x14ac:dyDescent="0.25">
      <c r="B900" s="152" t="s">
        <v>1272</v>
      </c>
      <c r="C900" s="153" t="s">
        <v>4322</v>
      </c>
      <c r="D900" s="153" t="s">
        <v>4323</v>
      </c>
      <c r="E900" s="152" t="s">
        <v>64</v>
      </c>
      <c r="F900" s="153">
        <v>17.760000000000002</v>
      </c>
    </row>
    <row r="901" spans="2:6" x14ac:dyDescent="0.25">
      <c r="B901" s="152" t="s">
        <v>1236</v>
      </c>
      <c r="C901" s="153" t="s">
        <v>4324</v>
      </c>
      <c r="D901" s="153" t="s">
        <v>4325</v>
      </c>
      <c r="E901" s="152" t="s">
        <v>2126</v>
      </c>
      <c r="F901" s="153">
        <v>0</v>
      </c>
    </row>
    <row r="902" spans="2:6" x14ac:dyDescent="0.25">
      <c r="B902" s="152" t="s">
        <v>1513</v>
      </c>
      <c r="C902" s="153" t="s">
        <v>4326</v>
      </c>
      <c r="D902" s="153" t="s">
        <v>4327</v>
      </c>
      <c r="E902" s="152" t="s">
        <v>64</v>
      </c>
      <c r="F902" s="153">
        <v>84</v>
      </c>
    </row>
    <row r="903" spans="2:6" x14ac:dyDescent="0.25">
      <c r="B903" s="152" t="s">
        <v>136</v>
      </c>
      <c r="C903" s="153" t="s">
        <v>4328</v>
      </c>
      <c r="D903" s="153" t="s">
        <v>4329</v>
      </c>
      <c r="E903" s="152" t="s">
        <v>64</v>
      </c>
      <c r="F903" s="154">
        <v>1565</v>
      </c>
    </row>
    <row r="904" spans="2:6" x14ac:dyDescent="0.25">
      <c r="B904" s="152" t="s">
        <v>638</v>
      </c>
      <c r="C904" s="153" t="s">
        <v>4330</v>
      </c>
      <c r="D904" s="153" t="s">
        <v>4331</v>
      </c>
      <c r="E904" s="152" t="s">
        <v>64</v>
      </c>
      <c r="F904" s="154">
        <v>1680</v>
      </c>
    </row>
    <row r="905" spans="2:6" x14ac:dyDescent="0.25">
      <c r="B905" s="152" t="s">
        <v>1463</v>
      </c>
      <c r="C905" s="153" t="s">
        <v>4332</v>
      </c>
      <c r="D905" s="153" t="s">
        <v>4333</v>
      </c>
      <c r="E905" s="152" t="s">
        <v>2111</v>
      </c>
      <c r="F905" s="153">
        <v>86.94</v>
      </c>
    </row>
    <row r="906" spans="2:6" x14ac:dyDescent="0.25">
      <c r="B906" s="152" t="s">
        <v>4334</v>
      </c>
      <c r="C906" s="153" t="s">
        <v>4335</v>
      </c>
      <c r="D906" s="153" t="s">
        <v>4336</v>
      </c>
      <c r="E906" s="152" t="s">
        <v>2126</v>
      </c>
      <c r="F906" s="153">
        <v>0</v>
      </c>
    </row>
    <row r="907" spans="2:6" x14ac:dyDescent="0.25">
      <c r="B907" s="152" t="s">
        <v>514</v>
      </c>
      <c r="C907" s="153" t="s">
        <v>4337</v>
      </c>
      <c r="D907" s="153" t="s">
        <v>4338</v>
      </c>
      <c r="E907" s="152" t="s">
        <v>2086</v>
      </c>
      <c r="F907" s="154">
        <v>1920</v>
      </c>
    </row>
    <row r="908" spans="2:6" x14ac:dyDescent="0.25">
      <c r="B908" s="152" t="s">
        <v>86</v>
      </c>
      <c r="C908" s="153" t="s">
        <v>4339</v>
      </c>
      <c r="D908" s="153" t="s">
        <v>4340</v>
      </c>
      <c r="E908" s="152" t="s">
        <v>64</v>
      </c>
      <c r="F908" s="153">
        <v>220</v>
      </c>
    </row>
    <row r="909" spans="2:6" x14ac:dyDescent="0.25">
      <c r="B909" s="152" t="s">
        <v>449</v>
      </c>
      <c r="C909" s="153" t="s">
        <v>4341</v>
      </c>
      <c r="D909" s="153" t="s">
        <v>4342</v>
      </c>
      <c r="E909" s="152" t="s">
        <v>2126</v>
      </c>
      <c r="F909" s="153">
        <v>0</v>
      </c>
    </row>
    <row r="910" spans="2:6" x14ac:dyDescent="0.25">
      <c r="B910" s="152" t="s">
        <v>1175</v>
      </c>
      <c r="C910" s="153" t="s">
        <v>4343</v>
      </c>
      <c r="D910" s="153" t="s">
        <v>4344</v>
      </c>
      <c r="E910" s="152" t="s">
        <v>64</v>
      </c>
      <c r="F910" s="153">
        <v>585</v>
      </c>
    </row>
    <row r="911" spans="2:6" x14ac:dyDescent="0.25">
      <c r="B911" s="157" t="s">
        <v>4345</v>
      </c>
      <c r="C911" s="158" t="s">
        <v>4346</v>
      </c>
      <c r="D911" s="158" t="s">
        <v>4347</v>
      </c>
      <c r="E911" s="152" t="s">
        <v>2126</v>
      </c>
      <c r="F911" s="153">
        <v>0</v>
      </c>
    </row>
    <row r="912" spans="2:6" x14ac:dyDescent="0.25">
      <c r="B912" s="152" t="s">
        <v>4348</v>
      </c>
      <c r="C912" s="153" t="s">
        <v>4349</v>
      </c>
      <c r="D912" s="153" t="s">
        <v>4350</v>
      </c>
      <c r="E912" s="152" t="s">
        <v>64</v>
      </c>
      <c r="F912" s="153">
        <v>283.39</v>
      </c>
    </row>
    <row r="913" spans="2:6" x14ac:dyDescent="0.25">
      <c r="B913" s="152" t="s">
        <v>640</v>
      </c>
      <c r="C913" s="153" t="s">
        <v>4351</v>
      </c>
      <c r="D913" s="153" t="s">
        <v>4352</v>
      </c>
      <c r="E913" s="152" t="s">
        <v>2126</v>
      </c>
      <c r="F913" s="153">
        <v>0</v>
      </c>
    </row>
    <row r="914" spans="2:6" x14ac:dyDescent="0.25">
      <c r="B914" s="152" t="s">
        <v>642</v>
      </c>
      <c r="C914" s="153" t="s">
        <v>4353</v>
      </c>
      <c r="D914" s="153" t="s">
        <v>4354</v>
      </c>
      <c r="E914" s="152" t="s">
        <v>2126</v>
      </c>
      <c r="F914" s="153">
        <v>0</v>
      </c>
    </row>
    <row r="915" spans="2:6" x14ac:dyDescent="0.25">
      <c r="B915" s="152" t="s">
        <v>1330</v>
      </c>
      <c r="C915" s="153" t="s">
        <v>4355</v>
      </c>
      <c r="D915" s="153" t="s">
        <v>4356</v>
      </c>
      <c r="E915" s="152" t="s">
        <v>64</v>
      </c>
      <c r="F915" s="153">
        <v>252</v>
      </c>
    </row>
    <row r="916" spans="2:6" x14ac:dyDescent="0.25">
      <c r="B916" s="152" t="s">
        <v>502</v>
      </c>
      <c r="C916" s="153" t="s">
        <v>4357</v>
      </c>
      <c r="D916" s="153" t="s">
        <v>4358</v>
      </c>
      <c r="E916" s="152" t="s">
        <v>64</v>
      </c>
      <c r="F916" s="153">
        <v>39.200000000000003</v>
      </c>
    </row>
    <row r="917" spans="2:6" x14ac:dyDescent="0.25">
      <c r="B917" s="152" t="s">
        <v>646</v>
      </c>
      <c r="C917" s="153" t="s">
        <v>4359</v>
      </c>
      <c r="D917" s="153" t="s">
        <v>4360</v>
      </c>
      <c r="E917" s="152" t="s">
        <v>2126</v>
      </c>
      <c r="F917" s="153">
        <v>0</v>
      </c>
    </row>
    <row r="918" spans="2:6" x14ac:dyDescent="0.25">
      <c r="B918" s="152" t="s">
        <v>4361</v>
      </c>
      <c r="C918" s="153" t="s">
        <v>4362</v>
      </c>
      <c r="D918" s="153" t="s">
        <v>4363</v>
      </c>
      <c r="E918" s="152" t="s">
        <v>2126</v>
      </c>
      <c r="F918" s="153">
        <v>0</v>
      </c>
    </row>
    <row r="919" spans="2:6" x14ac:dyDescent="0.25">
      <c r="B919" s="152" t="s">
        <v>4364</v>
      </c>
      <c r="C919" s="153" t="s">
        <v>4365</v>
      </c>
      <c r="D919" s="153" t="s">
        <v>4366</v>
      </c>
      <c r="E919" s="152" t="s">
        <v>2126</v>
      </c>
      <c r="F919" s="153">
        <v>0</v>
      </c>
    </row>
    <row r="920" spans="2:6" x14ac:dyDescent="0.25">
      <c r="B920" s="152" t="s">
        <v>4367</v>
      </c>
      <c r="C920" s="153" t="s">
        <v>4368</v>
      </c>
      <c r="D920" s="153" t="e" cm="1">
        <f t="array" ref="D920">- توت اسود</f>
        <v>#NAME?</v>
      </c>
      <c r="E920" s="152" t="s">
        <v>2126</v>
      </c>
      <c r="F920" s="153">
        <v>0</v>
      </c>
    </row>
    <row r="921" spans="2:6" x14ac:dyDescent="0.25">
      <c r="B921" s="152" t="s">
        <v>4369</v>
      </c>
      <c r="C921" s="153" t="s">
        <v>4370</v>
      </c>
      <c r="D921" s="153" t="e" cm="1">
        <f t="array" ref="D921">- توت أزرق</f>
        <v>#NAME?</v>
      </c>
      <c r="E921" s="152" t="s">
        <v>2126</v>
      </c>
      <c r="F921" s="153">
        <v>0</v>
      </c>
    </row>
    <row r="922" spans="2:6" x14ac:dyDescent="0.25">
      <c r="B922" s="152" t="s">
        <v>1713</v>
      </c>
      <c r="C922" s="153" t="s">
        <v>4371</v>
      </c>
      <c r="D922" s="153" t="s">
        <v>4372</v>
      </c>
      <c r="E922" s="152" t="s">
        <v>2126</v>
      </c>
      <c r="F922" s="153">
        <v>0</v>
      </c>
    </row>
    <row r="923" spans="2:6" x14ac:dyDescent="0.25">
      <c r="B923" s="152" t="s">
        <v>4373</v>
      </c>
      <c r="C923" s="153" t="s">
        <v>4374</v>
      </c>
      <c r="D923" s="153" t="s">
        <v>4375</v>
      </c>
      <c r="E923" s="152" t="s">
        <v>2126</v>
      </c>
      <c r="F923" s="153">
        <v>0</v>
      </c>
    </row>
    <row r="924" spans="2:6" x14ac:dyDescent="0.25">
      <c r="B924" s="152" t="s">
        <v>4376</v>
      </c>
      <c r="C924" s="153" t="s">
        <v>4377</v>
      </c>
      <c r="D924" s="153" t="s">
        <v>4378</v>
      </c>
      <c r="E924" s="152" t="s">
        <v>2126</v>
      </c>
      <c r="F924" s="153">
        <v>0</v>
      </c>
    </row>
    <row r="925" spans="2:6" x14ac:dyDescent="0.25">
      <c r="B925" s="152" t="s">
        <v>4379</v>
      </c>
      <c r="C925" s="153" t="s">
        <v>4380</v>
      </c>
      <c r="D925" s="153" t="s">
        <v>4381</v>
      </c>
      <c r="E925" s="152" t="s">
        <v>2126</v>
      </c>
      <c r="F925" s="153">
        <v>0</v>
      </c>
    </row>
    <row r="926" spans="2:6" x14ac:dyDescent="0.25">
      <c r="B926" s="152" t="s">
        <v>4382</v>
      </c>
      <c r="C926" s="153" t="s">
        <v>4383</v>
      </c>
      <c r="D926" s="153" t="s">
        <v>4384</v>
      </c>
      <c r="E926" s="152" t="s">
        <v>2126</v>
      </c>
      <c r="F926" s="153">
        <v>0</v>
      </c>
    </row>
    <row r="927" spans="2:6" x14ac:dyDescent="0.25">
      <c r="B927" s="152" t="s">
        <v>4385</v>
      </c>
      <c r="C927" s="153" t="s">
        <v>4386</v>
      </c>
      <c r="D927" s="153" t="s">
        <v>4387</v>
      </c>
      <c r="E927" s="152" t="s">
        <v>2126</v>
      </c>
      <c r="F927" s="153">
        <v>0</v>
      </c>
    </row>
    <row r="928" spans="2:6" x14ac:dyDescent="0.25">
      <c r="B928" s="152" t="s">
        <v>4388</v>
      </c>
      <c r="C928" s="153" t="s">
        <v>4389</v>
      </c>
      <c r="D928" s="153" t="s">
        <v>4390</v>
      </c>
      <c r="E928" s="152" t="s">
        <v>2126</v>
      </c>
      <c r="F928" s="153">
        <v>0</v>
      </c>
    </row>
    <row r="929" spans="2:6" x14ac:dyDescent="0.25">
      <c r="B929" s="152" t="s">
        <v>4391</v>
      </c>
      <c r="C929" s="153" t="s">
        <v>4392</v>
      </c>
      <c r="D929" s="153" t="s">
        <v>4393</v>
      </c>
      <c r="E929" s="152" t="s">
        <v>2126</v>
      </c>
      <c r="F929" s="153">
        <v>0</v>
      </c>
    </row>
    <row r="930" spans="2:6" x14ac:dyDescent="0.25">
      <c r="B930" s="152" t="s">
        <v>4394</v>
      </c>
      <c r="C930" s="153" t="s">
        <v>4395</v>
      </c>
      <c r="D930" s="153" t="s">
        <v>4396</v>
      </c>
      <c r="E930" s="152" t="s">
        <v>2126</v>
      </c>
      <c r="F930" s="153">
        <v>0</v>
      </c>
    </row>
    <row r="931" spans="2:6" x14ac:dyDescent="0.25">
      <c r="B931" s="152" t="s">
        <v>4397</v>
      </c>
      <c r="C931" s="153" t="s">
        <v>4398</v>
      </c>
      <c r="D931" s="153" t="s">
        <v>4399</v>
      </c>
      <c r="E931" s="152" t="s">
        <v>2126</v>
      </c>
      <c r="F931" s="153">
        <v>0</v>
      </c>
    </row>
    <row r="932" spans="2:6" x14ac:dyDescent="0.25">
      <c r="B932" s="152" t="s">
        <v>4400</v>
      </c>
      <c r="C932" s="153" t="s">
        <v>4401</v>
      </c>
      <c r="D932" s="153" t="s">
        <v>4402</v>
      </c>
      <c r="E932" s="152" t="s">
        <v>2126</v>
      </c>
      <c r="F932" s="153">
        <v>0</v>
      </c>
    </row>
    <row r="933" spans="2:6" x14ac:dyDescent="0.25">
      <c r="B933" s="152" t="s">
        <v>1956</v>
      </c>
      <c r="C933" s="153" t="s">
        <v>4403</v>
      </c>
      <c r="D933" s="153" t="s">
        <v>4404</v>
      </c>
      <c r="E933" s="152" t="s">
        <v>2126</v>
      </c>
      <c r="F933" s="153">
        <v>0</v>
      </c>
    </row>
    <row r="934" spans="2:6" x14ac:dyDescent="0.25">
      <c r="B934" s="152" t="s">
        <v>4405</v>
      </c>
      <c r="C934" s="153" t="s">
        <v>4406</v>
      </c>
      <c r="D934" s="153" t="s">
        <v>4407</v>
      </c>
      <c r="E934" s="152" t="s">
        <v>2126</v>
      </c>
      <c r="F934" s="153">
        <v>0</v>
      </c>
    </row>
    <row r="935" spans="2:6" x14ac:dyDescent="0.25">
      <c r="B935" s="152" t="s">
        <v>4408</v>
      </c>
      <c r="C935" s="153" t="s">
        <v>4409</v>
      </c>
      <c r="D935" s="153" t="e" cm="1">
        <f t="array" ref="D935">- طماطم</f>
        <v>#NAME?</v>
      </c>
      <c r="E935" s="152" t="s">
        <v>2126</v>
      </c>
      <c r="F935" s="153">
        <v>0</v>
      </c>
    </row>
    <row r="936" spans="2:6" x14ac:dyDescent="0.25">
      <c r="B936" s="152" t="s">
        <v>1722</v>
      </c>
      <c r="C936" s="153" t="s">
        <v>4410</v>
      </c>
      <c r="D936" s="153" t="s">
        <v>4411</v>
      </c>
      <c r="E936" s="152" t="s">
        <v>2126</v>
      </c>
      <c r="F936" s="153">
        <v>0</v>
      </c>
    </row>
    <row r="937" spans="2:6" x14ac:dyDescent="0.25">
      <c r="B937" s="152" t="s">
        <v>1443</v>
      </c>
      <c r="C937" s="153" t="s">
        <v>4412</v>
      </c>
      <c r="D937" s="153" t="s">
        <v>4413</v>
      </c>
      <c r="E937" s="152" t="s">
        <v>64</v>
      </c>
      <c r="F937" s="153">
        <v>759</v>
      </c>
    </row>
    <row r="938" spans="2:6" x14ac:dyDescent="0.25">
      <c r="B938" s="152" t="s">
        <v>700</v>
      </c>
      <c r="C938" s="153" t="s">
        <v>4414</v>
      </c>
      <c r="D938" s="153" t="s">
        <v>4415</v>
      </c>
      <c r="E938" s="152" t="s">
        <v>2126</v>
      </c>
      <c r="F938" s="153">
        <v>0</v>
      </c>
    </row>
    <row r="939" spans="2:6" x14ac:dyDescent="0.25">
      <c r="B939" s="152" t="s">
        <v>4416</v>
      </c>
      <c r="C939" s="153" t="s">
        <v>4417</v>
      </c>
      <c r="D939" s="153" t="s">
        <v>4418</v>
      </c>
      <c r="E939" s="152" t="s">
        <v>2126</v>
      </c>
      <c r="F939" s="153">
        <v>0</v>
      </c>
    </row>
    <row r="940" spans="2:6" x14ac:dyDescent="0.25">
      <c r="B940" s="152" t="s">
        <v>390</v>
      </c>
      <c r="C940" s="153" t="s">
        <v>4419</v>
      </c>
      <c r="D940" s="153" t="s">
        <v>4420</v>
      </c>
      <c r="E940" s="152" t="s">
        <v>2126</v>
      </c>
      <c r="F940" s="153">
        <v>0</v>
      </c>
    </row>
    <row r="941" spans="2:6" x14ac:dyDescent="0.25">
      <c r="B941" s="152" t="s">
        <v>4421</v>
      </c>
      <c r="C941" s="153" t="s">
        <v>4422</v>
      </c>
      <c r="D941" s="153" t="s">
        <v>4423</v>
      </c>
      <c r="E941" s="152" t="s">
        <v>64</v>
      </c>
      <c r="F941" s="154">
        <v>2040</v>
      </c>
    </row>
    <row r="942" spans="2:6" x14ac:dyDescent="0.25">
      <c r="B942" s="152" t="s">
        <v>499</v>
      </c>
      <c r="C942" s="153" t="s">
        <v>4424</v>
      </c>
      <c r="D942" s="153" t="s">
        <v>4425</v>
      </c>
      <c r="E942" s="152" t="s">
        <v>2126</v>
      </c>
      <c r="F942" s="153">
        <v>0</v>
      </c>
    </row>
    <row r="943" spans="2:6" x14ac:dyDescent="0.25">
      <c r="B943" s="152" t="s">
        <v>51</v>
      </c>
      <c r="C943" s="153" t="s">
        <v>4426</v>
      </c>
      <c r="D943" s="153" t="s">
        <v>4427</v>
      </c>
      <c r="E943" s="152" t="s">
        <v>64</v>
      </c>
      <c r="F943" s="153">
        <v>613.35</v>
      </c>
    </row>
    <row r="944" spans="2:6" x14ac:dyDescent="0.25">
      <c r="B944" s="152" t="s">
        <v>1094</v>
      </c>
      <c r="C944" s="153" t="s">
        <v>4428</v>
      </c>
      <c r="D944" s="153" t="s">
        <v>4429</v>
      </c>
      <c r="E944" s="152" t="s">
        <v>64</v>
      </c>
      <c r="F944" s="153">
        <v>5</v>
      </c>
    </row>
    <row r="945" spans="2:6" x14ac:dyDescent="0.25">
      <c r="B945" s="152" t="s">
        <v>1432</v>
      </c>
      <c r="C945" s="153" t="s">
        <v>4430</v>
      </c>
      <c r="D945" s="153" t="s">
        <v>4431</v>
      </c>
      <c r="E945" s="152" t="s">
        <v>2126</v>
      </c>
      <c r="F945" s="153">
        <v>0</v>
      </c>
    </row>
    <row r="946" spans="2:6" x14ac:dyDescent="0.25">
      <c r="B946" s="152" t="s">
        <v>4432</v>
      </c>
      <c r="C946" s="153" t="s">
        <v>4433</v>
      </c>
      <c r="D946" s="153" t="s">
        <v>4434</v>
      </c>
      <c r="E946" s="152" t="s">
        <v>2126</v>
      </c>
      <c r="F946" s="153">
        <v>0</v>
      </c>
    </row>
    <row r="947" spans="2:6" x14ac:dyDescent="0.25">
      <c r="B947" s="152" t="s">
        <v>68</v>
      </c>
      <c r="C947" s="153" t="s">
        <v>4435</v>
      </c>
      <c r="D947" s="153" t="s">
        <v>4436</v>
      </c>
      <c r="E947" s="152" t="s">
        <v>64</v>
      </c>
      <c r="F947" s="153">
        <v>800</v>
      </c>
    </row>
    <row r="948" spans="2:6" x14ac:dyDescent="0.25">
      <c r="B948" s="152" t="s">
        <v>749</v>
      </c>
      <c r="C948" s="153" t="s">
        <v>4437</v>
      </c>
      <c r="D948" s="153" t="s">
        <v>4438</v>
      </c>
      <c r="E948" s="152" t="s">
        <v>64</v>
      </c>
      <c r="F948" s="153">
        <v>140</v>
      </c>
    </row>
    <row r="949" spans="2:6" x14ac:dyDescent="0.25">
      <c r="B949" s="152" t="s">
        <v>4439</v>
      </c>
      <c r="C949" s="153" t="s">
        <v>4440</v>
      </c>
      <c r="D949" s="153" t="s">
        <v>4441</v>
      </c>
      <c r="E949" s="152" t="s">
        <v>2126</v>
      </c>
      <c r="F949" s="153">
        <v>0</v>
      </c>
    </row>
    <row r="950" spans="2:6" x14ac:dyDescent="0.25">
      <c r="B950" s="152" t="s">
        <v>485</v>
      </c>
      <c r="C950" s="153" t="s">
        <v>4442</v>
      </c>
      <c r="D950" s="153" t="s">
        <v>4443</v>
      </c>
      <c r="E950" s="152" t="s">
        <v>64</v>
      </c>
      <c r="F950" s="153">
        <v>30</v>
      </c>
    </row>
    <row r="951" spans="2:6" x14ac:dyDescent="0.25">
      <c r="B951" s="152" t="s">
        <v>114</v>
      </c>
      <c r="C951" s="153" t="s">
        <v>4444</v>
      </c>
      <c r="D951" s="153" t="s">
        <v>4445</v>
      </c>
      <c r="E951" s="152" t="s">
        <v>64</v>
      </c>
      <c r="F951" s="153">
        <v>44</v>
      </c>
    </row>
    <row r="952" spans="2:6" x14ac:dyDescent="0.25">
      <c r="B952" s="152" t="s">
        <v>4446</v>
      </c>
      <c r="C952" s="153" t="s">
        <v>4447</v>
      </c>
      <c r="D952" s="153" t="s">
        <v>4448</v>
      </c>
      <c r="E952" s="152" t="s">
        <v>2126</v>
      </c>
      <c r="F952" s="153">
        <v>0</v>
      </c>
    </row>
    <row r="953" spans="2:6" x14ac:dyDescent="0.25">
      <c r="B953" s="152" t="s">
        <v>131</v>
      </c>
      <c r="C953" s="153" t="s">
        <v>4449</v>
      </c>
      <c r="D953" s="153" t="s">
        <v>4450</v>
      </c>
      <c r="E953" s="152" t="s">
        <v>64</v>
      </c>
      <c r="F953" s="153">
        <v>70</v>
      </c>
    </row>
    <row r="954" spans="2:6" x14ac:dyDescent="0.25">
      <c r="B954" s="152" t="s">
        <v>483</v>
      </c>
      <c r="C954" s="153" t="s">
        <v>4451</v>
      </c>
      <c r="D954" s="153" t="s">
        <v>4452</v>
      </c>
      <c r="E954" s="152" t="s">
        <v>2126</v>
      </c>
      <c r="F954" s="153">
        <v>0</v>
      </c>
    </row>
    <row r="955" spans="2:6" x14ac:dyDescent="0.25">
      <c r="B955" s="152" t="s">
        <v>74</v>
      </c>
      <c r="C955" s="153" t="s">
        <v>4453</v>
      </c>
      <c r="D955" s="153" t="s">
        <v>4454</v>
      </c>
      <c r="E955" s="152" t="s">
        <v>64</v>
      </c>
      <c r="F955" s="153">
        <v>260</v>
      </c>
    </row>
    <row r="956" spans="2:6" x14ac:dyDescent="0.25">
      <c r="B956" s="152" t="s">
        <v>1360</v>
      </c>
      <c r="C956" s="153" t="s">
        <v>4455</v>
      </c>
      <c r="D956" s="153" t="s">
        <v>4456</v>
      </c>
      <c r="E956" s="152" t="s">
        <v>2160</v>
      </c>
      <c r="F956" s="153">
        <v>0</v>
      </c>
    </row>
    <row r="957" spans="2:6" x14ac:dyDescent="0.25">
      <c r="B957" s="157" t="s">
        <v>688</v>
      </c>
      <c r="C957" s="158" t="s">
        <v>4457</v>
      </c>
      <c r="D957" s="158" t="s">
        <v>4458</v>
      </c>
      <c r="E957" s="152" t="s">
        <v>2111</v>
      </c>
      <c r="F957" s="153">
        <v>382.8</v>
      </c>
    </row>
    <row r="958" spans="2:6" x14ac:dyDescent="0.25">
      <c r="B958" s="152" t="s">
        <v>1533</v>
      </c>
      <c r="C958" s="153" t="s">
        <v>4459</v>
      </c>
      <c r="D958" s="153" t="s">
        <v>4460</v>
      </c>
      <c r="E958" s="152" t="s">
        <v>2111</v>
      </c>
      <c r="F958" s="153">
        <v>54</v>
      </c>
    </row>
    <row r="959" spans="2:6" x14ac:dyDescent="0.25">
      <c r="B959" s="152" t="s">
        <v>111</v>
      </c>
      <c r="C959" s="153" t="s">
        <v>4461</v>
      </c>
      <c r="D959" s="153" t="s">
        <v>4462</v>
      </c>
      <c r="E959" s="152" t="s">
        <v>2111</v>
      </c>
      <c r="F959" s="154">
        <v>1251</v>
      </c>
    </row>
    <row r="960" spans="2:6" x14ac:dyDescent="0.25">
      <c r="B960" s="152" t="s">
        <v>1110</v>
      </c>
      <c r="C960" s="153" t="s">
        <v>4463</v>
      </c>
      <c r="D960" s="153" t="s">
        <v>4464</v>
      </c>
      <c r="E960" s="152" t="s">
        <v>2111</v>
      </c>
      <c r="F960" s="153">
        <v>50</v>
      </c>
    </row>
    <row r="961" spans="2:6" x14ac:dyDescent="0.25">
      <c r="B961" s="152" t="s">
        <v>812</v>
      </c>
      <c r="C961" s="153" t="s">
        <v>4465</v>
      </c>
      <c r="D961" s="153" t="s">
        <v>4466</v>
      </c>
      <c r="E961" s="152" t="s">
        <v>2160</v>
      </c>
      <c r="F961" s="153">
        <v>0</v>
      </c>
    </row>
    <row r="962" spans="2:6" x14ac:dyDescent="0.25">
      <c r="B962" s="152" t="s">
        <v>1416</v>
      </c>
      <c r="C962" s="153" t="s">
        <v>4467</v>
      </c>
      <c r="D962" s="153" t="s">
        <v>4468</v>
      </c>
      <c r="E962" s="152" t="s">
        <v>2126</v>
      </c>
      <c r="F962" s="153">
        <v>0</v>
      </c>
    </row>
    <row r="963" spans="2:6" x14ac:dyDescent="0.25">
      <c r="B963" s="157" t="s">
        <v>992</v>
      </c>
      <c r="C963" s="158" t="s">
        <v>4469</v>
      </c>
      <c r="D963" s="158" t="s">
        <v>4470</v>
      </c>
      <c r="E963" s="152" t="s">
        <v>2126</v>
      </c>
      <c r="F963" s="153">
        <v>0</v>
      </c>
    </row>
    <row r="964" spans="2:6" x14ac:dyDescent="0.25">
      <c r="B964" s="152" t="s">
        <v>4471</v>
      </c>
      <c r="C964" s="153" t="s">
        <v>4472</v>
      </c>
      <c r="D964" s="153" t="s">
        <v>4473</v>
      </c>
      <c r="E964" s="152" t="s">
        <v>2126</v>
      </c>
      <c r="F964" s="153">
        <v>0</v>
      </c>
    </row>
    <row r="965" spans="2:6" x14ac:dyDescent="0.25">
      <c r="B965" s="152" t="s">
        <v>1466</v>
      </c>
      <c r="C965" s="153" t="s">
        <v>4474</v>
      </c>
      <c r="D965" s="153" t="s">
        <v>4475</v>
      </c>
      <c r="E965" s="152" t="s">
        <v>64</v>
      </c>
      <c r="F965" s="154">
        <v>89000</v>
      </c>
    </row>
    <row r="966" spans="2:6" x14ac:dyDescent="0.25">
      <c r="B966" s="152" t="s">
        <v>1185</v>
      </c>
      <c r="C966" s="153" t="s">
        <v>4476</v>
      </c>
      <c r="D966" s="153" t="s">
        <v>4477</v>
      </c>
      <c r="E966" s="152" t="s">
        <v>64</v>
      </c>
      <c r="F966" s="154">
        <v>1960</v>
      </c>
    </row>
    <row r="967" spans="2:6" x14ac:dyDescent="0.25">
      <c r="B967" s="152" t="s">
        <v>404</v>
      </c>
      <c r="C967" s="153" t="s">
        <v>4478</v>
      </c>
      <c r="D967" s="153" t="s">
        <v>4479</v>
      </c>
      <c r="E967" s="152" t="s">
        <v>2126</v>
      </c>
      <c r="F967" s="153">
        <v>0</v>
      </c>
    </row>
    <row r="968" spans="2:6" x14ac:dyDescent="0.25">
      <c r="B968" s="152" t="s">
        <v>1021</v>
      </c>
      <c r="C968" s="153" t="s">
        <v>4480</v>
      </c>
      <c r="D968" s="153" t="s">
        <v>4481</v>
      </c>
      <c r="E968" s="152" t="s">
        <v>2083</v>
      </c>
      <c r="F968" s="153">
        <v>0</v>
      </c>
    </row>
    <row r="969" spans="2:6" x14ac:dyDescent="0.25">
      <c r="B969" s="152" t="s">
        <v>1149</v>
      </c>
      <c r="C969" s="153" t="s">
        <v>4482</v>
      </c>
      <c r="D969" s="153" t="s">
        <v>4483</v>
      </c>
      <c r="E969" s="152" t="s">
        <v>64</v>
      </c>
      <c r="F969" s="154">
        <v>2200</v>
      </c>
    </row>
    <row r="970" spans="2:6" x14ac:dyDescent="0.25">
      <c r="B970" s="152" t="s">
        <v>39</v>
      </c>
      <c r="C970" s="153" t="s">
        <v>4484</v>
      </c>
      <c r="D970" s="153" t="s">
        <v>4485</v>
      </c>
      <c r="E970" s="152" t="s">
        <v>2126</v>
      </c>
      <c r="F970" s="153">
        <v>0</v>
      </c>
    </row>
    <row r="971" spans="2:6" x14ac:dyDescent="0.25">
      <c r="B971" s="152" t="s">
        <v>1998</v>
      </c>
      <c r="C971" s="153" t="s">
        <v>4486</v>
      </c>
      <c r="D971" s="153" t="s">
        <v>4487</v>
      </c>
      <c r="E971" s="152" t="s">
        <v>2086</v>
      </c>
      <c r="F971" s="154">
        <v>156000</v>
      </c>
    </row>
    <row r="972" spans="2:6" x14ac:dyDescent="0.25">
      <c r="B972" s="152" t="s">
        <v>1027</v>
      </c>
      <c r="C972" s="153" t="s">
        <v>4488</v>
      </c>
      <c r="D972" s="153" t="s">
        <v>4489</v>
      </c>
      <c r="E972" s="152" t="s">
        <v>2083</v>
      </c>
      <c r="F972" s="153">
        <v>0</v>
      </c>
    </row>
    <row r="973" spans="2:6" x14ac:dyDescent="0.25">
      <c r="B973" s="152" t="s">
        <v>819</v>
      </c>
      <c r="C973" s="153" t="s">
        <v>4490</v>
      </c>
      <c r="D973" s="153" t="s">
        <v>4491</v>
      </c>
      <c r="E973" s="152" t="s">
        <v>2126</v>
      </c>
      <c r="F973" s="153">
        <v>0</v>
      </c>
    </row>
    <row r="974" spans="2:6" x14ac:dyDescent="0.25">
      <c r="B974" s="157" t="s">
        <v>1547</v>
      </c>
      <c r="C974" s="158" t="s">
        <v>4492</v>
      </c>
      <c r="D974" s="158" t="s">
        <v>4493</v>
      </c>
      <c r="E974" s="152" t="s">
        <v>64</v>
      </c>
      <c r="F974" s="153">
        <v>20</v>
      </c>
    </row>
    <row r="975" spans="2:6" x14ac:dyDescent="0.25">
      <c r="B975" s="152" t="s">
        <v>105</v>
      </c>
      <c r="C975" s="153" t="s">
        <v>4494</v>
      </c>
      <c r="D975" s="153" t="s">
        <v>4495</v>
      </c>
      <c r="E975" s="152" t="s">
        <v>2111</v>
      </c>
      <c r="F975" s="154">
        <v>6386</v>
      </c>
    </row>
    <row r="976" spans="2:6" x14ac:dyDescent="0.25">
      <c r="B976" s="152" t="s">
        <v>888</v>
      </c>
      <c r="C976" s="153" t="s">
        <v>4496</v>
      </c>
      <c r="D976" s="153" t="s">
        <v>4497</v>
      </c>
      <c r="E976" s="152" t="s">
        <v>2160</v>
      </c>
      <c r="F976" s="153">
        <v>0</v>
      </c>
    </row>
    <row r="977" spans="2:6" x14ac:dyDescent="0.25">
      <c r="B977" s="152" t="s">
        <v>387</v>
      </c>
      <c r="C977" s="153" t="s">
        <v>4498</v>
      </c>
      <c r="D977" s="153" t="s">
        <v>4499</v>
      </c>
      <c r="E977" s="152" t="s">
        <v>2160</v>
      </c>
      <c r="F977" s="153">
        <v>0</v>
      </c>
    </row>
    <row r="978" spans="2:6" x14ac:dyDescent="0.25">
      <c r="B978" s="152" t="s">
        <v>1378</v>
      </c>
      <c r="C978" s="153" t="s">
        <v>4500</v>
      </c>
      <c r="D978" s="153" t="s">
        <v>4501</v>
      </c>
      <c r="E978" s="152" t="s">
        <v>2160</v>
      </c>
      <c r="F978" s="153">
        <v>0</v>
      </c>
    </row>
    <row r="979" spans="2:6" x14ac:dyDescent="0.25">
      <c r="B979" s="152" t="s">
        <v>874</v>
      </c>
      <c r="C979" s="153" t="s">
        <v>4502</v>
      </c>
      <c r="D979" s="153" t="s">
        <v>4503</v>
      </c>
      <c r="E979" s="152" t="s">
        <v>2111</v>
      </c>
      <c r="F979" s="153">
        <v>244</v>
      </c>
    </row>
    <row r="980" spans="2:6" x14ac:dyDescent="0.25">
      <c r="B980" s="152" t="s">
        <v>1350</v>
      </c>
      <c r="C980" s="153" t="s">
        <v>4504</v>
      </c>
      <c r="D980" s="153" t="s">
        <v>4505</v>
      </c>
      <c r="E980" s="152" t="s">
        <v>2086</v>
      </c>
      <c r="F980" s="153">
        <v>552</v>
      </c>
    </row>
    <row r="981" spans="2:6" x14ac:dyDescent="0.25">
      <c r="B981" s="152" t="s">
        <v>719</v>
      </c>
      <c r="C981" s="153" t="s">
        <v>4506</v>
      </c>
      <c r="D981" s="153" t="s">
        <v>4507</v>
      </c>
      <c r="E981" s="152" t="s">
        <v>2083</v>
      </c>
      <c r="F981" s="153">
        <v>0</v>
      </c>
    </row>
    <row r="982" spans="2:6" x14ac:dyDescent="0.25">
      <c r="B982" s="152" t="s">
        <v>1196</v>
      </c>
      <c r="C982" s="153" t="s">
        <v>4508</v>
      </c>
      <c r="D982" s="153" t="s">
        <v>4509</v>
      </c>
      <c r="E982" s="152" t="s">
        <v>2086</v>
      </c>
      <c r="F982" s="154">
        <v>4680</v>
      </c>
    </row>
    <row r="983" spans="2:6" x14ac:dyDescent="0.25">
      <c r="B983" s="152" t="s">
        <v>912</v>
      </c>
      <c r="C983" s="153" t="s">
        <v>4510</v>
      </c>
      <c r="D983" s="153" t="s">
        <v>4511</v>
      </c>
      <c r="E983" s="152" t="s">
        <v>2111</v>
      </c>
      <c r="F983" s="153">
        <v>618</v>
      </c>
    </row>
    <row r="984" spans="2:6" x14ac:dyDescent="0.25">
      <c r="B984" s="152" t="s">
        <v>4512</v>
      </c>
      <c r="C984" s="153" t="s">
        <v>4513</v>
      </c>
      <c r="D984" s="153" t="s">
        <v>4514</v>
      </c>
      <c r="E984" s="152" t="s">
        <v>2083</v>
      </c>
      <c r="F984" s="153">
        <v>0</v>
      </c>
    </row>
    <row r="985" spans="2:6" x14ac:dyDescent="0.25">
      <c r="B985" s="152" t="s">
        <v>713</v>
      </c>
      <c r="C985" s="153" t="s">
        <v>4515</v>
      </c>
      <c r="D985" s="153" t="s">
        <v>4516</v>
      </c>
      <c r="E985" s="152" t="s">
        <v>2083</v>
      </c>
      <c r="F985" s="153">
        <v>0</v>
      </c>
    </row>
    <row r="986" spans="2:6" x14ac:dyDescent="0.25">
      <c r="B986" s="152" t="s">
        <v>4517</v>
      </c>
      <c r="C986" s="153" t="s">
        <v>4518</v>
      </c>
      <c r="D986" s="153" t="s">
        <v>4519</v>
      </c>
      <c r="E986" s="152" t="s">
        <v>2126</v>
      </c>
      <c r="F986" s="153">
        <v>0</v>
      </c>
    </row>
    <row r="987" spans="2:6" x14ac:dyDescent="0.25">
      <c r="B987" s="152" t="s">
        <v>432</v>
      </c>
      <c r="C987" s="153" t="s">
        <v>4520</v>
      </c>
      <c r="D987" s="153" t="s">
        <v>4521</v>
      </c>
      <c r="E987" s="152" t="s">
        <v>2126</v>
      </c>
      <c r="F987" s="153">
        <v>0</v>
      </c>
    </row>
    <row r="988" spans="2:6" x14ac:dyDescent="0.25">
      <c r="B988" s="152" t="s">
        <v>788</v>
      </c>
      <c r="C988" s="153" t="s">
        <v>4522</v>
      </c>
      <c r="D988" s="153" t="s">
        <v>4523</v>
      </c>
      <c r="E988" s="152" t="s">
        <v>2111</v>
      </c>
      <c r="F988" s="153">
        <v>476.4</v>
      </c>
    </row>
    <row r="989" spans="2:6" x14ac:dyDescent="0.25">
      <c r="B989" s="152" t="s">
        <v>4524</v>
      </c>
      <c r="C989" s="153" t="s">
        <v>4525</v>
      </c>
      <c r="D989" s="153" t="s">
        <v>4526</v>
      </c>
      <c r="E989" s="152" t="s">
        <v>2160</v>
      </c>
      <c r="F989" s="153">
        <v>0</v>
      </c>
    </row>
    <row r="990" spans="2:6" x14ac:dyDescent="0.25">
      <c r="B990" s="152" t="s">
        <v>4527</v>
      </c>
      <c r="C990" s="153" t="s">
        <v>4528</v>
      </c>
      <c r="D990" s="153" t="s">
        <v>4529</v>
      </c>
      <c r="E990" s="152" t="s">
        <v>2111</v>
      </c>
      <c r="F990" s="153">
        <v>222</v>
      </c>
    </row>
    <row r="991" spans="2:6" x14ac:dyDescent="0.25">
      <c r="B991" s="157" t="s">
        <v>1538</v>
      </c>
      <c r="C991" s="158" t="s">
        <v>4530</v>
      </c>
      <c r="D991" s="158" t="s">
        <v>4531</v>
      </c>
      <c r="E991" s="152" t="s">
        <v>64</v>
      </c>
      <c r="F991" s="153">
        <v>957.6</v>
      </c>
    </row>
    <row r="992" spans="2:6" x14ac:dyDescent="0.25">
      <c r="B992" s="152" t="s">
        <v>4532</v>
      </c>
      <c r="C992" s="153" t="s">
        <v>4533</v>
      </c>
      <c r="D992" s="153" t="s">
        <v>4534</v>
      </c>
      <c r="E992" s="152" t="s">
        <v>2126</v>
      </c>
      <c r="F992" s="153">
        <v>0</v>
      </c>
    </row>
    <row r="993" spans="2:6" x14ac:dyDescent="0.25">
      <c r="B993" s="152" t="s">
        <v>786</v>
      </c>
      <c r="C993" s="153" t="s">
        <v>4535</v>
      </c>
      <c r="D993" s="153" t="s">
        <v>4536</v>
      </c>
      <c r="E993" s="152" t="s">
        <v>2111</v>
      </c>
      <c r="F993" s="153">
        <v>48</v>
      </c>
    </row>
    <row r="994" spans="2:6" x14ac:dyDescent="0.25">
      <c r="B994" s="152" t="s">
        <v>1799</v>
      </c>
      <c r="C994" s="153" t="s">
        <v>4537</v>
      </c>
      <c r="D994" s="153" t="s">
        <v>4538</v>
      </c>
      <c r="E994" s="152" t="s">
        <v>2111</v>
      </c>
      <c r="F994" s="153">
        <v>520.79999999999995</v>
      </c>
    </row>
    <row r="995" spans="2:6" x14ac:dyDescent="0.25">
      <c r="B995" s="152" t="s">
        <v>127</v>
      </c>
      <c r="C995" s="153" t="s">
        <v>4539</v>
      </c>
      <c r="D995" s="153" t="s">
        <v>4540</v>
      </c>
      <c r="E995" s="152" t="s">
        <v>2111</v>
      </c>
      <c r="F995" s="153">
        <v>162</v>
      </c>
    </row>
    <row r="996" spans="2:6" x14ac:dyDescent="0.25">
      <c r="B996" s="152" t="s">
        <v>1247</v>
      </c>
      <c r="C996" s="153" t="s">
        <v>4541</v>
      </c>
      <c r="D996" s="153" t="s">
        <v>4542</v>
      </c>
      <c r="E996" s="152" t="s">
        <v>2111</v>
      </c>
      <c r="F996" s="153">
        <v>261</v>
      </c>
    </row>
    <row r="997" spans="2:6" x14ac:dyDescent="0.25">
      <c r="B997" s="152" t="s">
        <v>1086</v>
      </c>
      <c r="C997" s="153" t="s">
        <v>4543</v>
      </c>
      <c r="D997" s="153" t="s">
        <v>4544</v>
      </c>
      <c r="E997" s="152" t="s">
        <v>2111</v>
      </c>
      <c r="F997" s="153">
        <v>384</v>
      </c>
    </row>
    <row r="998" spans="2:6" x14ac:dyDescent="0.25">
      <c r="B998" s="152" t="s">
        <v>1352</v>
      </c>
      <c r="C998" s="153" t="s">
        <v>4545</v>
      </c>
      <c r="D998" s="153" t="s">
        <v>4546</v>
      </c>
      <c r="E998" s="152" t="s">
        <v>2111</v>
      </c>
      <c r="F998" s="153">
        <v>537.6</v>
      </c>
    </row>
    <row r="999" spans="2:6" x14ac:dyDescent="0.25">
      <c r="B999" s="152" t="s">
        <v>4547</v>
      </c>
      <c r="C999" s="153" t="s">
        <v>4548</v>
      </c>
      <c r="D999" s="153" t="s">
        <v>4549</v>
      </c>
      <c r="E999" s="152" t="s">
        <v>2160</v>
      </c>
      <c r="F999" s="153">
        <v>0</v>
      </c>
    </row>
    <row r="1000" spans="2:6" x14ac:dyDescent="0.25">
      <c r="B1000" s="152" t="s">
        <v>1143</v>
      </c>
      <c r="C1000" s="153" t="s">
        <v>4550</v>
      </c>
      <c r="D1000" s="153" t="s">
        <v>4551</v>
      </c>
      <c r="E1000" s="152" t="s">
        <v>2111</v>
      </c>
      <c r="F1000" s="153">
        <v>186</v>
      </c>
    </row>
    <row r="1001" spans="2:6" x14ac:dyDescent="0.25">
      <c r="B1001" s="152" t="s">
        <v>1218</v>
      </c>
      <c r="C1001" s="153" t="s">
        <v>4552</v>
      </c>
      <c r="D1001" s="153" t="s">
        <v>4553</v>
      </c>
      <c r="E1001" s="152" t="s">
        <v>2111</v>
      </c>
      <c r="F1001" s="153">
        <v>394</v>
      </c>
    </row>
    <row r="1002" spans="2:6" x14ac:dyDescent="0.25">
      <c r="B1002" s="152" t="s">
        <v>1438</v>
      </c>
      <c r="C1002" s="153" t="s">
        <v>4554</v>
      </c>
      <c r="D1002" s="153" t="s">
        <v>4555</v>
      </c>
      <c r="E1002" s="152" t="s">
        <v>2111</v>
      </c>
      <c r="F1002" s="153">
        <v>180</v>
      </c>
    </row>
    <row r="1003" spans="2:6" x14ac:dyDescent="0.25">
      <c r="B1003" s="152" t="s">
        <v>1453</v>
      </c>
      <c r="C1003" s="153" t="s">
        <v>4556</v>
      </c>
      <c r="D1003" s="153" t="s">
        <v>4557</v>
      </c>
      <c r="E1003" s="152" t="s">
        <v>2111</v>
      </c>
      <c r="F1003" s="153">
        <v>822</v>
      </c>
    </row>
    <row r="1004" spans="2:6" x14ac:dyDescent="0.25">
      <c r="B1004" s="152" t="s">
        <v>4558</v>
      </c>
      <c r="C1004" s="153" t="s">
        <v>4559</v>
      </c>
      <c r="D1004" s="153" t="s">
        <v>4560</v>
      </c>
      <c r="E1004" s="152" t="s">
        <v>2111</v>
      </c>
      <c r="F1004" s="154">
        <v>1437</v>
      </c>
    </row>
    <row r="1005" spans="2:6" x14ac:dyDescent="0.25">
      <c r="B1005" s="152" t="s">
        <v>1401</v>
      </c>
      <c r="C1005" s="153" t="s">
        <v>4561</v>
      </c>
      <c r="D1005" s="153" t="s">
        <v>4562</v>
      </c>
      <c r="E1005" s="152" t="s">
        <v>2111</v>
      </c>
      <c r="F1005" s="153">
        <v>42</v>
      </c>
    </row>
    <row r="1006" spans="2:6" x14ac:dyDescent="0.25">
      <c r="B1006" s="152" t="s">
        <v>1511</v>
      </c>
      <c r="C1006" s="153" t="s">
        <v>4563</v>
      </c>
      <c r="D1006" s="153" t="s">
        <v>4564</v>
      </c>
      <c r="E1006" s="152" t="s">
        <v>2111</v>
      </c>
      <c r="F1006" s="153">
        <v>114</v>
      </c>
    </row>
    <row r="1007" spans="2:6" x14ac:dyDescent="0.25">
      <c r="B1007" s="152" t="s">
        <v>987</v>
      </c>
      <c r="C1007" s="153" t="s">
        <v>4565</v>
      </c>
      <c r="D1007" s="153" t="s">
        <v>4566</v>
      </c>
      <c r="E1007" s="152" t="s">
        <v>2111</v>
      </c>
      <c r="F1007" s="153">
        <v>120</v>
      </c>
    </row>
    <row r="1008" spans="2:6" x14ac:dyDescent="0.25">
      <c r="B1008" s="152" t="s">
        <v>865</v>
      </c>
      <c r="C1008" s="153" t="s">
        <v>4567</v>
      </c>
      <c r="D1008" s="153" t="s">
        <v>4568</v>
      </c>
      <c r="E1008" s="152" t="s">
        <v>2160</v>
      </c>
      <c r="F1008" s="153">
        <v>0</v>
      </c>
    </row>
    <row r="1009" spans="2:6" x14ac:dyDescent="0.25">
      <c r="B1009" s="152" t="s">
        <v>4569</v>
      </c>
      <c r="C1009" s="153" t="s">
        <v>4570</v>
      </c>
      <c r="D1009" s="153" t="s">
        <v>4571</v>
      </c>
      <c r="E1009" s="152" t="s">
        <v>2160</v>
      </c>
      <c r="F1009" s="153">
        <v>0</v>
      </c>
    </row>
    <row r="1010" spans="2:6" x14ac:dyDescent="0.25">
      <c r="B1010" s="152" t="s">
        <v>4572</v>
      </c>
      <c r="C1010" s="153" t="s">
        <v>4573</v>
      </c>
      <c r="D1010" s="153" t="s">
        <v>4574</v>
      </c>
      <c r="E1010" s="152" t="s">
        <v>2160</v>
      </c>
      <c r="F1010" s="153">
        <v>0</v>
      </c>
    </row>
    <row r="1011" spans="2:6" x14ac:dyDescent="0.25">
      <c r="B1011" s="152" t="s">
        <v>1181</v>
      </c>
      <c r="C1011" s="153" t="s">
        <v>4575</v>
      </c>
      <c r="D1011" s="153" t="s">
        <v>4576</v>
      </c>
      <c r="E1011" s="152" t="s">
        <v>2111</v>
      </c>
      <c r="F1011" s="153">
        <v>132</v>
      </c>
    </row>
    <row r="1012" spans="2:6" x14ac:dyDescent="0.25">
      <c r="B1012" s="152" t="s">
        <v>824</v>
      </c>
      <c r="C1012" s="153" t="s">
        <v>4577</v>
      </c>
      <c r="D1012" s="153" t="s">
        <v>4578</v>
      </c>
      <c r="E1012" s="152" t="s">
        <v>64</v>
      </c>
      <c r="F1012" s="153">
        <v>153</v>
      </c>
    </row>
    <row r="1013" spans="2:6" x14ac:dyDescent="0.25">
      <c r="B1013" s="152" t="s">
        <v>702</v>
      </c>
      <c r="C1013" s="153" t="s">
        <v>4579</v>
      </c>
      <c r="D1013" s="153" t="s">
        <v>4580</v>
      </c>
      <c r="E1013" s="152" t="s">
        <v>64</v>
      </c>
      <c r="F1013" s="153">
        <v>280</v>
      </c>
    </row>
    <row r="1014" spans="2:6" x14ac:dyDescent="0.25">
      <c r="B1014" s="152" t="s">
        <v>1365</v>
      </c>
      <c r="C1014" s="153" t="s">
        <v>4581</v>
      </c>
      <c r="D1014" s="153" t="s">
        <v>4582</v>
      </c>
      <c r="E1014" s="152" t="s">
        <v>2086</v>
      </c>
      <c r="F1014" s="154">
        <v>78000</v>
      </c>
    </row>
    <row r="1015" spans="2:6" x14ac:dyDescent="0.25">
      <c r="B1015" s="152" t="s">
        <v>827</v>
      </c>
      <c r="C1015" s="153" t="s">
        <v>4583</v>
      </c>
      <c r="D1015" s="153" t="s">
        <v>4584</v>
      </c>
      <c r="E1015" s="152" t="s">
        <v>2126</v>
      </c>
      <c r="F1015" s="153">
        <v>0</v>
      </c>
    </row>
    <row r="1016" spans="2:6" x14ac:dyDescent="0.25">
      <c r="B1016" s="152" t="s">
        <v>4585</v>
      </c>
      <c r="C1016" s="153" t="s">
        <v>4586</v>
      </c>
      <c r="D1016" s="153" t="s">
        <v>4587</v>
      </c>
      <c r="E1016" s="152" t="s">
        <v>2126</v>
      </c>
      <c r="F1016" s="153">
        <v>0</v>
      </c>
    </row>
    <row r="1017" spans="2:6" x14ac:dyDescent="0.25">
      <c r="B1017" s="152" t="s">
        <v>1819</v>
      </c>
      <c r="C1017" s="153" t="s">
        <v>4588</v>
      </c>
      <c r="D1017" s="153" t="s">
        <v>4589</v>
      </c>
      <c r="E1017" s="152" t="s">
        <v>2126</v>
      </c>
      <c r="F1017" s="153">
        <v>0</v>
      </c>
    </row>
    <row r="1018" spans="2:6" x14ac:dyDescent="0.25">
      <c r="B1018" s="152" t="s">
        <v>2005</v>
      </c>
      <c r="C1018" s="153" t="s">
        <v>4590</v>
      </c>
      <c r="D1018" s="153" t="s">
        <v>4591</v>
      </c>
      <c r="E1018" s="152" t="s">
        <v>2126</v>
      </c>
      <c r="F1018" s="153">
        <v>0</v>
      </c>
    </row>
    <row r="1019" spans="2:6" x14ac:dyDescent="0.25">
      <c r="B1019" s="152" t="s">
        <v>938</v>
      </c>
      <c r="C1019" s="153" t="s">
        <v>4592</v>
      </c>
      <c r="D1019" s="153" t="s">
        <v>4593</v>
      </c>
      <c r="E1019" s="152" t="s">
        <v>64</v>
      </c>
      <c r="F1019" s="153">
        <v>98</v>
      </c>
    </row>
    <row r="1020" spans="2:6" x14ac:dyDescent="0.25">
      <c r="B1020" s="157" t="s">
        <v>648</v>
      </c>
      <c r="C1020" s="158" t="s">
        <v>4594</v>
      </c>
      <c r="D1020" s="158" t="s">
        <v>4595</v>
      </c>
      <c r="E1020" s="152" t="s">
        <v>2160</v>
      </c>
      <c r="F1020" s="153">
        <v>0</v>
      </c>
    </row>
    <row r="1021" spans="2:6" x14ac:dyDescent="0.25">
      <c r="B1021" s="152" t="s">
        <v>1974</v>
      </c>
      <c r="C1021" s="153" t="s">
        <v>4596</v>
      </c>
      <c r="D1021" s="153" t="s">
        <v>4597</v>
      </c>
      <c r="E1021" s="152" t="s">
        <v>64</v>
      </c>
      <c r="F1021" s="153">
        <v>9.8000000000000007</v>
      </c>
    </row>
    <row r="1022" spans="2:6" x14ac:dyDescent="0.25">
      <c r="B1022" s="152" t="s">
        <v>4598</v>
      </c>
      <c r="C1022" s="153" t="s">
        <v>4599</v>
      </c>
      <c r="D1022" s="153" t="s">
        <v>4600</v>
      </c>
      <c r="E1022" s="152" t="s">
        <v>64</v>
      </c>
      <c r="F1022" s="153">
        <v>36</v>
      </c>
    </row>
    <row r="1023" spans="2:6" x14ac:dyDescent="0.25">
      <c r="B1023" s="152" t="s">
        <v>4601</v>
      </c>
      <c r="C1023" s="153" t="s">
        <v>4602</v>
      </c>
      <c r="D1023" s="153" t="s">
        <v>4603</v>
      </c>
      <c r="E1023" s="152" t="s">
        <v>2126</v>
      </c>
      <c r="F1023" s="153">
        <v>0</v>
      </c>
    </row>
    <row r="1024" spans="2:6" x14ac:dyDescent="0.25">
      <c r="B1024" s="152" t="s">
        <v>2063</v>
      </c>
      <c r="C1024" s="153" t="s">
        <v>4604</v>
      </c>
      <c r="D1024" s="153" t="s">
        <v>4605</v>
      </c>
      <c r="E1024" s="152" t="s">
        <v>2126</v>
      </c>
      <c r="F1024" s="153">
        <v>0</v>
      </c>
    </row>
    <row r="1025" spans="2:6" x14ac:dyDescent="0.25">
      <c r="B1025" s="152" t="s">
        <v>4606</v>
      </c>
      <c r="C1025" s="153" t="s">
        <v>4607</v>
      </c>
      <c r="D1025" s="153" t="s">
        <v>4608</v>
      </c>
      <c r="E1025" s="152" t="s">
        <v>2160</v>
      </c>
      <c r="F1025" s="153">
        <v>0</v>
      </c>
    </row>
    <row r="1026" spans="2:6" x14ac:dyDescent="0.25">
      <c r="B1026" s="152" t="s">
        <v>868</v>
      </c>
      <c r="C1026" s="153" t="s">
        <v>4609</v>
      </c>
      <c r="D1026" s="153" t="s">
        <v>4610</v>
      </c>
      <c r="E1026" s="152" t="s">
        <v>2160</v>
      </c>
      <c r="F1026" s="153">
        <v>0</v>
      </c>
    </row>
    <row r="1027" spans="2:6" x14ac:dyDescent="0.25">
      <c r="B1027" s="152" t="s">
        <v>532</v>
      </c>
      <c r="C1027" s="153" t="s">
        <v>4611</v>
      </c>
      <c r="D1027" s="153" t="s">
        <v>4612</v>
      </c>
      <c r="E1027" s="152" t="s">
        <v>2160</v>
      </c>
      <c r="F1027" s="153">
        <v>0</v>
      </c>
    </row>
    <row r="1028" spans="2:6" x14ac:dyDescent="0.25">
      <c r="B1028" s="152" t="s">
        <v>4613</v>
      </c>
      <c r="C1028" s="153" t="s">
        <v>4614</v>
      </c>
      <c r="D1028" s="153" t="s">
        <v>4615</v>
      </c>
      <c r="E1028" s="152" t="s">
        <v>2126</v>
      </c>
      <c r="F1028" s="153">
        <v>0</v>
      </c>
    </row>
    <row r="1029" spans="2:6" x14ac:dyDescent="0.25">
      <c r="B1029" s="157" t="s">
        <v>1504</v>
      </c>
      <c r="C1029" s="158" t="s">
        <v>4616</v>
      </c>
      <c r="D1029" s="158" t="s">
        <v>4617</v>
      </c>
      <c r="E1029" s="152" t="s">
        <v>2126</v>
      </c>
      <c r="F1029" s="153">
        <v>0</v>
      </c>
    </row>
    <row r="1030" spans="2:6" x14ac:dyDescent="0.25">
      <c r="B1030" s="152" t="s">
        <v>4618</v>
      </c>
      <c r="C1030" s="153" t="s">
        <v>4619</v>
      </c>
      <c r="D1030" s="153" t="s">
        <v>4620</v>
      </c>
      <c r="E1030" s="152" t="s">
        <v>64</v>
      </c>
      <c r="F1030" s="153">
        <v>242</v>
      </c>
    </row>
    <row r="1031" spans="2:6" x14ac:dyDescent="0.25">
      <c r="B1031" s="152" t="s">
        <v>4621</v>
      </c>
      <c r="C1031" s="153" t="s">
        <v>4622</v>
      </c>
      <c r="D1031" s="153" t="s">
        <v>4623</v>
      </c>
      <c r="E1031" s="152" t="s">
        <v>64</v>
      </c>
      <c r="F1031" s="153">
        <v>300</v>
      </c>
    </row>
    <row r="1032" spans="2:6" x14ac:dyDescent="0.25">
      <c r="B1032" s="152" t="s">
        <v>4624</v>
      </c>
      <c r="C1032" s="153" t="s">
        <v>4625</v>
      </c>
      <c r="D1032" s="153" t="s">
        <v>4626</v>
      </c>
      <c r="E1032" s="152" t="s">
        <v>2126</v>
      </c>
      <c r="F1032" s="153">
        <v>0</v>
      </c>
    </row>
    <row r="1033" spans="2:6" x14ac:dyDescent="0.25">
      <c r="B1033" s="152" t="s">
        <v>4627</v>
      </c>
      <c r="C1033" s="153" t="s">
        <v>4628</v>
      </c>
      <c r="D1033" s="153" t="s">
        <v>4629</v>
      </c>
      <c r="E1033" s="152" t="s">
        <v>2126</v>
      </c>
      <c r="F1033" s="153">
        <v>0</v>
      </c>
    </row>
    <row r="1034" spans="2:6" x14ac:dyDescent="0.25">
      <c r="B1034" s="152" t="s">
        <v>4630</v>
      </c>
      <c r="C1034" s="153" t="s">
        <v>4631</v>
      </c>
      <c r="D1034" s="153" t="s">
        <v>4632</v>
      </c>
      <c r="E1034" s="152" t="s">
        <v>2126</v>
      </c>
      <c r="F1034" s="153">
        <v>0</v>
      </c>
    </row>
    <row r="1035" spans="2:6" x14ac:dyDescent="0.25">
      <c r="B1035" s="152" t="s">
        <v>4633</v>
      </c>
      <c r="C1035" s="153" t="s">
        <v>4634</v>
      </c>
      <c r="D1035" s="153" t="s">
        <v>4635</v>
      </c>
      <c r="E1035" s="152" t="s">
        <v>2126</v>
      </c>
      <c r="F1035" s="153">
        <v>0</v>
      </c>
    </row>
    <row r="1036" spans="2:6" x14ac:dyDescent="0.25">
      <c r="B1036" s="152" t="s">
        <v>4636</v>
      </c>
      <c r="C1036" s="153" t="s">
        <v>4637</v>
      </c>
      <c r="D1036" s="153" t="s">
        <v>4638</v>
      </c>
      <c r="E1036" s="152" t="s">
        <v>2126</v>
      </c>
      <c r="F1036" s="153">
        <v>0</v>
      </c>
    </row>
    <row r="1037" spans="2:6" x14ac:dyDescent="0.25">
      <c r="B1037" s="152" t="s">
        <v>4639</v>
      </c>
      <c r="C1037" s="153" t="s">
        <v>4640</v>
      </c>
      <c r="D1037" s="153" t="s">
        <v>4641</v>
      </c>
      <c r="E1037" s="152" t="s">
        <v>2160</v>
      </c>
      <c r="F1037" s="153">
        <v>0</v>
      </c>
    </row>
    <row r="1038" spans="2:6" x14ac:dyDescent="0.25">
      <c r="B1038" s="152" t="s">
        <v>4642</v>
      </c>
      <c r="C1038" s="153" t="s">
        <v>4643</v>
      </c>
      <c r="D1038" s="153" t="s">
        <v>4644</v>
      </c>
      <c r="E1038" s="152" t="s">
        <v>2126</v>
      </c>
      <c r="F1038" s="153">
        <v>0</v>
      </c>
    </row>
    <row r="1039" spans="2:6" x14ac:dyDescent="0.25">
      <c r="B1039" s="152" t="s">
        <v>4645</v>
      </c>
      <c r="C1039" s="153" t="s">
        <v>4646</v>
      </c>
      <c r="D1039" s="153" t="s">
        <v>4647</v>
      </c>
      <c r="E1039" s="152" t="s">
        <v>2126</v>
      </c>
      <c r="F1039" s="153">
        <v>0</v>
      </c>
    </row>
    <row r="1040" spans="2:6" x14ac:dyDescent="0.25">
      <c r="B1040" s="152" t="s">
        <v>4648</v>
      </c>
      <c r="C1040" s="153" t="s">
        <v>4649</v>
      </c>
      <c r="D1040" s="153" t="s">
        <v>4650</v>
      </c>
      <c r="E1040" s="152" t="s">
        <v>2126</v>
      </c>
      <c r="F1040" s="153">
        <v>0</v>
      </c>
    </row>
    <row r="1041" spans="2:6" x14ac:dyDescent="0.25">
      <c r="B1041" s="157" t="s">
        <v>4651</v>
      </c>
      <c r="C1041" s="158" t="s">
        <v>4652</v>
      </c>
      <c r="D1041" s="158" t="s">
        <v>4653</v>
      </c>
      <c r="E1041" s="152" t="s">
        <v>2126</v>
      </c>
      <c r="F1041" s="153">
        <v>0</v>
      </c>
    </row>
    <row r="1042" spans="2:6" x14ac:dyDescent="0.25">
      <c r="B1042" s="152" t="s">
        <v>665</v>
      </c>
      <c r="C1042" s="153" t="s">
        <v>4654</v>
      </c>
      <c r="D1042" s="153" t="s">
        <v>4655</v>
      </c>
      <c r="E1042" s="152" t="s">
        <v>64</v>
      </c>
      <c r="F1042" s="153">
        <v>1</v>
      </c>
    </row>
    <row r="1043" spans="2:6" x14ac:dyDescent="0.25">
      <c r="B1043" s="152" t="s">
        <v>120</v>
      </c>
      <c r="C1043" s="153" t="s">
        <v>4656</v>
      </c>
      <c r="D1043" s="153" t="s">
        <v>4657</v>
      </c>
      <c r="E1043" s="152" t="s">
        <v>2126</v>
      </c>
      <c r="F1043" s="153">
        <v>0</v>
      </c>
    </row>
    <row r="1044" spans="2:6" x14ac:dyDescent="0.25">
      <c r="B1044" s="152" t="s">
        <v>2009</v>
      </c>
      <c r="C1044" s="153" t="s">
        <v>2010</v>
      </c>
      <c r="D1044" s="153" t="s">
        <v>4658</v>
      </c>
      <c r="E1044" s="152" t="s">
        <v>2126</v>
      </c>
      <c r="F1044" s="153">
        <v>0</v>
      </c>
    </row>
    <row r="1045" spans="2:6" x14ac:dyDescent="0.25">
      <c r="B1045" s="152" t="s">
        <v>652</v>
      </c>
      <c r="C1045" s="153" t="s">
        <v>4659</v>
      </c>
      <c r="D1045" s="153" t="s">
        <v>4660</v>
      </c>
      <c r="E1045" s="152" t="s">
        <v>2126</v>
      </c>
      <c r="F1045" s="153">
        <v>0</v>
      </c>
    </row>
    <row r="1046" spans="2:6" x14ac:dyDescent="0.25">
      <c r="B1046" s="152" t="s">
        <v>47</v>
      </c>
      <c r="C1046" s="153" t="s">
        <v>4661</v>
      </c>
      <c r="D1046" s="153" t="s">
        <v>4662</v>
      </c>
      <c r="E1046" s="152" t="s">
        <v>64</v>
      </c>
      <c r="F1046" s="153">
        <v>219.24</v>
      </c>
    </row>
    <row r="1047" spans="2:6" x14ac:dyDescent="0.25">
      <c r="B1047" s="152" t="s">
        <v>1289</v>
      </c>
      <c r="C1047" s="153" t="s">
        <v>4663</v>
      </c>
      <c r="D1047" s="153" t="s">
        <v>4664</v>
      </c>
      <c r="E1047" s="152" t="s">
        <v>2160</v>
      </c>
      <c r="F1047" s="153">
        <v>0</v>
      </c>
    </row>
    <row r="1048" spans="2:6" x14ac:dyDescent="0.25">
      <c r="B1048" s="152" t="s">
        <v>4665</v>
      </c>
      <c r="C1048" s="153" t="s">
        <v>4666</v>
      </c>
      <c r="D1048" s="153" t="s">
        <v>4667</v>
      </c>
      <c r="E1048" s="152" t="s">
        <v>2126</v>
      </c>
      <c r="F1048" s="153">
        <v>0</v>
      </c>
    </row>
    <row r="1049" spans="2:6" x14ac:dyDescent="0.25">
      <c r="B1049" s="152" t="s">
        <v>65</v>
      </c>
      <c r="C1049" s="153" t="s">
        <v>4668</v>
      </c>
      <c r="D1049" s="153" t="s">
        <v>4669</v>
      </c>
      <c r="E1049" s="152" t="s">
        <v>64</v>
      </c>
      <c r="F1049" s="153">
        <v>36.9</v>
      </c>
    </row>
    <row r="1050" spans="2:6" x14ac:dyDescent="0.25">
      <c r="B1050" s="152" t="s">
        <v>1321</v>
      </c>
      <c r="C1050" s="153" t="s">
        <v>4670</v>
      </c>
      <c r="D1050" s="153" t="s">
        <v>4671</v>
      </c>
      <c r="E1050" s="152" t="s">
        <v>64</v>
      </c>
      <c r="F1050" s="153">
        <v>22</v>
      </c>
    </row>
    <row r="1051" spans="2:6" x14ac:dyDescent="0.25">
      <c r="B1051" s="152" t="s">
        <v>1471</v>
      </c>
      <c r="C1051" s="153" t="s">
        <v>4672</v>
      </c>
      <c r="D1051" s="153" t="s">
        <v>4673</v>
      </c>
      <c r="E1051" s="152" t="s">
        <v>2111</v>
      </c>
      <c r="F1051" s="153">
        <v>77.489999999999995</v>
      </c>
    </row>
    <row r="1052" spans="2:6" x14ac:dyDescent="0.25">
      <c r="B1052" s="152" t="s">
        <v>508</v>
      </c>
      <c r="C1052" s="153" t="s">
        <v>4674</v>
      </c>
      <c r="D1052" s="153" t="s">
        <v>4675</v>
      </c>
      <c r="E1052" s="152" t="s">
        <v>64</v>
      </c>
      <c r="F1052" s="153">
        <v>28</v>
      </c>
    </row>
    <row r="1053" spans="2:6" x14ac:dyDescent="0.25">
      <c r="B1053" s="152" t="s">
        <v>4676</v>
      </c>
      <c r="C1053" s="153" t="s">
        <v>4677</v>
      </c>
      <c r="D1053" s="153" t="s">
        <v>4678</v>
      </c>
      <c r="E1053" s="152" t="s">
        <v>2126</v>
      </c>
      <c r="F1053" s="153">
        <v>0</v>
      </c>
    </row>
    <row r="1054" spans="2:6" x14ac:dyDescent="0.25">
      <c r="B1054" s="152" t="s">
        <v>422</v>
      </c>
      <c r="C1054" s="153" t="s">
        <v>4679</v>
      </c>
      <c r="D1054" s="153" t="s">
        <v>4680</v>
      </c>
      <c r="E1054" s="152" t="s">
        <v>2126</v>
      </c>
      <c r="F1054" s="153">
        <v>0</v>
      </c>
    </row>
    <row r="1055" spans="2:6" x14ac:dyDescent="0.25">
      <c r="B1055" s="152" t="s">
        <v>4681</v>
      </c>
      <c r="C1055" s="153" t="s">
        <v>4682</v>
      </c>
      <c r="D1055" s="153" t="s">
        <v>4683</v>
      </c>
      <c r="E1055" s="152" t="s">
        <v>2126</v>
      </c>
      <c r="F1055" s="153">
        <v>0</v>
      </c>
    </row>
    <row r="1056" spans="2:6" x14ac:dyDescent="0.25">
      <c r="B1056" s="152" t="s">
        <v>1004</v>
      </c>
      <c r="C1056" s="153" t="s">
        <v>4684</v>
      </c>
      <c r="D1056" s="153" t="s">
        <v>4685</v>
      </c>
      <c r="E1056" s="152" t="s">
        <v>64</v>
      </c>
      <c r="F1056" s="153">
        <v>644</v>
      </c>
    </row>
    <row r="1057" spans="2:6" x14ac:dyDescent="0.25">
      <c r="B1057" s="152" t="s">
        <v>903</v>
      </c>
      <c r="C1057" s="153" t="s">
        <v>4686</v>
      </c>
      <c r="D1057" s="153" t="s">
        <v>4687</v>
      </c>
      <c r="E1057" s="152" t="s">
        <v>2126</v>
      </c>
      <c r="F1057" s="153">
        <v>0</v>
      </c>
    </row>
    <row r="1058" spans="2:6" x14ac:dyDescent="0.25">
      <c r="B1058" s="152" t="s">
        <v>534</v>
      </c>
      <c r="C1058" s="153" t="s">
        <v>4688</v>
      </c>
      <c r="D1058" s="153" t="s">
        <v>4689</v>
      </c>
      <c r="E1058" s="152" t="s">
        <v>2126</v>
      </c>
      <c r="F1058" s="153">
        <v>0</v>
      </c>
    </row>
    <row r="1059" spans="2:6" x14ac:dyDescent="0.25">
      <c r="B1059" s="152" t="s">
        <v>1978</v>
      </c>
      <c r="C1059" s="153" t="s">
        <v>4690</v>
      </c>
      <c r="D1059" s="153" t="s">
        <v>4691</v>
      </c>
      <c r="E1059" s="152" t="s">
        <v>64</v>
      </c>
      <c r="F1059" s="153">
        <v>9.75</v>
      </c>
    </row>
    <row r="1060" spans="2:6" x14ac:dyDescent="0.25">
      <c r="B1060" s="152" t="s">
        <v>1778</v>
      </c>
      <c r="C1060" s="153" t="s">
        <v>4692</v>
      </c>
      <c r="D1060" s="153" t="s">
        <v>4693</v>
      </c>
      <c r="E1060" s="152" t="s">
        <v>2126</v>
      </c>
      <c r="F1060" s="153">
        <v>0</v>
      </c>
    </row>
    <row r="1061" spans="2:6" x14ac:dyDescent="0.25">
      <c r="B1061" s="152" t="s">
        <v>1780</v>
      </c>
      <c r="C1061" s="153" t="s">
        <v>4694</v>
      </c>
      <c r="D1061" s="153" t="s">
        <v>4695</v>
      </c>
      <c r="E1061" s="152" t="s">
        <v>2126</v>
      </c>
      <c r="F1061" s="153">
        <v>0</v>
      </c>
    </row>
    <row r="1062" spans="2:6" x14ac:dyDescent="0.25">
      <c r="B1062" s="152" t="s">
        <v>1814</v>
      </c>
      <c r="C1062" s="153" t="s">
        <v>4696</v>
      </c>
      <c r="D1062" s="153" t="s">
        <v>4697</v>
      </c>
      <c r="E1062" s="152" t="s">
        <v>64</v>
      </c>
      <c r="F1062" s="153">
        <v>7</v>
      </c>
    </row>
    <row r="1063" spans="2:6" x14ac:dyDescent="0.25">
      <c r="B1063" s="152" t="s">
        <v>660</v>
      </c>
      <c r="C1063" s="153" t="s">
        <v>4698</v>
      </c>
      <c r="D1063" s="153" t="s">
        <v>4699</v>
      </c>
      <c r="E1063" s="152" t="s">
        <v>2126</v>
      </c>
      <c r="F1063" s="153">
        <v>0</v>
      </c>
    </row>
    <row r="1064" spans="2:6" x14ac:dyDescent="0.25">
      <c r="B1064" s="152" t="s">
        <v>1954</v>
      </c>
      <c r="C1064" s="153" t="s">
        <v>4700</v>
      </c>
      <c r="D1064" s="153" t="s">
        <v>4701</v>
      </c>
      <c r="E1064" s="152" t="s">
        <v>2126</v>
      </c>
      <c r="F1064" s="153">
        <v>0</v>
      </c>
    </row>
    <row r="1065" spans="2:6" x14ac:dyDescent="0.25">
      <c r="B1065" s="152" t="s">
        <v>1980</v>
      </c>
      <c r="C1065" s="153" t="s">
        <v>4702</v>
      </c>
      <c r="D1065" s="153" t="s">
        <v>4703</v>
      </c>
      <c r="E1065" s="152" t="s">
        <v>2126</v>
      </c>
      <c r="F1065" s="153">
        <v>0</v>
      </c>
    </row>
    <row r="1066" spans="2:6" x14ac:dyDescent="0.25">
      <c r="B1066" s="152" t="s">
        <v>2015</v>
      </c>
      <c r="C1066" s="153" t="s">
        <v>4704</v>
      </c>
      <c r="D1066" s="153" t="s">
        <v>4705</v>
      </c>
      <c r="E1066" s="152" t="s">
        <v>64</v>
      </c>
      <c r="F1066" s="153">
        <v>70</v>
      </c>
    </row>
    <row r="1067" spans="2:6" x14ac:dyDescent="0.25">
      <c r="B1067" s="152" t="s">
        <v>4706</v>
      </c>
      <c r="C1067" s="153" t="s">
        <v>4707</v>
      </c>
      <c r="D1067" s="153" t="s">
        <v>4708</v>
      </c>
      <c r="E1067" s="152" t="s">
        <v>2126</v>
      </c>
      <c r="F1067" s="153">
        <v>0</v>
      </c>
    </row>
    <row r="1068" spans="2:6" x14ac:dyDescent="0.25">
      <c r="B1068" s="157" t="s">
        <v>1965</v>
      </c>
      <c r="C1068" s="158" t="s">
        <v>4709</v>
      </c>
      <c r="D1068" s="158" t="s">
        <v>4710</v>
      </c>
      <c r="E1068" s="152" t="s">
        <v>2126</v>
      </c>
      <c r="F1068" s="153">
        <v>0</v>
      </c>
    </row>
    <row r="1069" spans="2:6" x14ac:dyDescent="0.25">
      <c r="B1069" s="152" t="s">
        <v>540</v>
      </c>
      <c r="C1069" s="153" t="s">
        <v>4711</v>
      </c>
      <c r="D1069" s="153" t="s">
        <v>4712</v>
      </c>
      <c r="E1069" s="152" t="s">
        <v>2111</v>
      </c>
      <c r="F1069" s="153">
        <v>6</v>
      </c>
    </row>
    <row r="1070" spans="2:6" x14ac:dyDescent="0.25">
      <c r="B1070" s="152" t="s">
        <v>536</v>
      </c>
      <c r="C1070" s="153" t="s">
        <v>4713</v>
      </c>
      <c r="D1070" s="153" t="s">
        <v>4714</v>
      </c>
      <c r="E1070" s="152" t="s">
        <v>2126</v>
      </c>
      <c r="F1070" s="153">
        <v>0</v>
      </c>
    </row>
    <row r="1071" spans="2:6" x14ac:dyDescent="0.25">
      <c r="B1071" s="152" t="s">
        <v>1970</v>
      </c>
      <c r="C1071" s="153" t="s">
        <v>4715</v>
      </c>
      <c r="D1071" s="153" t="s">
        <v>4716</v>
      </c>
      <c r="E1071" s="152" t="s">
        <v>2126</v>
      </c>
      <c r="F1071" s="153">
        <v>0</v>
      </c>
    </row>
    <row r="1072" spans="2:6" x14ac:dyDescent="0.25">
      <c r="B1072" s="152" t="s">
        <v>4717</v>
      </c>
      <c r="C1072" s="153" t="s">
        <v>4718</v>
      </c>
      <c r="D1072" s="153" t="s">
        <v>4719</v>
      </c>
      <c r="E1072" s="152" t="s">
        <v>2126</v>
      </c>
      <c r="F1072" s="153">
        <v>0</v>
      </c>
    </row>
    <row r="1073" spans="2:6" x14ac:dyDescent="0.25">
      <c r="B1073" s="152" t="s">
        <v>4720</v>
      </c>
      <c r="C1073" s="153" t="s">
        <v>4721</v>
      </c>
      <c r="D1073" s="153" t="s">
        <v>4722</v>
      </c>
      <c r="E1073" s="152" t="s">
        <v>2126</v>
      </c>
      <c r="F1073" s="153">
        <v>0</v>
      </c>
    </row>
    <row r="1074" spans="2:6" x14ac:dyDescent="0.25">
      <c r="B1074" s="152" t="s">
        <v>1782</v>
      </c>
      <c r="C1074" s="153" t="s">
        <v>4723</v>
      </c>
      <c r="D1074" s="153" t="s">
        <v>4724</v>
      </c>
      <c r="E1074" s="152" t="s">
        <v>2111</v>
      </c>
      <c r="F1074" s="153">
        <v>33.6</v>
      </c>
    </row>
    <row r="1075" spans="2:6" x14ac:dyDescent="0.25">
      <c r="B1075" s="152" t="s">
        <v>1727</v>
      </c>
      <c r="C1075" s="153" t="s">
        <v>4725</v>
      </c>
      <c r="D1075" s="153" t="s">
        <v>4726</v>
      </c>
      <c r="E1075" s="152" t="s">
        <v>2126</v>
      </c>
      <c r="F1075" s="153">
        <v>0</v>
      </c>
    </row>
    <row r="1076" spans="2:6" x14ac:dyDescent="0.25">
      <c r="B1076" s="152" t="s">
        <v>1949</v>
      </c>
      <c r="C1076" s="153" t="s">
        <v>1950</v>
      </c>
      <c r="D1076" s="153" t="s">
        <v>4727</v>
      </c>
      <c r="E1076" s="152" t="s">
        <v>2126</v>
      </c>
      <c r="F1076" s="153">
        <v>0</v>
      </c>
    </row>
    <row r="1077" spans="2:6" x14ac:dyDescent="0.25">
      <c r="B1077" s="152" t="s">
        <v>4728</v>
      </c>
      <c r="C1077" s="153" t="s">
        <v>4729</v>
      </c>
      <c r="D1077" s="153" t="s">
        <v>4730</v>
      </c>
      <c r="E1077" s="152" t="s">
        <v>64</v>
      </c>
      <c r="F1077" s="153">
        <v>530</v>
      </c>
    </row>
    <row r="1078" spans="2:6" x14ac:dyDescent="0.25">
      <c r="B1078" s="152" t="s">
        <v>4731</v>
      </c>
      <c r="C1078" s="153" t="s">
        <v>4732</v>
      </c>
      <c r="D1078" s="153" t="s">
        <v>4733</v>
      </c>
      <c r="E1078" s="152" t="s">
        <v>604</v>
      </c>
      <c r="F1078" s="153">
        <v>180</v>
      </c>
    </row>
    <row r="1079" spans="2:6" x14ac:dyDescent="0.25">
      <c r="B1079" s="152" t="s">
        <v>4734</v>
      </c>
      <c r="C1079" s="153" t="s">
        <v>4735</v>
      </c>
      <c r="D1079" s="153" t="s">
        <v>4736</v>
      </c>
      <c r="E1079" s="152" t="s">
        <v>2746</v>
      </c>
      <c r="F1079" s="153">
        <v>0</v>
      </c>
    </row>
    <row r="1080" spans="2:6" x14ac:dyDescent="0.25">
      <c r="B1080" s="152" t="s">
        <v>4737</v>
      </c>
      <c r="C1080" s="153" t="s">
        <v>4738</v>
      </c>
      <c r="D1080" s="153" t="s">
        <v>4739</v>
      </c>
      <c r="E1080" s="152" t="s">
        <v>2746</v>
      </c>
      <c r="F1080" s="153">
        <v>0</v>
      </c>
    </row>
    <row r="1081" spans="2:6" x14ac:dyDescent="0.25">
      <c r="B1081" s="152" t="s">
        <v>4740</v>
      </c>
      <c r="C1081" s="153" t="s">
        <v>4741</v>
      </c>
      <c r="D1081" s="153" t="s">
        <v>4742</v>
      </c>
      <c r="E1081" s="152" t="s">
        <v>2746</v>
      </c>
      <c r="F1081" s="153">
        <v>0</v>
      </c>
    </row>
    <row r="1082" spans="2:6" x14ac:dyDescent="0.25">
      <c r="B1082" s="152" t="s">
        <v>4743</v>
      </c>
      <c r="C1082" s="153" t="s">
        <v>4744</v>
      </c>
      <c r="D1082" s="153" t="s">
        <v>4745</v>
      </c>
      <c r="E1082" s="152" t="s">
        <v>2746</v>
      </c>
      <c r="F1082" s="153">
        <v>0</v>
      </c>
    </row>
    <row r="1083" spans="2:6" x14ac:dyDescent="0.25">
      <c r="B1083" s="152" t="s">
        <v>4746</v>
      </c>
      <c r="C1083" s="153" t="s">
        <v>4747</v>
      </c>
      <c r="D1083" s="153" t="s">
        <v>4748</v>
      </c>
      <c r="E1083" s="152" t="s">
        <v>4749</v>
      </c>
      <c r="F1083" s="153">
        <v>0</v>
      </c>
    </row>
    <row r="1084" spans="2:6" x14ac:dyDescent="0.25">
      <c r="B1084" s="152" t="s">
        <v>4750</v>
      </c>
      <c r="C1084" s="153" t="s">
        <v>4751</v>
      </c>
      <c r="D1084" s="153" t="s">
        <v>4752</v>
      </c>
      <c r="E1084" s="152" t="s">
        <v>4749</v>
      </c>
      <c r="F1084" s="153">
        <v>0</v>
      </c>
    </row>
    <row r="1085" spans="2:6" x14ac:dyDescent="0.25">
      <c r="B1085" s="152" t="s">
        <v>4753</v>
      </c>
      <c r="C1085" s="153" t="s">
        <v>4754</v>
      </c>
      <c r="D1085" s="153" t="s">
        <v>4755</v>
      </c>
      <c r="E1085" s="152" t="s">
        <v>4749</v>
      </c>
      <c r="F1085" s="153">
        <v>0</v>
      </c>
    </row>
    <row r="1086" spans="2:6" x14ac:dyDescent="0.25">
      <c r="B1086" s="152" t="s">
        <v>2002</v>
      </c>
      <c r="C1086" s="153" t="s">
        <v>4756</v>
      </c>
      <c r="D1086" s="153" t="s">
        <v>4757</v>
      </c>
      <c r="E1086" s="152" t="s">
        <v>2160</v>
      </c>
      <c r="F1086" s="153">
        <v>0</v>
      </c>
    </row>
    <row r="1087" spans="2:6" x14ac:dyDescent="0.25">
      <c r="B1087" s="152" t="s">
        <v>4758</v>
      </c>
      <c r="C1087" s="153" t="s">
        <v>4759</v>
      </c>
      <c r="D1087" s="153" t="s">
        <v>4760</v>
      </c>
      <c r="E1087" s="152" t="s">
        <v>2160</v>
      </c>
      <c r="F1087" s="153">
        <v>0</v>
      </c>
    </row>
    <row r="1088" spans="2:6" x14ac:dyDescent="0.25">
      <c r="B1088" s="152" t="s">
        <v>4761</v>
      </c>
      <c r="C1088" s="153" t="s">
        <v>4762</v>
      </c>
      <c r="D1088" s="153" t="s">
        <v>4763</v>
      </c>
      <c r="E1088" s="152" t="s">
        <v>2160</v>
      </c>
      <c r="F1088" s="153">
        <v>0</v>
      </c>
    </row>
    <row r="1089" spans="2:6" x14ac:dyDescent="0.25">
      <c r="B1089" s="152" t="s">
        <v>1991</v>
      </c>
      <c r="C1089" s="153" t="s">
        <v>4764</v>
      </c>
      <c r="D1089" s="153" t="s">
        <v>4765</v>
      </c>
      <c r="E1089" s="152" t="s">
        <v>64</v>
      </c>
      <c r="F1089" s="154">
        <v>1685</v>
      </c>
    </row>
    <row r="1090" spans="2:6" x14ac:dyDescent="0.25">
      <c r="B1090" s="152" t="s">
        <v>1695</v>
      </c>
      <c r="C1090" s="153" t="s">
        <v>4766</v>
      </c>
      <c r="D1090" s="153" t="s">
        <v>4767</v>
      </c>
      <c r="E1090" s="152" t="s">
        <v>2111</v>
      </c>
      <c r="F1090" s="153">
        <v>246</v>
      </c>
    </row>
    <row r="1091" spans="2:6" x14ac:dyDescent="0.25">
      <c r="B1091" s="157" t="s">
        <v>1709</v>
      </c>
      <c r="C1091" s="158" t="s">
        <v>4768</v>
      </c>
      <c r="D1091" s="158" t="s">
        <v>4769</v>
      </c>
      <c r="E1091" s="152" t="s">
        <v>2111</v>
      </c>
      <c r="F1091" s="153">
        <v>30</v>
      </c>
    </row>
    <row r="1092" spans="2:6" x14ac:dyDescent="0.25">
      <c r="B1092" s="152" t="s">
        <v>1960</v>
      </c>
      <c r="C1092" s="153" t="s">
        <v>4770</v>
      </c>
      <c r="D1092" s="153" t="s">
        <v>4771</v>
      </c>
      <c r="E1092" s="152" t="s">
        <v>2083</v>
      </c>
      <c r="F1092" s="153">
        <v>0</v>
      </c>
    </row>
    <row r="1093" spans="2:6" x14ac:dyDescent="0.25">
      <c r="B1093" s="152" t="s">
        <v>1961</v>
      </c>
      <c r="C1093" s="153" t="s">
        <v>4772</v>
      </c>
      <c r="D1093" s="153" t="s">
        <v>4773</v>
      </c>
      <c r="E1093" s="152" t="s">
        <v>2083</v>
      </c>
      <c r="F1093" s="153">
        <v>0</v>
      </c>
    </row>
    <row r="1094" spans="2:6" x14ac:dyDescent="0.25">
      <c r="B1094" s="152" t="s">
        <v>4774</v>
      </c>
      <c r="C1094" s="153" t="s">
        <v>4775</v>
      </c>
      <c r="D1094" s="153" t="s">
        <v>4776</v>
      </c>
      <c r="E1094" s="152" t="s">
        <v>2083</v>
      </c>
      <c r="F1094" s="153">
        <v>0</v>
      </c>
    </row>
    <row r="1095" spans="2:6" x14ac:dyDescent="0.25">
      <c r="B1095" s="152" t="s">
        <v>4777</v>
      </c>
      <c r="C1095" s="153" t="s">
        <v>4778</v>
      </c>
      <c r="D1095" s="153" t="s">
        <v>4779</v>
      </c>
      <c r="E1095" s="152" t="s">
        <v>2083</v>
      </c>
      <c r="F1095" s="153">
        <v>0</v>
      </c>
    </row>
    <row r="1096" spans="2:6" x14ac:dyDescent="0.25">
      <c r="B1096" s="152" t="s">
        <v>4780</v>
      </c>
      <c r="C1096" s="153" t="s">
        <v>4781</v>
      </c>
      <c r="D1096" s="153" t="s">
        <v>4782</v>
      </c>
      <c r="E1096" s="152" t="s">
        <v>2746</v>
      </c>
      <c r="F1096" s="153">
        <v>0</v>
      </c>
    </row>
    <row r="1097" spans="2:6" x14ac:dyDescent="0.25">
      <c r="B1097" s="152" t="s">
        <v>4783</v>
      </c>
      <c r="C1097" s="153" t="s">
        <v>4784</v>
      </c>
      <c r="D1097" s="153" t="s">
        <v>4785</v>
      </c>
      <c r="E1097" s="152" t="s">
        <v>2126</v>
      </c>
      <c r="F1097" s="153">
        <v>0</v>
      </c>
    </row>
    <row r="1098" spans="2:6" x14ac:dyDescent="0.25">
      <c r="B1098" s="152" t="s">
        <v>4786</v>
      </c>
      <c r="C1098" s="153" t="s">
        <v>4787</v>
      </c>
      <c r="D1098" s="153" t="s">
        <v>4788</v>
      </c>
      <c r="E1098" s="152" t="s">
        <v>2126</v>
      </c>
      <c r="F1098" s="153">
        <v>0</v>
      </c>
    </row>
    <row r="1099" spans="2:6" x14ac:dyDescent="0.25">
      <c r="B1099" s="152" t="s">
        <v>4789</v>
      </c>
      <c r="C1099" s="153" t="s">
        <v>4790</v>
      </c>
      <c r="D1099" s="153" t="s">
        <v>4791</v>
      </c>
      <c r="E1099" s="152" t="s">
        <v>2126</v>
      </c>
      <c r="F1099" s="153">
        <v>0</v>
      </c>
    </row>
    <row r="1100" spans="2:6" x14ac:dyDescent="0.25">
      <c r="B1100" s="152" t="s">
        <v>4792</v>
      </c>
      <c r="C1100" s="153" t="s">
        <v>4793</v>
      </c>
      <c r="D1100" s="153" t="s">
        <v>4794</v>
      </c>
      <c r="E1100" s="152" t="s">
        <v>2126</v>
      </c>
      <c r="F1100" s="153">
        <v>0</v>
      </c>
    </row>
    <row r="1101" spans="2:6" x14ac:dyDescent="0.25">
      <c r="B1101" s="152" t="s">
        <v>4795</v>
      </c>
      <c r="C1101" s="153" t="s">
        <v>4796</v>
      </c>
      <c r="D1101" s="153" t="s">
        <v>4797</v>
      </c>
      <c r="E1101" s="152" t="s">
        <v>2126</v>
      </c>
      <c r="F1101" s="153">
        <v>0</v>
      </c>
    </row>
    <row r="1102" spans="2:6" x14ac:dyDescent="0.25">
      <c r="B1102" s="152" t="s">
        <v>4798</v>
      </c>
      <c r="C1102" s="153" t="s">
        <v>4799</v>
      </c>
      <c r="D1102" s="153" t="s">
        <v>4800</v>
      </c>
      <c r="E1102" s="152" t="s">
        <v>2126</v>
      </c>
      <c r="F1102" s="153">
        <v>0</v>
      </c>
    </row>
    <row r="1103" spans="2:6" x14ac:dyDescent="0.25">
      <c r="B1103" s="152" t="s">
        <v>4801</v>
      </c>
      <c r="C1103" s="153" t="s">
        <v>4802</v>
      </c>
      <c r="D1103" s="153" t="s">
        <v>4803</v>
      </c>
      <c r="E1103" s="152" t="s">
        <v>2126</v>
      </c>
      <c r="F1103" s="153">
        <v>0</v>
      </c>
    </row>
    <row r="1104" spans="2:6" x14ac:dyDescent="0.25">
      <c r="B1104" s="152" t="s">
        <v>4804</v>
      </c>
      <c r="C1104" s="153" t="s">
        <v>4805</v>
      </c>
      <c r="D1104" s="153" t="s">
        <v>4806</v>
      </c>
      <c r="E1104" s="152" t="s">
        <v>2126</v>
      </c>
      <c r="F1104" s="153">
        <v>0</v>
      </c>
    </row>
    <row r="1105" spans="2:6" x14ac:dyDescent="0.25">
      <c r="B1105" s="152" t="s">
        <v>4807</v>
      </c>
      <c r="C1105" s="153" t="s">
        <v>4808</v>
      </c>
      <c r="D1105" s="153" t="s">
        <v>4809</v>
      </c>
      <c r="E1105" s="152" t="s">
        <v>2126</v>
      </c>
      <c r="F1105" s="153">
        <v>0</v>
      </c>
    </row>
    <row r="1106" spans="2:6" x14ac:dyDescent="0.25">
      <c r="B1106" s="152" t="s">
        <v>4810</v>
      </c>
      <c r="C1106" s="153" t="s">
        <v>4811</v>
      </c>
      <c r="D1106" s="153" t="s">
        <v>4812</v>
      </c>
      <c r="E1106" s="152" t="s">
        <v>2126</v>
      </c>
      <c r="F1106" s="153">
        <v>0</v>
      </c>
    </row>
    <row r="1107" spans="2:6" x14ac:dyDescent="0.25">
      <c r="B1107" s="152" t="s">
        <v>1063</v>
      </c>
      <c r="C1107" s="153" t="s">
        <v>1064</v>
      </c>
      <c r="D1107" s="153" t="e">
        <v>#N/A</v>
      </c>
      <c r="E1107" s="152" t="s">
        <v>2086</v>
      </c>
      <c r="F1107" s="153">
        <v>2</v>
      </c>
    </row>
    <row r="1108" spans="2:6" x14ac:dyDescent="0.25">
      <c r="B1108" s="152" t="s">
        <v>4813</v>
      </c>
      <c r="C1108" s="153" t="s">
        <v>4814</v>
      </c>
      <c r="D1108" s="153" t="e">
        <v>#N/A</v>
      </c>
      <c r="E1108" s="152" t="s">
        <v>2086</v>
      </c>
      <c r="F1108" s="153">
        <v>1</v>
      </c>
    </row>
    <row r="1109" spans="2:6" x14ac:dyDescent="0.25">
      <c r="B1109" s="152" t="s">
        <v>4815</v>
      </c>
      <c r="C1109" s="153" t="s">
        <v>4816</v>
      </c>
      <c r="D1109" s="153" t="e">
        <v>#N/A</v>
      </c>
      <c r="E1109" s="152" t="s">
        <v>2086</v>
      </c>
      <c r="F1109" s="153">
        <v>5</v>
      </c>
    </row>
    <row r="1110" spans="2:6" x14ac:dyDescent="0.25">
      <c r="B1110" s="152" t="s">
        <v>4817</v>
      </c>
      <c r="C1110" s="153" t="s">
        <v>4818</v>
      </c>
      <c r="D1110" s="153" t="e">
        <v>#N/A</v>
      </c>
      <c r="E1110" s="152" t="s">
        <v>2086</v>
      </c>
      <c r="F1110" s="153">
        <v>17</v>
      </c>
    </row>
    <row r="1111" spans="2:6" x14ac:dyDescent="0.25">
      <c r="B1111" s="152" t="s">
        <v>4819</v>
      </c>
      <c r="C1111" s="153" t="s">
        <v>4820</v>
      </c>
      <c r="D1111" s="153" t="e">
        <v>#N/A</v>
      </c>
      <c r="E1111" s="152" t="s">
        <v>2086</v>
      </c>
      <c r="F1111" s="153">
        <v>13</v>
      </c>
    </row>
    <row r="1112" spans="2:6" x14ac:dyDescent="0.25">
      <c r="B1112" s="152" t="s">
        <v>4821</v>
      </c>
      <c r="C1112" s="153" t="s">
        <v>4822</v>
      </c>
      <c r="D1112" s="153" t="e">
        <v>#N/A</v>
      </c>
      <c r="E1112" s="152" t="s">
        <v>2086</v>
      </c>
      <c r="F1112" s="153">
        <v>85</v>
      </c>
    </row>
    <row r="1113" spans="2:6" x14ac:dyDescent="0.25">
      <c r="B1113" s="152" t="s">
        <v>4823</v>
      </c>
      <c r="C1113" s="153" t="s">
        <v>4824</v>
      </c>
      <c r="D1113" s="153" t="e">
        <v>#N/A</v>
      </c>
      <c r="E1113" s="152" t="s">
        <v>2086</v>
      </c>
      <c r="F1113" s="153">
        <v>7</v>
      </c>
    </row>
    <row r="1114" spans="2:6" x14ac:dyDescent="0.25">
      <c r="B1114" s="152" t="s">
        <v>4825</v>
      </c>
      <c r="C1114" s="153" t="s">
        <v>4826</v>
      </c>
      <c r="D1114" s="153" t="e">
        <v>#N/A</v>
      </c>
      <c r="E1114" s="152" t="s">
        <v>2086</v>
      </c>
      <c r="F1114" s="153">
        <v>1</v>
      </c>
    </row>
    <row r="1115" spans="2:6" x14ac:dyDescent="0.25">
      <c r="B1115" s="152" t="s">
        <v>4827</v>
      </c>
      <c r="C1115" s="153" t="s">
        <v>4828</v>
      </c>
      <c r="D1115" s="153" t="e">
        <v>#N/A</v>
      </c>
      <c r="E1115" s="152" t="s">
        <v>2086</v>
      </c>
      <c r="F1115" s="153">
        <v>14</v>
      </c>
    </row>
    <row r="1116" spans="2:6" x14ac:dyDescent="0.25">
      <c r="B1116" s="152" t="s">
        <v>548</v>
      </c>
      <c r="C1116" s="153" t="s">
        <v>549</v>
      </c>
      <c r="D1116" s="153" t="e">
        <v>#N/A</v>
      </c>
      <c r="E1116" s="152" t="s">
        <v>2086</v>
      </c>
      <c r="F1116" s="153">
        <v>350</v>
      </c>
    </row>
    <row r="1117" spans="2:6" x14ac:dyDescent="0.25">
      <c r="B1117" s="152" t="s">
        <v>554</v>
      </c>
      <c r="C1117" s="153" t="s">
        <v>555</v>
      </c>
      <c r="D1117" s="153" t="e">
        <v>#N/A</v>
      </c>
      <c r="E1117" s="152" t="s">
        <v>2086</v>
      </c>
      <c r="F1117" s="153">
        <v>21</v>
      </c>
    </row>
    <row r="1118" spans="2:6" x14ac:dyDescent="0.25">
      <c r="B1118" s="152" t="s">
        <v>4829</v>
      </c>
      <c r="C1118" s="153" t="s">
        <v>4830</v>
      </c>
      <c r="D1118" s="153" t="e">
        <v>#N/A</v>
      </c>
      <c r="E1118" s="152" t="s">
        <v>2086</v>
      </c>
      <c r="F1118" s="153">
        <v>2</v>
      </c>
    </row>
    <row r="1119" spans="2:6" ht="45" x14ac:dyDescent="0.25">
      <c r="B1119" s="152" t="s">
        <v>4831</v>
      </c>
      <c r="C1119" s="159" t="s">
        <v>4832</v>
      </c>
      <c r="D1119" s="159" t="e">
        <v>#N/A</v>
      </c>
      <c r="E1119" s="152" t="s">
        <v>2086</v>
      </c>
      <c r="F1119" s="153">
        <v>3</v>
      </c>
    </row>
    <row r="1120" spans="2:6" x14ac:dyDescent="0.25">
      <c r="B1120" s="152" t="s">
        <v>4833</v>
      </c>
      <c r="C1120" s="153" t="s">
        <v>4834</v>
      </c>
      <c r="D1120" s="153" t="e">
        <v>#N/A</v>
      </c>
      <c r="E1120" s="152" t="s">
        <v>2086</v>
      </c>
      <c r="F1120" s="153">
        <v>12</v>
      </c>
    </row>
    <row r="1121" spans="2:6" x14ac:dyDescent="0.25">
      <c r="B1121" s="152" t="s">
        <v>4835</v>
      </c>
      <c r="C1121" s="153" t="s">
        <v>4836</v>
      </c>
      <c r="D1121" s="153" t="e">
        <v>#N/A</v>
      </c>
      <c r="E1121" s="152" t="s">
        <v>2086</v>
      </c>
      <c r="F1121" s="153">
        <v>1</v>
      </c>
    </row>
    <row r="1122" spans="2:6" x14ac:dyDescent="0.25">
      <c r="B1122" s="152" t="s">
        <v>4837</v>
      </c>
      <c r="C1122" s="153" t="s">
        <v>4838</v>
      </c>
      <c r="D1122" s="153" t="e">
        <v>#N/A</v>
      </c>
      <c r="E1122" s="152" t="s">
        <v>2086</v>
      </c>
      <c r="F1122" s="153">
        <v>93</v>
      </c>
    </row>
    <row r="1123" spans="2:6" x14ac:dyDescent="0.25">
      <c r="B1123" s="152" t="s">
        <v>4839</v>
      </c>
      <c r="C1123" s="153" t="s">
        <v>4840</v>
      </c>
      <c r="D1123" s="153" t="e">
        <v>#N/A</v>
      </c>
      <c r="E1123" s="152" t="s">
        <v>2086</v>
      </c>
      <c r="F1123" s="153">
        <v>26</v>
      </c>
    </row>
    <row r="1124" spans="2:6" x14ac:dyDescent="0.25">
      <c r="B1124" s="152" t="s">
        <v>4841</v>
      </c>
      <c r="C1124" s="153" t="s">
        <v>4842</v>
      </c>
      <c r="D1124" s="153" t="e">
        <v>#N/A</v>
      </c>
      <c r="E1124" s="152" t="s">
        <v>2086</v>
      </c>
      <c r="F1124" s="153">
        <v>2</v>
      </c>
    </row>
    <row r="1125" spans="2:6" x14ac:dyDescent="0.25">
      <c r="B1125" s="152" t="s">
        <v>4843</v>
      </c>
      <c r="C1125" s="153" t="s">
        <v>4844</v>
      </c>
      <c r="D1125" s="153" t="e">
        <v>#N/A</v>
      </c>
      <c r="E1125" s="152" t="s">
        <v>2086</v>
      </c>
      <c r="F1125" s="153">
        <v>88</v>
      </c>
    </row>
    <row r="1126" spans="2:6" x14ac:dyDescent="0.25">
      <c r="B1126" s="152" t="s">
        <v>4845</v>
      </c>
      <c r="C1126" s="153" t="s">
        <v>4846</v>
      </c>
      <c r="D1126" s="153" t="e">
        <v>#N/A</v>
      </c>
      <c r="E1126" s="152" t="s">
        <v>2086</v>
      </c>
      <c r="F1126" s="153">
        <v>1</v>
      </c>
    </row>
    <row r="1127" spans="2:6" x14ac:dyDescent="0.25">
      <c r="B1127" s="152" t="s">
        <v>4847</v>
      </c>
      <c r="C1127" s="153" t="s">
        <v>4848</v>
      </c>
      <c r="D1127" s="153" t="e">
        <v>#N/A</v>
      </c>
      <c r="E1127" s="152" t="s">
        <v>2086</v>
      </c>
      <c r="F1127" s="153">
        <v>6</v>
      </c>
    </row>
    <row r="1128" spans="2:6" x14ac:dyDescent="0.25">
      <c r="B1128" s="152" t="s">
        <v>1507</v>
      </c>
      <c r="C1128" s="153" t="s">
        <v>1508</v>
      </c>
      <c r="D1128" s="153" t="e">
        <v>#N/A</v>
      </c>
      <c r="E1128" s="152" t="s">
        <v>2086</v>
      </c>
      <c r="F1128" s="153">
        <v>383</v>
      </c>
    </row>
    <row r="1129" spans="2:6" x14ac:dyDescent="0.25">
      <c r="B1129" s="152" t="s">
        <v>4849</v>
      </c>
      <c r="C1129" s="153" t="s">
        <v>4850</v>
      </c>
      <c r="D1129" s="153" t="e">
        <v>#N/A</v>
      </c>
      <c r="E1129" s="152" t="s">
        <v>2086</v>
      </c>
      <c r="F1129" s="153">
        <v>30</v>
      </c>
    </row>
    <row r="1130" spans="2:6" x14ac:dyDescent="0.25">
      <c r="B1130" s="152" t="s">
        <v>4851</v>
      </c>
      <c r="C1130" s="153" t="s">
        <v>4852</v>
      </c>
      <c r="D1130" s="153" t="e">
        <v>#N/A</v>
      </c>
      <c r="E1130" s="152" t="s">
        <v>2086</v>
      </c>
      <c r="F1130" s="153">
        <v>16</v>
      </c>
    </row>
    <row r="1131" spans="2:6" x14ac:dyDescent="0.25">
      <c r="B1131" s="152" t="s">
        <v>4853</v>
      </c>
      <c r="C1131" s="153" t="s">
        <v>4854</v>
      </c>
      <c r="D1131" s="153" t="e">
        <v>#N/A</v>
      </c>
      <c r="E1131" s="152" t="s">
        <v>2086</v>
      </c>
      <c r="F1131" s="153">
        <v>3</v>
      </c>
    </row>
    <row r="1132" spans="2:6" x14ac:dyDescent="0.25">
      <c r="B1132" s="152" t="s">
        <v>4855</v>
      </c>
      <c r="C1132" s="153" t="s">
        <v>4856</v>
      </c>
      <c r="D1132" s="153" t="e">
        <v>#N/A</v>
      </c>
      <c r="E1132" s="152" t="s">
        <v>2086</v>
      </c>
      <c r="F1132" s="153">
        <v>8</v>
      </c>
    </row>
    <row r="1133" spans="2:6" x14ac:dyDescent="0.25">
      <c r="B1133" s="152" t="s">
        <v>4857</v>
      </c>
      <c r="C1133" s="153" t="s">
        <v>4858</v>
      </c>
      <c r="D1133" s="153" t="e">
        <v>#N/A</v>
      </c>
      <c r="E1133" s="152" t="s">
        <v>2086</v>
      </c>
      <c r="F1133" s="153">
        <v>47</v>
      </c>
    </row>
    <row r="1134" spans="2:6" x14ac:dyDescent="0.25">
      <c r="B1134" s="152" t="s">
        <v>4859</v>
      </c>
      <c r="C1134" s="153" t="s">
        <v>4860</v>
      </c>
      <c r="D1134" s="153" t="e">
        <v>#N/A</v>
      </c>
      <c r="E1134" s="152" t="s">
        <v>2086</v>
      </c>
      <c r="F1134" s="153">
        <v>46</v>
      </c>
    </row>
    <row r="1135" spans="2:6" x14ac:dyDescent="0.25">
      <c r="B1135" s="152" t="s">
        <v>4861</v>
      </c>
      <c r="C1135" s="160" t="s">
        <v>4862</v>
      </c>
      <c r="D1135" s="160" t="e">
        <v>#N/A</v>
      </c>
      <c r="E1135" s="152" t="s">
        <v>2086</v>
      </c>
      <c r="F1135" s="153">
        <v>3</v>
      </c>
    </row>
    <row r="1136" spans="2:6" x14ac:dyDescent="0.25">
      <c r="B1136" s="152" t="s">
        <v>4863</v>
      </c>
      <c r="C1136" s="153" t="s">
        <v>4864</v>
      </c>
      <c r="D1136" s="153" t="e">
        <v>#N/A</v>
      </c>
      <c r="E1136" s="152" t="s">
        <v>2086</v>
      </c>
      <c r="F1136" s="153">
        <v>5</v>
      </c>
    </row>
    <row r="1137" spans="2:6" x14ac:dyDescent="0.25">
      <c r="B1137" s="152" t="s">
        <v>4865</v>
      </c>
      <c r="C1137" s="153" t="s">
        <v>4866</v>
      </c>
      <c r="D1137" s="153" t="e">
        <v>#N/A</v>
      </c>
      <c r="E1137" s="152" t="s">
        <v>2086</v>
      </c>
      <c r="F1137" s="153">
        <v>3</v>
      </c>
    </row>
    <row r="1138" spans="2:6" x14ac:dyDescent="0.25">
      <c r="B1138" s="152" t="s">
        <v>4867</v>
      </c>
      <c r="C1138" s="153" t="s">
        <v>4868</v>
      </c>
      <c r="D1138" s="153" t="e">
        <v>#N/A</v>
      </c>
      <c r="E1138" s="152" t="s">
        <v>2086</v>
      </c>
      <c r="F1138" s="153">
        <v>5</v>
      </c>
    </row>
    <row r="1139" spans="2:6" x14ac:dyDescent="0.25">
      <c r="B1139" s="152" t="s">
        <v>4869</v>
      </c>
      <c r="C1139" s="153" t="s">
        <v>4870</v>
      </c>
      <c r="D1139" s="153" t="e">
        <v>#N/A</v>
      </c>
      <c r="E1139" s="152" t="s">
        <v>2086</v>
      </c>
      <c r="F1139" s="153">
        <v>10</v>
      </c>
    </row>
    <row r="1140" spans="2:6" x14ac:dyDescent="0.25">
      <c r="B1140" s="152" t="s">
        <v>4871</v>
      </c>
      <c r="C1140" s="153" t="s">
        <v>4872</v>
      </c>
      <c r="D1140" s="153" t="e">
        <v>#N/A</v>
      </c>
      <c r="E1140" s="152" t="s">
        <v>2086</v>
      </c>
      <c r="F1140" s="153">
        <v>3</v>
      </c>
    </row>
    <row r="1141" spans="2:6" x14ac:dyDescent="0.25">
      <c r="B1141" s="152" t="s">
        <v>4873</v>
      </c>
      <c r="C1141" s="153" t="s">
        <v>4874</v>
      </c>
      <c r="D1141" s="153" t="e">
        <v>#N/A</v>
      </c>
      <c r="E1141" s="152" t="s">
        <v>2086</v>
      </c>
      <c r="F1141" s="153">
        <v>6</v>
      </c>
    </row>
    <row r="1142" spans="2:6" x14ac:dyDescent="0.25">
      <c r="B1142" s="152" t="s">
        <v>4875</v>
      </c>
      <c r="C1142" s="153" t="s">
        <v>4876</v>
      </c>
      <c r="D1142" s="153" t="e">
        <v>#N/A</v>
      </c>
      <c r="E1142" s="152" t="s">
        <v>2086</v>
      </c>
      <c r="F1142" s="153">
        <v>9</v>
      </c>
    </row>
    <row r="1143" spans="2:6" x14ac:dyDescent="0.25">
      <c r="B1143" s="152" t="s">
        <v>4877</v>
      </c>
      <c r="C1143" s="153" t="s">
        <v>4878</v>
      </c>
      <c r="D1143" s="153" t="e">
        <v>#N/A</v>
      </c>
      <c r="E1143" s="152" t="s">
        <v>2086</v>
      </c>
      <c r="F1143" s="153">
        <v>12</v>
      </c>
    </row>
    <row r="1144" spans="2:6" x14ac:dyDescent="0.25">
      <c r="B1144" s="152" t="s">
        <v>4879</v>
      </c>
      <c r="C1144" s="153" t="s">
        <v>4880</v>
      </c>
      <c r="D1144" s="153" t="e">
        <v>#N/A</v>
      </c>
      <c r="E1144" s="152" t="s">
        <v>2086</v>
      </c>
      <c r="F1144" s="153">
        <v>10</v>
      </c>
    </row>
    <row r="1145" spans="2:6" x14ac:dyDescent="0.25">
      <c r="B1145" s="152" t="s">
        <v>4881</v>
      </c>
      <c r="C1145" s="153" t="s">
        <v>4882</v>
      </c>
      <c r="D1145" s="153" t="e">
        <v>#N/A</v>
      </c>
      <c r="E1145" s="152" t="s">
        <v>2086</v>
      </c>
      <c r="F1145" s="153">
        <v>2</v>
      </c>
    </row>
    <row r="1146" spans="2:6" x14ac:dyDescent="0.25">
      <c r="B1146" s="152" t="s">
        <v>4883</v>
      </c>
      <c r="C1146" s="153" t="s">
        <v>4884</v>
      </c>
      <c r="D1146" s="153" t="e">
        <v>#N/A</v>
      </c>
      <c r="E1146" s="152" t="s">
        <v>2086</v>
      </c>
      <c r="F1146" s="153">
        <v>2</v>
      </c>
    </row>
    <row r="1147" spans="2:6" x14ac:dyDescent="0.25">
      <c r="B1147" s="152" t="s">
        <v>562</v>
      </c>
      <c r="C1147" s="153" t="s">
        <v>563</v>
      </c>
      <c r="D1147" s="153" t="e">
        <v>#N/A</v>
      </c>
      <c r="E1147" s="152" t="s">
        <v>2086</v>
      </c>
      <c r="F1147" s="153">
        <v>9</v>
      </c>
    </row>
    <row r="1148" spans="2:6" x14ac:dyDescent="0.25">
      <c r="B1148" s="152" t="s">
        <v>4885</v>
      </c>
      <c r="C1148" s="153" t="s">
        <v>4886</v>
      </c>
      <c r="D1148" s="153" t="e">
        <v>#N/A</v>
      </c>
      <c r="E1148" s="152" t="s">
        <v>2086</v>
      </c>
      <c r="F1148" s="153">
        <v>5</v>
      </c>
    </row>
    <row r="1149" spans="2:6" x14ac:dyDescent="0.25">
      <c r="B1149" s="152" t="s">
        <v>4887</v>
      </c>
      <c r="C1149" s="153" t="s">
        <v>4888</v>
      </c>
      <c r="D1149" s="153" t="e">
        <v>#N/A</v>
      </c>
      <c r="E1149" s="152" t="s">
        <v>2086</v>
      </c>
      <c r="F1149" s="153">
        <v>1</v>
      </c>
    </row>
    <row r="1150" spans="2:6" x14ac:dyDescent="0.25">
      <c r="B1150" s="152" t="s">
        <v>4889</v>
      </c>
      <c r="C1150" s="153" t="s">
        <v>4890</v>
      </c>
      <c r="D1150" s="153" t="e">
        <v>#N/A</v>
      </c>
      <c r="E1150" s="152" t="s">
        <v>2086</v>
      </c>
      <c r="F1150" s="153">
        <v>2</v>
      </c>
    </row>
    <row r="1151" spans="2:6" x14ac:dyDescent="0.25">
      <c r="B1151" s="152" t="s">
        <v>4891</v>
      </c>
      <c r="C1151" s="153" t="s">
        <v>4892</v>
      </c>
      <c r="D1151" s="153" t="e">
        <v>#N/A</v>
      </c>
      <c r="E1151" s="152" t="s">
        <v>2086</v>
      </c>
      <c r="F1151" s="153">
        <v>1</v>
      </c>
    </row>
    <row r="1152" spans="2:6" x14ac:dyDescent="0.25">
      <c r="B1152" s="152" t="s">
        <v>4893</v>
      </c>
      <c r="C1152" s="153" t="s">
        <v>4894</v>
      </c>
      <c r="D1152" s="153" t="e">
        <v>#N/A</v>
      </c>
      <c r="E1152" s="152" t="s">
        <v>2086</v>
      </c>
      <c r="F1152" s="153">
        <v>3</v>
      </c>
    </row>
    <row r="1153" spans="2:6" x14ac:dyDescent="0.25">
      <c r="B1153" s="152" t="s">
        <v>4895</v>
      </c>
      <c r="C1153" s="153" t="s">
        <v>4896</v>
      </c>
      <c r="D1153" s="153" t="e">
        <v>#N/A</v>
      </c>
      <c r="E1153" s="152" t="s">
        <v>2086</v>
      </c>
      <c r="F1153" s="153">
        <v>1</v>
      </c>
    </row>
    <row r="1154" spans="2:6" x14ac:dyDescent="0.25">
      <c r="B1154" s="152" t="s">
        <v>4897</v>
      </c>
      <c r="C1154" s="160" t="s">
        <v>4898</v>
      </c>
      <c r="D1154" s="160" t="e">
        <v>#N/A</v>
      </c>
      <c r="E1154" s="152" t="s">
        <v>2086</v>
      </c>
      <c r="F1154" s="153">
        <v>1</v>
      </c>
    </row>
    <row r="1155" spans="2:6" x14ac:dyDescent="0.25">
      <c r="B1155" s="152" t="s">
        <v>4899</v>
      </c>
      <c r="C1155" s="153" t="s">
        <v>4900</v>
      </c>
      <c r="D1155" s="153" t="e">
        <v>#N/A</v>
      </c>
      <c r="E1155" s="152" t="s">
        <v>2086</v>
      </c>
      <c r="F1155" s="153">
        <v>2</v>
      </c>
    </row>
    <row r="1156" spans="2:6" x14ac:dyDescent="0.25">
      <c r="B1156" s="152" t="s">
        <v>4901</v>
      </c>
      <c r="C1156" s="153" t="s">
        <v>4902</v>
      </c>
      <c r="D1156" s="153" t="e">
        <v>#N/A</v>
      </c>
      <c r="E1156" s="152" t="s">
        <v>2086</v>
      </c>
      <c r="F1156" s="153">
        <v>58</v>
      </c>
    </row>
    <row r="1157" spans="2:6" x14ac:dyDescent="0.25">
      <c r="B1157" s="152" t="s">
        <v>4903</v>
      </c>
      <c r="C1157" s="153" t="s">
        <v>4904</v>
      </c>
      <c r="D1157" s="153" t="e">
        <v>#N/A</v>
      </c>
      <c r="E1157" s="152" t="s">
        <v>2086</v>
      </c>
      <c r="F1157" s="153">
        <v>7</v>
      </c>
    </row>
    <row r="1158" spans="2:6" x14ac:dyDescent="0.25">
      <c r="B1158" s="152" t="s">
        <v>4905</v>
      </c>
      <c r="C1158" s="153" t="s">
        <v>4906</v>
      </c>
      <c r="D1158" s="153" t="e">
        <v>#N/A</v>
      </c>
      <c r="E1158" s="152" t="s">
        <v>2086</v>
      </c>
      <c r="F1158" s="153">
        <v>5</v>
      </c>
    </row>
    <row r="1159" spans="2:6" x14ac:dyDescent="0.25">
      <c r="B1159" s="152" t="s">
        <v>4907</v>
      </c>
      <c r="C1159" s="153" t="s">
        <v>4908</v>
      </c>
      <c r="D1159" s="153" t="e">
        <v>#N/A</v>
      </c>
      <c r="E1159" s="152" t="s">
        <v>2086</v>
      </c>
      <c r="F1159" s="153">
        <v>20</v>
      </c>
    </row>
    <row r="1160" spans="2:6" x14ac:dyDescent="0.25">
      <c r="B1160" s="152" t="s">
        <v>4909</v>
      </c>
      <c r="C1160" s="153" t="s">
        <v>4910</v>
      </c>
      <c r="D1160" s="153" t="e">
        <v>#N/A</v>
      </c>
      <c r="E1160" s="152" t="s">
        <v>2086</v>
      </c>
      <c r="F1160" s="153">
        <v>460</v>
      </c>
    </row>
    <row r="1161" spans="2:6" x14ac:dyDescent="0.25">
      <c r="B1161" s="152" t="s">
        <v>4911</v>
      </c>
      <c r="C1161" s="153" t="s">
        <v>4912</v>
      </c>
      <c r="D1161" s="153" t="e">
        <v>#N/A</v>
      </c>
      <c r="E1161" s="152" t="s">
        <v>2086</v>
      </c>
      <c r="F1161" s="153">
        <v>312</v>
      </c>
    </row>
    <row r="1162" spans="2:6" x14ac:dyDescent="0.25">
      <c r="B1162" s="152" t="s">
        <v>4913</v>
      </c>
      <c r="C1162" s="153" t="s">
        <v>4914</v>
      </c>
      <c r="D1162" s="153" t="e">
        <v>#N/A</v>
      </c>
      <c r="E1162" s="152" t="s">
        <v>2086</v>
      </c>
      <c r="F1162" s="153">
        <v>645</v>
      </c>
    </row>
    <row r="1163" spans="2:6" x14ac:dyDescent="0.25">
      <c r="B1163" s="152" t="s">
        <v>4915</v>
      </c>
      <c r="C1163" s="153" t="s">
        <v>4916</v>
      </c>
      <c r="D1163" s="153" t="e">
        <v>#N/A</v>
      </c>
      <c r="E1163" s="152" t="s">
        <v>2086</v>
      </c>
      <c r="F1163" s="154">
        <v>2140</v>
      </c>
    </row>
    <row r="1164" spans="2:6" x14ac:dyDescent="0.25">
      <c r="B1164" s="152" t="s">
        <v>4917</v>
      </c>
      <c r="C1164" s="153" t="s">
        <v>4918</v>
      </c>
      <c r="D1164" s="153" t="e">
        <v>#N/A</v>
      </c>
      <c r="E1164" s="152" t="s">
        <v>2086</v>
      </c>
      <c r="F1164" s="154">
        <v>1520</v>
      </c>
    </row>
    <row r="1165" spans="2:6" x14ac:dyDescent="0.25">
      <c r="B1165" s="152" t="s">
        <v>4919</v>
      </c>
      <c r="C1165" s="153" t="s">
        <v>135</v>
      </c>
      <c r="D1165" s="153" t="e">
        <v>#N/A</v>
      </c>
      <c r="E1165" s="152" t="s">
        <v>2086</v>
      </c>
      <c r="F1165" s="154">
        <v>1860</v>
      </c>
    </row>
    <row r="1166" spans="2:6" x14ac:dyDescent="0.25">
      <c r="B1166" s="152" t="s">
        <v>4920</v>
      </c>
      <c r="C1166" s="153" t="s">
        <v>4921</v>
      </c>
      <c r="D1166" s="153" t="e">
        <v>#N/A</v>
      </c>
      <c r="E1166" s="152" t="s">
        <v>2086</v>
      </c>
      <c r="F1166" s="153">
        <v>390</v>
      </c>
    </row>
    <row r="1167" spans="2:6" x14ac:dyDescent="0.25">
      <c r="B1167" s="152" t="s">
        <v>4922</v>
      </c>
      <c r="C1167" s="153" t="s">
        <v>2820</v>
      </c>
      <c r="D1167" s="153" t="e">
        <v>#N/A</v>
      </c>
      <c r="E1167" s="152" t="s">
        <v>2086</v>
      </c>
      <c r="F1167" s="154">
        <v>1200</v>
      </c>
    </row>
    <row r="1168" spans="2:6" x14ac:dyDescent="0.25">
      <c r="B1168" s="152" t="s">
        <v>4923</v>
      </c>
      <c r="C1168" s="153" t="s">
        <v>4924</v>
      </c>
      <c r="D1168" s="153" t="e">
        <v>#N/A</v>
      </c>
      <c r="E1168" s="152" t="s">
        <v>2111</v>
      </c>
      <c r="F1168" s="153">
        <v>85.2</v>
      </c>
    </row>
    <row r="1170" spans="6:6" x14ac:dyDescent="0.25">
      <c r="F1170">
        <f>SUM(F4:F1169)</f>
        <v>15685059.510000004</v>
      </c>
    </row>
  </sheetData>
  <autoFilter ref="O3:S137" xr:uid="{1C224AE9-2C84-498C-9100-95D50466C9E4}">
    <filterColumn colId="4">
      <filters>
        <filter val="#N/A"/>
      </filters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7F5F2-DD6B-420F-AB3E-AB70925DB159}">
  <dimension ref="A2:G976"/>
  <sheetViews>
    <sheetView workbookViewId="0">
      <selection activeCell="F14" sqref="F14"/>
    </sheetView>
  </sheetViews>
  <sheetFormatPr defaultRowHeight="15" x14ac:dyDescent="0.25"/>
  <cols>
    <col min="1" max="1" width="11.5703125" bestFit="1" customWidth="1"/>
    <col min="3" max="3" width="9.140625" bestFit="1" customWidth="1"/>
    <col min="4" max="4" width="11.28515625" customWidth="1"/>
    <col min="5" max="5" width="81.85546875" customWidth="1"/>
  </cols>
  <sheetData>
    <row r="2" spans="1:7" x14ac:dyDescent="0.25">
      <c r="E2">
        <v>12855194</v>
      </c>
      <c r="F2">
        <v>12855169</v>
      </c>
      <c r="G2">
        <f>F2-E2</f>
        <v>-25</v>
      </c>
    </row>
    <row r="4" spans="1:7" x14ac:dyDescent="0.25">
      <c r="A4" s="134" t="s">
        <v>3</v>
      </c>
      <c r="B4" s="134" t="s">
        <v>4951</v>
      </c>
      <c r="C4" s="134" t="s">
        <v>4965</v>
      </c>
      <c r="D4" s="134" t="s">
        <v>4966</v>
      </c>
    </row>
    <row r="5" spans="1:7" x14ac:dyDescent="0.25">
      <c r="A5" s="135" t="s">
        <v>4967</v>
      </c>
      <c r="B5" s="137">
        <v>4000</v>
      </c>
      <c r="C5" s="136" t="e">
        <f>VLOOKUP(A5,'Current Stocks July-26'!B:K,9,0)</f>
        <v>#N/A</v>
      </c>
      <c r="D5" s="136" t="e">
        <f>C5-B5</f>
        <v>#N/A</v>
      </c>
      <c r="E5" t="e">
        <f>VLOOKUP(A5,'Current Stocks July-26'!B:C,2,0)</f>
        <v>#N/A</v>
      </c>
    </row>
    <row r="6" spans="1:7" x14ac:dyDescent="0.25">
      <c r="A6" s="135" t="s">
        <v>1313</v>
      </c>
      <c r="B6" s="136">
        <v>867.31200000000001</v>
      </c>
      <c r="C6" s="136">
        <f>VLOOKUP(A6,'Current Stocks July-26'!B:K,9,0)</f>
        <v>28.704000000000001</v>
      </c>
      <c r="D6" s="136">
        <f t="shared" ref="D6:D69" si="0">C6-B6</f>
        <v>-838.60800000000006</v>
      </c>
      <c r="E6" t="str">
        <f>VLOOKUP(A6,'Current Stocks July-26'!B:C,2,0)</f>
        <v>Flake Chocolate</v>
      </c>
    </row>
    <row r="7" spans="1:7" x14ac:dyDescent="0.25">
      <c r="A7" s="135" t="s">
        <v>1220</v>
      </c>
      <c r="B7" s="136">
        <v>366</v>
      </c>
      <c r="C7" s="136">
        <f>VLOOKUP(A7,'Current Stocks July-26'!B:K,9,0)</f>
        <v>0</v>
      </c>
      <c r="D7" s="136">
        <f t="shared" si="0"/>
        <v>-366</v>
      </c>
      <c r="E7" t="str">
        <f>VLOOKUP(A7,'Current Stocks July-26'!B:C,2,0)</f>
        <v>Nutella Hazelnut</v>
      </c>
    </row>
    <row r="8" spans="1:7" x14ac:dyDescent="0.25">
      <c r="A8" s="135" t="s">
        <v>467</v>
      </c>
      <c r="B8" s="136">
        <v>945</v>
      </c>
      <c r="C8" s="136" t="e">
        <f>VLOOKUP(A8,'Current Stocks July-26'!B:K,9,0)</f>
        <v>#N/A</v>
      </c>
      <c r="D8" s="136" t="e">
        <f t="shared" si="0"/>
        <v>#N/A</v>
      </c>
      <c r="E8" t="e">
        <f>VLOOKUP(A8,'Current Stocks July-26'!B:C,2,0)</f>
        <v>#N/A</v>
      </c>
    </row>
    <row r="9" spans="1:7" x14ac:dyDescent="0.25">
      <c r="A9" s="135" t="s">
        <v>1015</v>
      </c>
      <c r="B9" s="136">
        <v>400</v>
      </c>
      <c r="C9" s="136">
        <f>VLOOKUP(A9,'Current Stocks July-26'!B:K,9,0)</f>
        <v>0</v>
      </c>
      <c r="D9" s="136">
        <f t="shared" si="0"/>
        <v>-400</v>
      </c>
      <c r="E9" t="str">
        <f>VLOOKUP(A9,'Current Stocks July-26'!B:C,2,0)</f>
        <v>Milk Chocolate 35% - Belchoco</v>
      </c>
    </row>
    <row r="10" spans="1:7" x14ac:dyDescent="0.25">
      <c r="A10" s="135" t="s">
        <v>936</v>
      </c>
      <c r="B10" s="136">
        <v>11768</v>
      </c>
      <c r="C10" s="137">
        <f>VLOOKUP(A10,'Current Stocks July-26'!B:K,9,0)</f>
        <v>1014</v>
      </c>
      <c r="D10" s="136">
        <f t="shared" si="0"/>
        <v>-10754</v>
      </c>
      <c r="E10" t="str">
        <f>VLOOKUP(A10,'Current Stocks July-26'!B:C,2,0)</f>
        <v>Kunafa Chocolate Bar</v>
      </c>
      <c r="F10">
        <f>D10/48</f>
        <v>-224.04166666666666</v>
      </c>
    </row>
    <row r="11" spans="1:7" x14ac:dyDescent="0.25">
      <c r="A11" s="135" t="s">
        <v>961</v>
      </c>
      <c r="B11" s="136">
        <v>294.39999999999998</v>
      </c>
      <c r="C11" s="136">
        <f>VLOOKUP(A11,'Current Stocks July-26'!B:K,9,0)</f>
        <v>0</v>
      </c>
      <c r="D11" s="136">
        <f t="shared" si="0"/>
        <v>-294.39999999999998</v>
      </c>
      <c r="E11" t="str">
        <f>VLOOKUP(A11,'Current Stocks July-26'!B:C,2,0)</f>
        <v>Chocolate Sticks 44%</v>
      </c>
    </row>
    <row r="12" spans="1:7" x14ac:dyDescent="0.25">
      <c r="A12" s="135" t="s">
        <v>1096</v>
      </c>
      <c r="B12" s="136">
        <v>1700</v>
      </c>
      <c r="C12" s="136">
        <f>VLOOKUP(A12,'Current Stocks July-26'!B:K,9,0)</f>
        <v>0</v>
      </c>
      <c r="D12" s="136">
        <f t="shared" si="0"/>
        <v>-1700</v>
      </c>
      <c r="E12" t="str">
        <f>VLOOKUP(A12,'Current Stocks July-26'!B:C,2,0)</f>
        <v>Dark Chocolate Chips 55%</v>
      </c>
    </row>
    <row r="13" spans="1:7" x14ac:dyDescent="0.25">
      <c r="A13" s="135" t="s">
        <v>807</v>
      </c>
      <c r="B13" s="136">
        <v>276</v>
      </c>
      <c r="C13" s="136">
        <f>VLOOKUP(A13,'Current Stocks July-26'!B:K,9,0)</f>
        <v>102</v>
      </c>
      <c r="D13" s="136">
        <f t="shared" si="0"/>
        <v>-174</v>
      </c>
      <c r="E13" t="str">
        <f>VLOOKUP(A13,'Current Stocks July-26'!B:C,2,0)</f>
        <v>Salted Caramel Filling - Speciality</v>
      </c>
    </row>
    <row r="14" spans="1:7" x14ac:dyDescent="0.25">
      <c r="A14" s="135" t="s">
        <v>1138</v>
      </c>
      <c r="B14" s="136">
        <v>4175</v>
      </c>
      <c r="C14" s="136">
        <f>VLOOKUP(A14,'Current Stocks July-26'!B:K,9,0)</f>
        <v>0</v>
      </c>
      <c r="D14" s="136">
        <f t="shared" si="0"/>
        <v>-4175</v>
      </c>
      <c r="E14" t="str">
        <f>VLOOKUP(A14,'Current Stocks July-26'!B:C,2,0)</f>
        <v>Cocoa Powder - Medium</v>
      </c>
    </row>
    <row r="15" spans="1:7" x14ac:dyDescent="0.25">
      <c r="A15" s="135" t="s">
        <v>464</v>
      </c>
      <c r="B15" s="136">
        <v>975</v>
      </c>
      <c r="C15" s="136">
        <f>VLOOKUP(A15,'Current Stocks July-26'!B:K,9,0)</f>
        <v>0</v>
      </c>
      <c r="D15" s="136">
        <f t="shared" si="0"/>
        <v>-975</v>
      </c>
      <c r="E15" t="str">
        <f>VLOOKUP(A15,'Current Stocks July-26'!B:C,2,0)</f>
        <v>Cocoa Powder - Decoration</v>
      </c>
    </row>
    <row r="16" spans="1:7" x14ac:dyDescent="0.25">
      <c r="A16" s="135" t="s">
        <v>743</v>
      </c>
      <c r="B16" s="136">
        <v>108</v>
      </c>
      <c r="C16" s="136">
        <f>VLOOKUP(A16,'Current Stocks July-26'!B:K,9,0)</f>
        <v>2400</v>
      </c>
      <c r="D16" s="136">
        <f t="shared" si="0"/>
        <v>2292</v>
      </c>
      <c r="E16" t="str">
        <f>VLOOKUP(A16,'Current Stocks July-26'!B:C,2,0)</f>
        <v>Whipping Cream</v>
      </c>
    </row>
    <row r="17" spans="1:5" x14ac:dyDescent="0.25">
      <c r="A17" s="135" t="s">
        <v>1592</v>
      </c>
      <c r="B17" s="136">
        <v>1390.8</v>
      </c>
      <c r="C17" s="136">
        <f>VLOOKUP(A17,'Current Stocks July-26'!B:K,9,0)</f>
        <v>0</v>
      </c>
      <c r="D17" s="136">
        <f t="shared" si="0"/>
        <v>-1390.8</v>
      </c>
      <c r="E17" t="str">
        <f>VLOOKUP(A17,'Current Stocks July-26'!B:C,2,0)</f>
        <v>Puck Cream</v>
      </c>
    </row>
    <row r="18" spans="1:5" x14ac:dyDescent="0.25">
      <c r="A18" s="135" t="s">
        <v>1252</v>
      </c>
      <c r="B18" s="136">
        <v>1150</v>
      </c>
      <c r="C18" s="136">
        <f>VLOOKUP(A18,'Current Stocks July-26'!B:K,9,0)</f>
        <v>0</v>
      </c>
      <c r="D18" s="136">
        <f t="shared" si="0"/>
        <v>-1150</v>
      </c>
      <c r="E18" t="str">
        <f>VLOOKUP(A18,'Current Stocks July-26'!B:C,2,0)</f>
        <v>Flour Premium T45</v>
      </c>
    </row>
    <row r="19" spans="1:5" x14ac:dyDescent="0.25">
      <c r="A19" s="135" t="s">
        <v>1502</v>
      </c>
      <c r="B19" s="136">
        <v>275</v>
      </c>
      <c r="C19" s="136">
        <f>VLOOKUP(A19,'Current Stocks July-26'!B:K,9,0)</f>
        <v>0</v>
      </c>
      <c r="D19" s="136">
        <f t="shared" si="0"/>
        <v>-275</v>
      </c>
      <c r="E19" t="str">
        <f>VLOOKUP(A19,'Current Stocks July-26'!B:C,2,0)</f>
        <v>Flour Premium T65</v>
      </c>
    </row>
    <row r="20" spans="1:5" x14ac:dyDescent="0.25">
      <c r="A20" s="135" t="s">
        <v>771</v>
      </c>
      <c r="B20" s="136">
        <v>2100</v>
      </c>
      <c r="C20" s="136">
        <f>VLOOKUP(A20,'Current Stocks July-26'!B:K,9,0)</f>
        <v>0</v>
      </c>
      <c r="D20" s="136">
        <f t="shared" si="0"/>
        <v>-2100</v>
      </c>
      <c r="E20" t="str">
        <f>VLOOKUP(A20,'Current Stocks July-26'!B:C,2,0)</f>
        <v>Biscuit Bonomi</v>
      </c>
    </row>
    <row r="21" spans="1:5" x14ac:dyDescent="0.25">
      <c r="A21" s="135" t="s">
        <v>1440</v>
      </c>
      <c r="B21" s="136">
        <v>281.16000000000003</v>
      </c>
      <c r="C21" s="136">
        <f>VLOOKUP(A21,'Current Stocks July-26'!B:K,9,0)</f>
        <v>153.36000000000001</v>
      </c>
      <c r="D21" s="136">
        <f t="shared" si="0"/>
        <v>-127.80000000000001</v>
      </c>
      <c r="E21" t="str">
        <f>VLOOKUP(A21,'Current Stocks July-26'!B:C,2,0)</f>
        <v>Lite Corn Syrup</v>
      </c>
    </row>
    <row r="22" spans="1:5" x14ac:dyDescent="0.25">
      <c r="A22" s="135" t="s">
        <v>518</v>
      </c>
      <c r="B22" s="136">
        <v>20</v>
      </c>
      <c r="C22" s="136">
        <f>VLOOKUP(A22,'Current Stocks July-26'!B:K,9,0)</f>
        <v>0</v>
      </c>
      <c r="D22" s="136">
        <f t="shared" si="0"/>
        <v>-20</v>
      </c>
      <c r="E22" t="str">
        <f>VLOOKUP(A22,'Current Stocks July-26'!B:C,2,0)</f>
        <v>Clove</v>
      </c>
    </row>
    <row r="23" spans="1:5" x14ac:dyDescent="0.25">
      <c r="A23" s="135" t="s">
        <v>1292</v>
      </c>
      <c r="B23" s="136">
        <v>90</v>
      </c>
      <c r="C23" s="136">
        <f>VLOOKUP(A23,'Current Stocks July-26'!B:K,9,0)</f>
        <v>0</v>
      </c>
      <c r="D23" s="136">
        <f t="shared" si="0"/>
        <v>-90</v>
      </c>
      <c r="E23" t="str">
        <f>VLOOKUP(A23,'Current Stocks July-26'!B:C,2,0)</f>
        <v>Alqassim Coffee Mix</v>
      </c>
    </row>
    <row r="24" spans="1:5" x14ac:dyDescent="0.25">
      <c r="A24" s="135" t="s">
        <v>1131</v>
      </c>
      <c r="B24" s="136">
        <v>10</v>
      </c>
      <c r="C24" s="136">
        <f>VLOOKUP(A24,'Current Stocks July-26'!B:K,9,0)</f>
        <v>0</v>
      </c>
      <c r="D24" s="136">
        <f t="shared" si="0"/>
        <v>-10</v>
      </c>
      <c r="E24" t="str">
        <f>VLOOKUP(A24,'Current Stocks July-26'!B:C,2,0)</f>
        <v>Chia Seeds</v>
      </c>
    </row>
    <row r="25" spans="1:5" x14ac:dyDescent="0.25">
      <c r="A25" s="135" t="s">
        <v>497</v>
      </c>
      <c r="B25" s="136">
        <v>368</v>
      </c>
      <c r="C25" s="136">
        <f>VLOOKUP(A25,'Current Stocks July-26'!B:K,9,0)</f>
        <v>0</v>
      </c>
      <c r="D25" s="136">
        <f t="shared" si="0"/>
        <v>-368</v>
      </c>
      <c r="E25" t="str">
        <f>VLOOKUP(A25,'Current Stocks July-26'!B:C,2,0)</f>
        <v>Dates Ekhlas</v>
      </c>
    </row>
    <row r="26" spans="1:5" x14ac:dyDescent="0.25">
      <c r="A26" s="135" t="s">
        <v>1091</v>
      </c>
      <c r="B26" s="136">
        <v>55.76</v>
      </c>
      <c r="C26" s="136">
        <f>VLOOKUP(A26,'Current Stocks July-26'!B:K,9,0)</f>
        <v>0</v>
      </c>
      <c r="D26" s="136">
        <f t="shared" si="0"/>
        <v>-55.76</v>
      </c>
      <c r="E26" t="str">
        <f>VLOOKUP(A26,'Current Stocks July-26'!B:C,2,0)</f>
        <v>Corn</v>
      </c>
    </row>
    <row r="27" spans="1:5" x14ac:dyDescent="0.25">
      <c r="A27" s="135" t="s">
        <v>1126</v>
      </c>
      <c r="B27" s="136">
        <v>100</v>
      </c>
      <c r="C27" s="136">
        <f>VLOOKUP(A27,'Current Stocks July-26'!B:K,9,0)</f>
        <v>0</v>
      </c>
      <c r="D27" s="136">
        <f t="shared" si="0"/>
        <v>-100</v>
      </c>
      <c r="E27" t="str">
        <f>VLOOKUP(A27,'Current Stocks July-26'!B:C,2,0)</f>
        <v>Sundried Tomato</v>
      </c>
    </row>
    <row r="28" spans="1:5" x14ac:dyDescent="0.25">
      <c r="A28" s="135" t="s">
        <v>1552</v>
      </c>
      <c r="B28" s="136">
        <v>4400</v>
      </c>
      <c r="C28" s="136">
        <f>VLOOKUP(A28,'Current Stocks July-26'!B:K,9,0)</f>
        <v>30</v>
      </c>
      <c r="D28" s="136">
        <f t="shared" si="0"/>
        <v>-4370</v>
      </c>
      <c r="E28" t="str">
        <f>VLOOKUP(A28,'Current Stocks July-26'!B:C,2,0)</f>
        <v>Caramel Sea Salt</v>
      </c>
    </row>
    <row r="29" spans="1:5" x14ac:dyDescent="0.25">
      <c r="A29" s="135" t="s">
        <v>58</v>
      </c>
      <c r="B29" s="136">
        <v>57</v>
      </c>
      <c r="C29" s="136">
        <f>VLOOKUP(A29,'Current Stocks July-26'!B:K,9,0)</f>
        <v>23.94</v>
      </c>
      <c r="D29" s="136">
        <f t="shared" si="0"/>
        <v>-33.06</v>
      </c>
      <c r="E29" t="str">
        <f>VLOOKUP(A29,'Current Stocks July-26'!B:C,2,0)</f>
        <v>Ketchup</v>
      </c>
    </row>
    <row r="30" spans="1:5" x14ac:dyDescent="0.25">
      <c r="A30" s="135" t="s">
        <v>1295</v>
      </c>
      <c r="B30" s="136">
        <v>570</v>
      </c>
      <c r="C30" s="136">
        <f>VLOOKUP(A30,'Current Stocks July-26'!B:K,9,0)</f>
        <v>0</v>
      </c>
      <c r="D30" s="136">
        <f t="shared" si="0"/>
        <v>-570</v>
      </c>
      <c r="E30" t="str">
        <f>VLOOKUP(A30,'Current Stocks July-26'!B:C,2,0)</f>
        <v>Diamond Glaze Neutral</v>
      </c>
    </row>
    <row r="31" spans="1:5" x14ac:dyDescent="0.25">
      <c r="A31" s="135" t="s">
        <v>1373</v>
      </c>
      <c r="B31" s="136">
        <v>2880</v>
      </c>
      <c r="C31" s="136">
        <f>VLOOKUP(A31,'Current Stocks July-26'!B:K,9,0)</f>
        <v>0</v>
      </c>
      <c r="D31" s="136">
        <f t="shared" si="0"/>
        <v>-2880</v>
      </c>
      <c r="E31" t="str">
        <f>VLOOKUP(A31,'Current Stocks July-26'!B:C,2,0)</f>
        <v>Liquid Glucose</v>
      </c>
    </row>
    <row r="32" spans="1:5" x14ac:dyDescent="0.25">
      <c r="A32" s="135" t="s">
        <v>1208</v>
      </c>
      <c r="B32" s="136">
        <v>760</v>
      </c>
      <c r="C32" s="136">
        <f>VLOOKUP(A32,'Current Stocks July-26'!B:K,9,0)</f>
        <v>0</v>
      </c>
      <c r="D32" s="136">
        <f t="shared" si="0"/>
        <v>-760</v>
      </c>
      <c r="E32" t="str">
        <f>VLOOKUP(A32,'Current Stocks July-26'!B:C,2,0)</f>
        <v>Sodium Bicarbonate</v>
      </c>
    </row>
    <row r="33" spans="1:5" x14ac:dyDescent="0.25">
      <c r="A33" s="135" t="s">
        <v>1478</v>
      </c>
      <c r="B33" s="136">
        <v>60</v>
      </c>
      <c r="C33" s="136">
        <f>VLOOKUP(A33,'Current Stocks July-26'!B:K,9,0)</f>
        <v>0</v>
      </c>
      <c r="D33" s="136">
        <f t="shared" si="0"/>
        <v>-60</v>
      </c>
      <c r="E33" t="str">
        <f>VLOOKUP(A33,'Current Stocks July-26'!B:C,2,0)</f>
        <v>Mustard Dijon</v>
      </c>
    </row>
    <row r="34" spans="1:5" x14ac:dyDescent="0.25">
      <c r="A34" s="135" t="s">
        <v>1047</v>
      </c>
      <c r="B34" s="136">
        <v>61.2</v>
      </c>
      <c r="C34" s="136">
        <f>VLOOKUP(A34,'Current Stocks July-26'!B:K,9,0)</f>
        <v>306.04599999999999</v>
      </c>
      <c r="D34" s="136">
        <f t="shared" si="0"/>
        <v>244.846</v>
      </c>
      <c r="E34" t="str">
        <f>VLOOKUP(A34,'Current Stocks July-26'!B:C,2,0)</f>
        <v>Cream Caramel</v>
      </c>
    </row>
    <row r="35" spans="1:5" x14ac:dyDescent="0.25">
      <c r="A35" s="135" t="s">
        <v>978</v>
      </c>
      <c r="B35" s="136">
        <v>300</v>
      </c>
      <c r="C35" s="136">
        <f>VLOOKUP(A35,'Current Stocks July-26'!B:K,9,0)</f>
        <v>0</v>
      </c>
      <c r="D35" s="136">
        <f t="shared" si="0"/>
        <v>-300</v>
      </c>
      <c r="E35" t="str">
        <f>VLOOKUP(A35,'Current Stocks July-26'!B:C,2,0)</f>
        <v>Lotus Biscoff</v>
      </c>
    </row>
    <row r="36" spans="1:5" x14ac:dyDescent="0.25">
      <c r="A36" s="135" t="s">
        <v>1354</v>
      </c>
      <c r="B36" s="136">
        <v>470</v>
      </c>
      <c r="C36" s="136">
        <f>VLOOKUP(A36,'Current Stocks July-26'!B:K,9,0)</f>
        <v>0</v>
      </c>
      <c r="D36" s="136">
        <f t="shared" si="0"/>
        <v>-470</v>
      </c>
      <c r="E36" t="str">
        <f>VLOOKUP(A36,'Current Stocks July-26'!B:C,2,0)</f>
        <v>Cocoa Butter</v>
      </c>
    </row>
    <row r="37" spans="1:5" x14ac:dyDescent="0.25">
      <c r="A37" s="135" t="s">
        <v>1523</v>
      </c>
      <c r="B37" s="136">
        <v>36</v>
      </c>
      <c r="C37" s="136">
        <f>VLOOKUP(A37,'Current Stocks July-26'!B:K,9,0)</f>
        <v>0</v>
      </c>
      <c r="D37" s="136">
        <f t="shared" si="0"/>
        <v>-36</v>
      </c>
      <c r="E37" t="str">
        <f>VLOOKUP(A37,'Current Stocks July-26'!B:C,2,0)</f>
        <v>Coopoliva Olives</v>
      </c>
    </row>
    <row r="38" spans="1:5" x14ac:dyDescent="0.25">
      <c r="A38" s="135" t="s">
        <v>851</v>
      </c>
      <c r="B38" s="136">
        <v>500</v>
      </c>
      <c r="C38" s="136">
        <f>VLOOKUP(A38,'Current Stocks July-26'!B:K,9,0)</f>
        <v>0</v>
      </c>
      <c r="D38" s="136">
        <f t="shared" si="0"/>
        <v>-500</v>
      </c>
      <c r="E38" t="str">
        <f>VLOOKUP(A38,'Current Stocks July-26'!B:C,2,0)</f>
        <v>Caramel - Belchoco</v>
      </c>
    </row>
    <row r="39" spans="1:5" x14ac:dyDescent="0.25">
      <c r="A39" s="135" t="s">
        <v>1202</v>
      </c>
      <c r="B39" s="136">
        <v>87.75</v>
      </c>
      <c r="C39" s="136">
        <f>VLOOKUP(A39,'Current Stocks July-26'!B:K,9,0)</f>
        <v>22.8</v>
      </c>
      <c r="D39" s="136">
        <f t="shared" si="0"/>
        <v>-64.95</v>
      </c>
      <c r="E39" t="str">
        <f>VLOOKUP(A39,'Current Stocks July-26'!B:C,2,0)</f>
        <v>Nescafe Gold</v>
      </c>
    </row>
    <row r="40" spans="1:5" x14ac:dyDescent="0.25">
      <c r="A40" s="135" t="s">
        <v>635</v>
      </c>
      <c r="B40" s="136">
        <v>188</v>
      </c>
      <c r="C40" s="136">
        <f>VLOOKUP(A40,'Current Stocks July-26'!B:K,9,0)</f>
        <v>0</v>
      </c>
      <c r="D40" s="136">
        <f t="shared" si="0"/>
        <v>-188</v>
      </c>
      <c r="E40" t="str">
        <f>VLOOKUP(A40,'Current Stocks July-26'!B:C,2,0)</f>
        <v>Vanilla Beans - Arome Madagascar</v>
      </c>
    </row>
    <row r="41" spans="1:5" x14ac:dyDescent="0.25">
      <c r="A41" s="135" t="s">
        <v>1521</v>
      </c>
      <c r="B41" s="136">
        <v>1183.7</v>
      </c>
      <c r="C41" s="136">
        <f>VLOOKUP(A41,'Current Stocks July-26'!B:K,9,0)</f>
        <v>42.6</v>
      </c>
      <c r="D41" s="136">
        <f t="shared" si="0"/>
        <v>-1141.1000000000001</v>
      </c>
      <c r="E41" t="str">
        <f>VLOOKUP(A41,'Current Stocks July-26'!B:C,2,0)</f>
        <v>Pancake Syrup</v>
      </c>
    </row>
    <row r="42" spans="1:5" x14ac:dyDescent="0.25">
      <c r="A42" s="135" t="s">
        <v>1211</v>
      </c>
      <c r="B42" s="136">
        <v>45</v>
      </c>
      <c r="C42" s="136">
        <f>VLOOKUP(A42,'Current Stocks July-26'!B:K,9,0)</f>
        <v>0</v>
      </c>
      <c r="D42" s="136">
        <f t="shared" si="0"/>
        <v>-45</v>
      </c>
      <c r="E42" t="str">
        <f>VLOOKUP(A42,'Current Stocks July-26'!B:C,2,0)</f>
        <v>Bakery Improver S500</v>
      </c>
    </row>
    <row r="43" spans="1:5" x14ac:dyDescent="0.25">
      <c r="A43" s="135" t="s">
        <v>1460</v>
      </c>
      <c r="B43" s="136">
        <v>72.599999999999994</v>
      </c>
      <c r="C43" s="136">
        <f>VLOOKUP(A43,'Current Stocks July-26'!B:K,9,0)</f>
        <v>8.7119999999999997</v>
      </c>
      <c r="D43" s="136">
        <f t="shared" si="0"/>
        <v>-63.887999999999991</v>
      </c>
      <c r="E43" t="str">
        <f>VLOOKUP(A43,'Current Stocks July-26'!B:C,2,0)</f>
        <v>Sriracha Sauce - Tabasco</v>
      </c>
    </row>
    <row r="44" spans="1:5" x14ac:dyDescent="0.25">
      <c r="A44" s="135" t="s">
        <v>1576</v>
      </c>
      <c r="B44" s="136">
        <v>97.5</v>
      </c>
      <c r="C44" s="136">
        <f>VLOOKUP(A44,'Current Stocks July-26'!B:K,9,0)</f>
        <v>0</v>
      </c>
      <c r="D44" s="136">
        <f t="shared" si="0"/>
        <v>-97.5</v>
      </c>
      <c r="E44" t="str">
        <f>VLOOKUP(A44,'Current Stocks July-26'!B:C,2,0)</f>
        <v>Sweet Soy Sauce</v>
      </c>
    </row>
    <row r="45" spans="1:5" x14ac:dyDescent="0.25">
      <c r="A45" s="135" t="s">
        <v>1272</v>
      </c>
      <c r="B45" s="136">
        <v>328.56</v>
      </c>
      <c r="C45" s="136">
        <f>VLOOKUP(A45,'Current Stocks July-26'!B:K,9,0)</f>
        <v>0</v>
      </c>
      <c r="D45" s="136">
        <f t="shared" si="0"/>
        <v>-328.56</v>
      </c>
      <c r="E45" t="str">
        <f>VLOOKUP(A45,'Current Stocks July-26'!B:C,2,0)</f>
        <v>Tuna</v>
      </c>
    </row>
    <row r="46" spans="1:5" x14ac:dyDescent="0.25">
      <c r="A46" s="135" t="s">
        <v>136</v>
      </c>
      <c r="B46" s="136">
        <v>725</v>
      </c>
      <c r="C46" s="136">
        <f>VLOOKUP(A46,'Current Stocks July-26'!B:K,9,0)</f>
        <v>0</v>
      </c>
      <c r="D46" s="136">
        <f t="shared" si="0"/>
        <v>-725</v>
      </c>
      <c r="E46" t="str">
        <f>VLOOKUP(A46,'Current Stocks July-26'!B:C,2,0)</f>
        <v>Vanilla Bourbon</v>
      </c>
    </row>
    <row r="47" spans="1:5" x14ac:dyDescent="0.25">
      <c r="A47" s="135" t="s">
        <v>1463</v>
      </c>
      <c r="B47" s="136">
        <v>119.4</v>
      </c>
      <c r="C47" s="136">
        <f>VLOOKUP(A47,'Current Stocks July-26'!B:K,9,0)</f>
        <v>19</v>
      </c>
      <c r="D47" s="136">
        <f t="shared" si="0"/>
        <v>-100.4</v>
      </c>
      <c r="E47" t="str">
        <f>VLOOKUP(A47,'Current Stocks July-26'!B:C,2,0)</f>
        <v>White Vinegar</v>
      </c>
    </row>
    <row r="48" spans="1:5" x14ac:dyDescent="0.25">
      <c r="A48" s="135" t="s">
        <v>1175</v>
      </c>
      <c r="B48" s="136">
        <v>3825</v>
      </c>
      <c r="C48" s="136">
        <f>VLOOKUP(A48,'Current Stocks July-26'!B:K,9,0)</f>
        <v>570</v>
      </c>
      <c r="D48" s="136">
        <f t="shared" si="0"/>
        <v>-3255</v>
      </c>
      <c r="E48" t="str">
        <f>VLOOKUP(A48,'Current Stocks July-26'!B:C,2,0)</f>
        <v>Sponge Vanilla Mix</v>
      </c>
    </row>
    <row r="49" spans="1:5" x14ac:dyDescent="0.25">
      <c r="A49" s="135" t="s">
        <v>1330</v>
      </c>
      <c r="B49" s="136">
        <v>592</v>
      </c>
      <c r="C49" s="136">
        <f>VLOOKUP(A49,'Current Stocks July-26'!B:K,9,0)</f>
        <v>0</v>
      </c>
      <c r="D49" s="136">
        <f t="shared" si="0"/>
        <v>-592</v>
      </c>
      <c r="E49" t="str">
        <f>VLOOKUP(A49,'Current Stocks July-26'!B:C,2,0)</f>
        <v>France Royaltine - Feuilltine</v>
      </c>
    </row>
    <row r="50" spans="1:5" x14ac:dyDescent="0.25">
      <c r="A50" s="135" t="s">
        <v>502</v>
      </c>
      <c r="B50" s="136">
        <v>147.19999999999999</v>
      </c>
      <c r="C50" s="136">
        <f>VLOOKUP(A50,'Current Stocks July-26'!B:K,9,0)</f>
        <v>0</v>
      </c>
      <c r="D50" s="136">
        <f t="shared" si="0"/>
        <v>-147.19999999999999</v>
      </c>
      <c r="E50" t="str">
        <f>VLOOKUP(A50,'Current Stocks July-26'!B:C,2,0)</f>
        <v>Gelatine Powder</v>
      </c>
    </row>
    <row r="51" spans="1:5" x14ac:dyDescent="0.25">
      <c r="A51" s="136" t="s">
        <v>4391</v>
      </c>
      <c r="B51" s="136">
        <v>54</v>
      </c>
      <c r="C51" s="136">
        <f>VLOOKUP(A51,'Current Stocks July-26'!B:K,9,0)</f>
        <v>0</v>
      </c>
      <c r="D51" s="136">
        <f t="shared" si="0"/>
        <v>-54</v>
      </c>
      <c r="E51" t="str">
        <f>VLOOKUP(A51,'Current Stocks July-26'!B:C,2,0)</f>
        <v>Fresh Lemon</v>
      </c>
    </row>
    <row r="52" spans="1:5" x14ac:dyDescent="0.25">
      <c r="A52" s="136" t="s">
        <v>1443</v>
      </c>
      <c r="B52" s="136">
        <v>731.7</v>
      </c>
      <c r="C52" s="136">
        <f>VLOOKUP(A52,'Current Stocks July-26'!B:K,9,0)</f>
        <v>0</v>
      </c>
      <c r="D52" s="136">
        <f t="shared" si="0"/>
        <v>-731.7</v>
      </c>
      <c r="E52" t="str">
        <f>VLOOKUP(A52,'Current Stocks July-26'!B:C,2,0)</f>
        <v>Raspberry Filling 50%</v>
      </c>
    </row>
    <row r="53" spans="1:5" x14ac:dyDescent="0.25">
      <c r="A53" s="136" t="s">
        <v>4968</v>
      </c>
      <c r="B53" s="136">
        <v>25</v>
      </c>
      <c r="C53" s="136" t="e">
        <f>VLOOKUP(A53,'Current Stocks July-26'!B:K,9,0)</f>
        <v>#N/A</v>
      </c>
      <c r="D53" s="136" t="e">
        <f t="shared" si="0"/>
        <v>#N/A</v>
      </c>
      <c r="E53" t="e">
        <f>VLOOKUP(A53,'Current Stocks July-26'!B:C,2,0)</f>
        <v>#N/A</v>
      </c>
    </row>
    <row r="54" spans="1:5" x14ac:dyDescent="0.25">
      <c r="A54" s="136" t="s">
        <v>51</v>
      </c>
      <c r="B54" s="136">
        <v>3565.78</v>
      </c>
      <c r="C54" s="136">
        <f>VLOOKUP(A54,'Current Stocks July-26'!B:K,9,0)</f>
        <v>0</v>
      </c>
      <c r="D54" s="136">
        <f t="shared" si="0"/>
        <v>-3565.78</v>
      </c>
      <c r="E54" t="str">
        <f>VLOOKUP(A54,'Current Stocks July-26'!B:C,2,0)</f>
        <v>Pecan Nuts</v>
      </c>
    </row>
    <row r="55" spans="1:5" x14ac:dyDescent="0.25">
      <c r="A55" s="136" t="s">
        <v>68</v>
      </c>
      <c r="B55" s="136">
        <v>430</v>
      </c>
      <c r="C55" s="136">
        <f>VLOOKUP(A55,'Current Stocks July-26'!B:K,9,0)</f>
        <v>0</v>
      </c>
      <c r="D55" s="136">
        <f t="shared" si="0"/>
        <v>-430</v>
      </c>
      <c r="E55" t="str">
        <f>VLOOKUP(A55,'Current Stocks July-26'!B:C,2,0)</f>
        <v>Hazelnut</v>
      </c>
    </row>
    <row r="56" spans="1:5" x14ac:dyDescent="0.25">
      <c r="A56" s="136" t="s">
        <v>749</v>
      </c>
      <c r="B56" s="136">
        <v>190</v>
      </c>
      <c r="C56" s="136">
        <f>VLOOKUP(A56,'Current Stocks July-26'!B:K,9,0)</f>
        <v>0</v>
      </c>
      <c r="D56" s="136">
        <f t="shared" si="0"/>
        <v>-190</v>
      </c>
      <c r="E56" t="str">
        <f>VLOOKUP(A56,'Current Stocks July-26'!B:C,2,0)</f>
        <v>Indian Cashew</v>
      </c>
    </row>
    <row r="57" spans="1:5" x14ac:dyDescent="0.25">
      <c r="A57" s="136" t="s">
        <v>485</v>
      </c>
      <c r="B57" s="136">
        <v>70</v>
      </c>
      <c r="C57" s="136">
        <f>VLOOKUP(A57,'Current Stocks July-26'!B:K,9,0)</f>
        <v>0</v>
      </c>
      <c r="D57" s="136">
        <f t="shared" si="0"/>
        <v>-70</v>
      </c>
      <c r="E57" t="str">
        <f>VLOOKUP(A57,'Current Stocks July-26'!B:C,2,0)</f>
        <v>Peeled Pumpkin Seeds</v>
      </c>
    </row>
    <row r="58" spans="1:5" x14ac:dyDescent="0.25">
      <c r="A58" s="136" t="s">
        <v>114</v>
      </c>
      <c r="B58" s="136">
        <v>90.72</v>
      </c>
      <c r="C58" s="136">
        <f>VLOOKUP(A58,'Current Stocks July-26'!B:K,9,0)</f>
        <v>0</v>
      </c>
      <c r="D58" s="136">
        <f t="shared" si="0"/>
        <v>-90.72</v>
      </c>
      <c r="E58" t="str">
        <f>VLOOKUP(A58,'Current Stocks July-26'!B:C,2,0)</f>
        <v>Sliced Almond</v>
      </c>
    </row>
    <row r="59" spans="1:5" x14ac:dyDescent="0.25">
      <c r="A59" s="136" t="s">
        <v>131</v>
      </c>
      <c r="B59" s="136">
        <v>100</v>
      </c>
      <c r="C59" s="136">
        <f>VLOOKUP(A59,'Current Stocks July-26'!B:K,9,0)</f>
        <v>0</v>
      </c>
      <c r="D59" s="136">
        <f t="shared" si="0"/>
        <v>-100</v>
      </c>
      <c r="E59" t="str">
        <f>VLOOKUP(A59,'Current Stocks July-26'!B:C,2,0)</f>
        <v>Walnuts</v>
      </c>
    </row>
    <row r="60" spans="1:5" x14ac:dyDescent="0.25">
      <c r="A60" s="136" t="s">
        <v>483</v>
      </c>
      <c r="B60" s="136">
        <v>20</v>
      </c>
      <c r="C60" s="136">
        <f>VLOOKUP(A60,'Current Stocks July-26'!B:K,9,0)</f>
        <v>0</v>
      </c>
      <c r="D60" s="136">
        <f t="shared" si="0"/>
        <v>-20</v>
      </c>
      <c r="E60" t="str">
        <f>VLOOKUP(A60,'Current Stocks July-26'!B:C,2,0)</f>
        <v>Sunflower Seeds Peeled</v>
      </c>
    </row>
    <row r="61" spans="1:5" x14ac:dyDescent="0.25">
      <c r="A61" s="136" t="s">
        <v>74</v>
      </c>
      <c r="B61" s="136">
        <v>320</v>
      </c>
      <c r="C61" s="136">
        <f>VLOOKUP(A61,'Current Stocks July-26'!B:K,9,0)</f>
        <v>20</v>
      </c>
      <c r="D61" s="136">
        <f t="shared" si="0"/>
        <v>-300</v>
      </c>
      <c r="E61" t="str">
        <f>VLOOKUP(A61,'Current Stocks July-26'!B:C,2,0)</f>
        <v>Peanuts</v>
      </c>
    </row>
    <row r="62" spans="1:5" x14ac:dyDescent="0.25">
      <c r="A62" s="136" t="s">
        <v>447</v>
      </c>
      <c r="B62" s="136">
        <v>3165</v>
      </c>
      <c r="C62" s="136" t="e">
        <f>VLOOKUP(A62,'Current Stocks July-26'!B:K,9,0)</f>
        <v>#N/A</v>
      </c>
      <c r="D62" s="136" t="e">
        <f t="shared" si="0"/>
        <v>#N/A</v>
      </c>
      <c r="E62" t="e">
        <f>VLOOKUP(A62,'Current Stocks July-26'!B:C,2,0)</f>
        <v>#N/A</v>
      </c>
    </row>
    <row r="63" spans="1:5" x14ac:dyDescent="0.25">
      <c r="A63" s="136" t="s">
        <v>1533</v>
      </c>
      <c r="B63" s="136">
        <v>97.2</v>
      </c>
      <c r="C63" s="136">
        <f>VLOOKUP(A63,'Current Stocks July-26'!B:K,9,0)</f>
        <v>0</v>
      </c>
      <c r="D63" s="136">
        <f t="shared" si="0"/>
        <v>-97.2</v>
      </c>
      <c r="E63" t="str">
        <f>VLOOKUP(A63,'Current Stocks July-26'!B:C,2,0)</f>
        <v>Coconut Oil</v>
      </c>
    </row>
    <row r="64" spans="1:5" x14ac:dyDescent="0.25">
      <c r="A64" s="136" t="s">
        <v>111</v>
      </c>
      <c r="B64" s="136">
        <v>1182</v>
      </c>
      <c r="C64" s="136">
        <f>VLOOKUP(A64,'Current Stocks July-26'!B:K,9,0)</f>
        <v>1050</v>
      </c>
      <c r="D64" s="136">
        <f t="shared" si="0"/>
        <v>-132</v>
      </c>
      <c r="E64" t="str">
        <f>VLOOKUP(A64,'Current Stocks July-26'!B:C,2,0)</f>
        <v>Oil Spray</v>
      </c>
    </row>
    <row r="65" spans="1:5" x14ac:dyDescent="0.25">
      <c r="A65" s="136" t="s">
        <v>1110</v>
      </c>
      <c r="B65" s="136">
        <v>80</v>
      </c>
      <c r="C65" s="136">
        <f>VLOOKUP(A65,'Current Stocks July-26'!B:K,9,0)</f>
        <v>0</v>
      </c>
      <c r="D65" s="136">
        <f t="shared" si="0"/>
        <v>-80</v>
      </c>
      <c r="E65" t="str">
        <f>VLOOKUP(A65,'Current Stocks July-26'!B:C,2,0)</f>
        <v>Olive Oil</v>
      </c>
    </row>
    <row r="66" spans="1:5" x14ac:dyDescent="0.25">
      <c r="A66" s="136" t="s">
        <v>1021</v>
      </c>
      <c r="B66" s="136">
        <v>60</v>
      </c>
      <c r="C66" s="136">
        <f>VLOOKUP(A66,'Current Stocks July-26'!B:K,9,0)</f>
        <v>0</v>
      </c>
      <c r="D66" s="136">
        <f t="shared" si="0"/>
        <v>-60</v>
      </c>
      <c r="E66" t="str">
        <f>VLOOKUP(A66,'Current Stocks July-26'!B:C,2,0)</f>
        <v>Diet Sugar Sachet</v>
      </c>
    </row>
    <row r="67" spans="1:5" x14ac:dyDescent="0.25">
      <c r="A67" s="136" t="s">
        <v>874</v>
      </c>
      <c r="B67" s="136">
        <v>384</v>
      </c>
      <c r="C67" s="136">
        <f>VLOOKUP(A67,'Current Stocks July-26'!B:K,9,0)</f>
        <v>140</v>
      </c>
      <c r="D67" s="136">
        <f t="shared" si="0"/>
        <v>-244</v>
      </c>
      <c r="E67" t="str">
        <f>VLOOKUP(A67,'Current Stocks July-26'!B:C,2,0)</f>
        <v>Mango Filling</v>
      </c>
    </row>
    <row r="68" spans="1:5" x14ac:dyDescent="0.25">
      <c r="A68" s="136" t="s">
        <v>987</v>
      </c>
      <c r="B68" s="136">
        <v>456</v>
      </c>
      <c r="C68" s="136">
        <f>VLOOKUP(A68,'Current Stocks July-26'!B:K,9,0)</f>
        <v>120</v>
      </c>
      <c r="D68" s="136">
        <f t="shared" si="0"/>
        <v>-336</v>
      </c>
      <c r="E68" t="str">
        <f>VLOOKUP(A68,'Current Stocks July-26'!B:C,2,0)</f>
        <v>Almond Milk</v>
      </c>
    </row>
    <row r="69" spans="1:5" x14ac:dyDescent="0.25">
      <c r="A69" s="136" t="s">
        <v>865</v>
      </c>
      <c r="B69" s="136">
        <v>492</v>
      </c>
      <c r="C69" s="136">
        <f>VLOOKUP(A69,'Current Stocks July-26'!B:K,9,0)</f>
        <v>200</v>
      </c>
      <c r="D69" s="136">
        <f t="shared" si="0"/>
        <v>-292</v>
      </c>
      <c r="E69" t="str">
        <f>VLOOKUP(A69,'Current Stocks July-26'!B:C,2,0)</f>
        <v>Coconut Milk</v>
      </c>
    </row>
    <row r="70" spans="1:5" x14ac:dyDescent="0.25">
      <c r="A70" s="136" t="s">
        <v>1181</v>
      </c>
      <c r="B70" s="136">
        <v>360</v>
      </c>
      <c r="C70" s="136">
        <f>VLOOKUP(A70,'Current Stocks July-26'!B:K,9,0)</f>
        <v>84</v>
      </c>
      <c r="D70" s="136">
        <f t="shared" ref="D70:D85" si="1">C70-B70</f>
        <v>-276</v>
      </c>
      <c r="E70" t="str">
        <f>VLOOKUP(A70,'Current Stocks July-26'!B:C,2,0)</f>
        <v>Soya Milk</v>
      </c>
    </row>
    <row r="71" spans="1:5" x14ac:dyDescent="0.25">
      <c r="A71" s="136" t="s">
        <v>1365</v>
      </c>
      <c r="B71" s="136">
        <v>14000</v>
      </c>
      <c r="C71" s="136">
        <f>VLOOKUP(A71,'Current Stocks July-26'!B:K,9,0)</f>
        <v>57200</v>
      </c>
      <c r="D71" s="136">
        <f t="shared" si="1"/>
        <v>43200</v>
      </c>
      <c r="E71" t="str">
        <f>VLOOKUP(A71,'Current Stocks July-26'!B:C,2,0)</f>
        <v>Edible Dried Flowers</v>
      </c>
    </row>
    <row r="72" spans="1:5" x14ac:dyDescent="0.25">
      <c r="A72" s="136" t="s">
        <v>1487</v>
      </c>
      <c r="B72" s="136">
        <v>164.7</v>
      </c>
      <c r="C72" s="136" t="e">
        <f>VLOOKUP(A72,'Current Stocks July-26'!B:K,9,0)</f>
        <v>#N/A</v>
      </c>
      <c r="D72" s="136" t="e">
        <f t="shared" si="1"/>
        <v>#N/A</v>
      </c>
      <c r="E72" t="e">
        <f>VLOOKUP(A72,'Current Stocks July-26'!B:C,2,0)</f>
        <v>#N/A</v>
      </c>
    </row>
    <row r="73" spans="1:5" x14ac:dyDescent="0.25">
      <c r="A73" s="136" t="s">
        <v>1504</v>
      </c>
      <c r="B73" s="136">
        <v>84</v>
      </c>
      <c r="C73" s="136">
        <f>VLOOKUP(A73,'Current Stocks July-26'!B:K,9,0)</f>
        <v>0</v>
      </c>
      <c r="D73" s="136">
        <f t="shared" si="1"/>
        <v>-84</v>
      </c>
      <c r="E73" t="str">
        <f>VLOOKUP(A73,'Current Stocks July-26'!B:C,2,0)</f>
        <v>Microship Biscuit Spread</v>
      </c>
    </row>
    <row r="74" spans="1:5" x14ac:dyDescent="0.25">
      <c r="A74" s="136" t="s">
        <v>665</v>
      </c>
      <c r="B74" s="136">
        <v>37.5</v>
      </c>
      <c r="C74" s="136">
        <f>VLOOKUP(A74,'Current Stocks July-26'!B:K,9,0)</f>
        <v>0</v>
      </c>
      <c r="D74" s="136">
        <f t="shared" si="1"/>
        <v>-37.5</v>
      </c>
      <c r="E74" t="str">
        <f>VLOOKUP(A74,'Current Stocks July-26'!B:C,2,0)</f>
        <v>Carrot Ma'booj</v>
      </c>
    </row>
    <row r="75" spans="1:5" x14ac:dyDescent="0.25">
      <c r="A75" s="136" t="s">
        <v>1398</v>
      </c>
      <c r="B75" s="136">
        <v>184.47</v>
      </c>
      <c r="C75" s="136" t="e">
        <f>VLOOKUP(A75,'Current Stocks July-26'!B:K,9,0)</f>
        <v>#N/A</v>
      </c>
      <c r="D75" s="136" t="e">
        <f t="shared" si="1"/>
        <v>#N/A</v>
      </c>
      <c r="E75" t="e">
        <f>VLOOKUP(A75,'Current Stocks July-26'!B:C,2,0)</f>
        <v>#N/A</v>
      </c>
    </row>
    <row r="76" spans="1:5" x14ac:dyDescent="0.25">
      <c r="A76" s="136" t="s">
        <v>65</v>
      </c>
      <c r="B76" s="136">
        <v>14011</v>
      </c>
      <c r="C76" s="136">
        <f>VLOOKUP(A76,'Current Stocks July-26'!B:K,9,0)</f>
        <v>0</v>
      </c>
      <c r="D76" s="136">
        <f t="shared" si="1"/>
        <v>-14011</v>
      </c>
      <c r="E76" t="str">
        <f>VLOOKUP(A76,'Current Stocks July-26'!B:C,2,0)</f>
        <v>Tamrind Paste</v>
      </c>
    </row>
    <row r="77" spans="1:5" x14ac:dyDescent="0.25">
      <c r="A77" s="136" t="s">
        <v>1321</v>
      </c>
      <c r="B77" s="136">
        <v>64.8</v>
      </c>
      <c r="C77" s="136">
        <f>VLOOKUP(A77,'Current Stocks July-26'!B:K,9,0)</f>
        <v>0</v>
      </c>
      <c r="D77" s="136">
        <f t="shared" si="1"/>
        <v>-64.8</v>
      </c>
      <c r="E77" t="str">
        <f>VLOOKUP(A77,'Current Stocks July-26'!B:C,2,0)</f>
        <v>Basil Pesto</v>
      </c>
    </row>
    <row r="78" spans="1:5" x14ac:dyDescent="0.25">
      <c r="A78" s="136" t="s">
        <v>1471</v>
      </c>
      <c r="B78" s="136">
        <v>77.489999999999995</v>
      </c>
      <c r="C78" s="136">
        <f>VLOOKUP(A78,'Current Stocks July-26'!B:K,9,0)</f>
        <v>0</v>
      </c>
      <c r="D78" s="136">
        <f t="shared" si="1"/>
        <v>-77.489999999999995</v>
      </c>
      <c r="E78" t="str">
        <f>VLOOKUP(A78,'Current Stocks July-26'!B:C,2,0)</f>
        <v>Rose Water</v>
      </c>
    </row>
    <row r="79" spans="1:5" x14ac:dyDescent="0.25">
      <c r="A79" s="136" t="s">
        <v>508</v>
      </c>
      <c r="B79" s="136">
        <v>32</v>
      </c>
      <c r="C79" s="136">
        <f>VLOOKUP(A79,'Current Stocks July-26'!B:K,9,0)</f>
        <v>1</v>
      </c>
      <c r="D79" s="136">
        <f t="shared" si="1"/>
        <v>-31</v>
      </c>
      <c r="E79" t="str">
        <f>VLOOKUP(A79,'Current Stocks July-26'!B:C,2,0)</f>
        <v>Halava Shaar Tahinia</v>
      </c>
    </row>
    <row r="80" spans="1:5" x14ac:dyDescent="0.25">
      <c r="A80" s="136" t="s">
        <v>1004</v>
      </c>
      <c r="B80" s="136">
        <v>456</v>
      </c>
      <c r="C80" s="136">
        <f>VLOOKUP(A80,'Current Stocks July-26'!B:K,9,0)</f>
        <v>17</v>
      </c>
      <c r="D80" s="136">
        <f t="shared" si="1"/>
        <v>-439</v>
      </c>
      <c r="E80" t="str">
        <f>VLOOKUP(A80,'Current Stocks July-26'!B:C,2,0)</f>
        <v>Kalamon Olives</v>
      </c>
    </row>
    <row r="81" spans="1:5" x14ac:dyDescent="0.25">
      <c r="A81" s="136" t="s">
        <v>903</v>
      </c>
      <c r="B81" s="136">
        <v>39</v>
      </c>
      <c r="C81" s="136">
        <f>VLOOKUP(A81,'Current Stocks July-26'!B:K,9,0)</f>
        <v>0</v>
      </c>
      <c r="D81" s="136">
        <f t="shared" si="1"/>
        <v>-39</v>
      </c>
      <c r="E81" t="str">
        <f>VLOOKUP(A81,'Current Stocks July-26'!B:C,2,0)</f>
        <v>Chocolate - Reeses</v>
      </c>
    </row>
    <row r="82" spans="1:5" x14ac:dyDescent="0.25">
      <c r="A82" s="136" t="s">
        <v>1814</v>
      </c>
      <c r="B82" s="136">
        <v>14</v>
      </c>
      <c r="C82" s="136">
        <f>VLOOKUP(A82,'Current Stocks July-26'!B:K,9,0)</f>
        <v>0</v>
      </c>
      <c r="D82" s="136">
        <f t="shared" si="1"/>
        <v>-14</v>
      </c>
      <c r="E82" t="str">
        <f>VLOOKUP(A82,'Current Stocks July-26'!B:C,2,0)</f>
        <v>Makdous</v>
      </c>
    </row>
    <row r="83" spans="1:5" x14ac:dyDescent="0.25">
      <c r="A83" s="136" t="s">
        <v>1965</v>
      </c>
      <c r="B83" s="136">
        <v>406</v>
      </c>
      <c r="C83" s="136">
        <f>VLOOKUP(A83,'Current Stocks July-26'!B:K,9,0)</f>
        <v>0</v>
      </c>
      <c r="D83" s="136">
        <f t="shared" si="1"/>
        <v>-406</v>
      </c>
      <c r="E83" t="str">
        <f>VLOOKUP(A83,'Current Stocks July-26'!B:C,2,0)</f>
        <v>Saudi Coffee</v>
      </c>
    </row>
    <row r="84" spans="1:5" x14ac:dyDescent="0.25">
      <c r="A84" s="136" t="s">
        <v>1727</v>
      </c>
      <c r="B84" s="136">
        <v>360</v>
      </c>
      <c r="C84" s="136">
        <f>VLOOKUP(A84,'Current Stocks July-26'!B:K,9,0)</f>
        <v>0</v>
      </c>
      <c r="D84" s="136">
        <f t="shared" si="1"/>
        <v>-360</v>
      </c>
      <c r="E84" t="str">
        <f>VLOOKUP(A84,'Current Stocks July-26'!B:C,2,0)</f>
        <v>Raspberries Spread Fior Di Lampone</v>
      </c>
    </row>
    <row r="85" spans="1:5" x14ac:dyDescent="0.25">
      <c r="A85" s="136" t="s">
        <v>1190</v>
      </c>
      <c r="B85" s="136">
        <v>690</v>
      </c>
      <c r="C85" s="136" t="e">
        <f>VLOOKUP(A85,'Current Stocks July-26'!B:K,9,0)</f>
        <v>#N/A</v>
      </c>
      <c r="D85" s="136" t="e">
        <f t="shared" si="1"/>
        <v>#N/A</v>
      </c>
      <c r="E85" t="e">
        <f>VLOOKUP(A85,'Current Stocks July-26'!B:C,2,0)</f>
        <v>#N/A</v>
      </c>
    </row>
    <row r="976" spans="1:1" x14ac:dyDescent="0.25">
      <c r="A976" s="132"/>
    </row>
  </sheetData>
  <autoFilter ref="A4:H1095" xr:uid="{11A7F5F2-DD6B-420F-AB3E-AB70925DB159}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C13CB-93CB-4EA1-AA34-471EEDD3BBC8}">
  <dimension ref="A1:F251"/>
  <sheetViews>
    <sheetView workbookViewId="0">
      <selection activeCell="C8" sqref="C8"/>
    </sheetView>
  </sheetViews>
  <sheetFormatPr defaultRowHeight="15" x14ac:dyDescent="0.25"/>
  <cols>
    <col min="1" max="1" width="12.7109375" customWidth="1"/>
    <col min="2" max="2" width="47.7109375" customWidth="1"/>
  </cols>
  <sheetData>
    <row r="1" spans="1:6" x14ac:dyDescent="0.25">
      <c r="A1" s="142" t="s">
        <v>3</v>
      </c>
      <c r="B1" s="142" t="s">
        <v>4969</v>
      </c>
      <c r="C1" s="142" t="s">
        <v>4951</v>
      </c>
      <c r="D1" s="142" t="s">
        <v>4970</v>
      </c>
      <c r="E1" s="142" t="s">
        <v>4971</v>
      </c>
    </row>
    <row r="2" spans="1:6" x14ac:dyDescent="0.25">
      <c r="A2" s="140" t="s">
        <v>1980</v>
      </c>
      <c r="B2" s="140" t="s">
        <v>603</v>
      </c>
      <c r="C2" s="143">
        <v>0</v>
      </c>
      <c r="D2" s="129">
        <f>VLOOKUP(A2,'Current Stocks July-26'!B:K,9,0)</f>
        <v>0</v>
      </c>
      <c r="E2" s="129" t="b">
        <f>D2=C2</f>
        <v>1</v>
      </c>
    </row>
    <row r="3" spans="1:6" x14ac:dyDescent="0.25">
      <c r="A3" s="140">
        <v>9015</v>
      </c>
      <c r="B3" s="140" t="s">
        <v>607</v>
      </c>
      <c r="C3" s="140">
        <v>75.599999999999994</v>
      </c>
      <c r="D3" s="129" t="e">
        <f>VLOOKUP(A3,'Current Stocks July-26'!B:K,9,0)</f>
        <v>#N/A</v>
      </c>
      <c r="E3" s="129" t="e">
        <f t="shared" ref="E3:E66" si="0">D3=C3</f>
        <v>#N/A</v>
      </c>
    </row>
    <row r="4" spans="1:6" x14ac:dyDescent="0.25">
      <c r="A4" s="140" t="s">
        <v>2360</v>
      </c>
      <c r="B4" s="140" t="s">
        <v>4972</v>
      </c>
      <c r="C4" s="143">
        <v>0</v>
      </c>
      <c r="D4" s="129">
        <f>VLOOKUP(A4,'Current Stocks July-26'!B:K,9,0)</f>
        <v>0</v>
      </c>
      <c r="E4" s="129" t="b">
        <f t="shared" si="0"/>
        <v>1</v>
      </c>
    </row>
    <row r="5" spans="1:6" x14ac:dyDescent="0.25">
      <c r="A5" s="140" t="s">
        <v>4973</v>
      </c>
      <c r="B5" s="140" t="s">
        <v>4974</v>
      </c>
      <c r="C5" s="143">
        <v>0</v>
      </c>
      <c r="D5" s="129" t="e">
        <f>VLOOKUP(A5,'Current Stocks July-26'!B:K,9,0)</f>
        <v>#N/A</v>
      </c>
      <c r="E5" s="129" t="e">
        <f t="shared" si="0"/>
        <v>#N/A</v>
      </c>
    </row>
    <row r="6" spans="1:6" x14ac:dyDescent="0.25">
      <c r="A6" s="140" t="s">
        <v>4967</v>
      </c>
      <c r="B6" s="140" t="s">
        <v>4975</v>
      </c>
      <c r="C6" s="140">
        <v>1860</v>
      </c>
      <c r="D6" s="129" t="e">
        <f>VLOOKUP(A6,'Current Stocks July-26'!B:K,9,0)</f>
        <v>#N/A</v>
      </c>
      <c r="E6" s="129" t="e">
        <f t="shared" si="0"/>
        <v>#N/A</v>
      </c>
      <c r="F6" t="e">
        <f>D6-C6</f>
        <v>#N/A</v>
      </c>
    </row>
    <row r="7" spans="1:6" x14ac:dyDescent="0.25">
      <c r="A7" s="140" t="s">
        <v>737</v>
      </c>
      <c r="B7" s="140" t="s">
        <v>4976</v>
      </c>
      <c r="C7" s="140">
        <v>1160</v>
      </c>
      <c r="D7" s="129" t="e">
        <f>VLOOKUP(A7,'Current Stocks July-26'!B:K,9,0)</f>
        <v>#N/A</v>
      </c>
      <c r="E7" s="129" t="e">
        <f t="shared" si="0"/>
        <v>#N/A</v>
      </c>
      <c r="F7" t="e">
        <f>D7-C7</f>
        <v>#N/A</v>
      </c>
    </row>
    <row r="8" spans="1:6" x14ac:dyDescent="0.25">
      <c r="A8" s="140" t="s">
        <v>4977</v>
      </c>
      <c r="B8" s="140" t="s">
        <v>4978</v>
      </c>
      <c r="C8" s="143">
        <v>0</v>
      </c>
      <c r="D8" s="129" t="e">
        <f>VLOOKUP(A8,'Current Stocks July-26'!B:K,9,0)</f>
        <v>#N/A</v>
      </c>
      <c r="E8" s="129" t="e">
        <f t="shared" si="0"/>
        <v>#N/A</v>
      </c>
    </row>
    <row r="9" spans="1:6" x14ac:dyDescent="0.25">
      <c r="A9" s="140" t="s">
        <v>586</v>
      </c>
      <c r="B9" s="140" t="s">
        <v>587</v>
      </c>
      <c r="C9" s="143">
        <v>0</v>
      </c>
      <c r="D9" s="129" t="e">
        <f>VLOOKUP(A9,'Current Stocks July-26'!B:K,9,0)</f>
        <v>#N/A</v>
      </c>
      <c r="E9" s="129" t="e">
        <f t="shared" si="0"/>
        <v>#N/A</v>
      </c>
      <c r="F9" t="e">
        <f>D9-C9</f>
        <v>#N/A</v>
      </c>
    </row>
    <row r="10" spans="1:6" x14ac:dyDescent="0.25">
      <c r="A10" s="140" t="s">
        <v>588</v>
      </c>
      <c r="B10" s="140" t="s">
        <v>589</v>
      </c>
      <c r="C10" s="143">
        <v>0</v>
      </c>
      <c r="D10" s="129" t="e">
        <f>VLOOKUP(A10,'Current Stocks July-26'!B:K,9,0)</f>
        <v>#N/A</v>
      </c>
      <c r="E10" s="129" t="e">
        <f t="shared" si="0"/>
        <v>#N/A</v>
      </c>
    </row>
    <row r="11" spans="1:6" x14ac:dyDescent="0.25">
      <c r="A11" s="140" t="s">
        <v>139</v>
      </c>
      <c r="B11" s="140" t="s">
        <v>140</v>
      </c>
      <c r="C11" s="143">
        <v>0</v>
      </c>
      <c r="D11" s="129" t="e">
        <f>VLOOKUP(A11,'Current Stocks July-26'!B:K,9,0)</f>
        <v>#N/A</v>
      </c>
      <c r="E11" s="129" t="e">
        <f t="shared" si="0"/>
        <v>#N/A</v>
      </c>
    </row>
    <row r="12" spans="1:6" x14ac:dyDescent="0.25">
      <c r="A12" s="140" t="s">
        <v>4979</v>
      </c>
      <c r="B12" s="140" t="s">
        <v>4980</v>
      </c>
      <c r="C12" s="143">
        <v>0</v>
      </c>
      <c r="D12" s="129" t="e">
        <f>VLOOKUP(A12,'Current Stocks July-26'!B:K,9,0)</f>
        <v>#N/A</v>
      </c>
      <c r="E12" s="129" t="e">
        <f t="shared" si="0"/>
        <v>#N/A</v>
      </c>
    </row>
    <row r="13" spans="1:6" x14ac:dyDescent="0.25">
      <c r="A13" s="140" t="s">
        <v>584</v>
      </c>
      <c r="B13" s="140" t="s">
        <v>585</v>
      </c>
      <c r="C13" s="143">
        <v>0</v>
      </c>
      <c r="D13" s="129" t="e">
        <f>VLOOKUP(A13,'Current Stocks July-26'!B:K,9,0)</f>
        <v>#N/A</v>
      </c>
      <c r="E13" s="129" t="e">
        <f t="shared" si="0"/>
        <v>#N/A</v>
      </c>
    </row>
    <row r="14" spans="1:6" x14ac:dyDescent="0.25">
      <c r="A14" s="140" t="s">
        <v>134</v>
      </c>
      <c r="B14" s="140" t="s">
        <v>135</v>
      </c>
      <c r="C14" s="140">
        <v>1360</v>
      </c>
      <c r="D14" s="129" t="e">
        <f>VLOOKUP(A14,'Current Stocks July-26'!B:K,9,0)</f>
        <v>#N/A</v>
      </c>
      <c r="E14" s="129" t="e">
        <f t="shared" si="0"/>
        <v>#N/A</v>
      </c>
      <c r="F14" t="e">
        <f>D14-C14</f>
        <v>#N/A</v>
      </c>
    </row>
    <row r="15" spans="1:6" x14ac:dyDescent="0.25">
      <c r="A15" s="140" t="s">
        <v>592</v>
      </c>
      <c r="B15" s="140" t="s">
        <v>4981</v>
      </c>
      <c r="C15" s="143">
        <v>0</v>
      </c>
      <c r="D15" s="129" t="e">
        <f>VLOOKUP(A15,'Current Stocks July-26'!B:K,9,0)</f>
        <v>#N/A</v>
      </c>
      <c r="E15" s="129" t="e">
        <f t="shared" si="0"/>
        <v>#N/A</v>
      </c>
    </row>
    <row r="16" spans="1:6" x14ac:dyDescent="0.25">
      <c r="A16" s="140" t="s">
        <v>590</v>
      </c>
      <c r="B16" s="140" t="s">
        <v>591</v>
      </c>
      <c r="C16" s="143">
        <v>0</v>
      </c>
      <c r="D16" s="129" t="e">
        <f>VLOOKUP(A16,'Current Stocks July-26'!B:K,9,0)</f>
        <v>#N/A</v>
      </c>
      <c r="E16" s="129" t="e">
        <f t="shared" si="0"/>
        <v>#N/A</v>
      </c>
    </row>
    <row r="17" spans="1:6" x14ac:dyDescent="0.25">
      <c r="A17" s="140" t="s">
        <v>582</v>
      </c>
      <c r="B17" s="140" t="s">
        <v>583</v>
      </c>
      <c r="C17" s="143">
        <v>0</v>
      </c>
      <c r="D17" s="129" t="e">
        <f>VLOOKUP(A17,'Current Stocks July-26'!B:K,9,0)</f>
        <v>#N/A</v>
      </c>
      <c r="E17" s="129" t="e">
        <f t="shared" si="0"/>
        <v>#N/A</v>
      </c>
    </row>
    <row r="18" spans="1:6" x14ac:dyDescent="0.25">
      <c r="A18" s="140" t="s">
        <v>4982</v>
      </c>
      <c r="B18" s="140" t="s">
        <v>4983</v>
      </c>
      <c r="C18" s="143">
        <v>0</v>
      </c>
      <c r="D18" s="129" t="e">
        <f>VLOOKUP(A18,'Current Stocks July-26'!B:K,9,0)</f>
        <v>#N/A</v>
      </c>
      <c r="E18" s="129" t="e">
        <f t="shared" si="0"/>
        <v>#N/A</v>
      </c>
    </row>
    <row r="19" spans="1:6" x14ac:dyDescent="0.25">
      <c r="A19" s="140" t="s">
        <v>4984</v>
      </c>
      <c r="B19" s="140" t="s">
        <v>4985</v>
      </c>
      <c r="C19" s="140">
        <v>840</v>
      </c>
      <c r="D19" s="129" t="e">
        <f>VLOOKUP(A19,'Current Stocks July-26'!B:K,9,0)</f>
        <v>#N/A</v>
      </c>
      <c r="E19" s="129" t="e">
        <f t="shared" si="0"/>
        <v>#N/A</v>
      </c>
      <c r="F19" t="e">
        <f>D19-C19</f>
        <v>#N/A</v>
      </c>
    </row>
    <row r="20" spans="1:6" x14ac:dyDescent="0.25">
      <c r="A20" s="140" t="s">
        <v>419</v>
      </c>
      <c r="B20" s="140" t="s">
        <v>420</v>
      </c>
      <c r="C20" s="143">
        <v>0</v>
      </c>
      <c r="D20" s="129">
        <f>VLOOKUP(A20,'Current Stocks July-26'!B:K,9,0)</f>
        <v>0</v>
      </c>
      <c r="E20" s="129" t="b">
        <f t="shared" si="0"/>
        <v>1</v>
      </c>
    </row>
    <row r="21" spans="1:6" x14ac:dyDescent="0.25">
      <c r="A21" s="140" t="s">
        <v>897</v>
      </c>
      <c r="B21" s="140" t="s">
        <v>898</v>
      </c>
      <c r="C21" s="140">
        <v>4275</v>
      </c>
      <c r="D21" s="129">
        <f>VLOOKUP(A21,'Current Stocks July-26'!B:K,9,0)</f>
        <v>3320</v>
      </c>
      <c r="E21" s="129" t="b">
        <f t="shared" si="0"/>
        <v>0</v>
      </c>
      <c r="F21">
        <f>D21-C21</f>
        <v>-955</v>
      </c>
    </row>
    <row r="22" spans="1:6" x14ac:dyDescent="0.25">
      <c r="A22" s="140" t="s">
        <v>413</v>
      </c>
      <c r="B22" s="140" t="s">
        <v>414</v>
      </c>
      <c r="C22" s="143">
        <v>0</v>
      </c>
      <c r="D22" s="129" t="e">
        <f>VLOOKUP(A22,'Current Stocks July-26'!B:K,9,0)</f>
        <v>#N/A</v>
      </c>
      <c r="E22" s="129" t="e">
        <f t="shared" si="0"/>
        <v>#N/A</v>
      </c>
    </row>
    <row r="23" spans="1:6" x14ac:dyDescent="0.25">
      <c r="A23" s="140" t="s">
        <v>1156</v>
      </c>
      <c r="B23" s="140" t="s">
        <v>1157</v>
      </c>
      <c r="C23" s="143">
        <v>0</v>
      </c>
      <c r="D23" s="129">
        <f>VLOOKUP(A23,'Current Stocks July-26'!B:K,9,0)</f>
        <v>5</v>
      </c>
      <c r="E23" s="129" t="b">
        <f t="shared" si="0"/>
        <v>0</v>
      </c>
      <c r="F23">
        <f>D23-C23</f>
        <v>5</v>
      </c>
    </row>
    <row r="24" spans="1:6" x14ac:dyDescent="0.25">
      <c r="A24" s="140" t="s">
        <v>522</v>
      </c>
      <c r="B24" s="140" t="s">
        <v>523</v>
      </c>
      <c r="C24" s="143">
        <v>0</v>
      </c>
      <c r="D24" s="129" t="e">
        <f>VLOOKUP(A24,'Current Stocks July-26'!B:K,9,0)</f>
        <v>#N/A</v>
      </c>
      <c r="E24" s="129" t="e">
        <f t="shared" si="0"/>
        <v>#N/A</v>
      </c>
    </row>
    <row r="25" spans="1:6" x14ac:dyDescent="0.25">
      <c r="A25" s="140" t="s">
        <v>62</v>
      </c>
      <c r="B25" s="140" t="s">
        <v>4986</v>
      </c>
      <c r="C25" s="143">
        <v>0</v>
      </c>
      <c r="D25" s="129">
        <f>VLOOKUP(A25,'Current Stocks July-26'!B:K,9,0)</f>
        <v>0</v>
      </c>
      <c r="E25" s="129" t="b">
        <f t="shared" si="0"/>
        <v>1</v>
      </c>
    </row>
    <row r="26" spans="1:6" x14ac:dyDescent="0.25">
      <c r="A26" s="140" t="s">
        <v>520</v>
      </c>
      <c r="B26" s="140" t="s">
        <v>521</v>
      </c>
      <c r="C26" s="143">
        <v>0</v>
      </c>
      <c r="D26" s="129">
        <f>VLOOKUP(A26,'Current Stocks July-26'!B:K,9,0)</f>
        <v>0</v>
      </c>
      <c r="E26" s="129" t="b">
        <f t="shared" si="0"/>
        <v>1</v>
      </c>
    </row>
    <row r="27" spans="1:6" x14ac:dyDescent="0.25">
      <c r="A27" s="140" t="s">
        <v>985</v>
      </c>
      <c r="B27" s="140" t="s">
        <v>986</v>
      </c>
      <c r="C27" s="143">
        <v>0</v>
      </c>
      <c r="D27" s="129">
        <f>VLOOKUP(A27,'Current Stocks July-26'!B:K,9,0)</f>
        <v>0</v>
      </c>
      <c r="E27" s="129" t="b">
        <f t="shared" si="0"/>
        <v>1</v>
      </c>
    </row>
    <row r="28" spans="1:6" x14ac:dyDescent="0.25">
      <c r="A28" s="140" t="s">
        <v>430</v>
      </c>
      <c r="B28" s="140" t="s">
        <v>431</v>
      </c>
      <c r="C28" s="141">
        <v>8964</v>
      </c>
      <c r="D28" s="129">
        <f>VLOOKUP(A28,'Current Stocks July-26'!B:K,9,0)</f>
        <v>600</v>
      </c>
      <c r="E28" s="129" t="b">
        <f t="shared" si="0"/>
        <v>0</v>
      </c>
      <c r="F28">
        <f>D28-C28</f>
        <v>-8364</v>
      </c>
    </row>
    <row r="29" spans="1:6" x14ac:dyDescent="0.25">
      <c r="A29" s="140" t="s">
        <v>817</v>
      </c>
      <c r="B29" s="140" t="s">
        <v>818</v>
      </c>
      <c r="C29" s="143">
        <v>0</v>
      </c>
      <c r="D29" s="129">
        <f>VLOOKUP(A29,'Current Stocks July-26'!B:K,9,0)</f>
        <v>0</v>
      </c>
      <c r="E29" s="129" t="b">
        <f t="shared" si="0"/>
        <v>1</v>
      </c>
      <c r="F29">
        <f>D29-C29</f>
        <v>0</v>
      </c>
    </row>
    <row r="30" spans="1:6" x14ac:dyDescent="0.25">
      <c r="A30" s="140" t="s">
        <v>425</v>
      </c>
      <c r="B30" s="140" t="s">
        <v>426</v>
      </c>
      <c r="C30" s="143">
        <v>0</v>
      </c>
      <c r="D30" s="129" t="e">
        <f>VLOOKUP(A30,'Current Stocks July-26'!B:K,9,0)</f>
        <v>#N/A</v>
      </c>
      <c r="E30" s="129" t="e">
        <f t="shared" si="0"/>
        <v>#N/A</v>
      </c>
      <c r="F30" t="e">
        <f>D30-C30</f>
        <v>#N/A</v>
      </c>
    </row>
    <row r="31" spans="1:6" x14ac:dyDescent="0.25">
      <c r="A31" s="140" t="s">
        <v>4987</v>
      </c>
      <c r="B31" s="140" t="s">
        <v>4988</v>
      </c>
      <c r="C31" s="143">
        <v>0</v>
      </c>
      <c r="D31" s="129" t="e">
        <f>VLOOKUP(A31,'Current Stocks July-26'!B:K,9,0)</f>
        <v>#N/A</v>
      </c>
      <c r="E31" s="129" t="e">
        <f t="shared" si="0"/>
        <v>#N/A</v>
      </c>
    </row>
    <row r="32" spans="1:6" x14ac:dyDescent="0.25">
      <c r="A32" s="140" t="s">
        <v>452</v>
      </c>
      <c r="B32" s="140" t="s">
        <v>453</v>
      </c>
      <c r="C32" s="143">
        <v>0</v>
      </c>
      <c r="D32" s="129" t="e">
        <f>VLOOKUP(A32,'Current Stocks July-26'!B:K,9,0)</f>
        <v>#N/A</v>
      </c>
      <c r="E32" s="129" t="e">
        <f t="shared" si="0"/>
        <v>#N/A</v>
      </c>
    </row>
    <row r="33" spans="1:6" x14ac:dyDescent="0.25">
      <c r="A33" s="140" t="s">
        <v>1313</v>
      </c>
      <c r="B33" s="140" t="s">
        <v>1314</v>
      </c>
      <c r="C33" s="140">
        <v>762.048</v>
      </c>
      <c r="D33" s="129">
        <f>VLOOKUP(A33,'Current Stocks July-26'!B:K,9,0)</f>
        <v>28.704000000000001</v>
      </c>
      <c r="E33" s="129" t="b">
        <f t="shared" si="0"/>
        <v>0</v>
      </c>
      <c r="F33">
        <f>D33-C33</f>
        <v>-733.34400000000005</v>
      </c>
    </row>
    <row r="34" spans="1:6" x14ac:dyDescent="0.25">
      <c r="A34" s="140" t="s">
        <v>1313</v>
      </c>
      <c r="B34" s="140" t="s">
        <v>1314</v>
      </c>
      <c r="C34" s="140">
        <v>32.4</v>
      </c>
      <c r="D34" s="129">
        <f>VLOOKUP(A34,'Current Stocks July-26'!B:K,9,0)</f>
        <v>28.704000000000001</v>
      </c>
      <c r="E34" s="129" t="b">
        <f t="shared" si="0"/>
        <v>0</v>
      </c>
      <c r="F34">
        <f>D34-C34</f>
        <v>-3.695999999999998</v>
      </c>
    </row>
    <row r="35" spans="1:6" x14ac:dyDescent="0.25">
      <c r="A35" s="140" t="s">
        <v>1220</v>
      </c>
      <c r="B35" s="140" t="s">
        <v>1221</v>
      </c>
      <c r="C35" s="143">
        <v>0</v>
      </c>
      <c r="D35" s="129">
        <f>VLOOKUP(A35,'Current Stocks July-26'!B:K,9,0)</f>
        <v>0</v>
      </c>
      <c r="E35" s="129" t="b">
        <f t="shared" si="0"/>
        <v>1</v>
      </c>
      <c r="F35">
        <f>D35-C35</f>
        <v>0</v>
      </c>
    </row>
    <row r="36" spans="1:6" x14ac:dyDescent="0.25">
      <c r="A36" s="140" t="s">
        <v>470</v>
      </c>
      <c r="B36" s="140" t="s">
        <v>471</v>
      </c>
      <c r="C36" s="143">
        <v>0</v>
      </c>
      <c r="D36" s="129">
        <f>VLOOKUP(A36,'Current Stocks July-26'!B:K,9,0)</f>
        <v>750</v>
      </c>
      <c r="E36" s="129" t="b">
        <f t="shared" si="0"/>
        <v>0</v>
      </c>
    </row>
    <row r="37" spans="1:6" x14ac:dyDescent="0.25">
      <c r="A37" s="140" t="s">
        <v>467</v>
      </c>
      <c r="B37" s="140" t="s">
        <v>468</v>
      </c>
      <c r="C37" s="143">
        <v>0</v>
      </c>
      <c r="D37" s="129" t="e">
        <f>VLOOKUP(A37,'Current Stocks July-26'!B:K,9,0)</f>
        <v>#N/A</v>
      </c>
      <c r="E37" s="129" t="e">
        <f t="shared" si="0"/>
        <v>#N/A</v>
      </c>
      <c r="F37" t="e">
        <f>D37-C37</f>
        <v>#N/A</v>
      </c>
    </row>
    <row r="38" spans="1:6" x14ac:dyDescent="0.25">
      <c r="A38" s="140" t="s">
        <v>4989</v>
      </c>
      <c r="B38" s="140" t="s">
        <v>906</v>
      </c>
      <c r="C38" s="140">
        <v>29868</v>
      </c>
      <c r="D38" s="129" t="e">
        <f>VLOOKUP(A38,'Current Stocks July-26'!B:K,9,0)</f>
        <v>#N/A</v>
      </c>
      <c r="E38" s="129" t="e">
        <f t="shared" si="0"/>
        <v>#N/A</v>
      </c>
      <c r="F38" t="e">
        <f>D38-C38</f>
        <v>#N/A</v>
      </c>
    </row>
    <row r="39" spans="1:6" x14ac:dyDescent="0.25">
      <c r="A39" s="140" t="s">
        <v>1052</v>
      </c>
      <c r="B39" s="140" t="s">
        <v>1053</v>
      </c>
      <c r="C39" s="140">
        <v>2461.3200000000002</v>
      </c>
      <c r="D39" s="129">
        <f>VLOOKUP(A39,'Current Stocks July-26'!B:K,9,0)</f>
        <v>913</v>
      </c>
      <c r="E39" s="129" t="b">
        <f t="shared" si="0"/>
        <v>0</v>
      </c>
      <c r="F39">
        <f>D39-C39</f>
        <v>-1548.3200000000002</v>
      </c>
    </row>
    <row r="40" spans="1:6" x14ac:dyDescent="0.25">
      <c r="A40" s="140" t="s">
        <v>1103</v>
      </c>
      <c r="B40" s="140" t="s">
        <v>1104</v>
      </c>
      <c r="C40" s="140">
        <v>10740</v>
      </c>
      <c r="D40" s="129">
        <f>VLOOKUP(A40,'Current Stocks July-26'!B:K,9,0)</f>
        <v>4088</v>
      </c>
      <c r="E40" s="129" t="b">
        <f t="shared" si="0"/>
        <v>0</v>
      </c>
      <c r="F40">
        <f>D40-C40</f>
        <v>-6652</v>
      </c>
    </row>
    <row r="41" spans="1:6" x14ac:dyDescent="0.25">
      <c r="A41" s="140" t="s">
        <v>4990</v>
      </c>
      <c r="B41" s="140" t="s">
        <v>4991</v>
      </c>
      <c r="C41" s="143">
        <v>0</v>
      </c>
      <c r="D41" s="129" t="e">
        <f>VLOOKUP(A41,'Current Stocks July-26'!B:K,9,0)</f>
        <v>#N/A</v>
      </c>
      <c r="E41" s="129" t="e">
        <f t="shared" si="0"/>
        <v>#N/A</v>
      </c>
    </row>
    <row r="42" spans="1:6" x14ac:dyDescent="0.25">
      <c r="A42" s="140" t="s">
        <v>1015</v>
      </c>
      <c r="B42" s="140" t="s">
        <v>1016</v>
      </c>
      <c r="C42" s="143">
        <v>0</v>
      </c>
      <c r="D42" s="129">
        <f>VLOOKUP(A42,'Current Stocks July-26'!B:K,9,0)</f>
        <v>0</v>
      </c>
      <c r="E42" s="129" t="b">
        <f t="shared" si="0"/>
        <v>1</v>
      </c>
    </row>
    <row r="43" spans="1:6" x14ac:dyDescent="0.25">
      <c r="A43" s="140" t="s">
        <v>936</v>
      </c>
      <c r="B43" s="140" t="s">
        <v>937</v>
      </c>
      <c r="C43" s="140">
        <v>9552</v>
      </c>
      <c r="D43" s="129">
        <f>VLOOKUP(A43,'Current Stocks July-26'!B:K,9,0)</f>
        <v>1014</v>
      </c>
      <c r="E43" s="129" t="b">
        <f t="shared" si="0"/>
        <v>0</v>
      </c>
      <c r="F43">
        <f t="shared" ref="F43:F51" si="1">D43-C43</f>
        <v>-8538</v>
      </c>
    </row>
    <row r="44" spans="1:6" x14ac:dyDescent="0.25">
      <c r="A44" s="140" t="s">
        <v>961</v>
      </c>
      <c r="B44" s="140" t="s">
        <v>4992</v>
      </c>
      <c r="C44" s="143">
        <v>0</v>
      </c>
      <c r="D44" s="129">
        <f>VLOOKUP(A44,'Current Stocks July-26'!B:K,9,0)</f>
        <v>0</v>
      </c>
      <c r="E44" s="129" t="b">
        <f t="shared" si="0"/>
        <v>1</v>
      </c>
      <c r="F44">
        <f t="shared" si="1"/>
        <v>0</v>
      </c>
    </row>
    <row r="45" spans="1:6" x14ac:dyDescent="0.25">
      <c r="A45" s="140" t="s">
        <v>1096</v>
      </c>
      <c r="B45" s="140" t="s">
        <v>1097</v>
      </c>
      <c r="C45" s="140">
        <v>1100</v>
      </c>
      <c r="D45" s="129">
        <f>VLOOKUP(A45,'Current Stocks July-26'!B:K,9,0)</f>
        <v>0</v>
      </c>
      <c r="E45" s="129" t="b">
        <f t="shared" si="0"/>
        <v>0</v>
      </c>
      <c r="F45">
        <f t="shared" si="1"/>
        <v>-1100</v>
      </c>
    </row>
    <row r="46" spans="1:6" x14ac:dyDescent="0.25">
      <c r="A46" s="140" t="s">
        <v>905</v>
      </c>
      <c r="B46" s="140" t="s">
        <v>908</v>
      </c>
      <c r="C46" s="143">
        <v>0</v>
      </c>
      <c r="D46" s="129">
        <f>VLOOKUP(A46,'Current Stocks July-26'!B:K,9,0)</f>
        <v>9168</v>
      </c>
      <c r="E46" s="129" t="b">
        <f t="shared" si="0"/>
        <v>0</v>
      </c>
      <c r="F46">
        <f t="shared" si="1"/>
        <v>9168</v>
      </c>
    </row>
    <row r="47" spans="1:6" x14ac:dyDescent="0.25">
      <c r="A47" s="140" t="s">
        <v>458</v>
      </c>
      <c r="B47" s="140" t="s">
        <v>459</v>
      </c>
      <c r="C47" s="140">
        <v>1545</v>
      </c>
      <c r="D47" s="129">
        <f>VLOOKUP(A47,'Current Stocks July-26'!B:K,9,0)</f>
        <v>0</v>
      </c>
      <c r="E47" s="129" t="b">
        <f t="shared" si="0"/>
        <v>0</v>
      </c>
      <c r="F47">
        <f t="shared" si="1"/>
        <v>-1545</v>
      </c>
    </row>
    <row r="48" spans="1:6" x14ac:dyDescent="0.25">
      <c r="A48" s="140" t="s">
        <v>807</v>
      </c>
      <c r="B48" s="140" t="s">
        <v>808</v>
      </c>
      <c r="C48" s="143">
        <v>0</v>
      </c>
      <c r="D48" s="129">
        <f>VLOOKUP(A48,'Current Stocks July-26'!B:K,9,0)</f>
        <v>102</v>
      </c>
      <c r="E48" s="129" t="b">
        <f t="shared" si="0"/>
        <v>0</v>
      </c>
      <c r="F48">
        <f t="shared" si="1"/>
        <v>102</v>
      </c>
    </row>
    <row r="49" spans="1:6" x14ac:dyDescent="0.25">
      <c r="A49" s="140" t="s">
        <v>1138</v>
      </c>
      <c r="B49" s="140" t="s">
        <v>4993</v>
      </c>
      <c r="C49" s="140">
        <v>750</v>
      </c>
      <c r="D49" s="129">
        <f>VLOOKUP(A49,'Current Stocks July-26'!B:K,9,0)</f>
        <v>0</v>
      </c>
      <c r="E49" s="129" t="b">
        <f t="shared" si="0"/>
        <v>0</v>
      </c>
      <c r="F49">
        <f t="shared" si="1"/>
        <v>-750</v>
      </c>
    </row>
    <row r="50" spans="1:6" x14ac:dyDescent="0.25">
      <c r="A50" s="140" t="s">
        <v>1138</v>
      </c>
      <c r="B50" s="140" t="s">
        <v>4994</v>
      </c>
      <c r="C50" s="140">
        <v>325</v>
      </c>
      <c r="D50" s="129">
        <f>VLOOKUP(A50,'Current Stocks July-26'!B:K,9,0)</f>
        <v>0</v>
      </c>
      <c r="E50" s="129" t="b">
        <f t="shared" si="0"/>
        <v>0</v>
      </c>
      <c r="F50">
        <f t="shared" si="1"/>
        <v>-325</v>
      </c>
    </row>
    <row r="51" spans="1:6" x14ac:dyDescent="0.25">
      <c r="A51" s="140" t="s">
        <v>464</v>
      </c>
      <c r="B51" s="140" t="s">
        <v>465</v>
      </c>
      <c r="C51" s="140">
        <v>850</v>
      </c>
      <c r="D51" s="129">
        <f>VLOOKUP(A51,'Current Stocks July-26'!B:K,9,0)</f>
        <v>0</v>
      </c>
      <c r="E51" s="129" t="b">
        <f t="shared" si="0"/>
        <v>0</v>
      </c>
      <c r="F51">
        <f t="shared" si="1"/>
        <v>-850</v>
      </c>
    </row>
    <row r="52" spans="1:6" x14ac:dyDescent="0.25">
      <c r="A52" s="140" t="s">
        <v>530</v>
      </c>
      <c r="B52" s="140" t="s">
        <v>531</v>
      </c>
      <c r="C52" s="143">
        <v>0</v>
      </c>
      <c r="D52" s="129">
        <f>VLOOKUP(A52,'Current Stocks July-26'!B:K,9,0)</f>
        <v>0</v>
      </c>
      <c r="E52" s="129" t="b">
        <f t="shared" si="0"/>
        <v>1</v>
      </c>
    </row>
    <row r="53" spans="1:6" x14ac:dyDescent="0.25">
      <c r="A53" s="140" t="s">
        <v>416</v>
      </c>
      <c r="B53" s="140" t="s">
        <v>417</v>
      </c>
      <c r="C53" s="143">
        <v>0</v>
      </c>
      <c r="D53" s="129">
        <f>VLOOKUP(A53,'Current Stocks July-26'!B:K,9,0)</f>
        <v>0</v>
      </c>
      <c r="E53" s="129" t="b">
        <f t="shared" si="0"/>
        <v>1</v>
      </c>
    </row>
    <row r="54" spans="1:6" x14ac:dyDescent="0.25">
      <c r="A54" s="140" t="s">
        <v>438</v>
      </c>
      <c r="B54" s="140" t="s">
        <v>439</v>
      </c>
      <c r="C54" s="143">
        <v>0</v>
      </c>
      <c r="D54" s="129" t="e">
        <f>VLOOKUP(A54,'Current Stocks July-26'!B:K,9,0)</f>
        <v>#N/A</v>
      </c>
      <c r="E54" s="129" t="e">
        <f t="shared" si="0"/>
        <v>#N/A</v>
      </c>
    </row>
    <row r="55" spans="1:6" x14ac:dyDescent="0.25">
      <c r="A55" s="140" t="s">
        <v>743</v>
      </c>
      <c r="B55" s="140" t="s">
        <v>744</v>
      </c>
      <c r="C55" s="140">
        <v>5520</v>
      </c>
      <c r="D55" s="129">
        <f>VLOOKUP(A55,'Current Stocks July-26'!B:K,9,0)</f>
        <v>2400</v>
      </c>
      <c r="E55" s="129" t="b">
        <f t="shared" si="0"/>
        <v>0</v>
      </c>
      <c r="F55">
        <f>D55-C55</f>
        <v>-3120</v>
      </c>
    </row>
    <row r="56" spans="1:6" x14ac:dyDescent="0.25">
      <c r="A56" s="140" t="s">
        <v>1308</v>
      </c>
      <c r="B56" s="140" t="s">
        <v>1309</v>
      </c>
      <c r="C56" s="143">
        <v>0</v>
      </c>
      <c r="D56" s="129">
        <f>VLOOKUP(A56,'Current Stocks July-26'!B:K,9,0)</f>
        <v>36</v>
      </c>
      <c r="E56" s="129" t="b">
        <f t="shared" si="0"/>
        <v>0</v>
      </c>
      <c r="F56">
        <f>D56-C56</f>
        <v>36</v>
      </c>
    </row>
    <row r="57" spans="1:6" x14ac:dyDescent="0.25">
      <c r="A57" s="140" t="s">
        <v>379</v>
      </c>
      <c r="B57" s="140" t="s">
        <v>380</v>
      </c>
      <c r="C57" s="143">
        <v>0</v>
      </c>
      <c r="D57" s="129" t="e">
        <f>VLOOKUP(A57,'Current Stocks July-26'!B:K,9,0)</f>
        <v>#N/A</v>
      </c>
      <c r="E57" s="129" t="e">
        <f t="shared" si="0"/>
        <v>#N/A</v>
      </c>
    </row>
    <row r="58" spans="1:6" x14ac:dyDescent="0.25">
      <c r="A58" s="140" t="s">
        <v>441</v>
      </c>
      <c r="B58" s="140" t="s">
        <v>442</v>
      </c>
      <c r="C58" s="143">
        <v>0</v>
      </c>
      <c r="D58" s="129">
        <f>VLOOKUP(A58,'Current Stocks July-26'!B:K,9,0)</f>
        <v>0</v>
      </c>
      <c r="E58" s="129" t="b">
        <f t="shared" si="0"/>
        <v>1</v>
      </c>
    </row>
    <row r="59" spans="1:6" x14ac:dyDescent="0.25">
      <c r="A59" s="140" t="s">
        <v>1592</v>
      </c>
      <c r="B59" s="140" t="s">
        <v>1958</v>
      </c>
      <c r="C59" s="140">
        <v>1344</v>
      </c>
      <c r="D59" s="129">
        <f>VLOOKUP(A59,'Current Stocks July-26'!B:K,9,0)</f>
        <v>0</v>
      </c>
      <c r="E59" s="129" t="b">
        <f t="shared" si="0"/>
        <v>0</v>
      </c>
      <c r="F59">
        <f>D59-C59</f>
        <v>-1344</v>
      </c>
    </row>
    <row r="60" spans="1:6" x14ac:dyDescent="0.25">
      <c r="A60" s="140" t="s">
        <v>983</v>
      </c>
      <c r="B60" s="140" t="s">
        <v>984</v>
      </c>
      <c r="C60" s="143">
        <v>0</v>
      </c>
      <c r="D60" s="129">
        <f>VLOOKUP(A60,'Current Stocks July-26'!B:K,9,0)</f>
        <v>0</v>
      </c>
      <c r="E60" s="129" t="b">
        <f t="shared" si="0"/>
        <v>1</v>
      </c>
    </row>
    <row r="61" spans="1:6" x14ac:dyDescent="0.25">
      <c r="A61" s="140" t="s">
        <v>399</v>
      </c>
      <c r="B61" s="140" t="s">
        <v>400</v>
      </c>
      <c r="C61" s="143">
        <v>0</v>
      </c>
      <c r="D61" s="129">
        <f>VLOOKUP(A61,'Current Stocks July-26'!B:K,9,0)</f>
        <v>0</v>
      </c>
      <c r="E61" s="129" t="b">
        <f t="shared" si="0"/>
        <v>1</v>
      </c>
      <c r="F61">
        <f>D61-C61</f>
        <v>0</v>
      </c>
    </row>
    <row r="62" spans="1:6" x14ac:dyDescent="0.25">
      <c r="A62" s="140" t="s">
        <v>1057</v>
      </c>
      <c r="B62" s="140" t="s">
        <v>1058</v>
      </c>
      <c r="C62" s="143">
        <v>0</v>
      </c>
      <c r="D62" s="129">
        <f>VLOOKUP(A62,'Current Stocks July-26'!B:K,9,0)</f>
        <v>0</v>
      </c>
      <c r="E62" s="129" t="b">
        <f t="shared" si="0"/>
        <v>1</v>
      </c>
    </row>
    <row r="63" spans="1:6" x14ac:dyDescent="0.25">
      <c r="A63" s="140" t="s">
        <v>1252</v>
      </c>
      <c r="B63" s="140" t="s">
        <v>1253</v>
      </c>
      <c r="C63" s="143">
        <v>0</v>
      </c>
      <c r="D63" s="129">
        <f>VLOOKUP(A63,'Current Stocks July-26'!B:K,9,0)</f>
        <v>0</v>
      </c>
      <c r="E63" s="129" t="b">
        <f t="shared" si="0"/>
        <v>1</v>
      </c>
    </row>
    <row r="64" spans="1:6" x14ac:dyDescent="0.25">
      <c r="A64" s="140" t="s">
        <v>1502</v>
      </c>
      <c r="B64" s="140" t="s">
        <v>1503</v>
      </c>
      <c r="C64" s="140">
        <v>250</v>
      </c>
      <c r="D64" s="129">
        <f>VLOOKUP(A64,'Current Stocks July-26'!B:K,9,0)</f>
        <v>0</v>
      </c>
      <c r="E64" s="129" t="b">
        <f t="shared" si="0"/>
        <v>0</v>
      </c>
    </row>
    <row r="65" spans="1:6" x14ac:dyDescent="0.25">
      <c r="A65" s="140" t="s">
        <v>682</v>
      </c>
      <c r="B65" s="140" t="s">
        <v>683</v>
      </c>
      <c r="C65" s="143">
        <v>0</v>
      </c>
      <c r="D65" s="129">
        <f>VLOOKUP(A65,'Current Stocks July-26'!B:K,9,0)</f>
        <v>0</v>
      </c>
      <c r="E65" s="129" t="b">
        <f t="shared" si="0"/>
        <v>1</v>
      </c>
    </row>
    <row r="66" spans="1:6" x14ac:dyDescent="0.25">
      <c r="A66" s="140" t="s">
        <v>835</v>
      </c>
      <c r="B66" s="140" t="s">
        <v>836</v>
      </c>
      <c r="C66" s="143">
        <v>0</v>
      </c>
      <c r="D66" s="129">
        <f>VLOOKUP(A66,'Current Stocks July-26'!B:K,9,0)</f>
        <v>0</v>
      </c>
      <c r="E66" s="129" t="b">
        <f t="shared" si="0"/>
        <v>1</v>
      </c>
      <c r="F66">
        <f>D66-C66</f>
        <v>0</v>
      </c>
    </row>
    <row r="67" spans="1:6" x14ac:dyDescent="0.25">
      <c r="A67" s="140" t="s">
        <v>771</v>
      </c>
      <c r="B67" s="140" t="s">
        <v>772</v>
      </c>
      <c r="C67" s="140">
        <v>4830</v>
      </c>
      <c r="D67" s="129">
        <f>VLOOKUP(A67,'Current Stocks July-26'!B:K,9,0)</f>
        <v>0</v>
      </c>
      <c r="E67" s="129" t="b">
        <f t="shared" ref="E67:E130" si="2">D67=C67</f>
        <v>0</v>
      </c>
      <c r="F67">
        <f>D67-C67</f>
        <v>-4830</v>
      </c>
    </row>
    <row r="68" spans="1:6" x14ac:dyDescent="0.25">
      <c r="A68" s="140" t="s">
        <v>1357</v>
      </c>
      <c r="B68" s="140" t="s">
        <v>1358</v>
      </c>
      <c r="C68" s="140">
        <v>540</v>
      </c>
      <c r="D68" s="129">
        <f>VLOOKUP(A68,'Current Stocks July-26'!B:K,9,0)</f>
        <v>0</v>
      </c>
      <c r="E68" s="129" t="b">
        <f t="shared" si="2"/>
        <v>0</v>
      </c>
      <c r="F68">
        <f>D68-C68</f>
        <v>-540</v>
      </c>
    </row>
    <row r="69" spans="1:6" x14ac:dyDescent="0.25">
      <c r="A69" s="140" t="s">
        <v>1440</v>
      </c>
      <c r="B69" s="140" t="s">
        <v>1441</v>
      </c>
      <c r="C69" s="140">
        <v>144.84</v>
      </c>
      <c r="D69" s="129">
        <f>VLOOKUP(A69,'Current Stocks July-26'!B:K,9,0)</f>
        <v>153.36000000000001</v>
      </c>
      <c r="E69" s="129" t="b">
        <f t="shared" si="2"/>
        <v>0</v>
      </c>
    </row>
    <row r="70" spans="1:6" x14ac:dyDescent="0.25">
      <c r="A70" s="140" t="s">
        <v>1555</v>
      </c>
      <c r="B70" s="140" t="s">
        <v>1556</v>
      </c>
      <c r="C70" s="143">
        <v>0</v>
      </c>
      <c r="D70" s="129">
        <f>VLOOKUP(A70,'Current Stocks July-26'!B:K,9,0)</f>
        <v>0</v>
      </c>
      <c r="E70" s="129" t="b">
        <f t="shared" si="2"/>
        <v>1</v>
      </c>
      <c r="F70">
        <f>D70-C70</f>
        <v>0</v>
      </c>
    </row>
    <row r="71" spans="1:6" x14ac:dyDescent="0.25">
      <c r="A71" s="140" t="s">
        <v>1165</v>
      </c>
      <c r="B71" s="140" t="s">
        <v>1166</v>
      </c>
      <c r="C71" s="140">
        <v>208.8</v>
      </c>
      <c r="D71" s="129">
        <f>VLOOKUP(A71,'Current Stocks July-26'!B:K,9,0)</f>
        <v>0</v>
      </c>
      <c r="E71" s="129" t="b">
        <f t="shared" si="2"/>
        <v>0</v>
      </c>
      <c r="F71">
        <f>D71-C71</f>
        <v>-208.8</v>
      </c>
    </row>
    <row r="72" spans="1:6" x14ac:dyDescent="0.25">
      <c r="A72" s="140" t="s">
        <v>1582</v>
      </c>
      <c r="B72" s="140" t="s">
        <v>1583</v>
      </c>
      <c r="C72" s="143">
        <v>0</v>
      </c>
      <c r="D72" s="129">
        <f>VLOOKUP(A72,'Current Stocks July-26'!B:K,9,0)</f>
        <v>6</v>
      </c>
      <c r="E72" s="129" t="b">
        <f t="shared" si="2"/>
        <v>0</v>
      </c>
      <c r="F72">
        <f>D72-C72</f>
        <v>6</v>
      </c>
    </row>
    <row r="73" spans="1:6" x14ac:dyDescent="0.25">
      <c r="A73" s="140" t="s">
        <v>518</v>
      </c>
      <c r="B73" s="140" t="s">
        <v>519</v>
      </c>
      <c r="C73" s="140">
        <v>10</v>
      </c>
      <c r="D73" s="129">
        <f>VLOOKUP(A73,'Current Stocks July-26'!B:K,9,0)</f>
        <v>0</v>
      </c>
      <c r="E73" s="129" t="b">
        <f t="shared" si="2"/>
        <v>0</v>
      </c>
      <c r="F73">
        <f>D73-C73</f>
        <v>-10</v>
      </c>
    </row>
    <row r="74" spans="1:6" x14ac:dyDescent="0.25">
      <c r="A74" s="140" t="s">
        <v>1292</v>
      </c>
      <c r="B74" s="140" t="s">
        <v>1293</v>
      </c>
      <c r="C74" s="140">
        <v>90</v>
      </c>
      <c r="D74" s="129">
        <f>VLOOKUP(A74,'Current Stocks July-26'!B:K,9,0)</f>
        <v>0</v>
      </c>
      <c r="E74" s="129" t="b">
        <f t="shared" si="2"/>
        <v>0</v>
      </c>
    </row>
    <row r="75" spans="1:6" x14ac:dyDescent="0.25">
      <c r="A75" s="140" t="s">
        <v>1169</v>
      </c>
      <c r="B75" s="140" t="s">
        <v>1170</v>
      </c>
      <c r="C75" s="143">
        <v>0</v>
      </c>
      <c r="D75" s="129">
        <f>VLOOKUP(A75,'Current Stocks July-26'!B:K,9,0)</f>
        <v>0</v>
      </c>
      <c r="E75" s="129" t="b">
        <f t="shared" si="2"/>
        <v>1</v>
      </c>
      <c r="F75">
        <f t="shared" ref="F75:F81" si="3">D75-C75</f>
        <v>0</v>
      </c>
    </row>
    <row r="76" spans="1:6" x14ac:dyDescent="0.25">
      <c r="A76" s="140" t="s">
        <v>1131</v>
      </c>
      <c r="B76" s="140" t="s">
        <v>1132</v>
      </c>
      <c r="C76" s="140">
        <v>10</v>
      </c>
      <c r="D76" s="129">
        <f>VLOOKUP(A76,'Current Stocks July-26'!B:K,9,0)</f>
        <v>0</v>
      </c>
      <c r="E76" s="129" t="b">
        <f t="shared" si="2"/>
        <v>0</v>
      </c>
      <c r="F76">
        <f t="shared" si="3"/>
        <v>-10</v>
      </c>
    </row>
    <row r="77" spans="1:6" x14ac:dyDescent="0.25">
      <c r="A77" s="140" t="s">
        <v>497</v>
      </c>
      <c r="B77" s="140" t="s">
        <v>498</v>
      </c>
      <c r="C77" s="140">
        <v>368</v>
      </c>
      <c r="D77" s="129">
        <f>VLOOKUP(A77,'Current Stocks July-26'!B:K,9,0)</f>
        <v>0</v>
      </c>
      <c r="E77" s="129" t="b">
        <f t="shared" si="2"/>
        <v>0</v>
      </c>
      <c r="F77">
        <f t="shared" si="3"/>
        <v>-368</v>
      </c>
    </row>
    <row r="78" spans="1:6" x14ac:dyDescent="0.25">
      <c r="A78" s="140" t="s">
        <v>919</v>
      </c>
      <c r="B78" s="140" t="s">
        <v>920</v>
      </c>
      <c r="C78" s="143">
        <v>0</v>
      </c>
      <c r="D78" s="129">
        <f>VLOOKUP(A78,'Current Stocks July-26'!B:K,9,0)</f>
        <v>2</v>
      </c>
      <c r="E78" s="129" t="b">
        <f t="shared" si="2"/>
        <v>0</v>
      </c>
      <c r="F78">
        <f t="shared" si="3"/>
        <v>2</v>
      </c>
    </row>
    <row r="79" spans="1:6" x14ac:dyDescent="0.25">
      <c r="A79" s="140" t="s">
        <v>1269</v>
      </c>
      <c r="B79" s="140" t="s">
        <v>1705</v>
      </c>
      <c r="C79" s="140">
        <v>31.8</v>
      </c>
      <c r="D79" s="129">
        <f>VLOOKUP(A79,'Current Stocks July-26'!B:K,9,0)</f>
        <v>7.02</v>
      </c>
      <c r="E79" s="129" t="b">
        <f t="shared" si="2"/>
        <v>0</v>
      </c>
      <c r="F79">
        <f t="shared" si="3"/>
        <v>-24.78</v>
      </c>
    </row>
    <row r="80" spans="1:6" x14ac:dyDescent="0.25">
      <c r="A80" s="140" t="s">
        <v>1269</v>
      </c>
      <c r="B80" s="140" t="s">
        <v>1705</v>
      </c>
      <c r="C80" s="140">
        <v>46.8</v>
      </c>
      <c r="D80" s="129">
        <f>VLOOKUP(A80,'Current Stocks July-26'!B:K,9,0)</f>
        <v>7.02</v>
      </c>
      <c r="E80" s="129" t="b">
        <f t="shared" si="2"/>
        <v>0</v>
      </c>
      <c r="F80">
        <f t="shared" si="3"/>
        <v>-39.78</v>
      </c>
    </row>
    <row r="81" spans="1:6" x14ac:dyDescent="0.25">
      <c r="A81" s="140" t="s">
        <v>1091</v>
      </c>
      <c r="B81" s="140" t="s">
        <v>1092</v>
      </c>
      <c r="C81" s="140">
        <v>89.76</v>
      </c>
      <c r="D81" s="129">
        <f>VLOOKUP(A81,'Current Stocks July-26'!B:K,9,0)</f>
        <v>0</v>
      </c>
      <c r="E81" s="129" t="b">
        <f t="shared" si="2"/>
        <v>0</v>
      </c>
      <c r="F81">
        <f t="shared" si="3"/>
        <v>-89.76</v>
      </c>
    </row>
    <row r="82" spans="1:6" x14ac:dyDescent="0.25">
      <c r="A82" s="140" t="s">
        <v>1126</v>
      </c>
      <c r="B82" s="140" t="s">
        <v>1127</v>
      </c>
      <c r="C82" s="140">
        <v>100</v>
      </c>
      <c r="D82" s="129">
        <f>VLOOKUP(A82,'Current Stocks July-26'!B:K,9,0)</f>
        <v>0</v>
      </c>
      <c r="E82" s="129" t="b">
        <f t="shared" si="2"/>
        <v>0</v>
      </c>
    </row>
    <row r="83" spans="1:6" x14ac:dyDescent="0.25">
      <c r="A83" s="140" t="s">
        <v>1552</v>
      </c>
      <c r="B83" s="140" t="s">
        <v>1553</v>
      </c>
      <c r="C83" s="140">
        <v>3270</v>
      </c>
      <c r="D83" s="129">
        <f>VLOOKUP(A83,'Current Stocks July-26'!B:K,9,0)</f>
        <v>30</v>
      </c>
      <c r="E83" s="129" t="b">
        <f t="shared" si="2"/>
        <v>0</v>
      </c>
      <c r="F83">
        <f t="shared" ref="F83:F89" si="4">D83-C83</f>
        <v>-3240</v>
      </c>
    </row>
    <row r="84" spans="1:6" x14ac:dyDescent="0.25">
      <c r="A84" s="140" t="s">
        <v>4995</v>
      </c>
      <c r="B84" s="140" t="s">
        <v>4996</v>
      </c>
      <c r="C84" s="143">
        <v>0</v>
      </c>
      <c r="D84" s="129" t="e">
        <f>VLOOKUP(A84,'Current Stocks July-26'!B:K,9,0)</f>
        <v>#N/A</v>
      </c>
      <c r="E84" s="129" t="e">
        <f t="shared" si="2"/>
        <v>#N/A</v>
      </c>
      <c r="F84" t="e">
        <f t="shared" si="4"/>
        <v>#N/A</v>
      </c>
    </row>
    <row r="85" spans="1:6" x14ac:dyDescent="0.25">
      <c r="A85" s="140" t="s">
        <v>82</v>
      </c>
      <c r="B85" s="140" t="s">
        <v>83</v>
      </c>
      <c r="C85" s="143">
        <v>0</v>
      </c>
      <c r="D85" s="129">
        <f>VLOOKUP(A85,'Current Stocks July-26'!B:K,9,0)</f>
        <v>0</v>
      </c>
      <c r="E85" s="129" t="b">
        <f t="shared" si="2"/>
        <v>1</v>
      </c>
      <c r="F85">
        <f t="shared" si="4"/>
        <v>0</v>
      </c>
    </row>
    <row r="86" spans="1:6" x14ac:dyDescent="0.25">
      <c r="A86" s="140" t="s">
        <v>58</v>
      </c>
      <c r="B86" s="140" t="s">
        <v>59</v>
      </c>
      <c r="C86" s="140">
        <v>22.8</v>
      </c>
      <c r="D86" s="129">
        <f>VLOOKUP(A86,'Current Stocks July-26'!B:K,9,0)</f>
        <v>23.94</v>
      </c>
      <c r="E86" s="129" t="b">
        <f t="shared" si="2"/>
        <v>0</v>
      </c>
      <c r="F86">
        <f t="shared" si="4"/>
        <v>1.1400000000000006</v>
      </c>
    </row>
    <row r="87" spans="1:6" x14ac:dyDescent="0.25">
      <c r="A87" s="140" t="s">
        <v>494</v>
      </c>
      <c r="B87" s="140" t="s">
        <v>495</v>
      </c>
      <c r="C87" s="140">
        <v>48</v>
      </c>
      <c r="D87" s="129">
        <f>VLOOKUP(A87,'Current Stocks July-26'!B:K,9,0)</f>
        <v>0</v>
      </c>
      <c r="E87" s="129" t="b">
        <f t="shared" si="2"/>
        <v>0</v>
      </c>
      <c r="F87">
        <f t="shared" si="4"/>
        <v>-48</v>
      </c>
    </row>
    <row r="88" spans="1:6" x14ac:dyDescent="0.25">
      <c r="A88" s="140" t="s">
        <v>474</v>
      </c>
      <c r="B88" s="140" t="s">
        <v>475</v>
      </c>
      <c r="C88" s="140">
        <v>21</v>
      </c>
      <c r="D88" s="129">
        <f>VLOOKUP(A88,'Current Stocks July-26'!B:K,9,0)</f>
        <v>0</v>
      </c>
      <c r="E88" s="129" t="b">
        <f t="shared" si="2"/>
        <v>0</v>
      </c>
      <c r="F88">
        <f t="shared" si="4"/>
        <v>-21</v>
      </c>
    </row>
    <row r="89" spans="1:6" x14ac:dyDescent="0.25">
      <c r="A89" s="140" t="s">
        <v>474</v>
      </c>
      <c r="B89" s="140" t="s">
        <v>475</v>
      </c>
      <c r="C89" s="140">
        <v>252</v>
      </c>
      <c r="D89" s="129">
        <f>VLOOKUP(A89,'Current Stocks July-26'!B:K,9,0)</f>
        <v>0</v>
      </c>
      <c r="E89" s="129" t="b">
        <f t="shared" si="2"/>
        <v>0</v>
      </c>
      <c r="F89">
        <f t="shared" si="4"/>
        <v>-252</v>
      </c>
    </row>
    <row r="90" spans="1:6" x14ac:dyDescent="0.25">
      <c r="A90" s="140" t="s">
        <v>1215</v>
      </c>
      <c r="B90" s="140" t="s">
        <v>1216</v>
      </c>
      <c r="C90" s="143">
        <v>0</v>
      </c>
      <c r="D90" s="129">
        <f>VLOOKUP(A90,'Current Stocks July-26'!B:K,9,0)</f>
        <v>0</v>
      </c>
      <c r="E90" s="129" t="b">
        <f t="shared" si="2"/>
        <v>1</v>
      </c>
    </row>
    <row r="91" spans="1:6" x14ac:dyDescent="0.25">
      <c r="A91" s="140" t="s">
        <v>1490</v>
      </c>
      <c r="B91" s="140" t="s">
        <v>1491</v>
      </c>
      <c r="C91" s="140">
        <v>15</v>
      </c>
      <c r="D91" s="129">
        <f>VLOOKUP(A91,'Current Stocks July-26'!B:K,9,0)</f>
        <v>0</v>
      </c>
      <c r="E91" s="129" t="b">
        <f t="shared" si="2"/>
        <v>0</v>
      </c>
    </row>
    <row r="92" spans="1:6" x14ac:dyDescent="0.25">
      <c r="A92" s="140" t="s">
        <v>1295</v>
      </c>
      <c r="B92" s="140" t="s">
        <v>1296</v>
      </c>
      <c r="C92" s="140">
        <v>265</v>
      </c>
      <c r="D92" s="129">
        <f>VLOOKUP(A92,'Current Stocks July-26'!B:K,9,0)</f>
        <v>0</v>
      </c>
      <c r="E92" s="129" t="b">
        <f t="shared" si="2"/>
        <v>0</v>
      </c>
    </row>
    <row r="93" spans="1:6" x14ac:dyDescent="0.25">
      <c r="A93" s="140" t="s">
        <v>1373</v>
      </c>
      <c r="B93" s="140" t="s">
        <v>1374</v>
      </c>
      <c r="C93" s="140">
        <v>2360</v>
      </c>
      <c r="D93" s="129">
        <f>VLOOKUP(A93,'Current Stocks July-26'!B:K,9,0)</f>
        <v>0</v>
      </c>
      <c r="E93" s="129" t="b">
        <f t="shared" si="2"/>
        <v>0</v>
      </c>
    </row>
    <row r="94" spans="1:6" x14ac:dyDescent="0.25">
      <c r="A94" s="140" t="s">
        <v>1208</v>
      </c>
      <c r="B94" s="140" t="s">
        <v>1209</v>
      </c>
      <c r="C94" s="140">
        <v>151.19999999999999</v>
      </c>
      <c r="D94" s="129">
        <f>VLOOKUP(A94,'Current Stocks July-26'!B:K,9,0)</f>
        <v>0</v>
      </c>
      <c r="E94" s="129" t="b">
        <f t="shared" si="2"/>
        <v>0</v>
      </c>
      <c r="F94">
        <f t="shared" ref="F94:F106" si="5">D94-C94</f>
        <v>-151.19999999999999</v>
      </c>
    </row>
    <row r="95" spans="1:6" x14ac:dyDescent="0.25">
      <c r="A95" s="140" t="s">
        <v>1436</v>
      </c>
      <c r="B95" s="140" t="s">
        <v>1437</v>
      </c>
      <c r="C95" s="143">
        <v>0</v>
      </c>
      <c r="D95" s="129">
        <f>VLOOKUP(A95,'Current Stocks July-26'!B:K,9,0)</f>
        <v>0</v>
      </c>
      <c r="E95" s="129" t="b">
        <f t="shared" si="2"/>
        <v>1</v>
      </c>
      <c r="F95">
        <f t="shared" si="5"/>
        <v>0</v>
      </c>
    </row>
    <row r="96" spans="1:6" x14ac:dyDescent="0.25">
      <c r="A96" s="140" t="s">
        <v>1245</v>
      </c>
      <c r="B96" s="140" t="s">
        <v>1246</v>
      </c>
      <c r="C96" s="143">
        <v>0</v>
      </c>
      <c r="D96" s="129">
        <f>VLOOKUP(A96,'Current Stocks July-26'!B:K,9,0)</f>
        <v>0</v>
      </c>
      <c r="E96" s="129" t="b">
        <f t="shared" si="2"/>
        <v>1</v>
      </c>
      <c r="F96">
        <f t="shared" si="5"/>
        <v>0</v>
      </c>
    </row>
    <row r="97" spans="1:6" x14ac:dyDescent="0.25">
      <c r="A97" s="140" t="s">
        <v>41</v>
      </c>
      <c r="B97" s="140" t="s">
        <v>42</v>
      </c>
      <c r="C97" s="143">
        <v>0</v>
      </c>
      <c r="D97" s="129">
        <f>VLOOKUP(A97,'Current Stocks July-26'!B:K,9,0)</f>
        <v>0</v>
      </c>
      <c r="E97" s="129" t="b">
        <f t="shared" si="2"/>
        <v>1</v>
      </c>
      <c r="F97">
        <f t="shared" si="5"/>
        <v>0</v>
      </c>
    </row>
    <row r="98" spans="1:6" x14ac:dyDescent="0.25">
      <c r="A98" s="140" t="s">
        <v>516</v>
      </c>
      <c r="B98" s="140" t="s">
        <v>517</v>
      </c>
      <c r="C98" s="143">
        <v>0</v>
      </c>
      <c r="D98" s="129" t="e">
        <f>VLOOKUP(A98,'Current Stocks July-26'!B:K,9,0)</f>
        <v>#N/A</v>
      </c>
      <c r="E98" s="129" t="e">
        <f t="shared" si="2"/>
        <v>#N/A</v>
      </c>
      <c r="F98" t="e">
        <f t="shared" si="5"/>
        <v>#N/A</v>
      </c>
    </row>
    <row r="99" spans="1:6" x14ac:dyDescent="0.25">
      <c r="A99" s="140" t="s">
        <v>1345</v>
      </c>
      <c r="B99" s="140" t="s">
        <v>1346</v>
      </c>
      <c r="C99" s="143">
        <v>0</v>
      </c>
      <c r="D99" s="129">
        <f>VLOOKUP(A99,'Current Stocks July-26'!B:K,9,0)</f>
        <v>0</v>
      </c>
      <c r="E99" s="129" t="b">
        <f t="shared" si="2"/>
        <v>1</v>
      </c>
      <c r="F99">
        <f t="shared" si="5"/>
        <v>0</v>
      </c>
    </row>
    <row r="100" spans="1:6" x14ac:dyDescent="0.25">
      <c r="A100" s="140" t="s">
        <v>1526</v>
      </c>
      <c r="B100" s="140" t="s">
        <v>1527</v>
      </c>
      <c r="C100" s="143">
        <v>0</v>
      </c>
      <c r="D100" s="129">
        <f>VLOOKUP(A100,'Current Stocks July-26'!B:K,9,0)</f>
        <v>0.46700000000000003</v>
      </c>
      <c r="E100" s="129" t="b">
        <f t="shared" si="2"/>
        <v>0</v>
      </c>
      <c r="F100">
        <f t="shared" si="5"/>
        <v>0.46700000000000003</v>
      </c>
    </row>
    <row r="101" spans="1:6" x14ac:dyDescent="0.25">
      <c r="A101" s="140" t="s">
        <v>491</v>
      </c>
      <c r="B101" s="140" t="s">
        <v>492</v>
      </c>
      <c r="C101" s="143">
        <v>0</v>
      </c>
      <c r="D101" s="129" t="e">
        <f>VLOOKUP(A101,'Current Stocks July-26'!B:K,9,0)</f>
        <v>#N/A</v>
      </c>
      <c r="E101" s="129" t="e">
        <f t="shared" si="2"/>
        <v>#N/A</v>
      </c>
      <c r="F101" t="e">
        <f t="shared" si="5"/>
        <v>#N/A</v>
      </c>
    </row>
    <row r="102" spans="1:6" x14ac:dyDescent="0.25">
      <c r="A102" s="140" t="s">
        <v>1478</v>
      </c>
      <c r="B102" s="140" t="s">
        <v>1479</v>
      </c>
      <c r="C102" s="140">
        <v>6.12</v>
      </c>
      <c r="D102" s="129">
        <f>VLOOKUP(A102,'Current Stocks July-26'!B:K,9,0)</f>
        <v>0</v>
      </c>
      <c r="E102" s="129" t="b">
        <f t="shared" si="2"/>
        <v>0</v>
      </c>
      <c r="F102">
        <f t="shared" si="5"/>
        <v>-6.12</v>
      </c>
    </row>
    <row r="103" spans="1:6" x14ac:dyDescent="0.25">
      <c r="A103" s="140" t="s">
        <v>1478</v>
      </c>
      <c r="B103" s="140" t="s">
        <v>1479</v>
      </c>
      <c r="C103" s="140">
        <v>30</v>
      </c>
      <c r="D103" s="129">
        <f>VLOOKUP(A103,'Current Stocks July-26'!B:K,9,0)</f>
        <v>0</v>
      </c>
      <c r="E103" s="129" t="b">
        <f t="shared" si="2"/>
        <v>0</v>
      </c>
      <c r="F103">
        <f t="shared" si="5"/>
        <v>-30</v>
      </c>
    </row>
    <row r="104" spans="1:6" x14ac:dyDescent="0.25">
      <c r="A104" s="140" t="s">
        <v>1134</v>
      </c>
      <c r="B104" s="140" t="s">
        <v>1135</v>
      </c>
      <c r="C104" s="143">
        <v>0</v>
      </c>
      <c r="D104" s="129">
        <f>VLOOKUP(A104,'Current Stocks July-26'!B:K,9,0)</f>
        <v>0</v>
      </c>
      <c r="E104" s="129" t="b">
        <f t="shared" si="2"/>
        <v>1</v>
      </c>
      <c r="F104">
        <f t="shared" si="5"/>
        <v>0</v>
      </c>
    </row>
    <row r="105" spans="1:6" x14ac:dyDescent="0.25">
      <c r="A105" s="140" t="s">
        <v>1386</v>
      </c>
      <c r="B105" s="140" t="s">
        <v>1387</v>
      </c>
      <c r="C105" s="143">
        <v>0</v>
      </c>
      <c r="D105" s="129">
        <f>VLOOKUP(A105,'Current Stocks July-26'!B:K,9,0)</f>
        <v>4.8</v>
      </c>
      <c r="E105" s="129" t="b">
        <f t="shared" si="2"/>
        <v>0</v>
      </c>
      <c r="F105">
        <f t="shared" si="5"/>
        <v>4.8</v>
      </c>
    </row>
    <row r="106" spans="1:6" x14ac:dyDescent="0.25">
      <c r="A106" s="140" t="s">
        <v>1047</v>
      </c>
      <c r="B106" s="140" t="s">
        <v>1048</v>
      </c>
      <c r="C106" s="140">
        <v>21.167999999999999</v>
      </c>
      <c r="D106" s="129">
        <f>VLOOKUP(A106,'Current Stocks July-26'!B:K,9,0)</f>
        <v>306.04599999999999</v>
      </c>
      <c r="E106" s="129" t="b">
        <f t="shared" si="2"/>
        <v>0</v>
      </c>
      <c r="F106">
        <f t="shared" si="5"/>
        <v>284.87799999999999</v>
      </c>
    </row>
    <row r="107" spans="1:6" x14ac:dyDescent="0.25">
      <c r="A107" s="140" t="s">
        <v>978</v>
      </c>
      <c r="B107" s="140" t="s">
        <v>979</v>
      </c>
      <c r="C107" s="143">
        <v>0</v>
      </c>
      <c r="D107" s="129">
        <f>VLOOKUP(A107,'Current Stocks July-26'!B:K,9,0)</f>
        <v>0</v>
      </c>
      <c r="E107" s="129" t="b">
        <f t="shared" si="2"/>
        <v>1</v>
      </c>
    </row>
    <row r="108" spans="1:6" x14ac:dyDescent="0.25">
      <c r="A108" s="140" t="s">
        <v>1254</v>
      </c>
      <c r="B108" s="140" t="s">
        <v>1255</v>
      </c>
      <c r="C108" s="143">
        <v>0</v>
      </c>
      <c r="D108" s="129" t="e">
        <f>VLOOKUP(A108,'Current Stocks July-26'!B:K,9,0)</f>
        <v>#N/A</v>
      </c>
      <c r="E108" s="129" t="e">
        <f t="shared" si="2"/>
        <v>#N/A</v>
      </c>
      <c r="F108" t="e">
        <f>D108-C108</f>
        <v>#N/A</v>
      </c>
    </row>
    <row r="109" spans="1:6" x14ac:dyDescent="0.25">
      <c r="A109" s="140" t="s">
        <v>1388</v>
      </c>
      <c r="B109" s="140" t="s">
        <v>1972</v>
      </c>
      <c r="C109" s="143">
        <v>0</v>
      </c>
      <c r="D109" s="129">
        <f>VLOOKUP(A109,'Current Stocks July-26'!B:K,9,0)</f>
        <v>0</v>
      </c>
      <c r="E109" s="129" t="b">
        <f t="shared" si="2"/>
        <v>1</v>
      </c>
      <c r="F109">
        <f>D109-C109</f>
        <v>0</v>
      </c>
    </row>
    <row r="110" spans="1:6" x14ac:dyDescent="0.25">
      <c r="A110" s="140" t="s">
        <v>1480</v>
      </c>
      <c r="B110" s="140" t="s">
        <v>1481</v>
      </c>
      <c r="C110" s="143">
        <v>0</v>
      </c>
      <c r="D110" s="129">
        <f>VLOOKUP(A110,'Current Stocks July-26'!B:K,9,0)</f>
        <v>0</v>
      </c>
      <c r="E110" s="129" t="b">
        <f t="shared" si="2"/>
        <v>1</v>
      </c>
    </row>
    <row r="111" spans="1:6" x14ac:dyDescent="0.25">
      <c r="A111" s="140" t="s">
        <v>691</v>
      </c>
      <c r="B111" s="140" t="s">
        <v>692</v>
      </c>
      <c r="C111" s="143">
        <v>0</v>
      </c>
      <c r="D111" s="129">
        <f>VLOOKUP(A111,'Current Stocks July-26'!B:K,9,0)</f>
        <v>0</v>
      </c>
      <c r="E111" s="129" t="b">
        <f t="shared" si="2"/>
        <v>1</v>
      </c>
    </row>
    <row r="112" spans="1:6" x14ac:dyDescent="0.25">
      <c r="A112" s="140" t="s">
        <v>1354</v>
      </c>
      <c r="B112" s="140" t="s">
        <v>1355</v>
      </c>
      <c r="C112" s="140">
        <v>180</v>
      </c>
      <c r="D112" s="129">
        <f>VLOOKUP(A112,'Current Stocks July-26'!B:K,9,0)</f>
        <v>0</v>
      </c>
      <c r="E112" s="129" t="b">
        <f t="shared" si="2"/>
        <v>0</v>
      </c>
      <c r="F112">
        <f>D112-C112</f>
        <v>-180</v>
      </c>
    </row>
    <row r="113" spans="1:6" x14ac:dyDescent="0.25">
      <c r="A113" s="140" t="s">
        <v>1354</v>
      </c>
      <c r="B113" s="140" t="s">
        <v>1355</v>
      </c>
      <c r="C113" s="140">
        <v>470</v>
      </c>
      <c r="D113" s="129">
        <f>VLOOKUP(A113,'Current Stocks July-26'!B:K,9,0)</f>
        <v>0</v>
      </c>
      <c r="E113" s="129" t="b">
        <f t="shared" si="2"/>
        <v>0</v>
      </c>
      <c r="F113">
        <f>D113-C113</f>
        <v>-470</v>
      </c>
    </row>
    <row r="114" spans="1:6" x14ac:dyDescent="0.25">
      <c r="A114" s="140" t="s">
        <v>1167</v>
      </c>
      <c r="B114" s="140" t="s">
        <v>1168</v>
      </c>
      <c r="C114" s="143">
        <v>0</v>
      </c>
      <c r="D114" s="129">
        <f>VLOOKUP(A114,'Current Stocks July-26'!B:K,9,0)</f>
        <v>0</v>
      </c>
      <c r="E114" s="129" t="b">
        <f t="shared" si="2"/>
        <v>1</v>
      </c>
      <c r="F114">
        <f>D114-C114</f>
        <v>0</v>
      </c>
    </row>
    <row r="115" spans="1:6" x14ac:dyDescent="0.25">
      <c r="A115" s="140" t="s">
        <v>1523</v>
      </c>
      <c r="B115" s="140" t="s">
        <v>1524</v>
      </c>
      <c r="C115" s="140">
        <v>36</v>
      </c>
      <c r="D115" s="129">
        <f>VLOOKUP(A115,'Current Stocks July-26'!B:K,9,0)</f>
        <v>0</v>
      </c>
      <c r="E115" s="129" t="b">
        <f t="shared" si="2"/>
        <v>0</v>
      </c>
    </row>
    <row r="116" spans="1:6" x14ac:dyDescent="0.25">
      <c r="A116" s="140" t="s">
        <v>1122</v>
      </c>
      <c r="B116" s="140" t="s">
        <v>1123</v>
      </c>
      <c r="C116" s="140">
        <v>100</v>
      </c>
      <c r="D116" s="129">
        <f>VLOOKUP(A116,'Current Stocks July-26'!B:K,9,0)</f>
        <v>0</v>
      </c>
      <c r="E116" s="129" t="b">
        <f t="shared" si="2"/>
        <v>0</v>
      </c>
    </row>
    <row r="117" spans="1:6" x14ac:dyDescent="0.25">
      <c r="A117" s="140" t="s">
        <v>851</v>
      </c>
      <c r="B117" s="140" t="s">
        <v>4997</v>
      </c>
      <c r="C117" s="140">
        <v>500</v>
      </c>
      <c r="D117" s="129">
        <f>VLOOKUP(A117,'Current Stocks July-26'!B:K,9,0)</f>
        <v>0</v>
      </c>
      <c r="E117" s="129" t="b">
        <f t="shared" si="2"/>
        <v>0</v>
      </c>
      <c r="F117">
        <f>D117-C117</f>
        <v>-500</v>
      </c>
    </row>
    <row r="118" spans="1:6" x14ac:dyDescent="0.25">
      <c r="A118" s="140" t="s">
        <v>716</v>
      </c>
      <c r="B118" s="140" t="s">
        <v>717</v>
      </c>
      <c r="C118" s="143">
        <v>0</v>
      </c>
      <c r="D118" s="129">
        <f>VLOOKUP(A118,'Current Stocks July-26'!B:K,9,0)</f>
        <v>0</v>
      </c>
      <c r="E118" s="129" t="b">
        <f t="shared" si="2"/>
        <v>1</v>
      </c>
      <c r="F118">
        <f>D118-C118</f>
        <v>0</v>
      </c>
    </row>
    <row r="119" spans="1:6" x14ac:dyDescent="0.25">
      <c r="A119" s="140" t="s">
        <v>1411</v>
      </c>
      <c r="B119" s="140" t="s">
        <v>4998</v>
      </c>
      <c r="C119" s="143">
        <v>0</v>
      </c>
      <c r="D119" s="129" t="e">
        <f>VLOOKUP(A119,'Current Stocks July-26'!B:K,9,0)</f>
        <v>#N/A</v>
      </c>
      <c r="E119" s="129" t="e">
        <f t="shared" si="2"/>
        <v>#N/A</v>
      </c>
      <c r="F119" t="e">
        <f>D119-C119</f>
        <v>#N/A</v>
      </c>
    </row>
    <row r="120" spans="1:6" x14ac:dyDescent="0.25">
      <c r="A120" s="140" t="s">
        <v>1202</v>
      </c>
      <c r="B120" s="140" t="s">
        <v>1203</v>
      </c>
      <c r="C120" s="140">
        <v>29.64</v>
      </c>
      <c r="D120" s="129">
        <f>VLOOKUP(A120,'Current Stocks July-26'!B:K,9,0)</f>
        <v>22.8</v>
      </c>
      <c r="E120" s="129" t="b">
        <f t="shared" si="2"/>
        <v>0</v>
      </c>
      <c r="F120">
        <f>D120-C120</f>
        <v>-6.84</v>
      </c>
    </row>
    <row r="121" spans="1:6" x14ac:dyDescent="0.25">
      <c r="A121" s="140" t="s">
        <v>1078</v>
      </c>
      <c r="B121" s="140" t="s">
        <v>1079</v>
      </c>
      <c r="C121" s="143">
        <v>0</v>
      </c>
      <c r="D121" s="129">
        <f>VLOOKUP(A121,'Current Stocks July-26'!B:K,9,0)</f>
        <v>0</v>
      </c>
      <c r="E121" s="129" t="b">
        <f t="shared" si="2"/>
        <v>1</v>
      </c>
      <c r="F121">
        <f>D121-C121</f>
        <v>0</v>
      </c>
    </row>
    <row r="122" spans="1:6" x14ac:dyDescent="0.25">
      <c r="A122" s="140" t="s">
        <v>402</v>
      </c>
      <c r="B122" s="140" t="s">
        <v>403</v>
      </c>
      <c r="C122" s="143">
        <v>0</v>
      </c>
      <c r="D122" s="129">
        <f>VLOOKUP(A122,'Current Stocks July-26'!B:K,9,0)</f>
        <v>0</v>
      </c>
      <c r="E122" s="129" t="b">
        <f t="shared" si="2"/>
        <v>1</v>
      </c>
    </row>
    <row r="123" spans="1:6" x14ac:dyDescent="0.25">
      <c r="A123" s="140" t="s">
        <v>1521</v>
      </c>
      <c r="B123" s="140" t="s">
        <v>1522</v>
      </c>
      <c r="C123" s="140">
        <v>1158.72</v>
      </c>
      <c r="D123" s="129">
        <f>VLOOKUP(A123,'Current Stocks July-26'!B:K,9,0)</f>
        <v>42.6</v>
      </c>
      <c r="E123" s="129" t="b">
        <f t="shared" si="2"/>
        <v>0</v>
      </c>
      <c r="F123">
        <f>D123-C123</f>
        <v>-1116.1200000000001</v>
      </c>
    </row>
    <row r="124" spans="1:6" x14ac:dyDescent="0.25">
      <c r="A124" s="140" t="s">
        <v>1493</v>
      </c>
      <c r="B124" s="140" t="s">
        <v>1494</v>
      </c>
      <c r="C124" s="143">
        <v>0</v>
      </c>
      <c r="D124" s="129" t="e">
        <f>VLOOKUP(A124,'Current Stocks July-26'!B:K,9,0)</f>
        <v>#N/A</v>
      </c>
      <c r="E124" s="129" t="e">
        <f t="shared" si="2"/>
        <v>#N/A</v>
      </c>
      <c r="F124" t="e">
        <f>D124-C124</f>
        <v>#N/A</v>
      </c>
    </row>
    <row r="125" spans="1:6" x14ac:dyDescent="0.25">
      <c r="A125" s="140" t="s">
        <v>1213</v>
      </c>
      <c r="B125" s="140" t="s">
        <v>1214</v>
      </c>
      <c r="C125" s="143">
        <v>0</v>
      </c>
      <c r="D125" s="129">
        <f>VLOOKUP(A125,'Current Stocks July-26'!B:K,9,0)</f>
        <v>0</v>
      </c>
      <c r="E125" s="129" t="b">
        <f t="shared" si="2"/>
        <v>1</v>
      </c>
      <c r="F125">
        <f>D125-C125</f>
        <v>0</v>
      </c>
    </row>
    <row r="126" spans="1:6" x14ac:dyDescent="0.25">
      <c r="A126" s="140" t="s">
        <v>1282</v>
      </c>
      <c r="B126" s="140" t="s">
        <v>1283</v>
      </c>
      <c r="C126" s="143">
        <v>0</v>
      </c>
      <c r="D126" s="129">
        <f>VLOOKUP(A126,'Current Stocks July-26'!B:K,9,0)</f>
        <v>0</v>
      </c>
      <c r="E126" s="129" t="b">
        <f t="shared" si="2"/>
        <v>1</v>
      </c>
      <c r="F126">
        <f>D126-C126</f>
        <v>0</v>
      </c>
    </row>
    <row r="127" spans="1:6" x14ac:dyDescent="0.25">
      <c r="A127" s="140" t="s">
        <v>1562</v>
      </c>
      <c r="B127" s="140" t="s">
        <v>1563</v>
      </c>
      <c r="C127" s="140">
        <v>100.8</v>
      </c>
      <c r="D127" s="129">
        <f>VLOOKUP(A127,'Current Stocks July-26'!B:K,9,0)</f>
        <v>0</v>
      </c>
      <c r="E127" s="129" t="b">
        <f t="shared" si="2"/>
        <v>0</v>
      </c>
      <c r="F127">
        <f>D127-C127</f>
        <v>-100.8</v>
      </c>
    </row>
    <row r="128" spans="1:6" x14ac:dyDescent="0.25">
      <c r="A128" s="140" t="s">
        <v>444</v>
      </c>
      <c r="B128" s="140" t="s">
        <v>445</v>
      </c>
      <c r="C128" s="143">
        <v>0</v>
      </c>
      <c r="D128" s="129">
        <f>VLOOKUP(A128,'Current Stocks July-26'!B:K,9,0)</f>
        <v>0</v>
      </c>
      <c r="E128" s="129" t="b">
        <f t="shared" si="2"/>
        <v>1</v>
      </c>
    </row>
    <row r="129" spans="1:6" x14ac:dyDescent="0.25">
      <c r="A129" s="140" t="s">
        <v>4999</v>
      </c>
      <c r="B129" s="140" t="s">
        <v>5000</v>
      </c>
      <c r="C129" s="143">
        <v>0</v>
      </c>
      <c r="D129" s="129" t="e">
        <f>VLOOKUP(A129,'Current Stocks July-26'!B:K,9,0)</f>
        <v>#N/A</v>
      </c>
      <c r="E129" s="129" t="e">
        <f t="shared" si="2"/>
        <v>#N/A</v>
      </c>
    </row>
    <row r="130" spans="1:6" x14ac:dyDescent="0.25">
      <c r="A130" s="140" t="s">
        <v>526</v>
      </c>
      <c r="B130" s="140" t="s">
        <v>527</v>
      </c>
      <c r="C130" s="143">
        <v>0</v>
      </c>
      <c r="D130" s="129">
        <f>VLOOKUP(A130,'Current Stocks July-26'!B:K,9,0)</f>
        <v>0</v>
      </c>
      <c r="E130" s="129" t="b">
        <f t="shared" si="2"/>
        <v>1</v>
      </c>
      <c r="F130">
        <f>D130-C130</f>
        <v>0</v>
      </c>
    </row>
    <row r="131" spans="1:6" x14ac:dyDescent="0.25">
      <c r="A131" s="140" t="s">
        <v>1211</v>
      </c>
      <c r="B131" s="140" t="s">
        <v>1212</v>
      </c>
      <c r="C131" s="143">
        <v>0</v>
      </c>
      <c r="D131" s="129">
        <f>VLOOKUP(A131,'Current Stocks July-26'!B:K,9,0)</f>
        <v>0</v>
      </c>
      <c r="E131" s="129" t="b">
        <f t="shared" ref="E131:E194" si="6">D131=C131</f>
        <v>1</v>
      </c>
      <c r="F131">
        <f>D131-C131</f>
        <v>0</v>
      </c>
    </row>
    <row r="132" spans="1:6" x14ac:dyDescent="0.25">
      <c r="A132" s="140" t="s">
        <v>1390</v>
      </c>
      <c r="B132" s="140" t="s">
        <v>1391</v>
      </c>
      <c r="C132" s="143">
        <v>0</v>
      </c>
      <c r="D132" s="129" t="e">
        <f>VLOOKUP(A132,'Current Stocks July-26'!B:K,9,0)</f>
        <v>#N/A</v>
      </c>
      <c r="E132" s="129" t="e">
        <f t="shared" si="6"/>
        <v>#N/A</v>
      </c>
      <c r="F132" t="e">
        <f>D132-C132</f>
        <v>#N/A</v>
      </c>
    </row>
    <row r="133" spans="1:6" x14ac:dyDescent="0.25">
      <c r="A133" s="140" t="s">
        <v>477</v>
      </c>
      <c r="B133" s="140" t="s">
        <v>478</v>
      </c>
      <c r="C133" s="143">
        <v>0</v>
      </c>
      <c r="D133" s="129" t="e">
        <f>VLOOKUP(A133,'Current Stocks July-26'!B:K,9,0)</f>
        <v>#N/A</v>
      </c>
      <c r="E133" s="129" t="e">
        <f t="shared" si="6"/>
        <v>#N/A</v>
      </c>
    </row>
    <row r="134" spans="1:6" x14ac:dyDescent="0.25">
      <c r="A134" s="140" t="s">
        <v>480</v>
      </c>
      <c r="B134" s="140" t="s">
        <v>481</v>
      </c>
      <c r="C134" s="143">
        <v>0</v>
      </c>
      <c r="D134" s="129">
        <f>VLOOKUP(A134,'Current Stocks July-26'!B:K,9,0)</f>
        <v>0</v>
      </c>
      <c r="E134" s="129" t="b">
        <f t="shared" si="6"/>
        <v>1</v>
      </c>
      <c r="F134">
        <f t="shared" ref="F134:F147" si="7">D134-C134</f>
        <v>0</v>
      </c>
    </row>
    <row r="135" spans="1:6" x14ac:dyDescent="0.25">
      <c r="A135" s="140" t="s">
        <v>1460</v>
      </c>
      <c r="B135" s="140" t="s">
        <v>1461</v>
      </c>
      <c r="C135" s="140">
        <v>40.655999999999999</v>
      </c>
      <c r="D135" s="129">
        <f>VLOOKUP(A135,'Current Stocks July-26'!B:K,9,0)</f>
        <v>8.7119999999999997</v>
      </c>
      <c r="E135" s="129" t="b">
        <f t="shared" si="6"/>
        <v>0</v>
      </c>
      <c r="F135">
        <f t="shared" si="7"/>
        <v>-31.943999999999999</v>
      </c>
    </row>
    <row r="136" spans="1:6" x14ac:dyDescent="0.25">
      <c r="A136" s="140" t="s">
        <v>1242</v>
      </c>
      <c r="B136" s="140" t="s">
        <v>1243</v>
      </c>
      <c r="C136" s="140">
        <v>95</v>
      </c>
      <c r="D136" s="129">
        <f>VLOOKUP(A136,'Current Stocks July-26'!B:K,9,0)</f>
        <v>50</v>
      </c>
      <c r="E136" s="129" t="b">
        <f t="shared" si="6"/>
        <v>0</v>
      </c>
      <c r="F136">
        <f t="shared" si="7"/>
        <v>-45</v>
      </c>
    </row>
    <row r="137" spans="1:6" x14ac:dyDescent="0.25">
      <c r="A137" s="140" t="s">
        <v>1120</v>
      </c>
      <c r="B137" s="140" t="s">
        <v>1121</v>
      </c>
      <c r="C137" s="140">
        <v>2</v>
      </c>
      <c r="D137" s="129">
        <f>VLOOKUP(A137,'Current Stocks July-26'!B:K,9,0)</f>
        <v>0</v>
      </c>
      <c r="E137" s="129" t="b">
        <f t="shared" si="6"/>
        <v>0</v>
      </c>
      <c r="F137">
        <f t="shared" si="7"/>
        <v>-2</v>
      </c>
    </row>
    <row r="138" spans="1:6" x14ac:dyDescent="0.25">
      <c r="A138" s="140" t="s">
        <v>5001</v>
      </c>
      <c r="B138" s="140" t="s">
        <v>5002</v>
      </c>
      <c r="C138" s="143">
        <v>0</v>
      </c>
      <c r="D138" s="129" t="e">
        <f>VLOOKUP(A138,'Current Stocks July-26'!B:K,9,0)</f>
        <v>#N/A</v>
      </c>
      <c r="E138" s="129" t="e">
        <f t="shared" si="6"/>
        <v>#N/A</v>
      </c>
      <c r="F138" t="e">
        <f t="shared" si="7"/>
        <v>#N/A</v>
      </c>
    </row>
    <row r="139" spans="1:6" x14ac:dyDescent="0.25">
      <c r="A139" s="140" t="s">
        <v>1576</v>
      </c>
      <c r="B139" s="140" t="s">
        <v>1577</v>
      </c>
      <c r="C139" s="140">
        <v>90</v>
      </c>
      <c r="D139" s="129">
        <f>VLOOKUP(A139,'Current Stocks July-26'!B:K,9,0)</f>
        <v>0</v>
      </c>
      <c r="E139" s="129" t="b">
        <f t="shared" si="6"/>
        <v>0</v>
      </c>
      <c r="F139">
        <f t="shared" si="7"/>
        <v>-90</v>
      </c>
    </row>
    <row r="140" spans="1:6" x14ac:dyDescent="0.25">
      <c r="A140" s="140" t="s">
        <v>1136</v>
      </c>
      <c r="B140" s="140" t="s">
        <v>1137</v>
      </c>
      <c r="C140" s="143">
        <v>0</v>
      </c>
      <c r="D140" s="129">
        <f>VLOOKUP(A140,'Current Stocks July-26'!B:K,9,0)</f>
        <v>0</v>
      </c>
      <c r="E140" s="129" t="b">
        <f t="shared" si="6"/>
        <v>1</v>
      </c>
      <c r="F140">
        <f t="shared" si="7"/>
        <v>0</v>
      </c>
    </row>
    <row r="141" spans="1:6" x14ac:dyDescent="0.25">
      <c r="A141" s="140" t="s">
        <v>488</v>
      </c>
      <c r="B141" s="140" t="s">
        <v>489</v>
      </c>
      <c r="C141" s="143">
        <v>0</v>
      </c>
      <c r="D141" s="129">
        <f>VLOOKUP(A141,'Current Stocks July-26'!B:K,9,0)</f>
        <v>10</v>
      </c>
      <c r="E141" s="129" t="b">
        <f t="shared" si="6"/>
        <v>0</v>
      </c>
      <c r="F141">
        <f t="shared" si="7"/>
        <v>10</v>
      </c>
    </row>
    <row r="142" spans="1:6" x14ac:dyDescent="0.25">
      <c r="A142" s="140" t="s">
        <v>1272</v>
      </c>
      <c r="B142" s="140" t="s">
        <v>1273</v>
      </c>
      <c r="C142" s="143">
        <v>0</v>
      </c>
      <c r="D142" s="129">
        <f>VLOOKUP(A142,'Current Stocks July-26'!B:K,9,0)</f>
        <v>0</v>
      </c>
      <c r="E142" s="129" t="b">
        <f t="shared" si="6"/>
        <v>1</v>
      </c>
      <c r="F142">
        <f t="shared" si="7"/>
        <v>0</v>
      </c>
    </row>
    <row r="143" spans="1:6" x14ac:dyDescent="0.25">
      <c r="A143" s="140" t="s">
        <v>1236</v>
      </c>
      <c r="B143" s="140" t="s">
        <v>1237</v>
      </c>
      <c r="C143" s="143">
        <v>0</v>
      </c>
      <c r="D143" s="129">
        <f>VLOOKUP(A143,'Current Stocks July-26'!B:K,9,0)</f>
        <v>0</v>
      </c>
      <c r="E143" s="129" t="b">
        <f t="shared" si="6"/>
        <v>1</v>
      </c>
      <c r="F143">
        <f t="shared" si="7"/>
        <v>0</v>
      </c>
    </row>
    <row r="144" spans="1:6" x14ac:dyDescent="0.25">
      <c r="A144" s="140" t="s">
        <v>1513</v>
      </c>
      <c r="B144" s="140" t="s">
        <v>1514</v>
      </c>
      <c r="C144" s="143">
        <v>0</v>
      </c>
      <c r="D144" s="129">
        <f>VLOOKUP(A144,'Current Stocks July-26'!B:K,9,0)</f>
        <v>0</v>
      </c>
      <c r="E144" s="129" t="b">
        <f t="shared" si="6"/>
        <v>1</v>
      </c>
      <c r="F144">
        <f t="shared" si="7"/>
        <v>0</v>
      </c>
    </row>
    <row r="145" spans="1:6" x14ac:dyDescent="0.25">
      <c r="A145" s="140" t="s">
        <v>136</v>
      </c>
      <c r="B145" s="140" t="s">
        <v>137</v>
      </c>
      <c r="C145" s="140">
        <v>465</v>
      </c>
      <c r="D145" s="129">
        <f>VLOOKUP(A145,'Current Stocks July-26'!B:K,9,0)</f>
        <v>0</v>
      </c>
      <c r="E145" s="129" t="b">
        <f t="shared" si="6"/>
        <v>0</v>
      </c>
      <c r="F145">
        <f t="shared" si="7"/>
        <v>-465</v>
      </c>
    </row>
    <row r="146" spans="1:6" x14ac:dyDescent="0.25">
      <c r="A146" s="140" t="s">
        <v>1463</v>
      </c>
      <c r="B146" s="140" t="s">
        <v>1464</v>
      </c>
      <c r="C146" s="140">
        <v>86.94</v>
      </c>
      <c r="D146" s="129">
        <f>VLOOKUP(A146,'Current Stocks July-26'!B:K,9,0)</f>
        <v>19</v>
      </c>
      <c r="E146" s="129" t="b">
        <f t="shared" si="6"/>
        <v>0</v>
      </c>
      <c r="F146">
        <f t="shared" si="7"/>
        <v>-67.94</v>
      </c>
    </row>
    <row r="147" spans="1:6" x14ac:dyDescent="0.25">
      <c r="A147" s="140" t="s">
        <v>86</v>
      </c>
      <c r="B147" s="140" t="s">
        <v>87</v>
      </c>
      <c r="C147" s="140">
        <v>790</v>
      </c>
      <c r="D147" s="129">
        <f>VLOOKUP(A147,'Current Stocks July-26'!B:K,9,0)</f>
        <v>650</v>
      </c>
      <c r="E147" s="129" t="b">
        <f t="shared" si="6"/>
        <v>0</v>
      </c>
      <c r="F147">
        <f t="shared" si="7"/>
        <v>-140</v>
      </c>
    </row>
    <row r="148" spans="1:6" x14ac:dyDescent="0.25">
      <c r="A148" s="140" t="s">
        <v>407</v>
      </c>
      <c r="B148" s="140" t="s">
        <v>5003</v>
      </c>
      <c r="C148" s="143">
        <v>0</v>
      </c>
      <c r="D148" s="129" t="e">
        <f>VLOOKUP(A148,'Current Stocks July-26'!B:K,9,0)</f>
        <v>#N/A</v>
      </c>
      <c r="E148" s="129" t="e">
        <f t="shared" si="6"/>
        <v>#N/A</v>
      </c>
    </row>
    <row r="149" spans="1:6" x14ac:dyDescent="0.25">
      <c r="A149" s="140" t="s">
        <v>449</v>
      </c>
      <c r="B149" s="140" t="s">
        <v>450</v>
      </c>
      <c r="C149" s="143">
        <v>0</v>
      </c>
      <c r="D149" s="129">
        <f>VLOOKUP(A149,'Current Stocks July-26'!B:K,9,0)</f>
        <v>0</v>
      </c>
      <c r="E149" s="129" t="b">
        <f t="shared" si="6"/>
        <v>1</v>
      </c>
    </row>
    <row r="150" spans="1:6" x14ac:dyDescent="0.25">
      <c r="A150" s="140" t="s">
        <v>1175</v>
      </c>
      <c r="B150" s="140" t="s">
        <v>1176</v>
      </c>
      <c r="C150" s="140">
        <v>1125</v>
      </c>
      <c r="D150" s="129">
        <f>VLOOKUP(A150,'Current Stocks July-26'!B:K,9,0)</f>
        <v>570</v>
      </c>
      <c r="E150" s="129" t="b">
        <f t="shared" si="6"/>
        <v>0</v>
      </c>
      <c r="F150">
        <f>D150-C150</f>
        <v>-555</v>
      </c>
    </row>
    <row r="151" spans="1:6" x14ac:dyDescent="0.25">
      <c r="A151" s="140" t="s">
        <v>4348</v>
      </c>
      <c r="B151" s="140" t="s">
        <v>5004</v>
      </c>
      <c r="C151" s="143">
        <v>0</v>
      </c>
      <c r="D151" s="129">
        <f>VLOOKUP(A151,'Current Stocks July-26'!B:K,9,0)</f>
        <v>282.88</v>
      </c>
      <c r="E151" s="129" t="b">
        <f t="shared" si="6"/>
        <v>0</v>
      </c>
      <c r="F151">
        <f>D151-C151</f>
        <v>282.88</v>
      </c>
    </row>
    <row r="152" spans="1:6" x14ac:dyDescent="0.25">
      <c r="A152" s="140" t="s">
        <v>1330</v>
      </c>
      <c r="B152" s="140" t="s">
        <v>1331</v>
      </c>
      <c r="C152" s="140">
        <v>440</v>
      </c>
      <c r="D152" s="129">
        <f>VLOOKUP(A152,'Current Stocks July-26'!B:K,9,0)</f>
        <v>0</v>
      </c>
      <c r="E152" s="129" t="b">
        <f t="shared" si="6"/>
        <v>0</v>
      </c>
      <c r="F152">
        <f>D152-C152</f>
        <v>-440</v>
      </c>
    </row>
    <row r="153" spans="1:6" x14ac:dyDescent="0.25">
      <c r="A153" s="140" t="s">
        <v>502</v>
      </c>
      <c r="B153" s="140" t="s">
        <v>503</v>
      </c>
      <c r="C153" s="140">
        <v>39.200000000000003</v>
      </c>
      <c r="D153" s="129">
        <f>VLOOKUP(A153,'Current Stocks July-26'!B:K,9,0)</f>
        <v>0</v>
      </c>
      <c r="E153" s="129" t="b">
        <f t="shared" si="6"/>
        <v>0</v>
      </c>
      <c r="F153">
        <f>D153-C153</f>
        <v>-39.200000000000003</v>
      </c>
    </row>
    <row r="154" spans="1:6" x14ac:dyDescent="0.25">
      <c r="A154" s="140" t="s">
        <v>505</v>
      </c>
      <c r="B154" s="140" t="s">
        <v>506</v>
      </c>
      <c r="C154" s="143">
        <v>0</v>
      </c>
      <c r="D154" s="129" t="e">
        <f>VLOOKUP(A154,'Current Stocks July-26'!B:K,9,0)</f>
        <v>#N/A</v>
      </c>
      <c r="E154" s="129" t="e">
        <f t="shared" si="6"/>
        <v>#N/A</v>
      </c>
    </row>
    <row r="155" spans="1:6" x14ac:dyDescent="0.25">
      <c r="A155" s="140" t="s">
        <v>410</v>
      </c>
      <c r="B155" s="140" t="s">
        <v>411</v>
      </c>
      <c r="C155" s="143">
        <v>0</v>
      </c>
      <c r="D155" s="129" t="e">
        <f>VLOOKUP(A155,'Current Stocks July-26'!B:K,9,0)</f>
        <v>#N/A</v>
      </c>
      <c r="E155" s="129" t="e">
        <f t="shared" si="6"/>
        <v>#N/A</v>
      </c>
    </row>
    <row r="156" spans="1:6" x14ac:dyDescent="0.25">
      <c r="A156" s="140" t="s">
        <v>1443</v>
      </c>
      <c r="B156" s="140" t="s">
        <v>1444</v>
      </c>
      <c r="C156" s="143">
        <v>0</v>
      </c>
      <c r="D156" s="129">
        <f>VLOOKUP(A156,'Current Stocks July-26'!B:K,9,0)</f>
        <v>0</v>
      </c>
      <c r="E156" s="129" t="b">
        <f t="shared" si="6"/>
        <v>1</v>
      </c>
      <c r="F156">
        <f>D156-C156</f>
        <v>0</v>
      </c>
    </row>
    <row r="157" spans="1:6" x14ac:dyDescent="0.25">
      <c r="A157" s="140" t="s">
        <v>700</v>
      </c>
      <c r="B157" s="140" t="s">
        <v>701</v>
      </c>
      <c r="C157" s="143">
        <v>0</v>
      </c>
      <c r="D157" s="129">
        <f>VLOOKUP(A157,'Current Stocks July-26'!B:K,9,0)</f>
        <v>0</v>
      </c>
      <c r="E157" s="129" t="b">
        <f t="shared" si="6"/>
        <v>1</v>
      </c>
    </row>
    <row r="158" spans="1:6" x14ac:dyDescent="0.25">
      <c r="A158" s="140" t="s">
        <v>390</v>
      </c>
      <c r="B158" s="140" t="s">
        <v>391</v>
      </c>
      <c r="C158" s="143">
        <v>0</v>
      </c>
      <c r="D158" s="129">
        <f>VLOOKUP(A158,'Current Stocks July-26'!B:K,9,0)</f>
        <v>0</v>
      </c>
      <c r="E158" s="129" t="b">
        <f t="shared" si="6"/>
        <v>1</v>
      </c>
    </row>
    <row r="159" spans="1:6" x14ac:dyDescent="0.25">
      <c r="A159" s="140" t="s">
        <v>499</v>
      </c>
      <c r="B159" s="140" t="s">
        <v>500</v>
      </c>
      <c r="C159" s="143">
        <v>0</v>
      </c>
      <c r="D159" s="129">
        <f>VLOOKUP(A159,'Current Stocks July-26'!B:K,9,0)</f>
        <v>0</v>
      </c>
      <c r="E159" s="129" t="b">
        <f t="shared" si="6"/>
        <v>1</v>
      </c>
    </row>
    <row r="160" spans="1:6" x14ac:dyDescent="0.25">
      <c r="A160" s="140" t="s">
        <v>51</v>
      </c>
      <c r="B160" s="140" t="s">
        <v>52</v>
      </c>
      <c r="C160" s="140">
        <v>1192.6300000000001</v>
      </c>
      <c r="D160" s="129">
        <f>VLOOKUP(A160,'Current Stocks July-26'!B:K,9,0)</f>
        <v>0</v>
      </c>
      <c r="E160" s="129" t="b">
        <f t="shared" si="6"/>
        <v>0</v>
      </c>
      <c r="F160">
        <f t="shared" ref="F160:F167" si="8">D160-C160</f>
        <v>-1192.6300000000001</v>
      </c>
    </row>
    <row r="161" spans="1:6" x14ac:dyDescent="0.25">
      <c r="A161" s="140" t="s">
        <v>1094</v>
      </c>
      <c r="B161" s="140" t="s">
        <v>1095</v>
      </c>
      <c r="C161" s="143">
        <v>0</v>
      </c>
      <c r="D161" s="129">
        <f>VLOOKUP(A161,'Current Stocks July-26'!B:K,9,0)</f>
        <v>0</v>
      </c>
      <c r="E161" s="129" t="b">
        <f t="shared" si="6"/>
        <v>1</v>
      </c>
      <c r="F161">
        <f t="shared" si="8"/>
        <v>0</v>
      </c>
    </row>
    <row r="162" spans="1:6" x14ac:dyDescent="0.25">
      <c r="A162" s="140" t="s">
        <v>55</v>
      </c>
      <c r="B162" s="140" t="s">
        <v>56</v>
      </c>
      <c r="C162" s="143">
        <v>0</v>
      </c>
      <c r="D162" s="129" t="e">
        <f>VLOOKUP(A162,'Current Stocks July-26'!B:K,9,0)</f>
        <v>#N/A</v>
      </c>
      <c r="E162" s="129" t="e">
        <f t="shared" si="6"/>
        <v>#N/A</v>
      </c>
      <c r="F162" t="e">
        <f t="shared" si="8"/>
        <v>#N/A</v>
      </c>
    </row>
    <row r="163" spans="1:6" x14ac:dyDescent="0.25">
      <c r="A163" s="140" t="s">
        <v>68</v>
      </c>
      <c r="B163" s="140" t="s">
        <v>69</v>
      </c>
      <c r="C163" s="140">
        <v>740</v>
      </c>
      <c r="D163" s="129">
        <f>VLOOKUP(A163,'Current Stocks July-26'!B:K,9,0)</f>
        <v>0</v>
      </c>
      <c r="E163" s="129" t="b">
        <f t="shared" si="6"/>
        <v>0</v>
      </c>
      <c r="F163">
        <f t="shared" si="8"/>
        <v>-740</v>
      </c>
    </row>
    <row r="164" spans="1:6" x14ac:dyDescent="0.25">
      <c r="A164" s="140" t="s">
        <v>749</v>
      </c>
      <c r="B164" s="140" t="s">
        <v>750</v>
      </c>
      <c r="C164" s="140">
        <v>150</v>
      </c>
      <c r="D164" s="129">
        <f>VLOOKUP(A164,'Current Stocks July-26'!B:K,9,0)</f>
        <v>0</v>
      </c>
      <c r="E164" s="129" t="b">
        <f t="shared" si="6"/>
        <v>0</v>
      </c>
      <c r="F164">
        <f t="shared" si="8"/>
        <v>-150</v>
      </c>
    </row>
    <row r="165" spans="1:6" x14ac:dyDescent="0.25">
      <c r="A165" s="140" t="s">
        <v>485</v>
      </c>
      <c r="B165" s="140" t="s">
        <v>486</v>
      </c>
      <c r="C165" s="140">
        <v>50</v>
      </c>
      <c r="D165" s="129">
        <f>VLOOKUP(A165,'Current Stocks July-26'!B:K,9,0)</f>
        <v>0</v>
      </c>
      <c r="E165" s="129" t="b">
        <f t="shared" si="6"/>
        <v>0</v>
      </c>
      <c r="F165">
        <f t="shared" si="8"/>
        <v>-50</v>
      </c>
    </row>
    <row r="166" spans="1:6" x14ac:dyDescent="0.25">
      <c r="A166" s="140" t="s">
        <v>114</v>
      </c>
      <c r="B166" s="140" t="s">
        <v>115</v>
      </c>
      <c r="C166" s="140">
        <v>90.72</v>
      </c>
      <c r="D166" s="129">
        <f>VLOOKUP(A166,'Current Stocks July-26'!B:K,9,0)</f>
        <v>0</v>
      </c>
      <c r="E166" s="129" t="b">
        <f t="shared" si="6"/>
        <v>0</v>
      </c>
      <c r="F166">
        <f t="shared" si="8"/>
        <v>-90.72</v>
      </c>
    </row>
    <row r="167" spans="1:6" x14ac:dyDescent="0.25">
      <c r="A167" s="140" t="s">
        <v>131</v>
      </c>
      <c r="B167" s="140" t="s">
        <v>132</v>
      </c>
      <c r="C167" s="143">
        <v>0</v>
      </c>
      <c r="D167" s="129">
        <f>VLOOKUP(A167,'Current Stocks July-26'!B:K,9,0)</f>
        <v>0</v>
      </c>
      <c r="E167" s="129" t="b">
        <f t="shared" si="6"/>
        <v>1</v>
      </c>
      <c r="F167">
        <f t="shared" si="8"/>
        <v>0</v>
      </c>
    </row>
    <row r="168" spans="1:6" x14ac:dyDescent="0.25">
      <c r="A168" s="140" t="s">
        <v>483</v>
      </c>
      <c r="B168" s="140" t="s">
        <v>484</v>
      </c>
      <c r="C168" s="140">
        <v>40</v>
      </c>
      <c r="D168" s="129">
        <f>VLOOKUP(A168,'Current Stocks July-26'!B:K,9,0)</f>
        <v>0</v>
      </c>
      <c r="E168" s="129" t="b">
        <f t="shared" si="6"/>
        <v>0</v>
      </c>
    </row>
    <row r="169" spans="1:6" x14ac:dyDescent="0.25">
      <c r="A169" s="140" t="s">
        <v>74</v>
      </c>
      <c r="B169" s="140" t="s">
        <v>2014</v>
      </c>
      <c r="C169" s="140">
        <v>280</v>
      </c>
      <c r="D169" s="129">
        <f>VLOOKUP(A169,'Current Stocks July-26'!B:K,9,0)</f>
        <v>20</v>
      </c>
      <c r="E169" s="129" t="b">
        <f t="shared" si="6"/>
        <v>0</v>
      </c>
    </row>
    <row r="170" spans="1:6" x14ac:dyDescent="0.25">
      <c r="A170" s="140" t="s">
        <v>1360</v>
      </c>
      <c r="B170" s="140" t="s">
        <v>1361</v>
      </c>
      <c r="C170" s="140">
        <v>1620</v>
      </c>
      <c r="D170" s="129">
        <f>VLOOKUP(A170,'Current Stocks July-26'!B:K,9,0)</f>
        <v>0</v>
      </c>
      <c r="E170" s="129" t="b">
        <f t="shared" si="6"/>
        <v>0</v>
      </c>
      <c r="F170">
        <f>D170-C170</f>
        <v>-1620</v>
      </c>
    </row>
    <row r="171" spans="1:6" x14ac:dyDescent="0.25">
      <c r="A171" s="140" t="s">
        <v>447</v>
      </c>
      <c r="B171" s="140" t="s">
        <v>448</v>
      </c>
      <c r="C171" s="143">
        <v>0</v>
      </c>
      <c r="D171" s="129" t="e">
        <f>VLOOKUP(A171,'Current Stocks July-26'!B:K,9,0)</f>
        <v>#N/A</v>
      </c>
      <c r="E171" s="129" t="e">
        <f t="shared" si="6"/>
        <v>#N/A</v>
      </c>
    </row>
    <row r="172" spans="1:6" x14ac:dyDescent="0.25">
      <c r="A172" s="140" t="s">
        <v>1533</v>
      </c>
      <c r="B172" s="140" t="s">
        <v>1534</v>
      </c>
      <c r="C172" s="140">
        <v>54</v>
      </c>
      <c r="D172" s="129">
        <f>VLOOKUP(A172,'Current Stocks July-26'!B:K,9,0)</f>
        <v>0</v>
      </c>
      <c r="E172" s="129" t="b">
        <f t="shared" si="6"/>
        <v>0</v>
      </c>
    </row>
    <row r="173" spans="1:6" x14ac:dyDescent="0.25">
      <c r="A173" s="140" t="s">
        <v>111</v>
      </c>
      <c r="B173" s="140" t="s">
        <v>112</v>
      </c>
      <c r="C173" s="140">
        <v>336</v>
      </c>
      <c r="D173" s="129">
        <f>VLOOKUP(A173,'Current Stocks July-26'!B:K,9,0)</f>
        <v>1050</v>
      </c>
      <c r="E173" s="129" t="b">
        <f t="shared" si="6"/>
        <v>0</v>
      </c>
      <c r="F173">
        <f>D173-C173</f>
        <v>714</v>
      </c>
    </row>
    <row r="174" spans="1:6" x14ac:dyDescent="0.25">
      <c r="A174" s="140" t="s">
        <v>1110</v>
      </c>
      <c r="B174" s="140" t="s">
        <v>1111</v>
      </c>
      <c r="C174" s="140">
        <v>90</v>
      </c>
      <c r="D174" s="129">
        <f>VLOOKUP(A174,'Current Stocks July-26'!B:K,9,0)</f>
        <v>0</v>
      </c>
      <c r="E174" s="129" t="b">
        <f t="shared" si="6"/>
        <v>0</v>
      </c>
      <c r="F174">
        <f>D174-C174</f>
        <v>-90</v>
      </c>
    </row>
    <row r="175" spans="1:6" x14ac:dyDescent="0.25">
      <c r="A175" s="140" t="s">
        <v>812</v>
      </c>
      <c r="B175" s="140" t="s">
        <v>813</v>
      </c>
      <c r="C175" s="143">
        <v>0</v>
      </c>
      <c r="D175" s="129">
        <f>VLOOKUP(A175,'Current Stocks July-26'!B:K,9,0)</f>
        <v>0</v>
      </c>
      <c r="E175" s="129" t="b">
        <f t="shared" si="6"/>
        <v>1</v>
      </c>
      <c r="F175">
        <f>D175-C175</f>
        <v>0</v>
      </c>
    </row>
    <row r="176" spans="1:6" x14ac:dyDescent="0.25">
      <c r="A176" s="140" t="s">
        <v>385</v>
      </c>
      <c r="B176" s="140" t="s">
        <v>386</v>
      </c>
      <c r="C176" s="143">
        <v>0</v>
      </c>
      <c r="D176" s="129" t="e">
        <f>VLOOKUP(A176,'Current Stocks July-26'!B:K,9,0)</f>
        <v>#N/A</v>
      </c>
      <c r="E176" s="129" t="e">
        <f t="shared" si="6"/>
        <v>#N/A</v>
      </c>
    </row>
    <row r="177" spans="1:6" x14ac:dyDescent="0.25">
      <c r="A177" s="140" t="s">
        <v>1416</v>
      </c>
      <c r="B177" s="140" t="s">
        <v>1417</v>
      </c>
      <c r="C177" s="143">
        <v>0</v>
      </c>
      <c r="D177" s="129">
        <f>VLOOKUP(A177,'Current Stocks July-26'!B:K,9,0)</f>
        <v>0</v>
      </c>
      <c r="E177" s="129" t="b">
        <f t="shared" si="6"/>
        <v>1</v>
      </c>
    </row>
    <row r="178" spans="1:6" x14ac:dyDescent="0.25">
      <c r="A178" s="140" t="s">
        <v>1466</v>
      </c>
      <c r="B178" s="140" t="s">
        <v>1467</v>
      </c>
      <c r="C178" s="143">
        <v>0</v>
      </c>
      <c r="D178" s="129">
        <f>VLOOKUP(A178,'Current Stocks July-26'!B:K,9,0)</f>
        <v>17000</v>
      </c>
      <c r="E178" s="129" t="b">
        <f t="shared" si="6"/>
        <v>0</v>
      </c>
      <c r="F178">
        <f>D178-C178</f>
        <v>17000</v>
      </c>
    </row>
    <row r="179" spans="1:6" x14ac:dyDescent="0.25">
      <c r="A179" s="140" t="s">
        <v>1185</v>
      </c>
      <c r="B179" s="140" t="s">
        <v>1186</v>
      </c>
      <c r="C179" s="143">
        <v>0</v>
      </c>
      <c r="D179" s="129">
        <f>VLOOKUP(A179,'Current Stocks July-26'!B:K,9,0)</f>
        <v>480</v>
      </c>
      <c r="E179" s="129" t="b">
        <f t="shared" si="6"/>
        <v>0</v>
      </c>
      <c r="F179">
        <f>D179-C179</f>
        <v>480</v>
      </c>
    </row>
    <row r="180" spans="1:6" x14ac:dyDescent="0.25">
      <c r="A180" s="140" t="s">
        <v>404</v>
      </c>
      <c r="B180" s="140" t="s">
        <v>405</v>
      </c>
      <c r="C180" s="143">
        <v>0</v>
      </c>
      <c r="D180" s="129">
        <f>VLOOKUP(A180,'Current Stocks July-26'!B:K,9,0)</f>
        <v>0</v>
      </c>
      <c r="E180" s="129" t="b">
        <f t="shared" si="6"/>
        <v>1</v>
      </c>
    </row>
    <row r="181" spans="1:6" x14ac:dyDescent="0.25">
      <c r="A181" s="140" t="s">
        <v>1021</v>
      </c>
      <c r="B181" s="140" t="s">
        <v>1022</v>
      </c>
      <c r="C181" s="143">
        <v>0</v>
      </c>
      <c r="D181" s="129">
        <f>VLOOKUP(A181,'Current Stocks July-26'!B:K,9,0)</f>
        <v>0</v>
      </c>
      <c r="E181" s="129" t="b">
        <f t="shared" si="6"/>
        <v>1</v>
      </c>
    </row>
    <row r="182" spans="1:6" x14ac:dyDescent="0.25">
      <c r="A182" s="140" t="s">
        <v>1547</v>
      </c>
      <c r="B182" s="140" t="s">
        <v>2008</v>
      </c>
      <c r="C182" s="140">
        <v>60</v>
      </c>
      <c r="D182" s="129">
        <f>VLOOKUP(A182,'Current Stocks July-26'!B:K,9,0)</f>
        <v>10</v>
      </c>
      <c r="E182" s="129" t="b">
        <f t="shared" si="6"/>
        <v>0</v>
      </c>
      <c r="F182">
        <f t="shared" ref="F182:F188" si="9">D182-C182</f>
        <v>-50</v>
      </c>
    </row>
    <row r="183" spans="1:6" x14ac:dyDescent="0.25">
      <c r="A183" s="140" t="s">
        <v>5005</v>
      </c>
      <c r="B183" s="140" t="s">
        <v>5006</v>
      </c>
      <c r="C183" s="140">
        <v>300</v>
      </c>
      <c r="D183" s="129" t="e">
        <f>VLOOKUP(A183,'Current Stocks July-26'!B:K,9,0)</f>
        <v>#N/A</v>
      </c>
      <c r="E183" s="129" t="e">
        <f t="shared" si="6"/>
        <v>#N/A</v>
      </c>
      <c r="F183" t="e">
        <f t="shared" si="9"/>
        <v>#N/A</v>
      </c>
    </row>
    <row r="184" spans="1:6" x14ac:dyDescent="0.25">
      <c r="A184" s="140" t="s">
        <v>874</v>
      </c>
      <c r="B184" s="140" t="s">
        <v>5007</v>
      </c>
      <c r="C184" s="143">
        <v>0</v>
      </c>
      <c r="D184" s="129">
        <f>VLOOKUP(A184,'Current Stocks July-26'!B:K,9,0)</f>
        <v>140</v>
      </c>
      <c r="E184" s="129" t="b">
        <f t="shared" si="6"/>
        <v>0</v>
      </c>
      <c r="F184">
        <f t="shared" si="9"/>
        <v>140</v>
      </c>
    </row>
    <row r="185" spans="1:6" x14ac:dyDescent="0.25">
      <c r="A185" s="140" t="s">
        <v>1352</v>
      </c>
      <c r="B185" s="140" t="s">
        <v>1353</v>
      </c>
      <c r="C185" s="143">
        <v>0</v>
      </c>
      <c r="D185" s="129">
        <f>VLOOKUP(A185,'Current Stocks July-26'!B:K,9,0)</f>
        <v>24</v>
      </c>
      <c r="E185" s="129" t="b">
        <f t="shared" si="6"/>
        <v>0</v>
      </c>
      <c r="F185">
        <f t="shared" si="9"/>
        <v>24</v>
      </c>
    </row>
    <row r="186" spans="1:6" x14ac:dyDescent="0.25">
      <c r="A186" s="140" t="s">
        <v>987</v>
      </c>
      <c r="B186" s="140" t="s">
        <v>988</v>
      </c>
      <c r="C186" s="140">
        <v>288</v>
      </c>
      <c r="D186" s="129">
        <f>VLOOKUP(A186,'Current Stocks July-26'!B:K,9,0)</f>
        <v>120</v>
      </c>
      <c r="E186" s="129" t="b">
        <f t="shared" si="6"/>
        <v>0</v>
      </c>
      <c r="F186">
        <f t="shared" si="9"/>
        <v>-168</v>
      </c>
    </row>
    <row r="187" spans="1:6" x14ac:dyDescent="0.25">
      <c r="A187" s="140" t="s">
        <v>865</v>
      </c>
      <c r="B187" s="140" t="s">
        <v>866</v>
      </c>
      <c r="C187" s="140">
        <v>276</v>
      </c>
      <c r="D187" s="129">
        <f>VLOOKUP(A187,'Current Stocks July-26'!B:K,9,0)</f>
        <v>200</v>
      </c>
      <c r="E187" s="129" t="b">
        <f t="shared" si="6"/>
        <v>0</v>
      </c>
      <c r="F187">
        <f t="shared" si="9"/>
        <v>-76</v>
      </c>
    </row>
    <row r="188" spans="1:6" x14ac:dyDescent="0.25">
      <c r="A188" s="140" t="s">
        <v>1181</v>
      </c>
      <c r="B188" s="140" t="s">
        <v>1182</v>
      </c>
      <c r="C188" s="140">
        <v>182</v>
      </c>
      <c r="D188" s="129">
        <f>VLOOKUP(A188,'Current Stocks July-26'!B:K,9,0)</f>
        <v>84</v>
      </c>
      <c r="E188" s="129" t="b">
        <f t="shared" si="6"/>
        <v>0</v>
      </c>
      <c r="F188">
        <f t="shared" si="9"/>
        <v>-98</v>
      </c>
    </row>
    <row r="189" spans="1:6" x14ac:dyDescent="0.25">
      <c r="A189" s="140" t="s">
        <v>461</v>
      </c>
      <c r="B189" s="140" t="s">
        <v>462</v>
      </c>
      <c r="C189" s="143">
        <v>0</v>
      </c>
      <c r="D189" s="129" t="e">
        <f>VLOOKUP(A189,'Current Stocks July-26'!B:K,9,0)</f>
        <v>#N/A</v>
      </c>
      <c r="E189" s="129" t="e">
        <f t="shared" si="6"/>
        <v>#N/A</v>
      </c>
    </row>
    <row r="190" spans="1:6" x14ac:dyDescent="0.25">
      <c r="A190" s="140" t="s">
        <v>472</v>
      </c>
      <c r="B190" s="140" t="s">
        <v>473</v>
      </c>
      <c r="C190" s="143">
        <v>0</v>
      </c>
      <c r="D190" s="129" t="e">
        <f>VLOOKUP(A190,'Current Stocks July-26'!B:K,9,0)</f>
        <v>#N/A</v>
      </c>
      <c r="E190" s="129" t="e">
        <f t="shared" si="6"/>
        <v>#N/A</v>
      </c>
    </row>
    <row r="191" spans="1:6" x14ac:dyDescent="0.25">
      <c r="A191" s="140" t="s">
        <v>5008</v>
      </c>
      <c r="B191" s="140" t="s">
        <v>5009</v>
      </c>
      <c r="C191" s="143">
        <v>0</v>
      </c>
      <c r="D191" s="129" t="e">
        <f>VLOOKUP(A191,'Current Stocks July-26'!B:K,9,0)</f>
        <v>#N/A</v>
      </c>
      <c r="E191" s="129" t="e">
        <f t="shared" si="6"/>
        <v>#N/A</v>
      </c>
    </row>
    <row r="192" spans="1:6" x14ac:dyDescent="0.25">
      <c r="A192" s="140" t="s">
        <v>824</v>
      </c>
      <c r="B192" s="140" t="s">
        <v>825</v>
      </c>
      <c r="C192" s="140">
        <v>231</v>
      </c>
      <c r="D192" s="129">
        <f>VLOOKUP(A192,'Current Stocks July-26'!B:K,9,0)</f>
        <v>80</v>
      </c>
      <c r="E192" s="129" t="b">
        <f t="shared" si="6"/>
        <v>0</v>
      </c>
      <c r="F192">
        <f>D192-C192</f>
        <v>-151</v>
      </c>
    </row>
    <row r="193" spans="1:6" x14ac:dyDescent="0.25">
      <c r="A193" s="140" t="s">
        <v>1365</v>
      </c>
      <c r="B193" s="140" t="s">
        <v>1366</v>
      </c>
      <c r="C193" s="140">
        <f>1380*30</f>
        <v>41400</v>
      </c>
      <c r="D193" s="129">
        <f>VLOOKUP(A193,'Current Stocks July-26'!B:K,9,0)</f>
        <v>57200</v>
      </c>
      <c r="E193" s="129" t="b">
        <f t="shared" si="6"/>
        <v>0</v>
      </c>
      <c r="F193">
        <f>D193-C193</f>
        <v>15800</v>
      </c>
    </row>
    <row r="194" spans="1:6" x14ac:dyDescent="0.25">
      <c r="A194" s="140" t="s">
        <v>827</v>
      </c>
      <c r="B194" s="140" t="s">
        <v>828</v>
      </c>
      <c r="C194" s="143">
        <v>0</v>
      </c>
      <c r="D194" s="129">
        <f>VLOOKUP(A194,'Current Stocks July-26'!B:K,9,0)</f>
        <v>0</v>
      </c>
      <c r="E194" s="129" t="b">
        <f t="shared" si="6"/>
        <v>1</v>
      </c>
    </row>
    <row r="195" spans="1:6" x14ac:dyDescent="0.25">
      <c r="A195" s="140" t="s">
        <v>938</v>
      </c>
      <c r="B195" s="140" t="s">
        <v>1777</v>
      </c>
      <c r="C195" s="143">
        <v>0</v>
      </c>
      <c r="D195" s="129">
        <f>VLOOKUP(A195,'Current Stocks July-26'!B:K,9,0)</f>
        <v>0</v>
      </c>
      <c r="E195" s="129" t="b">
        <f t="shared" ref="E195:E251" si="10">D195=C195</f>
        <v>1</v>
      </c>
      <c r="F195">
        <f>D195-C195</f>
        <v>0</v>
      </c>
    </row>
    <row r="196" spans="1:6" x14ac:dyDescent="0.25">
      <c r="A196" s="140" t="s">
        <v>1487</v>
      </c>
      <c r="B196" s="140" t="s">
        <v>1488</v>
      </c>
      <c r="C196" s="140">
        <v>65.52</v>
      </c>
      <c r="D196" s="129" t="e">
        <f>VLOOKUP(A196,'Current Stocks July-26'!B:K,9,0)</f>
        <v>#N/A</v>
      </c>
      <c r="E196" s="129" t="e">
        <f t="shared" si="10"/>
        <v>#N/A</v>
      </c>
    </row>
    <row r="197" spans="1:6" x14ac:dyDescent="0.25">
      <c r="A197" s="140" t="s">
        <v>427</v>
      </c>
      <c r="B197" s="140" t="s">
        <v>428</v>
      </c>
      <c r="C197" s="143">
        <v>0</v>
      </c>
      <c r="D197" s="129" t="e">
        <f>VLOOKUP(A197,'Current Stocks July-26'!B:K,9,0)</f>
        <v>#N/A</v>
      </c>
      <c r="E197" s="129" t="e">
        <f t="shared" si="10"/>
        <v>#N/A</v>
      </c>
    </row>
    <row r="198" spans="1:6" x14ac:dyDescent="0.25">
      <c r="A198" s="140" t="s">
        <v>382</v>
      </c>
      <c r="B198" s="140" t="s">
        <v>383</v>
      </c>
      <c r="C198" s="143">
        <v>0</v>
      </c>
      <c r="D198" s="129" t="e">
        <f>VLOOKUP(A198,'Current Stocks July-26'!B:K,9,0)</f>
        <v>#N/A</v>
      </c>
      <c r="E198" s="129" t="e">
        <f t="shared" si="10"/>
        <v>#N/A</v>
      </c>
    </row>
    <row r="199" spans="1:6" x14ac:dyDescent="0.25">
      <c r="A199" s="140" t="s">
        <v>393</v>
      </c>
      <c r="B199" s="140" t="s">
        <v>394</v>
      </c>
      <c r="C199" s="143">
        <v>0</v>
      </c>
      <c r="D199" s="129" t="e">
        <f>VLOOKUP(A199,'Current Stocks July-26'!B:K,9,0)</f>
        <v>#N/A</v>
      </c>
      <c r="E199" s="129" t="e">
        <f t="shared" si="10"/>
        <v>#N/A</v>
      </c>
    </row>
    <row r="200" spans="1:6" x14ac:dyDescent="0.25">
      <c r="A200" s="140" t="s">
        <v>1504</v>
      </c>
      <c r="B200" s="140" t="s">
        <v>1505</v>
      </c>
      <c r="C200" s="143">
        <v>0</v>
      </c>
      <c r="D200" s="129">
        <f>VLOOKUP(A200,'Current Stocks July-26'!B:K,9,0)</f>
        <v>0</v>
      </c>
      <c r="E200" s="129" t="b">
        <f t="shared" si="10"/>
        <v>1</v>
      </c>
      <c r="F200">
        <f>D200-C200</f>
        <v>0</v>
      </c>
    </row>
    <row r="201" spans="1:6" x14ac:dyDescent="0.25">
      <c r="A201" s="140" t="s">
        <v>665</v>
      </c>
      <c r="B201" s="140" t="s">
        <v>666</v>
      </c>
      <c r="C201" s="143">
        <v>0</v>
      </c>
      <c r="D201" s="129">
        <f>VLOOKUP(A201,'Current Stocks July-26'!B:K,9,0)</f>
        <v>0</v>
      </c>
      <c r="E201" s="129" t="b">
        <f t="shared" si="10"/>
        <v>1</v>
      </c>
      <c r="F201">
        <f>D201-C201</f>
        <v>0</v>
      </c>
    </row>
    <row r="202" spans="1:6" x14ac:dyDescent="0.25">
      <c r="A202" s="140" t="s">
        <v>120</v>
      </c>
      <c r="B202" s="140" t="s">
        <v>121</v>
      </c>
      <c r="C202" s="143">
        <v>0</v>
      </c>
      <c r="D202" s="129">
        <f>VLOOKUP(A202,'Current Stocks July-26'!B:K,9,0)</f>
        <v>0</v>
      </c>
      <c r="E202" s="129" t="b">
        <f t="shared" si="10"/>
        <v>1</v>
      </c>
      <c r="F202">
        <f>D202-C202</f>
        <v>0</v>
      </c>
    </row>
    <row r="203" spans="1:6" x14ac:dyDescent="0.25">
      <c r="A203" s="140" t="s">
        <v>47</v>
      </c>
      <c r="B203" s="140" t="s">
        <v>48</v>
      </c>
      <c r="C203" s="140">
        <v>302.39999999999998</v>
      </c>
      <c r="D203" s="129">
        <f>VLOOKUP(A203,'Current Stocks July-26'!B:K,9,0)</f>
        <v>211.44</v>
      </c>
      <c r="E203" s="129" t="b">
        <f t="shared" si="10"/>
        <v>0</v>
      </c>
      <c r="F203">
        <f>D203-C203</f>
        <v>-90.95999999999998</v>
      </c>
    </row>
    <row r="204" spans="1:6" x14ac:dyDescent="0.25">
      <c r="A204" s="140" t="s">
        <v>1289</v>
      </c>
      <c r="B204" s="140" t="s">
        <v>1290</v>
      </c>
      <c r="C204" s="143">
        <v>0</v>
      </c>
      <c r="D204" s="129">
        <f>VLOOKUP(A204,'Current Stocks July-26'!B:K,9,0)</f>
        <v>0</v>
      </c>
      <c r="E204" s="129" t="b">
        <f t="shared" si="10"/>
        <v>1</v>
      </c>
    </row>
    <row r="205" spans="1:6" x14ac:dyDescent="0.25">
      <c r="A205" s="140" t="s">
        <v>1398</v>
      </c>
      <c r="B205" s="140" t="s">
        <v>1399</v>
      </c>
      <c r="C205" s="140">
        <v>147.57599999999999</v>
      </c>
      <c r="D205" s="129" t="e">
        <f>VLOOKUP(A205,'Current Stocks July-26'!B:K,9,0)</f>
        <v>#N/A</v>
      </c>
      <c r="E205" s="129" t="e">
        <f t="shared" si="10"/>
        <v>#N/A</v>
      </c>
      <c r="F205" t="e">
        <f>D205-C205</f>
        <v>#N/A</v>
      </c>
    </row>
    <row r="206" spans="1:6" x14ac:dyDescent="0.25">
      <c r="A206" s="140" t="s">
        <v>65</v>
      </c>
      <c r="B206" s="140" t="s">
        <v>66</v>
      </c>
      <c r="C206" s="140">
        <v>36.9</v>
      </c>
      <c r="D206" s="129">
        <f>VLOOKUP(A206,'Current Stocks July-26'!B:K,9,0)</f>
        <v>0</v>
      </c>
      <c r="E206" s="129" t="b">
        <f t="shared" si="10"/>
        <v>0</v>
      </c>
      <c r="F206">
        <f>D206-C206</f>
        <v>-36.9</v>
      </c>
    </row>
    <row r="207" spans="1:6" x14ac:dyDescent="0.25">
      <c r="A207" s="140" t="s">
        <v>1321</v>
      </c>
      <c r="B207" s="140" t="s">
        <v>1322</v>
      </c>
      <c r="C207" s="140">
        <v>15.5</v>
      </c>
      <c r="D207" s="129">
        <f>VLOOKUP(A207,'Current Stocks July-26'!B:K,9,0)</f>
        <v>0</v>
      </c>
      <c r="E207" s="129" t="b">
        <f t="shared" si="10"/>
        <v>0</v>
      </c>
      <c r="F207">
        <f>D207-C207</f>
        <v>-15.5</v>
      </c>
    </row>
    <row r="208" spans="1:6" x14ac:dyDescent="0.25">
      <c r="A208" s="140" t="s">
        <v>1471</v>
      </c>
      <c r="B208" s="140" t="s">
        <v>1472</v>
      </c>
      <c r="C208" s="140">
        <v>77.489999999999995</v>
      </c>
      <c r="D208" s="129">
        <f>VLOOKUP(A208,'Current Stocks July-26'!B:K,9,0)</f>
        <v>0</v>
      </c>
      <c r="E208" s="129" t="b">
        <f t="shared" si="10"/>
        <v>0</v>
      </c>
      <c r="F208">
        <f>D208-C208</f>
        <v>-77.489999999999995</v>
      </c>
    </row>
    <row r="209" spans="1:6" x14ac:dyDescent="0.25">
      <c r="A209" s="140" t="s">
        <v>508</v>
      </c>
      <c r="B209" s="140" t="s">
        <v>5010</v>
      </c>
      <c r="C209" s="140">
        <v>32</v>
      </c>
      <c r="D209" s="129">
        <f>VLOOKUP(A209,'Current Stocks July-26'!B:K,9,0)</f>
        <v>1</v>
      </c>
      <c r="E209" s="129" t="b">
        <f t="shared" si="10"/>
        <v>0</v>
      </c>
      <c r="F209">
        <f>D209-C209</f>
        <v>-31</v>
      </c>
    </row>
    <row r="210" spans="1:6" x14ac:dyDescent="0.25">
      <c r="A210" s="140" t="s">
        <v>422</v>
      </c>
      <c r="B210" s="140" t="s">
        <v>423</v>
      </c>
      <c r="C210" s="143">
        <v>0</v>
      </c>
      <c r="D210" s="129">
        <f>VLOOKUP(A210,'Current Stocks July-26'!B:K,9,0)</f>
        <v>0</v>
      </c>
      <c r="E210" s="129" t="b">
        <f t="shared" si="10"/>
        <v>1</v>
      </c>
    </row>
    <row r="211" spans="1:6" x14ac:dyDescent="0.25">
      <c r="A211" s="140" t="s">
        <v>1004</v>
      </c>
      <c r="B211" s="140" t="s">
        <v>1005</v>
      </c>
      <c r="C211" s="140">
        <v>272</v>
      </c>
      <c r="D211" s="129">
        <f>VLOOKUP(A211,'Current Stocks July-26'!B:K,9,0)</f>
        <v>17</v>
      </c>
      <c r="E211" s="129" t="b">
        <f t="shared" si="10"/>
        <v>0</v>
      </c>
      <c r="F211">
        <f t="shared" ref="F211:F216" si="11">D211-C211</f>
        <v>-255</v>
      </c>
    </row>
    <row r="212" spans="1:6" x14ac:dyDescent="0.25">
      <c r="A212" s="140" t="s">
        <v>1190</v>
      </c>
      <c r="B212" s="140" t="s">
        <v>5011</v>
      </c>
      <c r="C212" s="140">
        <v>500</v>
      </c>
      <c r="D212" s="129" t="e">
        <f>VLOOKUP(A212,'Current Stocks July-26'!B:K,9,0)</f>
        <v>#N/A</v>
      </c>
      <c r="E212" s="129" t="e">
        <f t="shared" si="10"/>
        <v>#N/A</v>
      </c>
      <c r="F212" t="e">
        <f t="shared" si="11"/>
        <v>#N/A</v>
      </c>
    </row>
    <row r="213" spans="1:6" x14ac:dyDescent="0.25">
      <c r="A213" s="140" t="s">
        <v>1550</v>
      </c>
      <c r="B213" s="140" t="s">
        <v>1551</v>
      </c>
      <c r="C213" s="140">
        <v>30</v>
      </c>
      <c r="D213" s="129" t="e">
        <f>VLOOKUP(A213,'Current Stocks July-26'!B:K,9,0)</f>
        <v>#N/A</v>
      </c>
      <c r="E213" s="129" t="e">
        <f t="shared" si="10"/>
        <v>#N/A</v>
      </c>
      <c r="F213" t="e">
        <f t="shared" si="11"/>
        <v>#N/A</v>
      </c>
    </row>
    <row r="214" spans="1:6" x14ac:dyDescent="0.25">
      <c r="A214" s="140" t="s">
        <v>108</v>
      </c>
      <c r="B214" s="140" t="s">
        <v>109</v>
      </c>
      <c r="C214" s="140">
        <v>262</v>
      </c>
      <c r="D214" s="129" t="e">
        <f>VLOOKUP(A214,'Current Stocks July-26'!B:K,9,0)</f>
        <v>#N/A</v>
      </c>
      <c r="E214" s="129" t="e">
        <f t="shared" si="10"/>
        <v>#N/A</v>
      </c>
      <c r="F214" t="e">
        <f t="shared" si="11"/>
        <v>#N/A</v>
      </c>
    </row>
    <row r="215" spans="1:6" x14ac:dyDescent="0.25">
      <c r="A215" s="140" t="s">
        <v>635</v>
      </c>
      <c r="B215" s="140" t="s">
        <v>636</v>
      </c>
      <c r="C215" s="140">
        <v>46.5</v>
      </c>
      <c r="D215" s="129">
        <f>VLOOKUP(A215,'Current Stocks July-26'!B:K,9,0)</f>
        <v>0</v>
      </c>
      <c r="E215" s="129" t="b">
        <f t="shared" si="10"/>
        <v>0</v>
      </c>
      <c r="F215">
        <f t="shared" si="11"/>
        <v>-46.5</v>
      </c>
    </row>
    <row r="216" spans="1:6" x14ac:dyDescent="0.25">
      <c r="A216" s="140" t="s">
        <v>1814</v>
      </c>
      <c r="B216" s="140" t="s">
        <v>1815</v>
      </c>
      <c r="C216" s="140">
        <v>14</v>
      </c>
      <c r="D216" s="129">
        <f>VLOOKUP(A216,'Current Stocks July-26'!B:K,9,0)</f>
        <v>0</v>
      </c>
      <c r="E216" s="129" t="b">
        <f t="shared" si="10"/>
        <v>0</v>
      </c>
      <c r="F216">
        <f t="shared" si="11"/>
        <v>-14</v>
      </c>
    </row>
    <row r="217" spans="1:6" x14ac:dyDescent="0.25">
      <c r="A217" s="140" t="s">
        <v>4391</v>
      </c>
      <c r="B217" s="140" t="s">
        <v>5012</v>
      </c>
      <c r="C217" s="143">
        <v>0</v>
      </c>
      <c r="D217" s="129">
        <f>VLOOKUP(A217,'Current Stocks July-26'!B:K,9,0)</f>
        <v>0</v>
      </c>
      <c r="E217" s="129" t="b">
        <f t="shared" si="10"/>
        <v>1</v>
      </c>
    </row>
    <row r="218" spans="1:6" x14ac:dyDescent="0.25">
      <c r="A218" s="140" t="s">
        <v>4706</v>
      </c>
      <c r="B218" s="140" t="s">
        <v>5013</v>
      </c>
      <c r="C218" s="143">
        <v>0</v>
      </c>
      <c r="D218" s="129">
        <f>VLOOKUP(A218,'Current Stocks July-26'!B:K,9,0)</f>
        <v>0</v>
      </c>
      <c r="E218" s="129" t="b">
        <f t="shared" si="10"/>
        <v>1</v>
      </c>
    </row>
    <row r="219" spans="1:6" x14ac:dyDescent="0.25">
      <c r="A219" s="140" t="s">
        <v>4606</v>
      </c>
      <c r="B219" s="140" t="s">
        <v>5014</v>
      </c>
      <c r="C219" s="143">
        <v>0</v>
      </c>
      <c r="D219" s="129">
        <f>VLOOKUP(A219,'Current Stocks July-26'!B:K,9,0)</f>
        <v>0</v>
      </c>
      <c r="E219" s="129" t="b">
        <f t="shared" si="10"/>
        <v>1</v>
      </c>
      <c r="F219">
        <f>D219-C219</f>
        <v>0</v>
      </c>
    </row>
    <row r="220" spans="1:6" x14ac:dyDescent="0.25">
      <c r="A220" s="140" t="s">
        <v>1727</v>
      </c>
      <c r="B220" s="140" t="s">
        <v>5015</v>
      </c>
      <c r="C220" s="140">
        <v>116</v>
      </c>
      <c r="D220" s="129">
        <f>VLOOKUP(A220,'Current Stocks July-26'!B:K,9,0)</f>
        <v>0</v>
      </c>
      <c r="E220" s="129" t="b">
        <f t="shared" si="10"/>
        <v>0</v>
      </c>
      <c r="F220">
        <f>D220-C220</f>
        <v>-116</v>
      </c>
    </row>
    <row r="221" spans="1:6" x14ac:dyDescent="0.25">
      <c r="A221" s="140" t="s">
        <v>5016</v>
      </c>
      <c r="B221" s="140" t="s">
        <v>5017</v>
      </c>
      <c r="C221" s="143">
        <v>0</v>
      </c>
      <c r="D221" s="129" t="e">
        <f>VLOOKUP(A221,'Current Stocks July-26'!B:K,9,0)</f>
        <v>#N/A</v>
      </c>
      <c r="E221" s="129" t="e">
        <f t="shared" si="10"/>
        <v>#N/A</v>
      </c>
    </row>
    <row r="222" spans="1:6" x14ac:dyDescent="0.25">
      <c r="A222" s="140" t="s">
        <v>903</v>
      </c>
      <c r="B222" s="140" t="s">
        <v>904</v>
      </c>
      <c r="C222" s="140">
        <v>13</v>
      </c>
      <c r="D222" s="129">
        <f>VLOOKUP(A222,'Current Stocks July-26'!B:K,9,0)</f>
        <v>0</v>
      </c>
      <c r="E222" s="129" t="b">
        <f t="shared" si="10"/>
        <v>0</v>
      </c>
      <c r="F222">
        <f>D222-C222</f>
        <v>-13</v>
      </c>
    </row>
    <row r="223" spans="1:6" x14ac:dyDescent="0.25">
      <c r="A223" s="140" t="s">
        <v>4968</v>
      </c>
      <c r="B223" s="140" t="s">
        <v>5018</v>
      </c>
      <c r="C223" s="140">
        <v>30</v>
      </c>
      <c r="D223" s="129" t="e">
        <f>VLOOKUP(A223,'Current Stocks July-26'!B:K,9,0)</f>
        <v>#N/A</v>
      </c>
      <c r="E223" s="129" t="e">
        <f t="shared" si="10"/>
        <v>#N/A</v>
      </c>
    </row>
    <row r="224" spans="1:6" x14ac:dyDescent="0.25">
      <c r="A224" s="140" t="s">
        <v>5019</v>
      </c>
      <c r="B224" s="140" t="s">
        <v>5020</v>
      </c>
      <c r="C224" s="143">
        <v>0</v>
      </c>
      <c r="D224" s="129" t="e">
        <f>VLOOKUP(A224,'Current Stocks July-26'!B:K,9,0)</f>
        <v>#N/A</v>
      </c>
      <c r="E224" s="129" t="e">
        <f t="shared" si="10"/>
        <v>#N/A</v>
      </c>
    </row>
    <row r="225" spans="1:6" x14ac:dyDescent="0.25">
      <c r="A225" s="140" t="s">
        <v>540</v>
      </c>
      <c r="B225" s="140" t="s">
        <v>541</v>
      </c>
      <c r="C225" s="143">
        <v>0</v>
      </c>
      <c r="D225" s="129">
        <f>VLOOKUP(A225,'Current Stocks July-26'!B:K,9,0)</f>
        <v>0</v>
      </c>
      <c r="E225" s="129" t="b">
        <f t="shared" si="10"/>
        <v>1</v>
      </c>
      <c r="F225">
        <f>D225-C225</f>
        <v>0</v>
      </c>
    </row>
    <row r="226" spans="1:6" x14ac:dyDescent="0.25">
      <c r="A226" s="140" t="s">
        <v>1965</v>
      </c>
      <c r="B226" s="140" t="s">
        <v>1966</v>
      </c>
      <c r="C226" s="143">
        <v>0</v>
      </c>
      <c r="D226" s="129">
        <f>VLOOKUP(A226,'Current Stocks July-26'!B:K,9,0)</f>
        <v>0</v>
      </c>
      <c r="E226" s="129" t="b">
        <f t="shared" si="10"/>
        <v>1</v>
      </c>
    </row>
    <row r="227" spans="1:6" x14ac:dyDescent="0.25">
      <c r="A227" s="140" t="s">
        <v>4229</v>
      </c>
      <c r="B227" s="140" t="s">
        <v>5021</v>
      </c>
      <c r="C227" s="140">
        <v>7.08</v>
      </c>
      <c r="D227" s="129">
        <f>VLOOKUP(A227,'Current Stocks July-26'!B:K,9,0)</f>
        <v>0</v>
      </c>
      <c r="E227" s="129" t="b">
        <f t="shared" si="10"/>
        <v>0</v>
      </c>
      <c r="F227" t="s">
        <v>5022</v>
      </c>
    </row>
    <row r="228" spans="1:6" x14ac:dyDescent="0.25">
      <c r="A228" s="140" t="s">
        <v>102</v>
      </c>
      <c r="B228" s="140" t="s">
        <v>103</v>
      </c>
      <c r="C228" s="140">
        <v>20.3</v>
      </c>
      <c r="D228" s="129" t="e">
        <f>VLOOKUP(A228,'Current Stocks July-26'!B:K,9,0)</f>
        <v>#N/A</v>
      </c>
      <c r="E228" s="129" t="e">
        <f t="shared" si="10"/>
        <v>#N/A</v>
      </c>
      <c r="F228" t="e">
        <f>D228-C228</f>
        <v>#N/A</v>
      </c>
    </row>
    <row r="229" spans="1:6" x14ac:dyDescent="0.25">
      <c r="A229" s="140" t="s">
        <v>1978</v>
      </c>
      <c r="B229" s="140" t="s">
        <v>1979</v>
      </c>
      <c r="C229" s="140">
        <v>9</v>
      </c>
      <c r="D229" s="129">
        <f>VLOOKUP(A229,'Current Stocks July-26'!B:K,9,0)</f>
        <v>0</v>
      </c>
      <c r="E229" s="129" t="b">
        <f t="shared" si="10"/>
        <v>0</v>
      </c>
      <c r="F229" t="s">
        <v>5022</v>
      </c>
    </row>
    <row r="230" spans="1:6" x14ac:dyDescent="0.25">
      <c r="A230" s="140" t="s">
        <v>5023</v>
      </c>
      <c r="B230" s="140" t="s">
        <v>5024</v>
      </c>
      <c r="C230" s="140">
        <v>134.34</v>
      </c>
      <c r="D230" s="129" t="e">
        <f>VLOOKUP(A230,'Current Stocks July-26'!B:K,9,0)</f>
        <v>#N/A</v>
      </c>
      <c r="E230" s="129" t="e">
        <f t="shared" si="10"/>
        <v>#N/A</v>
      </c>
      <c r="F230" t="s">
        <v>5022</v>
      </c>
    </row>
    <row r="231" spans="1:6" x14ac:dyDescent="0.25">
      <c r="A231" s="140" t="s">
        <v>1218</v>
      </c>
      <c r="B231" s="140" t="s">
        <v>1219</v>
      </c>
      <c r="C231" s="140">
        <v>282</v>
      </c>
      <c r="D231" s="129">
        <f>VLOOKUP(A231,'Current Stocks July-26'!B:K,9,0)</f>
        <v>462</v>
      </c>
      <c r="E231" s="129" t="b">
        <f t="shared" si="10"/>
        <v>0</v>
      </c>
      <c r="F231">
        <f t="shared" ref="F231:F236" si="12">D231-C231</f>
        <v>180</v>
      </c>
    </row>
    <row r="232" spans="1:6" x14ac:dyDescent="0.25">
      <c r="A232" s="140" t="s">
        <v>1453</v>
      </c>
      <c r="B232" s="140" t="s">
        <v>1454</v>
      </c>
      <c r="C232" s="140">
        <v>90</v>
      </c>
      <c r="D232" s="129">
        <f>VLOOKUP(A232,'Current Stocks July-26'!B:K,9,0)</f>
        <v>198</v>
      </c>
      <c r="E232" s="129" t="b">
        <f t="shared" si="10"/>
        <v>0</v>
      </c>
      <c r="F232">
        <f t="shared" si="12"/>
        <v>108</v>
      </c>
    </row>
    <row r="233" spans="1:6" x14ac:dyDescent="0.25">
      <c r="A233" s="140" t="s">
        <v>888</v>
      </c>
      <c r="B233" s="140" t="s">
        <v>889</v>
      </c>
      <c r="C233" s="140">
        <v>802.2</v>
      </c>
      <c r="D233" s="129">
        <f>VLOOKUP(A233,'Current Stocks July-26'!B:K,9,0)</f>
        <v>0</v>
      </c>
      <c r="E233" s="129" t="b">
        <f t="shared" si="10"/>
        <v>0</v>
      </c>
      <c r="F233">
        <f t="shared" si="12"/>
        <v>-802.2</v>
      </c>
    </row>
    <row r="234" spans="1:6" x14ac:dyDescent="0.25">
      <c r="A234" s="140" t="s">
        <v>5025</v>
      </c>
      <c r="B234" s="140" t="s">
        <v>5026</v>
      </c>
      <c r="C234" s="140">
        <v>180</v>
      </c>
      <c r="D234" s="129" t="e">
        <f>VLOOKUP(A234,'Current Stocks July-26'!B:K,9,0)</f>
        <v>#N/A</v>
      </c>
      <c r="E234" s="129" t="e">
        <f t="shared" si="10"/>
        <v>#N/A</v>
      </c>
      <c r="F234" t="e">
        <f t="shared" si="12"/>
        <v>#N/A</v>
      </c>
    </row>
    <row r="235" spans="1:6" x14ac:dyDescent="0.25">
      <c r="A235" s="140" t="s">
        <v>79</v>
      </c>
      <c r="B235" s="140" t="s">
        <v>5027</v>
      </c>
      <c r="C235" s="141">
        <v>1152</v>
      </c>
      <c r="D235" s="129">
        <f>VLOOKUP(A235,'Current Stocks July-26'!B:K,9,0)</f>
        <v>6.1999999999999993</v>
      </c>
      <c r="E235" s="129" t="b">
        <f t="shared" si="10"/>
        <v>0</v>
      </c>
      <c r="F235">
        <f t="shared" si="12"/>
        <v>-1145.8</v>
      </c>
    </row>
    <row r="236" spans="1:6" x14ac:dyDescent="0.25">
      <c r="A236" s="140" t="s">
        <v>1190</v>
      </c>
      <c r="B236" s="140" t="s">
        <v>5028</v>
      </c>
      <c r="C236" s="141">
        <v>1855</v>
      </c>
      <c r="D236" s="129" t="e">
        <f>VLOOKUP(A236,'Current Stocks July-26'!B:K,9,0)</f>
        <v>#N/A</v>
      </c>
      <c r="E236" s="129" t="e">
        <f t="shared" si="10"/>
        <v>#N/A</v>
      </c>
      <c r="F236" t="e">
        <f t="shared" si="12"/>
        <v>#N/A</v>
      </c>
    </row>
    <row r="237" spans="1:6" x14ac:dyDescent="0.25">
      <c r="A237" s="140" t="s">
        <v>1278</v>
      </c>
      <c r="B237" s="140" t="s">
        <v>5029</v>
      </c>
      <c r="C237" s="140">
        <v>9.6</v>
      </c>
      <c r="D237" s="129">
        <f>VLOOKUP(A237,'Current Stocks July-26'!B:K,9,0)</f>
        <v>0</v>
      </c>
      <c r="E237" s="129" t="b">
        <f t="shared" si="10"/>
        <v>0</v>
      </c>
    </row>
    <row r="238" spans="1:6" x14ac:dyDescent="0.25">
      <c r="A238" s="140" t="s">
        <v>1352</v>
      </c>
      <c r="B238" s="140" t="s">
        <v>1353</v>
      </c>
      <c r="C238" s="140">
        <v>306.60000000000002</v>
      </c>
      <c r="D238" s="129">
        <f>VLOOKUP(A238,'Current Stocks July-26'!B:K,9,0)</f>
        <v>24</v>
      </c>
      <c r="E238" s="129" t="b">
        <f t="shared" si="10"/>
        <v>0</v>
      </c>
      <c r="F238">
        <f>D238-C238</f>
        <v>-282.60000000000002</v>
      </c>
    </row>
    <row r="239" spans="1:6" x14ac:dyDescent="0.25">
      <c r="A239" s="140" t="s">
        <v>4618</v>
      </c>
      <c r="B239" s="140" t="s">
        <v>5030</v>
      </c>
      <c r="C239" s="140">
        <v>126.5</v>
      </c>
      <c r="D239" s="129">
        <f>VLOOKUP(A239,'Current Stocks July-26'!B:K,9,0)</f>
        <v>0</v>
      </c>
      <c r="E239" s="129" t="b">
        <f t="shared" si="10"/>
        <v>0</v>
      </c>
      <c r="F239" t="s">
        <v>5022</v>
      </c>
    </row>
    <row r="240" spans="1:6" x14ac:dyDescent="0.25">
      <c r="A240" s="140" t="s">
        <v>369</v>
      </c>
      <c r="B240" s="140" t="s">
        <v>5031</v>
      </c>
      <c r="C240" s="141">
        <v>2316</v>
      </c>
      <c r="D240" s="129" t="e">
        <f>VLOOKUP(A240,'Current Stocks July-26'!B:K,9,0)</f>
        <v>#N/A</v>
      </c>
      <c r="E240" s="129" t="e">
        <f t="shared" si="10"/>
        <v>#N/A</v>
      </c>
      <c r="F240" t="e">
        <f>D240-C240</f>
        <v>#N/A</v>
      </c>
    </row>
    <row r="241" spans="1:6" x14ac:dyDescent="0.25">
      <c r="A241" s="140" t="s">
        <v>5032</v>
      </c>
      <c r="B241" s="140" t="s">
        <v>5033</v>
      </c>
      <c r="C241" s="140">
        <v>250</v>
      </c>
      <c r="D241" s="129" t="e">
        <f>VLOOKUP(A241,'Current Stocks July-26'!B:K,9,0)</f>
        <v>#N/A</v>
      </c>
      <c r="E241" s="129" t="e">
        <f t="shared" si="10"/>
        <v>#N/A</v>
      </c>
      <c r="F241" t="s">
        <v>5022</v>
      </c>
    </row>
    <row r="242" spans="1:6" x14ac:dyDescent="0.25">
      <c r="A242" s="140" t="s">
        <v>743</v>
      </c>
      <c r="B242" s="140" t="s">
        <v>744</v>
      </c>
      <c r="C242" s="140">
        <v>108</v>
      </c>
      <c r="D242" s="129">
        <f>VLOOKUP(A242,'Current Stocks July-26'!B:K,9,0)</f>
        <v>2400</v>
      </c>
      <c r="E242" s="129" t="b">
        <f t="shared" si="10"/>
        <v>0</v>
      </c>
      <c r="F242">
        <f t="shared" ref="F242:F251" si="13">D242-C242</f>
        <v>2292</v>
      </c>
    </row>
    <row r="243" spans="1:6" x14ac:dyDescent="0.25">
      <c r="A243" s="140" t="s">
        <v>5034</v>
      </c>
      <c r="B243" s="140" t="s">
        <v>5035</v>
      </c>
      <c r="C243" s="140">
        <v>145</v>
      </c>
      <c r="D243" s="129" t="e">
        <f>VLOOKUP(A243,'Current Stocks July-26'!B:K,9,0)</f>
        <v>#N/A</v>
      </c>
      <c r="E243" s="129" t="e">
        <f t="shared" si="10"/>
        <v>#N/A</v>
      </c>
      <c r="F243" t="e">
        <f t="shared" si="13"/>
        <v>#N/A</v>
      </c>
    </row>
    <row r="244" spans="1:6" x14ac:dyDescent="0.25">
      <c r="A244" s="140" t="s">
        <v>5036</v>
      </c>
      <c r="B244" s="140" t="s">
        <v>5037</v>
      </c>
      <c r="C244" s="140">
        <v>481</v>
      </c>
      <c r="D244" s="129" t="e">
        <f>VLOOKUP(A244,'Current Stocks July-26'!B:K,9,0)</f>
        <v>#N/A</v>
      </c>
      <c r="E244" s="129" t="e">
        <f t="shared" si="10"/>
        <v>#N/A</v>
      </c>
      <c r="F244" t="e">
        <f t="shared" si="13"/>
        <v>#N/A</v>
      </c>
    </row>
    <row r="245" spans="1:6" x14ac:dyDescent="0.25">
      <c r="A245" s="140" t="s">
        <v>5038</v>
      </c>
      <c r="B245" s="140" t="s">
        <v>5039</v>
      </c>
      <c r="C245" s="141">
        <v>1014</v>
      </c>
      <c r="D245" s="129" t="e">
        <f>VLOOKUP(A245,'Current Stocks July-26'!B:K,9,0)</f>
        <v>#N/A</v>
      </c>
      <c r="E245" s="129" t="e">
        <f t="shared" si="10"/>
        <v>#N/A</v>
      </c>
      <c r="F245" t="e">
        <f t="shared" si="13"/>
        <v>#N/A</v>
      </c>
    </row>
    <row r="246" spans="1:6" x14ac:dyDescent="0.25">
      <c r="A246" s="140" t="s">
        <v>807</v>
      </c>
      <c r="B246" s="140" t="s">
        <v>5040</v>
      </c>
      <c r="C246" s="140">
        <v>600</v>
      </c>
      <c r="D246" s="129">
        <f>VLOOKUP(A246,'Current Stocks July-26'!B:K,9,0)</f>
        <v>102</v>
      </c>
      <c r="E246" s="129" t="b">
        <f t="shared" si="10"/>
        <v>0</v>
      </c>
      <c r="F246">
        <f t="shared" si="13"/>
        <v>-498</v>
      </c>
    </row>
    <row r="247" spans="1:6" x14ac:dyDescent="0.25">
      <c r="A247" s="140" t="s">
        <v>4558</v>
      </c>
      <c r="B247" s="140" t="s">
        <v>5041</v>
      </c>
      <c r="C247" s="140">
        <v>900</v>
      </c>
      <c r="D247" s="129">
        <f>VLOOKUP(A247,'Current Stocks July-26'!B:K,9,0)</f>
        <v>348</v>
      </c>
      <c r="E247" s="129" t="b">
        <f t="shared" si="10"/>
        <v>0</v>
      </c>
      <c r="F247">
        <f t="shared" si="13"/>
        <v>-552</v>
      </c>
    </row>
    <row r="248" spans="1:6" x14ac:dyDescent="0.25">
      <c r="A248" s="140" t="s">
        <v>5042</v>
      </c>
      <c r="B248" s="140" t="s">
        <v>128</v>
      </c>
      <c r="C248" s="140">
        <v>240</v>
      </c>
      <c r="D248" s="129">
        <f>VLOOKUP(A248,'Current Stocks July-26'!B:K,9,0)</f>
        <v>120</v>
      </c>
      <c r="E248" s="129" t="b">
        <f t="shared" si="10"/>
        <v>0</v>
      </c>
      <c r="F248">
        <f t="shared" si="13"/>
        <v>-120</v>
      </c>
    </row>
    <row r="249" spans="1:6" x14ac:dyDescent="0.25">
      <c r="A249" s="140" t="s">
        <v>1086</v>
      </c>
      <c r="B249" s="140" t="s">
        <v>5043</v>
      </c>
      <c r="C249" s="140">
        <v>234</v>
      </c>
      <c r="D249" s="129">
        <f>VLOOKUP(A249,'Current Stocks July-26'!B:K,9,0)</f>
        <v>109</v>
      </c>
      <c r="E249" s="129" t="b">
        <f t="shared" si="10"/>
        <v>0</v>
      </c>
      <c r="F249">
        <f t="shared" si="13"/>
        <v>-125</v>
      </c>
    </row>
    <row r="250" spans="1:6" x14ac:dyDescent="0.25">
      <c r="A250" s="140" t="s">
        <v>786</v>
      </c>
      <c r="B250" s="140" t="s">
        <v>787</v>
      </c>
      <c r="C250" s="140">
        <v>120</v>
      </c>
      <c r="D250" s="129">
        <f>VLOOKUP(A250,'Current Stocks July-26'!B:K,9,0)</f>
        <v>48</v>
      </c>
      <c r="E250" s="129" t="b">
        <f t="shared" si="10"/>
        <v>0</v>
      </c>
      <c r="F250">
        <f t="shared" si="13"/>
        <v>-72</v>
      </c>
    </row>
    <row r="251" spans="1:6" x14ac:dyDescent="0.25">
      <c r="A251" s="140" t="s">
        <v>1247</v>
      </c>
      <c r="B251" s="140" t="s">
        <v>1248</v>
      </c>
      <c r="C251" s="140">
        <v>246</v>
      </c>
      <c r="D251" s="129">
        <f>VLOOKUP(A251,'Current Stocks July-26'!B:K,9,0)</f>
        <v>94</v>
      </c>
      <c r="E251" s="129" t="b">
        <f t="shared" si="10"/>
        <v>0</v>
      </c>
      <c r="F251">
        <f t="shared" si="13"/>
        <v>-152</v>
      </c>
    </row>
  </sheetData>
  <autoFilter ref="A1:E251" xr:uid="{699C13CB-93CB-4EA1-AA34-471EEDD3BBC8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F36DF-2AA2-425D-A989-2C3A95460814}">
  <dimension ref="A1"/>
  <sheetViews>
    <sheetView topLeftCell="A7" workbookViewId="0"/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6DEC8-4310-442E-9F9D-1FCDABAF51B4}">
  <dimension ref="A1"/>
  <sheetViews>
    <sheetView workbookViewId="0">
      <selection activeCell="D26" sqref="D2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2</vt:i4>
      </vt:variant>
    </vt:vector>
  </HeadingPairs>
  <TitlesOfParts>
    <vt:vector size="19" baseType="lpstr">
      <vt:lpstr>All WH Stock Status</vt:lpstr>
      <vt:lpstr>Raw Material Stock status</vt:lpstr>
      <vt:lpstr>Packiging Materila Stock Status</vt:lpstr>
      <vt:lpstr>Consumables Stock Status</vt:lpstr>
      <vt:lpstr>Dashboard - WH Situation</vt:lpstr>
      <vt:lpstr>Urgent Items - Procurment</vt:lpstr>
      <vt:lpstr>Master File June-26</vt:lpstr>
      <vt:lpstr>Master File July-26</vt:lpstr>
      <vt:lpstr>Current Stocks July-26</vt:lpstr>
      <vt:lpstr>July 2026-Recived</vt:lpstr>
      <vt:lpstr>July 2026- Dispatch</vt:lpstr>
      <vt:lpstr>Sheet1</vt:lpstr>
      <vt:lpstr>Sheet4</vt:lpstr>
      <vt:lpstr>Sheet2</vt:lpstr>
      <vt:lpstr>Sheet3</vt:lpstr>
      <vt:lpstr>Sheet6</vt:lpstr>
      <vt:lpstr>Sheet5</vt:lpstr>
      <vt:lpstr>'Current Stocks July-26'!Print_Area</vt:lpstr>
      <vt:lpstr>'Current Stocks July-26'!Print_Titles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Arwa Alaqely</dc:creator>
  <cp:keywords/>
  <dc:description/>
  <cp:lastModifiedBy>Ibrahim Jamal Nawaiseh</cp:lastModifiedBy>
  <cp:revision/>
  <dcterms:created xsi:type="dcterms:W3CDTF">2026-01-04T09:18:51Z</dcterms:created>
  <dcterms:modified xsi:type="dcterms:W3CDTF">2026-07-16T07:07:39Z</dcterms:modified>
  <cp:category/>
  <cp:contentStatus/>
</cp:coreProperties>
</file>